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vladimirmorozov/Desktop/"/>
    </mc:Choice>
  </mc:AlternateContent>
  <bookViews>
    <workbookView minimized="1" xWindow="0" yWindow="460" windowWidth="28800" windowHeight="15280" tabRatio="814" firstSheet="1" activeTab="1"/>
  </bookViews>
  <sheets>
    <sheet name="+к_должн" sheetId="25" state="hidden" r:id="rId1"/>
    <sheet name="LHEP_2016" sheetId="26" r:id="rId2"/>
    <sheet name="свод.числн.ЛФВЭ" sheetId="2" r:id="rId3"/>
    <sheet name="должности" sheetId="5" r:id="rId4"/>
    <sheet name="diagrams" sheetId="24" r:id="rId5"/>
    <sheet name="age_new" sheetId="22" r:id="rId6"/>
    <sheet name="methodical" sheetId="6" r:id="rId7"/>
    <sheet name="FTE" sheetId="30" r:id="rId8"/>
  </sheets>
  <definedNames>
    <definedName name="_xlnm._FilterDatabase" localSheetId="5" hidden="1">age_new!$A$2:$D$34</definedName>
    <definedName name="_xlnm._FilterDatabase" localSheetId="4" hidden="1">diagrams!$A$2:$A$1032</definedName>
    <definedName name="_xlnm._FilterDatabase" localSheetId="1" hidden="1">LHEP_2016!$E$1:$E$2469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6" i="26" l="1"/>
  <c r="AD6" i="26"/>
  <c r="AF6" i="26"/>
  <c r="AG6" i="26"/>
  <c r="AH6" i="26"/>
  <c r="AI6" i="26"/>
  <c r="AJ6" i="26"/>
  <c r="AK6" i="26"/>
  <c r="AL6" i="26"/>
  <c r="AM6" i="26"/>
  <c r="AN6" i="26"/>
  <c r="AO6" i="26"/>
  <c r="AP6" i="26"/>
  <c r="AQ6" i="26"/>
  <c r="AR6" i="26"/>
  <c r="AS6" i="26"/>
  <c r="AT6" i="26"/>
  <c r="AE7" i="26"/>
  <c r="AF7" i="26"/>
  <c r="AG7" i="26"/>
  <c r="AH7" i="26"/>
  <c r="AI7" i="26"/>
  <c r="AJ7" i="26"/>
  <c r="AK7" i="26"/>
  <c r="AL7" i="26"/>
  <c r="AM7" i="26"/>
  <c r="AN7" i="26"/>
  <c r="AO7" i="26"/>
  <c r="AP7" i="26"/>
  <c r="AQ7" i="26"/>
  <c r="AR7" i="26"/>
  <c r="AS7" i="26"/>
  <c r="AD7" i="26"/>
  <c r="AT7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37" i="26"/>
  <c r="AD38" i="26"/>
  <c r="AD39" i="26"/>
  <c r="AD40" i="26"/>
  <c r="AD41" i="26"/>
  <c r="AD47" i="26"/>
  <c r="AD48" i="26"/>
  <c r="AD49" i="26"/>
  <c r="AD50" i="26"/>
  <c r="AD51" i="26"/>
  <c r="AD52" i="26"/>
  <c r="AD53" i="26"/>
  <c r="AD54" i="26"/>
  <c r="AD64" i="26"/>
  <c r="AD65" i="26"/>
  <c r="AD66" i="26"/>
  <c r="AD67" i="26"/>
  <c r="AD68" i="26"/>
  <c r="AD73" i="26"/>
  <c r="AD74" i="26"/>
  <c r="AD75" i="26"/>
  <c r="AD76" i="26"/>
  <c r="AD77" i="26"/>
  <c r="AD78" i="26"/>
  <c r="AD79" i="26"/>
  <c r="AD80" i="26"/>
  <c r="AD85" i="26"/>
  <c r="AD86" i="26"/>
  <c r="AD87" i="26"/>
  <c r="AD88" i="26"/>
  <c r="AD93" i="26"/>
  <c r="AD94" i="26"/>
  <c r="AD95" i="26"/>
  <c r="AD96" i="26"/>
  <c r="AD97" i="26"/>
  <c r="AD98" i="26"/>
  <c r="AD99" i="26"/>
  <c r="AD100" i="26"/>
  <c r="AD101" i="26"/>
  <c r="AD102" i="26"/>
  <c r="AD103" i="26"/>
  <c r="AD104" i="26"/>
  <c r="AD109" i="26"/>
  <c r="AD110" i="26"/>
  <c r="AD111" i="26"/>
  <c r="AD112" i="26"/>
  <c r="AD113" i="26"/>
  <c r="AD114" i="26"/>
  <c r="AD115" i="26"/>
  <c r="AD116" i="26"/>
  <c r="AD117" i="26"/>
  <c r="AD118" i="26"/>
  <c r="AD119" i="26"/>
  <c r="AD124" i="26"/>
  <c r="AD125" i="26"/>
  <c r="AD129" i="26"/>
  <c r="AD130" i="26"/>
  <c r="AD131" i="26"/>
  <c r="AD132" i="26"/>
  <c r="AD133" i="26"/>
  <c r="AD134" i="26"/>
  <c r="AD135" i="26"/>
  <c r="AD136" i="26"/>
  <c r="AD137" i="26"/>
  <c r="AD138" i="26"/>
  <c r="AD139" i="26"/>
  <c r="AD144" i="26"/>
  <c r="AD145" i="26"/>
  <c r="AD146" i="26"/>
  <c r="AD147" i="26"/>
  <c r="AD148" i="26"/>
  <c r="AD149" i="26"/>
  <c r="AD150" i="26"/>
  <c r="AD151" i="26"/>
  <c r="AD152" i="26"/>
  <c r="AD167" i="26"/>
  <c r="AD168" i="26"/>
  <c r="AD169" i="26"/>
  <c r="AD170" i="26"/>
  <c r="AD171" i="26"/>
  <c r="AD172" i="26"/>
  <c r="AD177" i="26"/>
  <c r="AD178" i="26"/>
  <c r="AD179" i="26"/>
  <c r="AD184" i="26"/>
  <c r="AD185" i="26"/>
  <c r="AD195" i="26"/>
  <c r="AD196" i="26"/>
  <c r="AD201" i="26"/>
  <c r="AD202" i="26"/>
  <c r="AD203" i="26"/>
  <c r="AD204" i="26"/>
  <c r="AD205" i="26"/>
  <c r="AD210" i="26"/>
  <c r="AD211" i="26"/>
  <c r="AD212" i="26"/>
  <c r="AD213" i="26"/>
  <c r="AD214" i="26"/>
  <c r="AD220" i="26"/>
  <c r="AD221" i="26"/>
  <c r="AD222" i="26"/>
  <c r="AD223" i="26"/>
  <c r="AD224" i="26"/>
  <c r="AD230" i="26"/>
  <c r="AD231" i="26"/>
  <c r="AD232" i="26"/>
  <c r="AD241" i="26"/>
  <c r="AD242" i="26"/>
  <c r="AD247" i="26"/>
  <c r="AD248" i="26"/>
  <c r="AD249" i="26"/>
  <c r="AD250" i="26"/>
  <c r="AD251" i="26"/>
  <c r="AD252" i="26"/>
  <c r="AD253" i="26"/>
  <c r="AD254" i="26"/>
  <c r="AD255" i="26"/>
  <c r="AD256" i="26"/>
  <c r="AD257" i="26"/>
  <c r="AD258" i="26"/>
  <c r="AD259" i="26"/>
  <c r="AD260" i="26"/>
  <c r="AD261" i="26"/>
  <c r="AD262" i="26"/>
  <c r="AD263" i="26"/>
  <c r="AD264" i="26"/>
  <c r="AD272" i="26"/>
  <c r="AD273" i="26"/>
  <c r="AD279" i="26"/>
  <c r="AD280" i="26"/>
  <c r="AD281" i="26"/>
  <c r="AD287" i="26"/>
  <c r="AD288" i="26"/>
  <c r="AD289" i="26"/>
  <c r="AD290" i="26"/>
  <c r="AD291" i="26"/>
  <c r="AD296" i="26"/>
  <c r="AD297" i="26"/>
  <c r="AD298" i="26"/>
  <c r="AD299" i="26"/>
  <c r="AD307" i="26"/>
  <c r="AD308" i="26"/>
  <c r="AD309" i="26"/>
  <c r="AD318" i="26"/>
  <c r="AD319" i="26"/>
  <c r="AD320" i="26"/>
  <c r="AD321" i="26"/>
  <c r="AD330" i="26"/>
  <c r="AD331" i="26"/>
  <c r="AD339" i="26"/>
  <c r="AD340" i="26"/>
  <c r="AD341" i="26"/>
  <c r="AD342" i="26"/>
  <c r="AD343" i="26"/>
  <c r="AD344" i="26"/>
  <c r="AD345" i="26"/>
  <c r="AD346" i="26"/>
  <c r="AD347" i="26"/>
  <c r="AD348" i="26"/>
  <c r="AD349" i="26"/>
  <c r="AD350" i="26"/>
  <c r="AD355" i="26"/>
  <c r="AD356" i="26"/>
  <c r="AD357" i="26"/>
  <c r="AD358" i="26"/>
  <c r="AD359" i="26"/>
  <c r="AD360" i="26"/>
  <c r="AD366" i="26"/>
  <c r="AD367" i="26"/>
  <c r="AD368" i="26"/>
  <c r="AD369" i="26"/>
  <c r="AD370" i="26"/>
  <c r="AD371" i="26"/>
  <c r="AD372" i="26"/>
  <c r="AD373" i="26"/>
  <c r="AD374" i="26"/>
  <c r="AD375" i="26"/>
  <c r="AD376" i="26"/>
  <c r="AD377" i="26"/>
  <c r="AD378" i="26"/>
  <c r="AD383" i="26"/>
  <c r="AD384" i="26"/>
  <c r="AD385" i="26"/>
  <c r="AD386" i="26"/>
  <c r="AD387" i="26"/>
  <c r="AD388" i="26"/>
  <c r="AD389" i="26"/>
  <c r="AD395" i="26"/>
  <c r="AD396" i="26"/>
  <c r="AD397" i="26"/>
  <c r="AD398" i="26"/>
  <c r="AD399" i="26"/>
  <c r="AD400" i="26"/>
  <c r="AD401" i="26"/>
  <c r="AD402" i="26"/>
  <c r="AD403" i="26"/>
  <c r="AD404" i="26"/>
  <c r="AD405" i="26"/>
  <c r="AD410" i="26"/>
  <c r="AD411" i="26"/>
  <c r="AD412" i="26"/>
  <c r="AD413" i="26"/>
  <c r="AD414" i="26"/>
  <c r="AD415" i="26"/>
  <c r="AD420" i="26"/>
  <c r="AD421" i="26"/>
  <c r="AD422" i="26"/>
  <c r="AD427" i="26"/>
  <c r="AD428" i="26"/>
  <c r="AD429" i="26"/>
  <c r="AD430" i="26"/>
  <c r="AD431" i="26"/>
  <c r="AD432" i="26"/>
  <c r="AD433" i="26"/>
  <c r="AD438" i="26"/>
  <c r="AD439" i="26"/>
  <c r="AD440" i="26"/>
  <c r="AD441" i="26"/>
  <c r="AD442" i="26"/>
  <c r="AD465" i="26"/>
  <c r="AD466" i="26"/>
  <c r="AD467" i="26"/>
  <c r="AD468" i="26"/>
  <c r="AD469" i="26"/>
  <c r="AD470" i="26"/>
  <c r="AD471" i="26"/>
  <c r="AD472" i="26"/>
  <c r="AD473" i="26"/>
  <c r="AD474" i="26"/>
  <c r="AD475" i="26"/>
  <c r="AD480" i="26"/>
  <c r="AD481" i="26"/>
  <c r="AD482" i="26"/>
  <c r="AD483" i="26"/>
  <c r="AD484" i="26"/>
  <c r="AD491" i="26"/>
  <c r="AD492" i="26"/>
  <c r="AD493" i="26"/>
  <c r="AD494" i="26"/>
  <c r="AD504" i="26"/>
  <c r="AD505" i="26"/>
  <c r="AD506" i="26"/>
  <c r="AD507" i="26"/>
  <c r="AD518" i="26"/>
  <c r="AD519" i="26"/>
  <c r="AD520" i="26"/>
  <c r="AD521" i="26"/>
  <c r="AD522" i="26"/>
  <c r="AD523" i="26"/>
  <c r="AD524" i="26"/>
  <c r="AD525" i="26"/>
  <c r="AD526" i="26"/>
  <c r="AD527" i="26"/>
  <c r="AD528" i="26"/>
  <c r="AD529" i="26"/>
  <c r="AD530" i="26"/>
  <c r="AD531" i="26"/>
  <c r="AD532" i="26"/>
  <c r="AD533" i="26"/>
  <c r="AD534" i="26"/>
  <c r="AD535" i="26"/>
  <c r="AD536" i="26"/>
  <c r="AD537" i="26"/>
  <c r="AD538" i="26"/>
  <c r="AD545" i="26"/>
  <c r="AD546" i="26"/>
  <c r="AD547" i="26"/>
  <c r="AD549" i="26"/>
  <c r="AD550" i="26"/>
  <c r="AD551" i="26"/>
  <c r="AD552" i="26"/>
  <c r="AD553" i="26"/>
  <c r="AD559" i="26"/>
  <c r="AD560" i="26"/>
  <c r="AD561" i="26"/>
  <c r="AD562" i="26"/>
  <c r="AD563" i="26"/>
  <c r="AD564" i="26"/>
  <c r="AD565" i="26"/>
  <c r="AD566" i="26"/>
  <c r="AD582" i="26"/>
  <c r="AD583" i="26"/>
  <c r="AD584" i="26"/>
  <c r="AD585" i="26"/>
  <c r="AD586" i="26"/>
  <c r="AD592" i="26"/>
  <c r="AD593" i="26"/>
  <c r="AD596" i="26"/>
  <c r="AD597" i="26"/>
  <c r="AD598" i="26"/>
  <c r="AD599" i="26"/>
  <c r="AD600" i="26"/>
  <c r="AD604" i="26"/>
  <c r="AD605" i="26"/>
  <c r="AD606" i="26"/>
  <c r="AD611" i="26"/>
  <c r="AD612" i="26"/>
  <c r="AD613" i="26"/>
  <c r="AD614" i="26"/>
  <c r="AD615" i="26"/>
  <c r="AD616" i="26"/>
  <c r="AD617" i="26"/>
  <c r="AD618" i="26"/>
  <c r="AD619" i="26"/>
  <c r="AD624" i="26"/>
  <c r="AD625" i="26"/>
  <c r="AD626" i="26"/>
  <c r="AD627" i="26"/>
  <c r="AD628" i="26"/>
  <c r="AD629" i="26"/>
  <c r="AD630" i="26"/>
  <c r="AD631" i="26"/>
  <c r="AD632" i="26"/>
  <c r="AD633" i="26"/>
  <c r="AD634" i="26"/>
  <c r="AD635" i="26"/>
  <c r="AD636" i="26"/>
  <c r="AD637" i="26"/>
  <c r="AD646" i="26"/>
  <c r="AD647" i="26"/>
  <c r="AD648" i="26"/>
  <c r="AD649" i="26"/>
  <c r="AD650" i="26"/>
  <c r="AD651" i="26"/>
  <c r="AD652" i="26"/>
  <c r="AD653" i="26"/>
  <c r="AD654" i="26"/>
  <c r="AD668" i="26"/>
  <c r="AD669" i="26"/>
  <c r="AD670" i="26"/>
  <c r="AD671" i="26"/>
  <c r="AD672" i="26"/>
  <c r="AD673" i="26"/>
  <c r="AD674" i="26"/>
  <c r="AD675" i="26"/>
  <c r="AD676" i="26"/>
  <c r="AD677" i="26"/>
  <c r="AD678" i="26"/>
  <c r="AD679" i="26"/>
  <c r="AD684" i="26"/>
  <c r="AD685" i="26"/>
  <c r="AD686" i="26"/>
  <c r="AD687" i="26"/>
  <c r="AD688" i="26"/>
  <c r="AD689" i="26"/>
  <c r="AD690" i="26"/>
  <c r="AD691" i="26"/>
  <c r="AD692" i="26"/>
  <c r="AD693" i="26"/>
  <c r="AD694" i="26"/>
  <c r="AD695" i="26"/>
  <c r="AD696" i="26"/>
  <c r="AD697" i="26"/>
  <c r="AD698" i="26"/>
  <c r="AD703" i="26"/>
  <c r="AD704" i="26"/>
  <c r="AD705" i="26"/>
  <c r="AD706" i="26"/>
  <c r="AD707" i="26"/>
  <c r="AD708" i="26"/>
  <c r="AD709" i="26"/>
  <c r="AD710" i="26"/>
  <c r="AD711" i="26"/>
  <c r="AD712" i="26"/>
  <c r="AD713" i="26"/>
  <c r="AD714" i="26"/>
  <c r="AD715" i="26"/>
  <c r="AD716" i="26"/>
  <c r="AD717" i="26"/>
  <c r="AD718" i="26"/>
  <c r="AD719" i="26"/>
  <c r="AD720" i="26"/>
  <c r="AD721" i="26"/>
  <c r="AD722" i="26"/>
  <c r="AD723" i="26"/>
  <c r="AD724" i="26"/>
  <c r="AD725" i="26"/>
  <c r="AD726" i="26"/>
  <c r="AD727" i="26"/>
  <c r="AD728" i="26"/>
  <c r="AD729" i="26"/>
  <c r="AD730" i="26"/>
  <c r="AD731" i="26"/>
  <c r="AD732" i="26"/>
  <c r="AD733" i="26"/>
  <c r="AD734" i="26"/>
  <c r="AD735" i="26"/>
  <c r="AD736" i="26"/>
  <c r="AD737" i="26"/>
  <c r="AD738" i="26"/>
  <c r="AD743" i="26"/>
  <c r="AD744" i="26"/>
  <c r="AD745" i="26"/>
  <c r="AD746" i="26"/>
  <c r="AD759" i="26"/>
  <c r="AD760" i="26"/>
  <c r="AD761" i="26"/>
  <c r="AD762" i="26"/>
  <c r="AD771" i="26"/>
  <c r="AD772" i="26"/>
  <c r="AD773" i="26"/>
  <c r="AD774" i="26"/>
  <c r="AD775" i="26"/>
  <c r="AD776" i="26"/>
  <c r="AD777" i="26"/>
  <c r="AD778" i="26"/>
  <c r="AD787" i="26"/>
  <c r="AD788" i="26"/>
  <c r="AD789" i="26"/>
  <c r="AD790" i="26"/>
  <c r="AD797" i="26"/>
  <c r="AD798" i="26"/>
  <c r="AD799" i="26"/>
  <c r="AD800" i="26"/>
  <c r="AD801" i="26"/>
  <c r="AD802" i="26"/>
  <c r="AD803" i="26"/>
  <c r="AD804" i="26"/>
  <c r="AD805" i="26"/>
  <c r="AD814" i="26"/>
  <c r="AD815" i="26"/>
  <c r="AD816" i="26"/>
  <c r="AD817" i="26"/>
  <c r="AD818" i="26"/>
  <c r="AD821" i="26"/>
  <c r="AD822" i="26"/>
  <c r="AD823" i="26"/>
  <c r="AD829" i="26"/>
  <c r="AD830" i="26"/>
  <c r="AD834" i="26"/>
  <c r="AD835" i="26"/>
  <c r="AD841" i="26"/>
  <c r="AD842" i="26"/>
  <c r="AD843" i="26"/>
  <c r="AD844" i="26"/>
  <c r="AD855" i="26"/>
  <c r="AD856" i="26"/>
  <c r="AD862" i="26"/>
  <c r="AD863" i="26"/>
  <c r="AD865" i="26"/>
  <c r="AD866" i="26"/>
  <c r="AD867" i="26"/>
  <c r="AD868" i="26"/>
  <c r="AD869" i="26"/>
  <c r="AD870" i="26"/>
  <c r="AD871" i="26"/>
  <c r="AD877" i="26"/>
  <c r="AD878" i="26"/>
  <c r="AD879" i="26"/>
  <c r="AD880" i="26"/>
  <c r="AD881" i="26"/>
  <c r="AD887" i="26"/>
  <c r="AD888" i="26"/>
  <c r="AD889" i="26"/>
  <c r="AD896" i="26"/>
  <c r="AD897" i="26"/>
  <c r="AD898" i="26"/>
  <c r="AD899" i="26"/>
  <c r="AD900" i="26"/>
  <c r="AD901" i="26"/>
  <c r="AD902" i="26"/>
  <c r="AD903" i="26"/>
  <c r="AD904" i="26"/>
  <c r="AD920" i="26"/>
  <c r="AD921" i="26"/>
  <c r="AD922" i="26"/>
  <c r="AD923" i="26"/>
  <c r="AD924" i="26"/>
  <c r="AD925" i="26"/>
  <c r="AD926" i="26"/>
  <c r="AD927" i="26"/>
  <c r="AD928" i="26"/>
  <c r="AD929" i="26"/>
  <c r="AD930" i="26"/>
  <c r="AD931" i="26"/>
  <c r="AD932" i="26"/>
  <c r="AD933" i="26"/>
  <c r="AD934" i="26"/>
  <c r="AD935" i="26"/>
  <c r="AD936" i="26"/>
  <c r="AD958" i="26"/>
  <c r="AD959" i="26"/>
  <c r="AD960" i="26"/>
  <c r="AD961" i="26"/>
  <c r="AD962" i="26"/>
  <c r="AD963" i="26"/>
  <c r="AD964" i="26"/>
  <c r="AD965" i="26"/>
  <c r="AD966" i="26"/>
  <c r="AD967" i="26"/>
  <c r="AD970" i="26"/>
  <c r="AD971" i="26"/>
  <c r="AD978" i="26"/>
  <c r="AD979" i="26"/>
  <c r="AD980" i="26"/>
  <c r="AD985" i="26"/>
  <c r="AD986" i="26"/>
  <c r="AD987" i="26"/>
  <c r="AD988" i="26"/>
  <c r="AD989" i="26"/>
  <c r="AD990" i="26"/>
  <c r="AD991" i="26"/>
  <c r="AD992" i="26"/>
  <c r="AD993" i="26"/>
  <c r="AD994" i="26"/>
  <c r="AD995" i="26"/>
  <c r="AD996" i="26"/>
  <c r="AD997" i="26"/>
  <c r="AD998" i="26"/>
  <c r="AD1006" i="26"/>
  <c r="AD1007" i="26"/>
  <c r="AD1008" i="26"/>
  <c r="AD1009" i="26"/>
  <c r="AD1010" i="26"/>
  <c r="AD1014" i="26"/>
  <c r="AD1015" i="26"/>
  <c r="AD1016" i="26"/>
  <c r="AD1017" i="26"/>
  <c r="AD1018" i="26"/>
  <c r="AD1028" i="26"/>
  <c r="AD1029" i="26"/>
  <c r="AD1030" i="26"/>
  <c r="AD1031" i="26"/>
  <c r="AD1032" i="26"/>
  <c r="AD1037" i="26"/>
  <c r="AD1038" i="26"/>
  <c r="AD1039" i="26"/>
  <c r="AD1040" i="26"/>
  <c r="AD1041" i="26"/>
  <c r="AD1042" i="26"/>
  <c r="AD1043" i="26"/>
  <c r="AD1044" i="26"/>
  <c r="AD1045" i="26"/>
  <c r="AD1046" i="26"/>
  <c r="AD1047" i="26"/>
  <c r="AD1048" i="26"/>
  <c r="AD1049" i="26"/>
  <c r="AD1050" i="26"/>
  <c r="AD1051" i="26"/>
  <c r="AD1052" i="26"/>
  <c r="AD1053" i="26"/>
  <c r="AD1054" i="26"/>
  <c r="AD1055" i="26"/>
  <c r="AD1059" i="26"/>
  <c r="AD1060" i="26"/>
  <c r="AD1066" i="26"/>
  <c r="AD1067" i="26"/>
  <c r="AD1068" i="26"/>
  <c r="AD1069" i="26"/>
  <c r="AD1070" i="26"/>
  <c r="AD1071" i="26"/>
  <c r="AD1072" i="26"/>
  <c r="AD1073" i="26"/>
  <c r="AD1074" i="26"/>
  <c r="AD1075" i="26"/>
  <c r="AD1076" i="26"/>
  <c r="AD1077" i="26"/>
  <c r="AD1078" i="26"/>
  <c r="AD1079" i="26"/>
  <c r="AD1080" i="26"/>
  <c r="AD1081" i="26"/>
  <c r="AD1082" i="26"/>
  <c r="AD1087" i="26"/>
  <c r="AD1088" i="26"/>
  <c r="AD1089" i="26"/>
  <c r="AD1090" i="26"/>
  <c r="AD1091" i="26"/>
  <c r="AD1096" i="26"/>
  <c r="AD1097" i="26"/>
  <c r="AD1098" i="26"/>
  <c r="AD1099" i="26"/>
  <c r="AD1100" i="26"/>
  <c r="AD1101" i="26"/>
  <c r="AD1111" i="26"/>
  <c r="AD1112" i="26"/>
  <c r="AD1121" i="26"/>
  <c r="AD1122" i="26"/>
  <c r="AD1131" i="26"/>
  <c r="AD1132" i="26"/>
  <c r="AD1133" i="26"/>
  <c r="AD1134" i="26"/>
  <c r="AD1135" i="26"/>
  <c r="AD1136" i="26"/>
  <c r="AD1137" i="26"/>
  <c r="AD1147" i="26"/>
  <c r="AD1148" i="26"/>
  <c r="AD1149" i="26"/>
  <c r="AD1150" i="26"/>
  <c r="AD1151" i="26"/>
  <c r="AD1154" i="26"/>
  <c r="AD1155" i="26"/>
  <c r="AD1156" i="26"/>
  <c r="AD1157" i="26"/>
  <c r="AD1169" i="26"/>
  <c r="AD1170" i="26"/>
  <c r="AD1171" i="26"/>
  <c r="AD1176" i="26"/>
  <c r="AD1177" i="26"/>
  <c r="AD1182" i="26"/>
  <c r="AD1183" i="26"/>
  <c r="AD1184" i="26"/>
  <c r="AD1185" i="26"/>
  <c r="AD1186" i="26"/>
  <c r="AD1187" i="26"/>
  <c r="AD1188" i="26"/>
  <c r="AD1194" i="26"/>
  <c r="AD1195" i="26"/>
  <c r="AD1196" i="26"/>
  <c r="AD1206" i="26"/>
  <c r="AD1207" i="26"/>
  <c r="AD1208" i="26"/>
  <c r="AD1209" i="26"/>
  <c r="AD1210" i="26"/>
  <c r="AD1216" i="26"/>
  <c r="AD1217" i="26"/>
  <c r="AD1218" i="26"/>
  <c r="AD1219" i="26"/>
  <c r="AD1220" i="26"/>
  <c r="AD1221" i="26"/>
  <c r="AD1222" i="26"/>
  <c r="AD1223" i="26"/>
  <c r="AD1224" i="26"/>
  <c r="AD1242" i="26"/>
  <c r="AD1243" i="26"/>
  <c r="AD1244" i="26"/>
  <c r="AD1249" i="26"/>
  <c r="AD1250" i="26"/>
  <c r="AD1251" i="26"/>
  <c r="AD1252" i="26"/>
  <c r="AD1253" i="26"/>
  <c r="AD1254" i="26"/>
  <c r="AD1255" i="26"/>
  <c r="AD1256" i="26"/>
  <c r="AD1257" i="26"/>
  <c r="AD1258" i="26"/>
  <c r="AD1259" i="26"/>
  <c r="AD1260" i="26"/>
  <c r="AD1263" i="26"/>
  <c r="AD1264" i="26"/>
  <c r="AD1270" i="26"/>
  <c r="AD1271" i="26"/>
  <c r="AD1272" i="26"/>
  <c r="AD1273" i="26"/>
  <c r="AD1274" i="26"/>
  <c r="AD1275" i="26"/>
  <c r="AD1276" i="26"/>
  <c r="AD1277" i="26"/>
  <c r="AD1278" i="26"/>
  <c r="AD1279" i="26"/>
  <c r="AD1280" i="26"/>
  <c r="AD1281" i="26"/>
  <c r="AD1282" i="26"/>
  <c r="AD1283" i="26"/>
  <c r="AD1284" i="26"/>
  <c r="AD1285" i="26"/>
  <c r="AD1286" i="26"/>
  <c r="AD1287" i="26"/>
  <c r="AD1297" i="26"/>
  <c r="AD1298" i="26"/>
  <c r="AD1299" i="26"/>
  <c r="AD1303" i="26"/>
  <c r="AD1304" i="26"/>
  <c r="AD1305" i="26"/>
  <c r="AD1306" i="26"/>
  <c r="AD1307" i="26"/>
  <c r="AD1308" i="26"/>
  <c r="AD1309" i="26"/>
  <c r="AD1310" i="26"/>
  <c r="AD1311" i="26"/>
  <c r="AD1312" i="26"/>
  <c r="AD1320" i="26"/>
  <c r="AD1321" i="26"/>
  <c r="AD1322" i="26"/>
  <c r="AD1323" i="26"/>
  <c r="AD1324" i="26"/>
  <c r="AD1325" i="26"/>
  <c r="AD1326" i="26"/>
  <c r="AD1327" i="26"/>
  <c r="AD1328" i="26"/>
  <c r="AD1329" i="26"/>
  <c r="AD1336" i="26"/>
  <c r="AD1337" i="26"/>
  <c r="AD1343" i="26"/>
  <c r="AD1344" i="26"/>
  <c r="AD1345" i="26"/>
  <c r="AD1346" i="26"/>
  <c r="AD1358" i="26"/>
  <c r="AD1359" i="26"/>
  <c r="AD1360" i="26"/>
  <c r="AD1361" i="26"/>
  <c r="AD1362" i="26"/>
  <c r="AD1363" i="26"/>
  <c r="AD1364" i="26"/>
  <c r="AD1365" i="26"/>
  <c r="AD1366" i="26"/>
  <c r="AD1371" i="26"/>
  <c r="AD1372" i="26"/>
  <c r="AD1373" i="26"/>
  <c r="AD1374" i="26"/>
  <c r="AD1375" i="26"/>
  <c r="AD1376" i="26"/>
  <c r="AD1377" i="26"/>
  <c r="AD1378" i="26"/>
  <c r="AD1390" i="26"/>
  <c r="AD1391" i="26"/>
  <c r="AD1396" i="26"/>
  <c r="AD1397" i="26"/>
  <c r="AD1398" i="26"/>
  <c r="AD1399" i="26"/>
  <c r="AD1400" i="26"/>
  <c r="AD1401" i="26"/>
  <c r="AD1402" i="26"/>
  <c r="AD1409" i="26"/>
  <c r="AD1410" i="26"/>
  <c r="AD1415" i="26"/>
  <c r="AD1416" i="26"/>
  <c r="AD1418" i="26"/>
  <c r="AD1420" i="26"/>
  <c r="AD1421" i="26"/>
  <c r="AD1422" i="26"/>
  <c r="AD1423" i="26"/>
  <c r="AD1424" i="26"/>
  <c r="AD1425" i="26"/>
  <c r="AD1426" i="26"/>
  <c r="AD1427" i="26"/>
  <c r="AD1428" i="26"/>
  <c r="AD1439" i="26"/>
  <c r="AD1440" i="26"/>
  <c r="AD1441" i="26"/>
  <c r="AD1442" i="26"/>
  <c r="AD1443" i="26"/>
  <c r="AD1444" i="26"/>
  <c r="AD1448" i="26"/>
  <c r="AD1449" i="26"/>
  <c r="AD1450" i="26"/>
  <c r="AD1470" i="26"/>
  <c r="AD1471" i="26"/>
  <c r="AD1472" i="26"/>
  <c r="AD1473" i="26"/>
  <c r="AD1474" i="26"/>
  <c r="AD1475" i="26"/>
  <c r="AD1476" i="26"/>
  <c r="AD1477" i="26"/>
  <c r="AD1478" i="26"/>
  <c r="AD1479" i="26"/>
  <c r="AD1480" i="26"/>
  <c r="AD1481" i="26"/>
  <c r="AD1482" i="26"/>
  <c r="AD1483" i="26"/>
  <c r="AD1493" i="26"/>
  <c r="AD1494" i="26"/>
  <c r="AD1495" i="26"/>
  <c r="AD1496" i="26"/>
  <c r="AD1497" i="26"/>
  <c r="AD1502" i="26"/>
  <c r="AD1503" i="26"/>
  <c r="AD1504" i="26"/>
  <c r="AD1505" i="26"/>
  <c r="AD1520" i="26"/>
  <c r="AD1521" i="26"/>
  <c r="AD1522" i="26"/>
  <c r="AD1523" i="26"/>
  <c r="AD1524" i="26"/>
  <c r="AD1525" i="26"/>
  <c r="AD1526" i="26"/>
  <c r="AD1527" i="26"/>
  <c r="AD1528" i="26"/>
  <c r="AD1529" i="26"/>
  <c r="AD1530" i="26"/>
  <c r="AD1531" i="26"/>
  <c r="AD1532" i="26"/>
  <c r="AD1533" i="26"/>
  <c r="AD1534" i="26"/>
  <c r="AD1535" i="26"/>
  <c r="AD1536" i="26"/>
  <c r="AD1537" i="26"/>
  <c r="AD1538" i="26"/>
  <c r="AD1539" i="26"/>
  <c r="AD1540" i="26"/>
  <c r="AD1541" i="26"/>
  <c r="AD1542" i="26"/>
  <c r="AD1543" i="26"/>
  <c r="AD1544" i="26"/>
  <c r="AD1545" i="26"/>
  <c r="AD1549" i="26"/>
  <c r="AD1550" i="26"/>
  <c r="AD1551" i="26"/>
  <c r="AD1552" i="26"/>
  <c r="AD1553" i="26"/>
  <c r="AD1554" i="26"/>
  <c r="AD1558" i="26"/>
  <c r="AD1559" i="26"/>
  <c r="AD1560" i="26"/>
  <c r="AD1561" i="26"/>
  <c r="AD1562" i="26"/>
  <c r="AD1563" i="26"/>
  <c r="AD1564" i="26"/>
  <c r="AD1565" i="26"/>
  <c r="AD1566" i="26"/>
  <c r="AD1567" i="26"/>
  <c r="AD1568" i="26"/>
  <c r="AD1569" i="26"/>
  <c r="AD1570" i="26"/>
  <c r="AD1575" i="26"/>
  <c r="AD1576" i="26"/>
  <c r="AD1588" i="26"/>
  <c r="AD1589" i="26"/>
  <c r="AD1590" i="26"/>
  <c r="AD1594" i="26"/>
  <c r="AD1595" i="26"/>
  <c r="AD1596" i="26"/>
  <c r="AD1597" i="26"/>
  <c r="AD1598" i="26"/>
  <c r="AD1599" i="26"/>
  <c r="AD1606" i="26"/>
  <c r="AD1607" i="26"/>
  <c r="AD1608" i="26"/>
  <c r="AD1609" i="26"/>
  <c r="AD1610" i="26"/>
  <c r="AD1620" i="26"/>
  <c r="AD1621" i="26"/>
  <c r="AD1622" i="26"/>
  <c r="AD1623" i="26"/>
  <c r="AD1624" i="26"/>
  <c r="AD1625" i="26"/>
  <c r="AD1626" i="26"/>
  <c r="AD1633" i="26"/>
  <c r="AD1634" i="26"/>
  <c r="AD1635" i="26"/>
  <c r="AD1636" i="26"/>
  <c r="AD1637" i="26"/>
  <c r="AD1638" i="26"/>
  <c r="AD1639" i="26"/>
  <c r="AD1640" i="26"/>
  <c r="AD1650" i="26"/>
  <c r="AD1651" i="26"/>
  <c r="AD1652" i="26"/>
  <c r="AD1653" i="26"/>
  <c r="AD1658" i="26"/>
  <c r="AD1659" i="26"/>
  <c r="AD1660" i="26"/>
  <c r="AD1661" i="26"/>
  <c r="AD1674" i="26"/>
  <c r="AD1675" i="26"/>
  <c r="AD1676" i="26"/>
  <c r="AD1677" i="26"/>
  <c r="AD1685" i="26"/>
  <c r="AD1686" i="26"/>
  <c r="AD1687" i="26"/>
  <c r="AD1688" i="26"/>
  <c r="AD1689" i="26"/>
  <c r="AD1690" i="26"/>
  <c r="AD1695" i="26"/>
  <c r="AD1696" i="26"/>
  <c r="AD1697" i="26"/>
  <c r="AD1698" i="26"/>
  <c r="AD1699" i="26"/>
  <c r="AD1700" i="26"/>
  <c r="AD1701" i="26"/>
  <c r="AD1702" i="26"/>
  <c r="AD1703" i="26"/>
  <c r="AD1710" i="26"/>
  <c r="AD1711" i="26"/>
  <c r="AD1712" i="26"/>
  <c r="AD1713" i="26"/>
  <c r="AD1714" i="26"/>
  <c r="AD1715" i="26"/>
  <c r="AD1716" i="26"/>
  <c r="AD1717" i="26"/>
  <c r="AD1718" i="26"/>
  <c r="AD1719" i="26"/>
  <c r="AD1720" i="26"/>
  <c r="AD1721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25" i="26"/>
  <c r="AE26" i="26"/>
  <c r="AE27" i="26"/>
  <c r="AE37" i="26"/>
  <c r="AE38" i="26"/>
  <c r="AE39" i="26"/>
  <c r="AE40" i="26"/>
  <c r="AE41" i="26"/>
  <c r="AE47" i="26"/>
  <c r="AE48" i="26"/>
  <c r="AE49" i="26"/>
  <c r="AE50" i="26"/>
  <c r="AE51" i="26"/>
  <c r="AE52" i="26"/>
  <c r="AE53" i="26"/>
  <c r="AE54" i="26"/>
  <c r="AE64" i="26"/>
  <c r="AE65" i="26"/>
  <c r="AE66" i="26"/>
  <c r="AE67" i="26"/>
  <c r="AE68" i="26"/>
  <c r="AE73" i="26"/>
  <c r="AE74" i="26"/>
  <c r="AE75" i="26"/>
  <c r="AE76" i="26"/>
  <c r="AE77" i="26"/>
  <c r="AE78" i="26"/>
  <c r="AE79" i="26"/>
  <c r="AE80" i="26"/>
  <c r="AE85" i="26"/>
  <c r="AE86" i="26"/>
  <c r="AE87" i="26"/>
  <c r="AE88" i="26"/>
  <c r="AE93" i="26"/>
  <c r="AE94" i="26"/>
  <c r="AE95" i="26"/>
  <c r="AE96" i="26"/>
  <c r="AE97" i="26"/>
  <c r="AE98" i="26"/>
  <c r="AE99" i="26"/>
  <c r="AE100" i="26"/>
  <c r="AE101" i="26"/>
  <c r="AE102" i="26"/>
  <c r="AE103" i="26"/>
  <c r="AE104" i="26"/>
  <c r="AE109" i="26"/>
  <c r="AE110" i="26"/>
  <c r="AE111" i="26"/>
  <c r="AE112" i="26"/>
  <c r="AE113" i="26"/>
  <c r="AE114" i="26"/>
  <c r="AE115" i="26"/>
  <c r="AE116" i="26"/>
  <c r="AE117" i="26"/>
  <c r="AE118" i="26"/>
  <c r="AE119" i="26"/>
  <c r="AE124" i="26"/>
  <c r="AE125" i="26"/>
  <c r="AE129" i="26"/>
  <c r="AE130" i="26"/>
  <c r="AE131" i="26"/>
  <c r="AE132" i="26"/>
  <c r="AE133" i="26"/>
  <c r="AE134" i="26"/>
  <c r="AE135" i="26"/>
  <c r="AE136" i="26"/>
  <c r="AE137" i="26"/>
  <c r="AE138" i="26"/>
  <c r="AE139" i="26"/>
  <c r="AE144" i="26"/>
  <c r="AE145" i="26"/>
  <c r="AE146" i="26"/>
  <c r="AE147" i="26"/>
  <c r="AE148" i="26"/>
  <c r="AE149" i="26"/>
  <c r="AE150" i="26"/>
  <c r="AE151" i="26"/>
  <c r="AE152" i="26"/>
  <c r="AE167" i="26"/>
  <c r="AE168" i="26"/>
  <c r="AE169" i="26"/>
  <c r="AE170" i="26"/>
  <c r="AE171" i="26"/>
  <c r="AE172" i="26"/>
  <c r="AE177" i="26"/>
  <c r="AE178" i="26"/>
  <c r="AE179" i="26"/>
  <c r="AE184" i="26"/>
  <c r="AE185" i="26"/>
  <c r="AE195" i="26"/>
  <c r="AE196" i="26"/>
  <c r="AE201" i="26"/>
  <c r="AE202" i="26"/>
  <c r="AE203" i="26"/>
  <c r="AE204" i="26"/>
  <c r="AE205" i="26"/>
  <c r="AE210" i="26"/>
  <c r="AE211" i="26"/>
  <c r="AE212" i="26"/>
  <c r="AE213" i="26"/>
  <c r="AE214" i="26"/>
  <c r="AE220" i="26"/>
  <c r="AE221" i="26"/>
  <c r="AE222" i="26"/>
  <c r="AE223" i="26"/>
  <c r="AE224" i="26"/>
  <c r="AE230" i="26"/>
  <c r="AE231" i="26"/>
  <c r="AE232" i="26"/>
  <c r="AE241" i="26"/>
  <c r="AE242" i="26"/>
  <c r="AE247" i="26"/>
  <c r="AE248" i="26"/>
  <c r="AE249" i="26"/>
  <c r="AE250" i="26"/>
  <c r="AE251" i="26"/>
  <c r="AE252" i="26"/>
  <c r="AE253" i="26"/>
  <c r="AE254" i="26"/>
  <c r="AE255" i="26"/>
  <c r="AE256" i="26"/>
  <c r="AE257" i="26"/>
  <c r="AE258" i="26"/>
  <c r="AE259" i="26"/>
  <c r="AE260" i="26"/>
  <c r="AE261" i="26"/>
  <c r="AE262" i="26"/>
  <c r="AE263" i="26"/>
  <c r="AE264" i="26"/>
  <c r="AE272" i="26"/>
  <c r="AE273" i="26"/>
  <c r="AE279" i="26"/>
  <c r="AE280" i="26"/>
  <c r="AE281" i="26"/>
  <c r="AE287" i="26"/>
  <c r="AE288" i="26"/>
  <c r="AE289" i="26"/>
  <c r="AE290" i="26"/>
  <c r="AE291" i="26"/>
  <c r="AE296" i="26"/>
  <c r="AE297" i="26"/>
  <c r="AE298" i="26"/>
  <c r="AE299" i="26"/>
  <c r="AE307" i="26"/>
  <c r="AE308" i="26"/>
  <c r="AE309" i="26"/>
  <c r="AE318" i="26"/>
  <c r="AE319" i="26"/>
  <c r="AE320" i="26"/>
  <c r="AE321" i="26"/>
  <c r="AE330" i="26"/>
  <c r="AE331" i="26"/>
  <c r="AE339" i="26"/>
  <c r="AE340" i="26"/>
  <c r="AE341" i="26"/>
  <c r="AE342" i="26"/>
  <c r="AE343" i="26"/>
  <c r="AE344" i="26"/>
  <c r="AE345" i="26"/>
  <c r="AE346" i="26"/>
  <c r="AE347" i="26"/>
  <c r="AE348" i="26"/>
  <c r="AE349" i="26"/>
  <c r="AE350" i="26"/>
  <c r="AE355" i="26"/>
  <c r="AE356" i="26"/>
  <c r="AE357" i="26"/>
  <c r="AE358" i="26"/>
  <c r="AE359" i="26"/>
  <c r="AE360" i="26"/>
  <c r="AE366" i="26"/>
  <c r="AE367" i="26"/>
  <c r="AE368" i="26"/>
  <c r="AE369" i="26"/>
  <c r="AE370" i="26"/>
  <c r="AE371" i="26"/>
  <c r="AE372" i="26"/>
  <c r="AE373" i="26"/>
  <c r="AE374" i="26"/>
  <c r="AE375" i="26"/>
  <c r="AE376" i="26"/>
  <c r="AE377" i="26"/>
  <c r="AE378" i="26"/>
  <c r="AE383" i="26"/>
  <c r="AE384" i="26"/>
  <c r="AE385" i="26"/>
  <c r="AE386" i="26"/>
  <c r="AE387" i="26"/>
  <c r="AE388" i="26"/>
  <c r="AE389" i="26"/>
  <c r="AE395" i="26"/>
  <c r="AE396" i="26"/>
  <c r="AE397" i="26"/>
  <c r="AE398" i="26"/>
  <c r="AE399" i="26"/>
  <c r="AE400" i="26"/>
  <c r="AE401" i="26"/>
  <c r="AE402" i="26"/>
  <c r="AE403" i="26"/>
  <c r="AE404" i="26"/>
  <c r="AE405" i="26"/>
  <c r="AE410" i="26"/>
  <c r="AE411" i="26"/>
  <c r="AE412" i="26"/>
  <c r="AE413" i="26"/>
  <c r="AE414" i="26"/>
  <c r="AE415" i="26"/>
  <c r="AE420" i="26"/>
  <c r="AE421" i="26"/>
  <c r="AE422" i="26"/>
  <c r="AE427" i="26"/>
  <c r="AE428" i="26"/>
  <c r="AE429" i="26"/>
  <c r="AE430" i="26"/>
  <c r="AE431" i="26"/>
  <c r="AE432" i="26"/>
  <c r="AE433" i="26"/>
  <c r="AE438" i="26"/>
  <c r="AE439" i="26"/>
  <c r="AE440" i="26"/>
  <c r="AE441" i="26"/>
  <c r="AE442" i="26"/>
  <c r="AE465" i="26"/>
  <c r="AE466" i="26"/>
  <c r="AE467" i="26"/>
  <c r="AE468" i="26"/>
  <c r="AE469" i="26"/>
  <c r="AE470" i="26"/>
  <c r="AE471" i="26"/>
  <c r="AE472" i="26"/>
  <c r="AE473" i="26"/>
  <c r="AE474" i="26"/>
  <c r="AE475" i="26"/>
  <c r="AE480" i="26"/>
  <c r="AE481" i="26"/>
  <c r="AE482" i="26"/>
  <c r="AE483" i="26"/>
  <c r="AE484" i="26"/>
  <c r="AE491" i="26"/>
  <c r="AE492" i="26"/>
  <c r="AE493" i="26"/>
  <c r="AE494" i="26"/>
  <c r="AE504" i="26"/>
  <c r="AE505" i="26"/>
  <c r="AE506" i="26"/>
  <c r="AE507" i="26"/>
  <c r="AE518" i="26"/>
  <c r="AE519" i="26"/>
  <c r="AE520" i="26"/>
  <c r="AE521" i="26"/>
  <c r="AE522" i="26"/>
  <c r="AE523" i="26"/>
  <c r="AE524" i="26"/>
  <c r="AE525" i="26"/>
  <c r="AE526" i="26"/>
  <c r="AE527" i="26"/>
  <c r="AE528" i="26"/>
  <c r="AE529" i="26"/>
  <c r="AE530" i="26"/>
  <c r="AE531" i="26"/>
  <c r="AE532" i="26"/>
  <c r="AE533" i="26"/>
  <c r="AE534" i="26"/>
  <c r="AE535" i="26"/>
  <c r="AE536" i="26"/>
  <c r="AE537" i="26"/>
  <c r="AE538" i="26"/>
  <c r="AE545" i="26"/>
  <c r="AE546" i="26"/>
  <c r="AE547" i="26"/>
  <c r="AE549" i="26"/>
  <c r="AE550" i="26"/>
  <c r="AE551" i="26"/>
  <c r="AE552" i="26"/>
  <c r="AE553" i="26"/>
  <c r="AE559" i="26"/>
  <c r="AE560" i="26"/>
  <c r="AE561" i="26"/>
  <c r="AE562" i="26"/>
  <c r="AE563" i="26"/>
  <c r="AE564" i="26"/>
  <c r="AE565" i="26"/>
  <c r="AE566" i="26"/>
  <c r="AE582" i="26"/>
  <c r="AE583" i="26"/>
  <c r="AE584" i="26"/>
  <c r="AE585" i="26"/>
  <c r="AE586" i="26"/>
  <c r="AE592" i="26"/>
  <c r="AE593" i="26"/>
  <c r="AE596" i="26"/>
  <c r="AE597" i="26"/>
  <c r="AE598" i="26"/>
  <c r="AE599" i="26"/>
  <c r="AE600" i="26"/>
  <c r="AE604" i="26"/>
  <c r="AE605" i="26"/>
  <c r="AE606" i="26"/>
  <c r="AE611" i="26"/>
  <c r="AE612" i="26"/>
  <c r="AE613" i="26"/>
  <c r="AE614" i="26"/>
  <c r="AE615" i="26"/>
  <c r="AE616" i="26"/>
  <c r="AE617" i="26"/>
  <c r="AE618" i="26"/>
  <c r="AE619" i="26"/>
  <c r="AE624" i="26"/>
  <c r="AE625" i="26"/>
  <c r="AE626" i="26"/>
  <c r="AE627" i="26"/>
  <c r="AE628" i="26"/>
  <c r="AE629" i="26"/>
  <c r="AE630" i="26"/>
  <c r="AE631" i="26"/>
  <c r="AE632" i="26"/>
  <c r="AE633" i="26"/>
  <c r="AE634" i="26"/>
  <c r="AE635" i="26"/>
  <c r="AE636" i="26"/>
  <c r="AE637" i="26"/>
  <c r="AE646" i="26"/>
  <c r="AE647" i="26"/>
  <c r="AE648" i="26"/>
  <c r="AE649" i="26"/>
  <c r="AE650" i="26"/>
  <c r="AE651" i="26"/>
  <c r="AE652" i="26"/>
  <c r="AE653" i="26"/>
  <c r="AE654" i="26"/>
  <c r="AE668" i="26"/>
  <c r="AE669" i="26"/>
  <c r="AE670" i="26"/>
  <c r="AE671" i="26"/>
  <c r="AE672" i="26"/>
  <c r="AE673" i="26"/>
  <c r="AE674" i="26"/>
  <c r="AE675" i="26"/>
  <c r="AE676" i="26"/>
  <c r="AE677" i="26"/>
  <c r="AE678" i="26"/>
  <c r="AE679" i="26"/>
  <c r="AE684" i="26"/>
  <c r="AE685" i="26"/>
  <c r="AE686" i="26"/>
  <c r="AE687" i="26"/>
  <c r="AE688" i="26"/>
  <c r="AE689" i="26"/>
  <c r="AE690" i="26"/>
  <c r="AE691" i="26"/>
  <c r="AE692" i="26"/>
  <c r="AE693" i="26"/>
  <c r="AE694" i="26"/>
  <c r="AE695" i="26"/>
  <c r="AE696" i="26"/>
  <c r="AE697" i="26"/>
  <c r="AE698" i="26"/>
  <c r="AE703" i="26"/>
  <c r="AE704" i="26"/>
  <c r="AE705" i="26"/>
  <c r="AE706" i="26"/>
  <c r="AE707" i="26"/>
  <c r="AE708" i="26"/>
  <c r="AE709" i="26"/>
  <c r="AE710" i="26"/>
  <c r="AE711" i="26"/>
  <c r="AE712" i="26"/>
  <c r="AE713" i="26"/>
  <c r="AE714" i="26"/>
  <c r="AE715" i="26"/>
  <c r="AE716" i="26"/>
  <c r="AE717" i="26"/>
  <c r="AE718" i="26"/>
  <c r="AE719" i="26"/>
  <c r="AE720" i="26"/>
  <c r="AE721" i="26"/>
  <c r="AE722" i="26"/>
  <c r="AE723" i="26"/>
  <c r="AE724" i="26"/>
  <c r="AE725" i="26"/>
  <c r="AE726" i="26"/>
  <c r="AE727" i="26"/>
  <c r="AE728" i="26"/>
  <c r="AE729" i="26"/>
  <c r="AE730" i="26"/>
  <c r="AE731" i="26"/>
  <c r="AE732" i="26"/>
  <c r="AE733" i="26"/>
  <c r="AE734" i="26"/>
  <c r="AE735" i="26"/>
  <c r="AE736" i="26"/>
  <c r="AE737" i="26"/>
  <c r="AE738" i="26"/>
  <c r="AE743" i="26"/>
  <c r="AE744" i="26"/>
  <c r="AE745" i="26"/>
  <c r="AE746" i="26"/>
  <c r="AE758" i="26"/>
  <c r="AE759" i="26"/>
  <c r="AE760" i="26"/>
  <c r="AE761" i="26"/>
  <c r="AE762" i="26"/>
  <c r="AE771" i="26"/>
  <c r="AE772" i="26"/>
  <c r="AE773" i="26"/>
  <c r="AE774" i="26"/>
  <c r="AE775" i="26"/>
  <c r="AE776" i="26"/>
  <c r="AE777" i="26"/>
  <c r="AE778" i="26"/>
  <c r="AE787" i="26"/>
  <c r="AE788" i="26"/>
  <c r="AE789" i="26"/>
  <c r="AE790" i="26"/>
  <c r="AE797" i="26"/>
  <c r="AE798" i="26"/>
  <c r="AE799" i="26"/>
  <c r="AE800" i="26"/>
  <c r="AE801" i="26"/>
  <c r="AE802" i="26"/>
  <c r="AE803" i="26"/>
  <c r="AE804" i="26"/>
  <c r="AE805" i="26"/>
  <c r="AE814" i="26"/>
  <c r="AE815" i="26"/>
  <c r="AE816" i="26"/>
  <c r="AE817" i="26"/>
  <c r="AE818" i="26"/>
  <c r="AE821" i="26"/>
  <c r="AE822" i="26"/>
  <c r="AE823" i="26"/>
  <c r="AE829" i="26"/>
  <c r="AE830" i="26"/>
  <c r="AE834" i="26"/>
  <c r="AE835" i="26"/>
  <c r="AE841" i="26"/>
  <c r="AE842" i="26"/>
  <c r="AE843" i="26"/>
  <c r="AE844" i="26"/>
  <c r="AE855" i="26"/>
  <c r="AE856" i="26"/>
  <c r="AE862" i="26"/>
  <c r="AE863" i="26"/>
  <c r="AE864" i="26"/>
  <c r="AE865" i="26"/>
  <c r="AE866" i="26"/>
  <c r="AE867" i="26"/>
  <c r="AE868" i="26"/>
  <c r="AE869" i="26"/>
  <c r="AE870" i="26"/>
  <c r="AE871" i="26"/>
  <c r="AE877" i="26"/>
  <c r="AE878" i="26"/>
  <c r="AE879" i="26"/>
  <c r="AE880" i="26"/>
  <c r="AE881" i="26"/>
  <c r="AE887" i="26"/>
  <c r="AE888" i="26"/>
  <c r="AE889" i="26"/>
  <c r="AE895" i="26"/>
  <c r="AE896" i="26"/>
  <c r="AE897" i="26"/>
  <c r="AE898" i="26"/>
  <c r="AE899" i="26"/>
  <c r="AE900" i="26"/>
  <c r="AE901" i="26"/>
  <c r="AE902" i="26"/>
  <c r="AE903" i="26"/>
  <c r="AE904" i="26"/>
  <c r="AE920" i="26"/>
  <c r="AE921" i="26"/>
  <c r="AE922" i="26"/>
  <c r="AE923" i="26"/>
  <c r="AE924" i="26"/>
  <c r="AE925" i="26"/>
  <c r="AE926" i="26"/>
  <c r="AE927" i="26"/>
  <c r="AE928" i="26"/>
  <c r="AE929" i="26"/>
  <c r="AE930" i="26"/>
  <c r="AE931" i="26"/>
  <c r="AE932" i="26"/>
  <c r="AE933" i="26"/>
  <c r="AE934" i="26"/>
  <c r="AE935" i="26"/>
  <c r="AE936" i="26"/>
  <c r="AE958" i="26"/>
  <c r="AE959" i="26"/>
  <c r="AE960" i="26"/>
  <c r="AE961" i="26"/>
  <c r="AE962" i="26"/>
  <c r="AE963" i="26"/>
  <c r="AE964" i="26"/>
  <c r="AE965" i="26"/>
  <c r="AE966" i="26"/>
  <c r="AE967" i="26"/>
  <c r="AE970" i="26"/>
  <c r="AE971" i="26"/>
  <c r="AE978" i="26"/>
  <c r="AE979" i="26"/>
  <c r="AE980" i="26"/>
  <c r="AE985" i="26"/>
  <c r="AE986" i="26"/>
  <c r="AE987" i="26"/>
  <c r="AE988" i="26"/>
  <c r="AE989" i="26"/>
  <c r="AE990" i="26"/>
  <c r="AE991" i="26"/>
  <c r="AE992" i="26"/>
  <c r="AE993" i="26"/>
  <c r="AE994" i="26"/>
  <c r="AE995" i="26"/>
  <c r="AE996" i="26"/>
  <c r="AE997" i="26"/>
  <c r="AE998" i="26"/>
  <c r="AE1006" i="26"/>
  <c r="AE1007" i="26"/>
  <c r="AE1008" i="26"/>
  <c r="AE1009" i="26"/>
  <c r="AE1010" i="26"/>
  <c r="AE1014" i="26"/>
  <c r="AE1015" i="26"/>
  <c r="AE1016" i="26"/>
  <c r="AE1017" i="26"/>
  <c r="AE1018" i="26"/>
  <c r="AE1028" i="26"/>
  <c r="AE1029" i="26"/>
  <c r="AE1030" i="26"/>
  <c r="AE1031" i="26"/>
  <c r="AE1032" i="26"/>
  <c r="AE1037" i="26"/>
  <c r="AE1038" i="26"/>
  <c r="AE1039" i="26"/>
  <c r="AE1040" i="26"/>
  <c r="AE1041" i="26"/>
  <c r="AE1042" i="26"/>
  <c r="AE1043" i="26"/>
  <c r="AE1044" i="26"/>
  <c r="AE1045" i="26"/>
  <c r="AE1046" i="26"/>
  <c r="AE1047" i="26"/>
  <c r="AE1048" i="26"/>
  <c r="AE1049" i="26"/>
  <c r="AE1050" i="26"/>
  <c r="AE1051" i="26"/>
  <c r="AE1052" i="26"/>
  <c r="AE1053" i="26"/>
  <c r="AE1054" i="26"/>
  <c r="AE1055" i="26"/>
  <c r="AE1059" i="26"/>
  <c r="AE1060" i="26"/>
  <c r="AE1066" i="26"/>
  <c r="AE1067" i="26"/>
  <c r="AE1068" i="26"/>
  <c r="AE1069" i="26"/>
  <c r="AE1070" i="26"/>
  <c r="AE1071" i="26"/>
  <c r="AE1072" i="26"/>
  <c r="AE1073" i="26"/>
  <c r="AE1074" i="26"/>
  <c r="AE1075" i="26"/>
  <c r="AE1076" i="26"/>
  <c r="AE1077" i="26"/>
  <c r="AE1078" i="26"/>
  <c r="AE1079" i="26"/>
  <c r="AE1080" i="26"/>
  <c r="AE1081" i="26"/>
  <c r="AE1082" i="26"/>
  <c r="AE1087" i="26"/>
  <c r="AE1088" i="26"/>
  <c r="AE1089" i="26"/>
  <c r="AE1090" i="26"/>
  <c r="AE1091" i="26"/>
  <c r="AE1096" i="26"/>
  <c r="AE1097" i="26"/>
  <c r="AE1098" i="26"/>
  <c r="AE1099" i="26"/>
  <c r="AE1100" i="26"/>
  <c r="AE1101" i="26"/>
  <c r="AE1111" i="26"/>
  <c r="AE1112" i="26"/>
  <c r="AE1121" i="26"/>
  <c r="AE1122" i="26"/>
  <c r="AE1131" i="26"/>
  <c r="AE1132" i="26"/>
  <c r="AE1133" i="26"/>
  <c r="AE1134" i="26"/>
  <c r="AE1135" i="26"/>
  <c r="AE1136" i="26"/>
  <c r="AE1137" i="26"/>
  <c r="AE1147" i="26"/>
  <c r="AE1148" i="26"/>
  <c r="AE1149" i="26"/>
  <c r="AE1150" i="26"/>
  <c r="AE1151" i="26"/>
  <c r="AE1154" i="26"/>
  <c r="AE1155" i="26"/>
  <c r="AE1156" i="26"/>
  <c r="AE1157" i="26"/>
  <c r="AE1169" i="26"/>
  <c r="AE1170" i="26"/>
  <c r="AE1171" i="26"/>
  <c r="AE1176" i="26"/>
  <c r="AE1177" i="26"/>
  <c r="AE1182" i="26"/>
  <c r="AE1183" i="26"/>
  <c r="AE1184" i="26"/>
  <c r="AE1185" i="26"/>
  <c r="AE1186" i="26"/>
  <c r="AE1187" i="26"/>
  <c r="AE1188" i="26"/>
  <c r="AE1194" i="26"/>
  <c r="AE1195" i="26"/>
  <c r="AE1196" i="26"/>
  <c r="AE1206" i="26"/>
  <c r="AE1207" i="26"/>
  <c r="AE1208" i="26"/>
  <c r="AE1209" i="26"/>
  <c r="AE1210" i="26"/>
  <c r="AE1216" i="26"/>
  <c r="AE1217" i="26"/>
  <c r="AE1218" i="26"/>
  <c r="AE1219" i="26"/>
  <c r="AE1220" i="26"/>
  <c r="AE1221" i="26"/>
  <c r="AE1222" i="26"/>
  <c r="AE1223" i="26"/>
  <c r="AE1224" i="26"/>
  <c r="AE1242" i="26"/>
  <c r="AE1243" i="26"/>
  <c r="AE1244" i="26"/>
  <c r="AE1249" i="26"/>
  <c r="AE1250" i="26"/>
  <c r="AE1251" i="26"/>
  <c r="AE1252" i="26"/>
  <c r="AE1253" i="26"/>
  <c r="AE1254" i="26"/>
  <c r="AE1255" i="26"/>
  <c r="AE1256" i="26"/>
  <c r="AE1257" i="26"/>
  <c r="AE1258" i="26"/>
  <c r="AE1259" i="26"/>
  <c r="AE1260" i="26"/>
  <c r="AE1263" i="26"/>
  <c r="AE1264" i="26"/>
  <c r="AE1270" i="26"/>
  <c r="AE1271" i="26"/>
  <c r="AE1272" i="26"/>
  <c r="AE1273" i="26"/>
  <c r="AE1274" i="26"/>
  <c r="AE1275" i="26"/>
  <c r="AE1276" i="26"/>
  <c r="AE1277" i="26"/>
  <c r="AE1278" i="26"/>
  <c r="AE1279" i="26"/>
  <c r="AE1280" i="26"/>
  <c r="AE1281" i="26"/>
  <c r="AE1282" i="26"/>
  <c r="AE1283" i="26"/>
  <c r="AE1284" i="26"/>
  <c r="AE1285" i="26"/>
  <c r="AE1286" i="26"/>
  <c r="AE1287" i="26"/>
  <c r="AE1297" i="26"/>
  <c r="AE1298" i="26"/>
  <c r="AE1299" i="26"/>
  <c r="AE1303" i="26"/>
  <c r="AE1304" i="26"/>
  <c r="AE1305" i="26"/>
  <c r="AE1306" i="26"/>
  <c r="AE1307" i="26"/>
  <c r="AE1308" i="26"/>
  <c r="AE1309" i="26"/>
  <c r="AE1310" i="26"/>
  <c r="AE1311" i="26"/>
  <c r="AE1312" i="26"/>
  <c r="AE1320" i="26"/>
  <c r="AE1321" i="26"/>
  <c r="AE1322" i="26"/>
  <c r="AE1323" i="26"/>
  <c r="AE1324" i="26"/>
  <c r="AE1325" i="26"/>
  <c r="AE1326" i="26"/>
  <c r="AE1327" i="26"/>
  <c r="AE1328" i="26"/>
  <c r="AE1329" i="26"/>
  <c r="AE1336" i="26"/>
  <c r="AE1337" i="26"/>
  <c r="AE1343" i="26"/>
  <c r="AE1344" i="26"/>
  <c r="AE1345" i="26"/>
  <c r="AE1346" i="26"/>
  <c r="AE1358" i="26"/>
  <c r="AE1359" i="26"/>
  <c r="AE1360" i="26"/>
  <c r="AE1361" i="26"/>
  <c r="AE1362" i="26"/>
  <c r="AE1363" i="26"/>
  <c r="AE1364" i="26"/>
  <c r="AE1365" i="26"/>
  <c r="AE1366" i="26"/>
  <c r="AE1371" i="26"/>
  <c r="AE1372" i="26"/>
  <c r="AE1373" i="26"/>
  <c r="AE1374" i="26"/>
  <c r="AE1375" i="26"/>
  <c r="AE1376" i="26"/>
  <c r="AE1377" i="26"/>
  <c r="AE1378" i="26"/>
  <c r="AE1390" i="26"/>
  <c r="AE1391" i="26"/>
  <c r="AE1396" i="26"/>
  <c r="AE1397" i="26"/>
  <c r="AE1398" i="26"/>
  <c r="AE1399" i="26"/>
  <c r="AE1400" i="26"/>
  <c r="AE1401" i="26"/>
  <c r="AE1402" i="26"/>
  <c r="AE1409" i="26"/>
  <c r="AE1410" i="26"/>
  <c r="AE1415" i="26"/>
  <c r="AE1416" i="26"/>
  <c r="AE1417" i="26"/>
  <c r="AE1418" i="26"/>
  <c r="AE1420" i="26"/>
  <c r="AE1421" i="26"/>
  <c r="AE1422" i="26"/>
  <c r="AE1423" i="26"/>
  <c r="AE1424" i="26"/>
  <c r="AE1425" i="26"/>
  <c r="AE1426" i="26"/>
  <c r="AE1427" i="26"/>
  <c r="AE1428" i="26"/>
  <c r="AE1439" i="26"/>
  <c r="AE1440" i="26"/>
  <c r="AE1441" i="26"/>
  <c r="AE1442" i="26"/>
  <c r="AE1443" i="26"/>
  <c r="AE1444" i="26"/>
  <c r="AE1448" i="26"/>
  <c r="AE1449" i="26"/>
  <c r="AE1450" i="26"/>
  <c r="AE1470" i="26"/>
  <c r="AE1471" i="26"/>
  <c r="AE1472" i="26"/>
  <c r="AE1473" i="26"/>
  <c r="AE1474" i="26"/>
  <c r="AE1475" i="26"/>
  <c r="AE1476" i="26"/>
  <c r="AE1477" i="26"/>
  <c r="AE1478" i="26"/>
  <c r="AE1479" i="26"/>
  <c r="AE1480" i="26"/>
  <c r="AE1481" i="26"/>
  <c r="AE1482" i="26"/>
  <c r="AE1483" i="26"/>
  <c r="AE1493" i="26"/>
  <c r="AE1494" i="26"/>
  <c r="AE1495" i="26"/>
  <c r="AE1496" i="26"/>
  <c r="AE1497" i="26"/>
  <c r="AE1502" i="26"/>
  <c r="AE1503" i="26"/>
  <c r="AE1504" i="26"/>
  <c r="AE1505" i="26"/>
  <c r="AE1519" i="26"/>
  <c r="AE1520" i="26"/>
  <c r="AE1521" i="26"/>
  <c r="AE1522" i="26"/>
  <c r="AE1523" i="26"/>
  <c r="AE1524" i="26"/>
  <c r="AE1525" i="26"/>
  <c r="AE1526" i="26"/>
  <c r="AE1527" i="26"/>
  <c r="AE1528" i="26"/>
  <c r="AE1529" i="26"/>
  <c r="AE1530" i="26"/>
  <c r="AE1531" i="26"/>
  <c r="AE1532" i="26"/>
  <c r="AE1533" i="26"/>
  <c r="AE1534" i="26"/>
  <c r="AE1535" i="26"/>
  <c r="AE1536" i="26"/>
  <c r="AE1537" i="26"/>
  <c r="AE1538" i="26"/>
  <c r="AE1539" i="26"/>
  <c r="AE1540" i="26"/>
  <c r="AE1541" i="26"/>
  <c r="AE1542" i="26"/>
  <c r="AE1543" i="26"/>
  <c r="AE1544" i="26"/>
  <c r="AE1545" i="26"/>
  <c r="AE1549" i="26"/>
  <c r="AE1550" i="26"/>
  <c r="AE1551" i="26"/>
  <c r="AE1552" i="26"/>
  <c r="AE1553" i="26"/>
  <c r="AE1554" i="26"/>
  <c r="AE1558" i="26"/>
  <c r="AE1559" i="26"/>
  <c r="AE1560" i="26"/>
  <c r="AE1561" i="26"/>
  <c r="AE1562" i="26"/>
  <c r="AE1563" i="26"/>
  <c r="AE1564" i="26"/>
  <c r="AE1565" i="26"/>
  <c r="AE1566" i="26"/>
  <c r="AE1567" i="26"/>
  <c r="AE1568" i="26"/>
  <c r="AE1569" i="26"/>
  <c r="AE1570" i="26"/>
  <c r="AE1575" i="26"/>
  <c r="AE1576" i="26"/>
  <c r="AE1588" i="26"/>
  <c r="AE1589" i="26"/>
  <c r="AE1590" i="26"/>
  <c r="AE1594" i="26"/>
  <c r="AE1595" i="26"/>
  <c r="AE1596" i="26"/>
  <c r="AE1597" i="26"/>
  <c r="AE1598" i="26"/>
  <c r="AE1599" i="26"/>
  <c r="AE1606" i="26"/>
  <c r="AE1607" i="26"/>
  <c r="AE1608" i="26"/>
  <c r="AE1609" i="26"/>
  <c r="AE1610" i="26"/>
  <c r="AE1620" i="26"/>
  <c r="AE1621" i="26"/>
  <c r="AE1622" i="26"/>
  <c r="AE1623" i="26"/>
  <c r="AE1624" i="26"/>
  <c r="AE1625" i="26"/>
  <c r="AE1626" i="26"/>
  <c r="AE1633" i="26"/>
  <c r="AE1634" i="26"/>
  <c r="AE1635" i="26"/>
  <c r="AE1636" i="26"/>
  <c r="AE1637" i="26"/>
  <c r="AE1638" i="26"/>
  <c r="AE1639" i="26"/>
  <c r="AE1640" i="26"/>
  <c r="AE1650" i="26"/>
  <c r="AE1651" i="26"/>
  <c r="AE1652" i="26"/>
  <c r="AE1653" i="26"/>
  <c r="AE1658" i="26"/>
  <c r="AE1659" i="26"/>
  <c r="AE1660" i="26"/>
  <c r="AE1661" i="26"/>
  <c r="AE1674" i="26"/>
  <c r="AE1675" i="26"/>
  <c r="AE1676" i="26"/>
  <c r="AE1677" i="26"/>
  <c r="AE1685" i="26"/>
  <c r="AE1686" i="26"/>
  <c r="AE1687" i="26"/>
  <c r="AE1688" i="26"/>
  <c r="AE1689" i="26"/>
  <c r="AE1690" i="26"/>
  <c r="AE1695" i="26"/>
  <c r="AE1696" i="26"/>
  <c r="AE1697" i="26"/>
  <c r="AE1698" i="26"/>
  <c r="AE1699" i="26"/>
  <c r="AE1700" i="26"/>
  <c r="AE1701" i="26"/>
  <c r="AE1702" i="26"/>
  <c r="AE1703" i="26"/>
  <c r="AE1710" i="26"/>
  <c r="AE1711" i="26"/>
  <c r="AE1712" i="26"/>
  <c r="AE1713" i="26"/>
  <c r="AE1714" i="26"/>
  <c r="AE1715" i="26"/>
  <c r="AE1716" i="26"/>
  <c r="AE1717" i="26"/>
  <c r="AE1718" i="26"/>
  <c r="AE1719" i="26"/>
  <c r="AE1720" i="26"/>
  <c r="AE1721" i="26"/>
  <c r="AF13" i="26"/>
  <c r="AF14" i="26"/>
  <c r="AF15" i="26"/>
  <c r="AF16" i="26"/>
  <c r="AF17" i="26"/>
  <c r="AF18" i="26"/>
  <c r="AF19" i="26"/>
  <c r="AF20" i="26"/>
  <c r="AF21" i="26"/>
  <c r="AF22" i="26"/>
  <c r="AF23" i="26"/>
  <c r="AF24" i="26"/>
  <c r="AF25" i="26"/>
  <c r="AF26" i="26"/>
  <c r="AF27" i="26"/>
  <c r="AF37" i="26"/>
  <c r="AF38" i="26"/>
  <c r="AF39" i="26"/>
  <c r="AF40" i="26"/>
  <c r="AF41" i="26"/>
  <c r="AF47" i="26"/>
  <c r="AF48" i="26"/>
  <c r="AF49" i="26"/>
  <c r="AF50" i="26"/>
  <c r="AF51" i="26"/>
  <c r="AF52" i="26"/>
  <c r="AF53" i="26"/>
  <c r="AF54" i="26"/>
  <c r="AF64" i="26"/>
  <c r="AF65" i="26"/>
  <c r="AF66" i="26"/>
  <c r="AF67" i="26"/>
  <c r="AF68" i="26"/>
  <c r="AF73" i="26"/>
  <c r="AF74" i="26"/>
  <c r="AF75" i="26"/>
  <c r="AF76" i="26"/>
  <c r="AF77" i="26"/>
  <c r="AF78" i="26"/>
  <c r="AF79" i="26"/>
  <c r="AF80" i="26"/>
  <c r="AF85" i="26"/>
  <c r="AF86" i="26"/>
  <c r="AF87" i="26"/>
  <c r="AF88" i="26"/>
  <c r="AF93" i="26"/>
  <c r="AF94" i="26"/>
  <c r="AF95" i="26"/>
  <c r="AF96" i="26"/>
  <c r="AF97" i="26"/>
  <c r="AF98" i="26"/>
  <c r="AF99" i="26"/>
  <c r="AF100" i="26"/>
  <c r="AF101" i="26"/>
  <c r="AF102" i="26"/>
  <c r="AF103" i="26"/>
  <c r="AF104" i="26"/>
  <c r="AF109" i="26"/>
  <c r="AF110" i="26"/>
  <c r="AF111" i="26"/>
  <c r="AF112" i="26"/>
  <c r="AF113" i="26"/>
  <c r="AF114" i="26"/>
  <c r="AF115" i="26"/>
  <c r="AF116" i="26"/>
  <c r="AF117" i="26"/>
  <c r="AF118" i="26"/>
  <c r="AF119" i="26"/>
  <c r="AF124" i="26"/>
  <c r="AF125" i="26"/>
  <c r="AF129" i="26"/>
  <c r="AF130" i="26"/>
  <c r="AF131" i="26"/>
  <c r="AF132" i="26"/>
  <c r="AF133" i="26"/>
  <c r="AF134" i="26"/>
  <c r="AF135" i="26"/>
  <c r="AF136" i="26"/>
  <c r="AF137" i="26"/>
  <c r="AF138" i="26"/>
  <c r="AF139" i="26"/>
  <c r="AF144" i="26"/>
  <c r="AF145" i="26"/>
  <c r="AF146" i="26"/>
  <c r="AF147" i="26"/>
  <c r="AF148" i="26"/>
  <c r="AF149" i="26"/>
  <c r="AF150" i="26"/>
  <c r="AF151" i="26"/>
  <c r="AF152" i="26"/>
  <c r="AF167" i="26"/>
  <c r="AF168" i="26"/>
  <c r="AF169" i="26"/>
  <c r="AF170" i="26"/>
  <c r="AF171" i="26"/>
  <c r="AF172" i="26"/>
  <c r="AF177" i="26"/>
  <c r="AF178" i="26"/>
  <c r="AF179" i="26"/>
  <c r="AF184" i="26"/>
  <c r="AF185" i="26"/>
  <c r="AF195" i="26"/>
  <c r="AF196" i="26"/>
  <c r="AF201" i="26"/>
  <c r="AF202" i="26"/>
  <c r="AF203" i="26"/>
  <c r="AF204" i="26"/>
  <c r="AF205" i="26"/>
  <c r="AF210" i="26"/>
  <c r="AF211" i="26"/>
  <c r="AF212" i="26"/>
  <c r="AF213" i="26"/>
  <c r="AF214" i="26"/>
  <c r="AF220" i="26"/>
  <c r="AF221" i="26"/>
  <c r="AF222" i="26"/>
  <c r="AF223" i="26"/>
  <c r="AF224" i="26"/>
  <c r="AF230" i="26"/>
  <c r="AF231" i="26"/>
  <c r="AF232" i="26"/>
  <c r="AF241" i="26"/>
  <c r="AF242" i="26"/>
  <c r="AF247" i="26"/>
  <c r="AF248" i="26"/>
  <c r="AF249" i="26"/>
  <c r="AF250" i="26"/>
  <c r="AF251" i="26"/>
  <c r="AF252" i="26"/>
  <c r="AF253" i="26"/>
  <c r="AF254" i="26"/>
  <c r="AF255" i="26"/>
  <c r="AF256" i="26"/>
  <c r="AF257" i="26"/>
  <c r="AF258" i="26"/>
  <c r="AF259" i="26"/>
  <c r="AF260" i="26"/>
  <c r="AF261" i="26"/>
  <c r="AF262" i="26"/>
  <c r="AF263" i="26"/>
  <c r="AF264" i="26"/>
  <c r="AF272" i="26"/>
  <c r="AF273" i="26"/>
  <c r="AF279" i="26"/>
  <c r="AF280" i="26"/>
  <c r="AF281" i="26"/>
  <c r="AF287" i="26"/>
  <c r="AF288" i="26"/>
  <c r="AF289" i="26"/>
  <c r="AF290" i="26"/>
  <c r="AF291" i="26"/>
  <c r="AF296" i="26"/>
  <c r="AF297" i="26"/>
  <c r="AF298" i="26"/>
  <c r="AF299" i="26"/>
  <c r="AF307" i="26"/>
  <c r="AF308" i="26"/>
  <c r="AF309" i="26"/>
  <c r="AF318" i="26"/>
  <c r="AF319" i="26"/>
  <c r="AF320" i="26"/>
  <c r="AF321" i="26"/>
  <c r="AF330" i="26"/>
  <c r="AF331" i="26"/>
  <c r="AF339" i="26"/>
  <c r="AF340" i="26"/>
  <c r="AF341" i="26"/>
  <c r="AF342" i="26"/>
  <c r="AF343" i="26"/>
  <c r="AF344" i="26"/>
  <c r="AF345" i="26"/>
  <c r="AF346" i="26"/>
  <c r="AF347" i="26"/>
  <c r="AF348" i="26"/>
  <c r="AF349" i="26"/>
  <c r="AF350" i="26"/>
  <c r="AF355" i="26"/>
  <c r="AF356" i="26"/>
  <c r="AF357" i="26"/>
  <c r="AF358" i="26"/>
  <c r="AF359" i="26"/>
  <c r="AF360" i="26"/>
  <c r="AF366" i="26"/>
  <c r="AF367" i="26"/>
  <c r="AF368" i="26"/>
  <c r="AF369" i="26"/>
  <c r="AF370" i="26"/>
  <c r="AF371" i="26"/>
  <c r="AF372" i="26"/>
  <c r="AF373" i="26"/>
  <c r="AF374" i="26"/>
  <c r="AF375" i="26"/>
  <c r="AF376" i="26"/>
  <c r="AF377" i="26"/>
  <c r="AF378" i="26"/>
  <c r="AF383" i="26"/>
  <c r="AF384" i="26"/>
  <c r="AF385" i="26"/>
  <c r="AF386" i="26"/>
  <c r="AF387" i="26"/>
  <c r="AF388" i="26"/>
  <c r="AF389" i="26"/>
  <c r="AF395" i="26"/>
  <c r="AF396" i="26"/>
  <c r="AF397" i="26"/>
  <c r="AF398" i="26"/>
  <c r="AF399" i="26"/>
  <c r="AF400" i="26"/>
  <c r="AF401" i="26"/>
  <c r="AF402" i="26"/>
  <c r="AF403" i="26"/>
  <c r="AF404" i="26"/>
  <c r="AF405" i="26"/>
  <c r="AF410" i="26"/>
  <c r="AF411" i="26"/>
  <c r="AF412" i="26"/>
  <c r="AF413" i="26"/>
  <c r="AF414" i="26"/>
  <c r="AF415" i="26"/>
  <c r="AF420" i="26"/>
  <c r="AF421" i="26"/>
  <c r="AF422" i="26"/>
  <c r="AF427" i="26"/>
  <c r="AF428" i="26"/>
  <c r="AF429" i="26"/>
  <c r="AF430" i="26"/>
  <c r="AF431" i="26"/>
  <c r="AF432" i="26"/>
  <c r="AF433" i="26"/>
  <c r="AF438" i="26"/>
  <c r="AF439" i="26"/>
  <c r="AF440" i="26"/>
  <c r="AF441" i="26"/>
  <c r="AF442" i="26"/>
  <c r="AF465" i="26"/>
  <c r="AF466" i="26"/>
  <c r="AF467" i="26"/>
  <c r="AF468" i="26"/>
  <c r="AF469" i="26"/>
  <c r="AF470" i="26"/>
  <c r="AF471" i="26"/>
  <c r="AF472" i="26"/>
  <c r="AF473" i="26"/>
  <c r="AF474" i="26"/>
  <c r="AF475" i="26"/>
  <c r="AF480" i="26"/>
  <c r="AF481" i="26"/>
  <c r="AF482" i="26"/>
  <c r="AF483" i="26"/>
  <c r="AF484" i="26"/>
  <c r="AF491" i="26"/>
  <c r="AF492" i="26"/>
  <c r="AF493" i="26"/>
  <c r="AF494" i="26"/>
  <c r="AF504" i="26"/>
  <c r="AF505" i="26"/>
  <c r="AF506" i="26"/>
  <c r="AF507" i="26"/>
  <c r="AF518" i="26"/>
  <c r="AF519" i="26"/>
  <c r="AF520" i="26"/>
  <c r="AF521" i="26"/>
  <c r="AF522" i="26"/>
  <c r="AF523" i="26"/>
  <c r="AF524" i="26"/>
  <c r="AF525" i="26"/>
  <c r="AF526" i="26"/>
  <c r="AF527" i="26"/>
  <c r="AF528" i="26"/>
  <c r="AF529" i="26"/>
  <c r="AF530" i="26"/>
  <c r="AF531" i="26"/>
  <c r="AF532" i="26"/>
  <c r="AF533" i="26"/>
  <c r="AF534" i="26"/>
  <c r="AF535" i="26"/>
  <c r="AF536" i="26"/>
  <c r="AF537" i="26"/>
  <c r="AF538" i="26"/>
  <c r="AF545" i="26"/>
  <c r="AF546" i="26"/>
  <c r="AF547" i="26"/>
  <c r="AF549" i="26"/>
  <c r="AF550" i="26"/>
  <c r="AF551" i="26"/>
  <c r="AF552" i="26"/>
  <c r="AF553" i="26"/>
  <c r="AF559" i="26"/>
  <c r="AF560" i="26"/>
  <c r="AF561" i="26"/>
  <c r="AF562" i="26"/>
  <c r="AF563" i="26"/>
  <c r="AF564" i="26"/>
  <c r="AF565" i="26"/>
  <c r="AF566" i="26"/>
  <c r="AF582" i="26"/>
  <c r="AF583" i="26"/>
  <c r="AF584" i="26"/>
  <c r="AF585" i="26"/>
  <c r="AF586" i="26"/>
  <c r="AF592" i="26"/>
  <c r="AF593" i="26"/>
  <c r="AF596" i="26"/>
  <c r="AF597" i="26"/>
  <c r="AF598" i="26"/>
  <c r="AF599" i="26"/>
  <c r="AF600" i="26"/>
  <c r="AF604" i="26"/>
  <c r="AF605" i="26"/>
  <c r="AF606" i="26"/>
  <c r="AF611" i="26"/>
  <c r="AF612" i="26"/>
  <c r="AF613" i="26"/>
  <c r="AF614" i="26"/>
  <c r="AF615" i="26"/>
  <c r="AF616" i="26"/>
  <c r="AF617" i="26"/>
  <c r="AF618" i="26"/>
  <c r="AF619" i="26"/>
  <c r="AF624" i="26"/>
  <c r="AF625" i="26"/>
  <c r="AF626" i="26"/>
  <c r="AF627" i="26"/>
  <c r="AF628" i="26"/>
  <c r="AF629" i="26"/>
  <c r="AF630" i="26"/>
  <c r="AF631" i="26"/>
  <c r="AF632" i="26"/>
  <c r="AF633" i="26"/>
  <c r="AF634" i="26"/>
  <c r="AF635" i="26"/>
  <c r="AF636" i="26"/>
  <c r="AF637" i="26"/>
  <c r="AF646" i="26"/>
  <c r="AF647" i="26"/>
  <c r="AF648" i="26"/>
  <c r="AF649" i="26"/>
  <c r="AF650" i="26"/>
  <c r="AF651" i="26"/>
  <c r="AF652" i="26"/>
  <c r="AF653" i="26"/>
  <c r="AF654" i="26"/>
  <c r="AF668" i="26"/>
  <c r="AF669" i="26"/>
  <c r="AF670" i="26"/>
  <c r="AF671" i="26"/>
  <c r="AF672" i="26"/>
  <c r="AF673" i="26"/>
  <c r="AF674" i="26"/>
  <c r="AF675" i="26"/>
  <c r="AF676" i="26"/>
  <c r="AF677" i="26"/>
  <c r="AF678" i="26"/>
  <c r="AF679" i="26"/>
  <c r="AF684" i="26"/>
  <c r="AF685" i="26"/>
  <c r="AF686" i="26"/>
  <c r="AF687" i="26"/>
  <c r="AF688" i="26"/>
  <c r="AF689" i="26"/>
  <c r="AF690" i="26"/>
  <c r="AF691" i="26"/>
  <c r="AF692" i="26"/>
  <c r="AF693" i="26"/>
  <c r="AF694" i="26"/>
  <c r="AF695" i="26"/>
  <c r="AF696" i="26"/>
  <c r="AF697" i="26"/>
  <c r="AF698" i="26"/>
  <c r="AF703" i="26"/>
  <c r="AF704" i="26"/>
  <c r="AF705" i="26"/>
  <c r="AF706" i="26"/>
  <c r="AF707" i="26"/>
  <c r="AF708" i="26"/>
  <c r="AF709" i="26"/>
  <c r="AF710" i="26"/>
  <c r="AF711" i="26"/>
  <c r="AF712" i="26"/>
  <c r="AF713" i="26"/>
  <c r="AF714" i="26"/>
  <c r="AF715" i="26"/>
  <c r="AF716" i="26"/>
  <c r="AF717" i="26"/>
  <c r="AF718" i="26"/>
  <c r="AF719" i="26"/>
  <c r="AF720" i="26"/>
  <c r="AF721" i="26"/>
  <c r="AF722" i="26"/>
  <c r="AF723" i="26"/>
  <c r="AF724" i="26"/>
  <c r="AF725" i="26"/>
  <c r="AF726" i="26"/>
  <c r="AF727" i="26"/>
  <c r="AF728" i="26"/>
  <c r="AF729" i="26"/>
  <c r="AF730" i="26"/>
  <c r="AF731" i="26"/>
  <c r="AF732" i="26"/>
  <c r="AF733" i="26"/>
  <c r="AF734" i="26"/>
  <c r="AF735" i="26"/>
  <c r="AF736" i="26"/>
  <c r="AF737" i="26"/>
  <c r="AF738" i="26"/>
  <c r="AF743" i="26"/>
  <c r="AF744" i="26"/>
  <c r="AF745" i="26"/>
  <c r="AF746" i="26"/>
  <c r="AF758" i="26"/>
  <c r="AF759" i="26"/>
  <c r="AF760" i="26"/>
  <c r="AF761" i="26"/>
  <c r="AF762" i="26"/>
  <c r="AF771" i="26"/>
  <c r="AF772" i="26"/>
  <c r="AF773" i="26"/>
  <c r="AF774" i="26"/>
  <c r="AF775" i="26"/>
  <c r="AF776" i="26"/>
  <c r="AF777" i="26"/>
  <c r="AF778" i="26"/>
  <c r="AF787" i="26"/>
  <c r="AF788" i="26"/>
  <c r="AF789" i="26"/>
  <c r="AF790" i="26"/>
  <c r="AF797" i="26"/>
  <c r="AF798" i="26"/>
  <c r="AF799" i="26"/>
  <c r="AF800" i="26"/>
  <c r="AF801" i="26"/>
  <c r="AF802" i="26"/>
  <c r="AF803" i="26"/>
  <c r="AF804" i="26"/>
  <c r="AF805" i="26"/>
  <c r="AF814" i="26"/>
  <c r="AF815" i="26"/>
  <c r="AF816" i="26"/>
  <c r="AF817" i="26"/>
  <c r="AF818" i="26"/>
  <c r="AF821" i="26"/>
  <c r="AF822" i="26"/>
  <c r="AF823" i="26"/>
  <c r="AF829" i="26"/>
  <c r="AF830" i="26"/>
  <c r="AF834" i="26"/>
  <c r="AF835" i="26"/>
  <c r="AF841" i="26"/>
  <c r="AF842" i="26"/>
  <c r="AF843" i="26"/>
  <c r="AF844" i="26"/>
  <c r="AF855" i="26"/>
  <c r="AF856" i="26"/>
  <c r="AF862" i="26"/>
  <c r="AF863" i="26"/>
  <c r="AF864" i="26"/>
  <c r="AF865" i="26"/>
  <c r="AF866" i="26"/>
  <c r="AF867" i="26"/>
  <c r="AF868" i="26"/>
  <c r="AF869" i="26"/>
  <c r="AF870" i="26"/>
  <c r="AF871" i="26"/>
  <c r="AF877" i="26"/>
  <c r="AF878" i="26"/>
  <c r="AF879" i="26"/>
  <c r="AF880" i="26"/>
  <c r="AF881" i="26"/>
  <c r="AF887" i="26"/>
  <c r="AF888" i="26"/>
  <c r="AF889" i="26"/>
  <c r="AF895" i="26"/>
  <c r="AF896" i="26"/>
  <c r="AF897" i="26"/>
  <c r="AF898" i="26"/>
  <c r="AF899" i="26"/>
  <c r="AF900" i="26"/>
  <c r="AF901" i="26"/>
  <c r="AF902" i="26"/>
  <c r="AF903" i="26"/>
  <c r="AF904" i="26"/>
  <c r="AF920" i="26"/>
  <c r="AF921" i="26"/>
  <c r="AF922" i="26"/>
  <c r="AF923" i="26"/>
  <c r="AF924" i="26"/>
  <c r="AF925" i="26"/>
  <c r="AF926" i="26"/>
  <c r="AF927" i="26"/>
  <c r="AF928" i="26"/>
  <c r="AF929" i="26"/>
  <c r="AF930" i="26"/>
  <c r="AF931" i="26"/>
  <c r="AF932" i="26"/>
  <c r="AF933" i="26"/>
  <c r="AF934" i="26"/>
  <c r="AF935" i="26"/>
  <c r="AF936" i="26"/>
  <c r="AF958" i="26"/>
  <c r="AF959" i="26"/>
  <c r="AF960" i="26"/>
  <c r="AF961" i="26"/>
  <c r="AF962" i="26"/>
  <c r="AF963" i="26"/>
  <c r="AF964" i="26"/>
  <c r="AF965" i="26"/>
  <c r="AF966" i="26"/>
  <c r="AF967" i="26"/>
  <c r="AF970" i="26"/>
  <c r="AF971" i="26"/>
  <c r="AF978" i="26"/>
  <c r="AF979" i="26"/>
  <c r="AF980" i="26"/>
  <c r="AF985" i="26"/>
  <c r="AF986" i="26"/>
  <c r="AF987" i="26"/>
  <c r="AF988" i="26"/>
  <c r="AF989" i="26"/>
  <c r="AF990" i="26"/>
  <c r="AF991" i="26"/>
  <c r="AF992" i="26"/>
  <c r="AF993" i="26"/>
  <c r="AF994" i="26"/>
  <c r="AF995" i="26"/>
  <c r="AF996" i="26"/>
  <c r="AF997" i="26"/>
  <c r="AF998" i="26"/>
  <c r="AF1006" i="26"/>
  <c r="AF1007" i="26"/>
  <c r="AF1008" i="26"/>
  <c r="AF1009" i="26"/>
  <c r="AF1010" i="26"/>
  <c r="AF1014" i="26"/>
  <c r="AF1015" i="26"/>
  <c r="AF1016" i="26"/>
  <c r="AF1017" i="26"/>
  <c r="AF1018" i="26"/>
  <c r="AF1028" i="26"/>
  <c r="AF1029" i="26"/>
  <c r="AF1030" i="26"/>
  <c r="AF1031" i="26"/>
  <c r="AF1032" i="26"/>
  <c r="AF1037" i="26"/>
  <c r="AF1038" i="26"/>
  <c r="AF1039" i="26"/>
  <c r="AF1040" i="26"/>
  <c r="AF1041" i="26"/>
  <c r="AF1042" i="26"/>
  <c r="AF1043" i="26"/>
  <c r="AF1044" i="26"/>
  <c r="AF1045" i="26"/>
  <c r="AF1046" i="26"/>
  <c r="AF1047" i="26"/>
  <c r="AF1048" i="26"/>
  <c r="AF1049" i="26"/>
  <c r="AF1050" i="26"/>
  <c r="AF1051" i="26"/>
  <c r="AF1052" i="26"/>
  <c r="AF1053" i="26"/>
  <c r="AF1054" i="26"/>
  <c r="AF1055" i="26"/>
  <c r="AF1059" i="26"/>
  <c r="AF1060" i="26"/>
  <c r="AF1066" i="26"/>
  <c r="AF1067" i="26"/>
  <c r="AF1068" i="26"/>
  <c r="AF1069" i="26"/>
  <c r="AF1070" i="26"/>
  <c r="AF1071" i="26"/>
  <c r="AF1072" i="26"/>
  <c r="AF1073" i="26"/>
  <c r="AF1074" i="26"/>
  <c r="AF1075" i="26"/>
  <c r="AF1076" i="26"/>
  <c r="AF1077" i="26"/>
  <c r="AF1078" i="26"/>
  <c r="AF1079" i="26"/>
  <c r="AF1080" i="26"/>
  <c r="AF1081" i="26"/>
  <c r="AF1082" i="26"/>
  <c r="AF1087" i="26"/>
  <c r="AF1088" i="26"/>
  <c r="AF1089" i="26"/>
  <c r="AF1090" i="26"/>
  <c r="AF1091" i="26"/>
  <c r="AF1096" i="26"/>
  <c r="AF1097" i="26"/>
  <c r="AF1098" i="26"/>
  <c r="AF1099" i="26"/>
  <c r="AF1100" i="26"/>
  <c r="AF1101" i="26"/>
  <c r="AF1111" i="26"/>
  <c r="AF1112" i="26"/>
  <c r="AF1121" i="26"/>
  <c r="AF1122" i="26"/>
  <c r="AF1131" i="26"/>
  <c r="AF1132" i="26"/>
  <c r="AF1133" i="26"/>
  <c r="AF1134" i="26"/>
  <c r="AF1135" i="26"/>
  <c r="AF1136" i="26"/>
  <c r="AF1137" i="26"/>
  <c r="AF1147" i="26"/>
  <c r="AF1148" i="26"/>
  <c r="AF1149" i="26"/>
  <c r="AF1150" i="26"/>
  <c r="AF1151" i="26"/>
  <c r="AF1154" i="26"/>
  <c r="AF1155" i="26"/>
  <c r="AF1156" i="26"/>
  <c r="AF1157" i="26"/>
  <c r="AF1169" i="26"/>
  <c r="AF1170" i="26"/>
  <c r="AF1171" i="26"/>
  <c r="AF1176" i="26"/>
  <c r="AF1177" i="26"/>
  <c r="AF1182" i="26"/>
  <c r="AF1183" i="26"/>
  <c r="AF1184" i="26"/>
  <c r="AF1185" i="26"/>
  <c r="AF1186" i="26"/>
  <c r="AF1187" i="26"/>
  <c r="AF1188" i="26"/>
  <c r="AF1194" i="26"/>
  <c r="AF1195" i="26"/>
  <c r="AF1196" i="26"/>
  <c r="AF1206" i="26"/>
  <c r="AF1207" i="26"/>
  <c r="AF1208" i="26"/>
  <c r="AF1209" i="26"/>
  <c r="AF1210" i="26"/>
  <c r="AF1216" i="26"/>
  <c r="AF1217" i="26"/>
  <c r="AF1218" i="26"/>
  <c r="AF1219" i="26"/>
  <c r="AF1220" i="26"/>
  <c r="AF1221" i="26"/>
  <c r="AF1222" i="26"/>
  <c r="AF1223" i="26"/>
  <c r="AF1224" i="26"/>
  <c r="AF1242" i="26"/>
  <c r="AF1243" i="26"/>
  <c r="AF1244" i="26"/>
  <c r="AF1249" i="26"/>
  <c r="AF1250" i="26"/>
  <c r="AF1251" i="26"/>
  <c r="AF1252" i="26"/>
  <c r="AF1253" i="26"/>
  <c r="AF1254" i="26"/>
  <c r="AF1255" i="26"/>
  <c r="AF1256" i="26"/>
  <c r="AF1257" i="26"/>
  <c r="AF1258" i="26"/>
  <c r="AF1259" i="26"/>
  <c r="AF1260" i="26"/>
  <c r="AF1263" i="26"/>
  <c r="AF1264" i="26"/>
  <c r="AF1270" i="26"/>
  <c r="AF1271" i="26"/>
  <c r="AF1272" i="26"/>
  <c r="AF1273" i="26"/>
  <c r="AF1274" i="26"/>
  <c r="AF1275" i="26"/>
  <c r="AF1276" i="26"/>
  <c r="AF1277" i="26"/>
  <c r="AF1278" i="26"/>
  <c r="AF1279" i="26"/>
  <c r="AF1280" i="26"/>
  <c r="AF1281" i="26"/>
  <c r="AF1282" i="26"/>
  <c r="AF1283" i="26"/>
  <c r="AF1284" i="26"/>
  <c r="AF1285" i="26"/>
  <c r="AF1286" i="26"/>
  <c r="AF1287" i="26"/>
  <c r="AF1297" i="26"/>
  <c r="AF1298" i="26"/>
  <c r="AF1299" i="26"/>
  <c r="AF1303" i="26"/>
  <c r="AF1304" i="26"/>
  <c r="AF1305" i="26"/>
  <c r="AF1306" i="26"/>
  <c r="AF1307" i="26"/>
  <c r="AF1308" i="26"/>
  <c r="AF1309" i="26"/>
  <c r="AF1310" i="26"/>
  <c r="AF1311" i="26"/>
  <c r="AF1312" i="26"/>
  <c r="AF1320" i="26"/>
  <c r="AF1321" i="26"/>
  <c r="AF1322" i="26"/>
  <c r="AF1323" i="26"/>
  <c r="AF1324" i="26"/>
  <c r="AF1325" i="26"/>
  <c r="AF1326" i="26"/>
  <c r="AF1327" i="26"/>
  <c r="AF1328" i="26"/>
  <c r="AF1329" i="26"/>
  <c r="AF1336" i="26"/>
  <c r="AF1337" i="26"/>
  <c r="AF1343" i="26"/>
  <c r="AF1344" i="26"/>
  <c r="AF1345" i="26"/>
  <c r="AF1346" i="26"/>
  <c r="AF1358" i="26"/>
  <c r="AF1359" i="26"/>
  <c r="AF1360" i="26"/>
  <c r="AF1361" i="26"/>
  <c r="AF1362" i="26"/>
  <c r="AF1363" i="26"/>
  <c r="AF1364" i="26"/>
  <c r="AF1365" i="26"/>
  <c r="AF1366" i="26"/>
  <c r="AF1371" i="26"/>
  <c r="AF1372" i="26"/>
  <c r="AF1373" i="26"/>
  <c r="AF1374" i="26"/>
  <c r="AF1375" i="26"/>
  <c r="AF1376" i="26"/>
  <c r="AF1377" i="26"/>
  <c r="AF1378" i="26"/>
  <c r="AF1390" i="26"/>
  <c r="AF1391" i="26"/>
  <c r="AF1396" i="26"/>
  <c r="AF1397" i="26"/>
  <c r="AF1398" i="26"/>
  <c r="AF1399" i="26"/>
  <c r="AF1400" i="26"/>
  <c r="AF1401" i="26"/>
  <c r="AF1402" i="26"/>
  <c r="AF1409" i="26"/>
  <c r="AF1410" i="26"/>
  <c r="AF1415" i="26"/>
  <c r="AF1416" i="26"/>
  <c r="AF1417" i="26"/>
  <c r="AF1418" i="26"/>
  <c r="AF1420" i="26"/>
  <c r="AF1421" i="26"/>
  <c r="AF1422" i="26"/>
  <c r="AF1423" i="26"/>
  <c r="AF1424" i="26"/>
  <c r="AF1425" i="26"/>
  <c r="AF1426" i="26"/>
  <c r="AF1427" i="26"/>
  <c r="AF1428" i="26"/>
  <c r="AF1439" i="26"/>
  <c r="AF1440" i="26"/>
  <c r="AF1441" i="26"/>
  <c r="AF1442" i="26"/>
  <c r="AF1443" i="26"/>
  <c r="AF1444" i="26"/>
  <c r="AF1448" i="26"/>
  <c r="AF1449" i="26"/>
  <c r="AF1450" i="26"/>
  <c r="AF1470" i="26"/>
  <c r="AF1471" i="26"/>
  <c r="AF1472" i="26"/>
  <c r="AF1473" i="26"/>
  <c r="AF1474" i="26"/>
  <c r="AF1475" i="26"/>
  <c r="AF1476" i="26"/>
  <c r="AF1477" i="26"/>
  <c r="AF1478" i="26"/>
  <c r="AF1479" i="26"/>
  <c r="AF1480" i="26"/>
  <c r="AF1481" i="26"/>
  <c r="AF1482" i="26"/>
  <c r="AF1483" i="26"/>
  <c r="AF1493" i="26"/>
  <c r="AF1494" i="26"/>
  <c r="AF1495" i="26"/>
  <c r="AF1496" i="26"/>
  <c r="AF1497" i="26"/>
  <c r="AF1502" i="26"/>
  <c r="AF1503" i="26"/>
  <c r="AF1504" i="26"/>
  <c r="AF1505" i="26"/>
  <c r="AF1519" i="26"/>
  <c r="AF1520" i="26"/>
  <c r="AF1521" i="26"/>
  <c r="AF1522" i="26"/>
  <c r="AF1523" i="26"/>
  <c r="AF1524" i="26"/>
  <c r="AF1525" i="26"/>
  <c r="AF1526" i="26"/>
  <c r="AF1527" i="26"/>
  <c r="AF1528" i="26"/>
  <c r="AF1529" i="26"/>
  <c r="AF1530" i="26"/>
  <c r="AF1531" i="26"/>
  <c r="AF1532" i="26"/>
  <c r="AF1533" i="26"/>
  <c r="AF1534" i="26"/>
  <c r="AF1535" i="26"/>
  <c r="AF1536" i="26"/>
  <c r="AF1537" i="26"/>
  <c r="AF1538" i="26"/>
  <c r="AF1539" i="26"/>
  <c r="AF1540" i="26"/>
  <c r="AF1541" i="26"/>
  <c r="AF1542" i="26"/>
  <c r="AF1543" i="26"/>
  <c r="AF1544" i="26"/>
  <c r="AF1545" i="26"/>
  <c r="AF1549" i="26"/>
  <c r="AF1550" i="26"/>
  <c r="AF1551" i="26"/>
  <c r="AF1552" i="26"/>
  <c r="AF1553" i="26"/>
  <c r="AF1554" i="26"/>
  <c r="AF1558" i="26"/>
  <c r="AF1559" i="26"/>
  <c r="AF1560" i="26"/>
  <c r="AF1561" i="26"/>
  <c r="AF1562" i="26"/>
  <c r="AF1563" i="26"/>
  <c r="AF1564" i="26"/>
  <c r="AF1565" i="26"/>
  <c r="AF1566" i="26"/>
  <c r="AF1567" i="26"/>
  <c r="AF1568" i="26"/>
  <c r="AF1569" i="26"/>
  <c r="AF1570" i="26"/>
  <c r="AF1575" i="26"/>
  <c r="AF1576" i="26"/>
  <c r="AF1588" i="26"/>
  <c r="AF1589" i="26"/>
  <c r="AF1590" i="26"/>
  <c r="AF1594" i="26"/>
  <c r="AF1595" i="26"/>
  <c r="AF1596" i="26"/>
  <c r="AF1597" i="26"/>
  <c r="AF1598" i="26"/>
  <c r="AF1599" i="26"/>
  <c r="AF1606" i="26"/>
  <c r="AF1607" i="26"/>
  <c r="AF1608" i="26"/>
  <c r="AF1609" i="26"/>
  <c r="AF1610" i="26"/>
  <c r="AF1620" i="26"/>
  <c r="AF1621" i="26"/>
  <c r="AF1622" i="26"/>
  <c r="AF1623" i="26"/>
  <c r="AF1624" i="26"/>
  <c r="AF1625" i="26"/>
  <c r="AF1626" i="26"/>
  <c r="AF1633" i="26"/>
  <c r="AF1634" i="26"/>
  <c r="AF1635" i="26"/>
  <c r="AF1636" i="26"/>
  <c r="AF1637" i="26"/>
  <c r="AF1638" i="26"/>
  <c r="AF1639" i="26"/>
  <c r="AF1640" i="26"/>
  <c r="AF1650" i="26"/>
  <c r="AF1651" i="26"/>
  <c r="AF1652" i="26"/>
  <c r="AF1653" i="26"/>
  <c r="AF1658" i="26"/>
  <c r="AF1659" i="26"/>
  <c r="AF1660" i="26"/>
  <c r="AF1661" i="26"/>
  <c r="AF1674" i="26"/>
  <c r="AF1675" i="26"/>
  <c r="AF1676" i="26"/>
  <c r="AF1677" i="26"/>
  <c r="AF1685" i="26"/>
  <c r="AF1686" i="26"/>
  <c r="AF1687" i="26"/>
  <c r="AF1688" i="26"/>
  <c r="AF1689" i="26"/>
  <c r="AF1690" i="26"/>
  <c r="AF1695" i="26"/>
  <c r="AF1696" i="26"/>
  <c r="AF1697" i="26"/>
  <c r="AF1698" i="26"/>
  <c r="AF1699" i="26"/>
  <c r="AF1700" i="26"/>
  <c r="AF1701" i="26"/>
  <c r="AF1702" i="26"/>
  <c r="AF1703" i="26"/>
  <c r="AF1710" i="26"/>
  <c r="AF1711" i="26"/>
  <c r="AF1712" i="26"/>
  <c r="AF1713" i="26"/>
  <c r="AF1714" i="26"/>
  <c r="AF1715" i="26"/>
  <c r="AF1716" i="26"/>
  <c r="AF1717" i="26"/>
  <c r="AF1718" i="26"/>
  <c r="AF1719" i="26"/>
  <c r="AF1720" i="26"/>
  <c r="AF1721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37" i="26"/>
  <c r="AG38" i="26"/>
  <c r="AG39" i="26"/>
  <c r="AG40" i="26"/>
  <c r="AG41" i="26"/>
  <c r="AG47" i="26"/>
  <c r="AG48" i="26"/>
  <c r="AG49" i="26"/>
  <c r="AG50" i="26"/>
  <c r="AG51" i="26"/>
  <c r="AG52" i="26"/>
  <c r="AG53" i="26"/>
  <c r="AG54" i="26"/>
  <c r="AG64" i="26"/>
  <c r="AG65" i="26"/>
  <c r="AG66" i="26"/>
  <c r="AG67" i="26"/>
  <c r="AG68" i="26"/>
  <c r="AG73" i="26"/>
  <c r="AG74" i="26"/>
  <c r="AG75" i="26"/>
  <c r="AG76" i="26"/>
  <c r="AG77" i="26"/>
  <c r="AG78" i="26"/>
  <c r="AG79" i="26"/>
  <c r="AG80" i="26"/>
  <c r="AG85" i="26"/>
  <c r="AG86" i="26"/>
  <c r="AG87" i="26"/>
  <c r="AG88" i="26"/>
  <c r="AG93" i="26"/>
  <c r="AG94" i="26"/>
  <c r="AG95" i="26"/>
  <c r="AG96" i="26"/>
  <c r="AG97" i="26"/>
  <c r="AG98" i="26"/>
  <c r="AG99" i="26"/>
  <c r="AG100" i="26"/>
  <c r="AG101" i="26"/>
  <c r="AG102" i="26"/>
  <c r="AG103" i="26"/>
  <c r="AG104" i="26"/>
  <c r="AG109" i="26"/>
  <c r="AG110" i="26"/>
  <c r="AG111" i="26"/>
  <c r="AG112" i="26"/>
  <c r="AG113" i="26"/>
  <c r="AG114" i="26"/>
  <c r="AG115" i="26"/>
  <c r="AG116" i="26"/>
  <c r="AG117" i="26"/>
  <c r="AG118" i="26"/>
  <c r="AG119" i="26"/>
  <c r="AG124" i="26"/>
  <c r="AG125" i="26"/>
  <c r="AG129" i="26"/>
  <c r="AG130" i="26"/>
  <c r="AG131" i="26"/>
  <c r="AG132" i="26"/>
  <c r="AG133" i="26"/>
  <c r="AG134" i="26"/>
  <c r="AG135" i="26"/>
  <c r="AG136" i="26"/>
  <c r="AG137" i="26"/>
  <c r="AG138" i="26"/>
  <c r="AG139" i="26"/>
  <c r="AG144" i="26"/>
  <c r="AG145" i="26"/>
  <c r="AG146" i="26"/>
  <c r="AG147" i="26"/>
  <c r="AG148" i="26"/>
  <c r="AG149" i="26"/>
  <c r="AG150" i="26"/>
  <c r="AG151" i="26"/>
  <c r="AG152" i="26"/>
  <c r="AG167" i="26"/>
  <c r="AG168" i="26"/>
  <c r="AG169" i="26"/>
  <c r="AG170" i="26"/>
  <c r="AG171" i="26"/>
  <c r="AG172" i="26"/>
  <c r="AG177" i="26"/>
  <c r="AG178" i="26"/>
  <c r="AG179" i="26"/>
  <c r="AG184" i="26"/>
  <c r="AG185" i="26"/>
  <c r="AG195" i="26"/>
  <c r="AG196" i="26"/>
  <c r="AG201" i="26"/>
  <c r="AG202" i="26"/>
  <c r="AG203" i="26"/>
  <c r="AG204" i="26"/>
  <c r="AG205" i="26"/>
  <c r="AG210" i="26"/>
  <c r="AG211" i="26"/>
  <c r="AG212" i="26"/>
  <c r="AG213" i="26"/>
  <c r="AG214" i="26"/>
  <c r="AG220" i="26"/>
  <c r="AG221" i="26"/>
  <c r="AG222" i="26"/>
  <c r="AG223" i="26"/>
  <c r="AG224" i="26"/>
  <c r="AG230" i="26"/>
  <c r="AG231" i="26"/>
  <c r="AG232" i="26"/>
  <c r="AG241" i="26"/>
  <c r="AG242" i="26"/>
  <c r="AG247" i="26"/>
  <c r="AG248" i="26"/>
  <c r="AG249" i="26"/>
  <c r="AG250" i="26"/>
  <c r="AG251" i="26"/>
  <c r="AG252" i="26"/>
  <c r="AG253" i="26"/>
  <c r="AG254" i="26"/>
  <c r="AG255" i="26"/>
  <c r="AG256" i="26"/>
  <c r="AG257" i="26"/>
  <c r="AG258" i="26"/>
  <c r="AG259" i="26"/>
  <c r="AG260" i="26"/>
  <c r="AG261" i="26"/>
  <c r="AG262" i="26"/>
  <c r="AG263" i="26"/>
  <c r="AG264" i="26"/>
  <c r="AG272" i="26"/>
  <c r="AG273" i="26"/>
  <c r="AG279" i="26"/>
  <c r="AG280" i="26"/>
  <c r="AG281" i="26"/>
  <c r="AG287" i="26"/>
  <c r="AG288" i="26"/>
  <c r="AG289" i="26"/>
  <c r="AG290" i="26"/>
  <c r="AG291" i="26"/>
  <c r="AG296" i="26"/>
  <c r="AG297" i="26"/>
  <c r="AG298" i="26"/>
  <c r="AG299" i="26"/>
  <c r="AG307" i="26"/>
  <c r="AG308" i="26"/>
  <c r="AG309" i="26"/>
  <c r="AG318" i="26"/>
  <c r="AG319" i="26"/>
  <c r="AG320" i="26"/>
  <c r="AG321" i="26"/>
  <c r="AG330" i="26"/>
  <c r="AG331" i="26"/>
  <c r="AG339" i="26"/>
  <c r="AG340" i="26"/>
  <c r="AG341" i="26"/>
  <c r="AG342" i="26"/>
  <c r="AG343" i="26"/>
  <c r="AG344" i="26"/>
  <c r="AG345" i="26"/>
  <c r="AG346" i="26"/>
  <c r="AG347" i="26"/>
  <c r="AG348" i="26"/>
  <c r="AG349" i="26"/>
  <c r="AG350" i="26"/>
  <c r="AG355" i="26"/>
  <c r="AG356" i="26"/>
  <c r="AG357" i="26"/>
  <c r="AG358" i="26"/>
  <c r="AG359" i="26"/>
  <c r="AG360" i="26"/>
  <c r="AG366" i="26"/>
  <c r="AG367" i="26"/>
  <c r="AG368" i="26"/>
  <c r="AG369" i="26"/>
  <c r="AG370" i="26"/>
  <c r="AG371" i="26"/>
  <c r="AG372" i="26"/>
  <c r="AG373" i="26"/>
  <c r="AG374" i="26"/>
  <c r="AG375" i="26"/>
  <c r="AG376" i="26"/>
  <c r="AG377" i="26"/>
  <c r="AG378" i="26"/>
  <c r="AG383" i="26"/>
  <c r="AG384" i="26"/>
  <c r="AG385" i="26"/>
  <c r="AG386" i="26"/>
  <c r="AG387" i="26"/>
  <c r="AG388" i="26"/>
  <c r="AG389" i="26"/>
  <c r="AG395" i="26"/>
  <c r="AG396" i="26"/>
  <c r="AG397" i="26"/>
  <c r="AG398" i="26"/>
  <c r="AG399" i="26"/>
  <c r="AG400" i="26"/>
  <c r="AG401" i="26"/>
  <c r="AG402" i="26"/>
  <c r="AG403" i="26"/>
  <c r="AG404" i="26"/>
  <c r="AG405" i="26"/>
  <c r="AG410" i="26"/>
  <c r="AG411" i="26"/>
  <c r="AG412" i="26"/>
  <c r="AG413" i="26"/>
  <c r="AG414" i="26"/>
  <c r="AG415" i="26"/>
  <c r="AG420" i="26"/>
  <c r="AG421" i="26"/>
  <c r="AG422" i="26"/>
  <c r="AG427" i="26"/>
  <c r="AG428" i="26"/>
  <c r="AG429" i="26"/>
  <c r="AG430" i="26"/>
  <c r="AG431" i="26"/>
  <c r="AG432" i="26"/>
  <c r="AG433" i="26"/>
  <c r="AG438" i="26"/>
  <c r="AG439" i="26"/>
  <c r="AG440" i="26"/>
  <c r="AG441" i="26"/>
  <c r="AG442" i="26"/>
  <c r="AG465" i="26"/>
  <c r="AG466" i="26"/>
  <c r="AG467" i="26"/>
  <c r="AG468" i="26"/>
  <c r="AG469" i="26"/>
  <c r="AG470" i="26"/>
  <c r="AG471" i="26"/>
  <c r="AG472" i="26"/>
  <c r="AG473" i="26"/>
  <c r="AG474" i="26"/>
  <c r="AG475" i="26"/>
  <c r="AG480" i="26"/>
  <c r="AG481" i="26"/>
  <c r="AG482" i="26"/>
  <c r="AG483" i="26"/>
  <c r="AG484" i="26"/>
  <c r="AG491" i="26"/>
  <c r="AG492" i="26"/>
  <c r="AG493" i="26"/>
  <c r="AG494" i="26"/>
  <c r="AG504" i="26"/>
  <c r="AG505" i="26"/>
  <c r="AG506" i="26"/>
  <c r="AG507" i="26"/>
  <c r="AG518" i="26"/>
  <c r="AG519" i="26"/>
  <c r="AG520" i="26"/>
  <c r="AG521" i="26"/>
  <c r="AG522" i="26"/>
  <c r="AG523" i="26"/>
  <c r="AG524" i="26"/>
  <c r="AG525" i="26"/>
  <c r="AG526" i="26"/>
  <c r="AG527" i="26"/>
  <c r="AG528" i="26"/>
  <c r="AG529" i="26"/>
  <c r="AG530" i="26"/>
  <c r="AG531" i="26"/>
  <c r="AG532" i="26"/>
  <c r="AG533" i="26"/>
  <c r="AG534" i="26"/>
  <c r="AG535" i="26"/>
  <c r="AG536" i="26"/>
  <c r="AG537" i="26"/>
  <c r="AG538" i="26"/>
  <c r="AG545" i="26"/>
  <c r="AG546" i="26"/>
  <c r="AG547" i="26"/>
  <c r="AG549" i="26"/>
  <c r="AG550" i="26"/>
  <c r="AG551" i="26"/>
  <c r="AG552" i="26"/>
  <c r="AG553" i="26"/>
  <c r="AG559" i="26"/>
  <c r="AG560" i="26"/>
  <c r="AG561" i="26"/>
  <c r="AG562" i="26"/>
  <c r="AG563" i="26"/>
  <c r="AG564" i="26"/>
  <c r="AG565" i="26"/>
  <c r="AG566" i="26"/>
  <c r="AG582" i="26"/>
  <c r="AG583" i="26"/>
  <c r="AG584" i="26"/>
  <c r="AG585" i="26"/>
  <c r="AG586" i="26"/>
  <c r="AG592" i="26"/>
  <c r="AG593" i="26"/>
  <c r="AG596" i="26"/>
  <c r="AG597" i="26"/>
  <c r="AG598" i="26"/>
  <c r="AG599" i="26"/>
  <c r="AG600" i="26"/>
  <c r="AG604" i="26"/>
  <c r="AG605" i="26"/>
  <c r="AG606" i="26"/>
  <c r="AG611" i="26"/>
  <c r="AG612" i="26"/>
  <c r="AG613" i="26"/>
  <c r="AG614" i="26"/>
  <c r="AG615" i="26"/>
  <c r="AG616" i="26"/>
  <c r="AG617" i="26"/>
  <c r="AG618" i="26"/>
  <c r="AG619" i="26"/>
  <c r="AG624" i="26"/>
  <c r="AG625" i="26"/>
  <c r="AG626" i="26"/>
  <c r="AG627" i="26"/>
  <c r="AG628" i="26"/>
  <c r="AG629" i="26"/>
  <c r="AG630" i="26"/>
  <c r="AG631" i="26"/>
  <c r="AG632" i="26"/>
  <c r="AG633" i="26"/>
  <c r="AG634" i="26"/>
  <c r="AG635" i="26"/>
  <c r="AG636" i="26"/>
  <c r="AG637" i="26"/>
  <c r="AG646" i="26"/>
  <c r="AG647" i="26"/>
  <c r="AG648" i="26"/>
  <c r="AG649" i="26"/>
  <c r="AG650" i="26"/>
  <c r="AG651" i="26"/>
  <c r="AG652" i="26"/>
  <c r="AG653" i="26"/>
  <c r="AG654" i="26"/>
  <c r="AG668" i="26"/>
  <c r="AG669" i="26"/>
  <c r="AG670" i="26"/>
  <c r="AG671" i="26"/>
  <c r="AG672" i="26"/>
  <c r="AG673" i="26"/>
  <c r="AG674" i="26"/>
  <c r="AG675" i="26"/>
  <c r="AG676" i="26"/>
  <c r="AG677" i="26"/>
  <c r="AG678" i="26"/>
  <c r="AG679" i="26"/>
  <c r="AG684" i="26"/>
  <c r="AG685" i="26"/>
  <c r="AG686" i="26"/>
  <c r="AG687" i="26"/>
  <c r="AG688" i="26"/>
  <c r="AG689" i="26"/>
  <c r="AG690" i="26"/>
  <c r="AG691" i="26"/>
  <c r="AG692" i="26"/>
  <c r="AG693" i="26"/>
  <c r="AG694" i="26"/>
  <c r="AG695" i="26"/>
  <c r="AG696" i="26"/>
  <c r="AG697" i="26"/>
  <c r="AG698" i="26"/>
  <c r="AG703" i="26"/>
  <c r="AG704" i="26"/>
  <c r="AG705" i="26"/>
  <c r="AG706" i="26"/>
  <c r="AG707" i="26"/>
  <c r="AG708" i="26"/>
  <c r="AG709" i="26"/>
  <c r="AG710" i="26"/>
  <c r="AG711" i="26"/>
  <c r="AG712" i="26"/>
  <c r="AG713" i="26"/>
  <c r="AG714" i="26"/>
  <c r="AG715" i="26"/>
  <c r="AG716" i="26"/>
  <c r="AG717" i="26"/>
  <c r="AG718" i="26"/>
  <c r="AG719" i="26"/>
  <c r="AG720" i="26"/>
  <c r="AG721" i="26"/>
  <c r="AG722" i="26"/>
  <c r="AG723" i="26"/>
  <c r="AG724" i="26"/>
  <c r="AG725" i="26"/>
  <c r="AG726" i="26"/>
  <c r="AG727" i="26"/>
  <c r="AG728" i="26"/>
  <c r="AG729" i="26"/>
  <c r="AG730" i="26"/>
  <c r="AG731" i="26"/>
  <c r="AG732" i="26"/>
  <c r="AG733" i="26"/>
  <c r="AG734" i="26"/>
  <c r="AG735" i="26"/>
  <c r="AG736" i="26"/>
  <c r="AG737" i="26"/>
  <c r="AG738" i="26"/>
  <c r="AG743" i="26"/>
  <c r="AG744" i="26"/>
  <c r="AG745" i="26"/>
  <c r="AG746" i="26"/>
  <c r="AG758" i="26"/>
  <c r="AG759" i="26"/>
  <c r="AG760" i="26"/>
  <c r="AG761" i="26"/>
  <c r="AG762" i="26"/>
  <c r="AG771" i="26"/>
  <c r="AG772" i="26"/>
  <c r="AG773" i="26"/>
  <c r="AG774" i="26"/>
  <c r="AG775" i="26"/>
  <c r="AG776" i="26"/>
  <c r="AG777" i="26"/>
  <c r="AG778" i="26"/>
  <c r="AG787" i="26"/>
  <c r="AG788" i="26"/>
  <c r="AG789" i="26"/>
  <c r="AG790" i="26"/>
  <c r="AG797" i="26"/>
  <c r="AG798" i="26"/>
  <c r="AG799" i="26"/>
  <c r="AG800" i="26"/>
  <c r="AG801" i="26"/>
  <c r="AG802" i="26"/>
  <c r="AG803" i="26"/>
  <c r="AG804" i="26"/>
  <c r="AG805" i="26"/>
  <c r="AG814" i="26"/>
  <c r="AG815" i="26"/>
  <c r="AG816" i="26"/>
  <c r="AG817" i="26"/>
  <c r="AG818" i="26"/>
  <c r="AG821" i="26"/>
  <c r="AG822" i="26"/>
  <c r="AG823" i="26"/>
  <c r="AG829" i="26"/>
  <c r="AG830" i="26"/>
  <c r="AG834" i="26"/>
  <c r="AG835" i="26"/>
  <c r="AG841" i="26"/>
  <c r="AG842" i="26"/>
  <c r="AG843" i="26"/>
  <c r="AG844" i="26"/>
  <c r="AG855" i="26"/>
  <c r="AG856" i="26"/>
  <c r="AG862" i="26"/>
  <c r="AG863" i="26"/>
  <c r="AG864" i="26"/>
  <c r="AG865" i="26"/>
  <c r="AG866" i="26"/>
  <c r="AG867" i="26"/>
  <c r="AG868" i="26"/>
  <c r="AG869" i="26"/>
  <c r="AG870" i="26"/>
  <c r="AG871" i="26"/>
  <c r="AG877" i="26"/>
  <c r="AG878" i="26"/>
  <c r="AG879" i="26"/>
  <c r="AG880" i="26"/>
  <c r="AG881" i="26"/>
  <c r="AG887" i="26"/>
  <c r="AG888" i="26"/>
  <c r="AG889" i="26"/>
  <c r="AG895" i="26"/>
  <c r="AG896" i="26"/>
  <c r="AG897" i="26"/>
  <c r="AG898" i="26"/>
  <c r="AG899" i="26"/>
  <c r="AG900" i="26"/>
  <c r="AG901" i="26"/>
  <c r="AG902" i="26"/>
  <c r="AG903" i="26"/>
  <c r="AG904" i="26"/>
  <c r="AG920" i="26"/>
  <c r="AG921" i="26"/>
  <c r="AG922" i="26"/>
  <c r="AG923" i="26"/>
  <c r="AG924" i="26"/>
  <c r="AG925" i="26"/>
  <c r="AG926" i="26"/>
  <c r="AG927" i="26"/>
  <c r="AG928" i="26"/>
  <c r="AG929" i="26"/>
  <c r="AG930" i="26"/>
  <c r="AG931" i="26"/>
  <c r="AG932" i="26"/>
  <c r="AG933" i="26"/>
  <c r="AG934" i="26"/>
  <c r="AG935" i="26"/>
  <c r="AG936" i="26"/>
  <c r="AG958" i="26"/>
  <c r="AG959" i="26"/>
  <c r="AG960" i="26"/>
  <c r="AG961" i="26"/>
  <c r="AG962" i="26"/>
  <c r="AG963" i="26"/>
  <c r="AG964" i="26"/>
  <c r="AG965" i="26"/>
  <c r="AG966" i="26"/>
  <c r="AG967" i="26"/>
  <c r="AG970" i="26"/>
  <c r="AG971" i="26"/>
  <c r="AG978" i="26"/>
  <c r="AG979" i="26"/>
  <c r="AG980" i="26"/>
  <c r="AG985" i="26"/>
  <c r="AG986" i="26"/>
  <c r="AG987" i="26"/>
  <c r="AG988" i="26"/>
  <c r="AG989" i="26"/>
  <c r="AG990" i="26"/>
  <c r="AG991" i="26"/>
  <c r="AG992" i="26"/>
  <c r="AG993" i="26"/>
  <c r="AG994" i="26"/>
  <c r="AG995" i="26"/>
  <c r="AG996" i="26"/>
  <c r="AG997" i="26"/>
  <c r="AG998" i="26"/>
  <c r="AG1006" i="26"/>
  <c r="AG1007" i="26"/>
  <c r="AG1008" i="26"/>
  <c r="AG1009" i="26"/>
  <c r="AG1010" i="26"/>
  <c r="AG1014" i="26"/>
  <c r="AG1015" i="26"/>
  <c r="AG1016" i="26"/>
  <c r="AG1017" i="26"/>
  <c r="AG1018" i="26"/>
  <c r="AG1028" i="26"/>
  <c r="AG1029" i="26"/>
  <c r="AG1030" i="26"/>
  <c r="AG1031" i="26"/>
  <c r="AG1032" i="26"/>
  <c r="AG1037" i="26"/>
  <c r="AG1038" i="26"/>
  <c r="AG1039" i="26"/>
  <c r="AG1040" i="26"/>
  <c r="AG1041" i="26"/>
  <c r="AG1042" i="26"/>
  <c r="AG1043" i="26"/>
  <c r="AG1044" i="26"/>
  <c r="AG1045" i="26"/>
  <c r="AG1046" i="26"/>
  <c r="AG1047" i="26"/>
  <c r="AG1048" i="26"/>
  <c r="AG1049" i="26"/>
  <c r="AG1050" i="26"/>
  <c r="AG1051" i="26"/>
  <c r="AG1052" i="26"/>
  <c r="AG1053" i="26"/>
  <c r="AG1054" i="26"/>
  <c r="AG1055" i="26"/>
  <c r="AG1059" i="26"/>
  <c r="AG1060" i="26"/>
  <c r="AG1066" i="26"/>
  <c r="AG1067" i="26"/>
  <c r="AG1068" i="26"/>
  <c r="AG1069" i="26"/>
  <c r="AG1070" i="26"/>
  <c r="AG1071" i="26"/>
  <c r="AG1072" i="26"/>
  <c r="AG1073" i="26"/>
  <c r="AG1074" i="26"/>
  <c r="AG1075" i="26"/>
  <c r="AG1076" i="26"/>
  <c r="AG1077" i="26"/>
  <c r="AG1078" i="26"/>
  <c r="AG1079" i="26"/>
  <c r="AG1080" i="26"/>
  <c r="AG1081" i="26"/>
  <c r="AG1082" i="26"/>
  <c r="AG1087" i="26"/>
  <c r="AG1088" i="26"/>
  <c r="AG1089" i="26"/>
  <c r="AG1090" i="26"/>
  <c r="AG1091" i="26"/>
  <c r="AG1096" i="26"/>
  <c r="AG1097" i="26"/>
  <c r="AG1098" i="26"/>
  <c r="AG1099" i="26"/>
  <c r="AG1100" i="26"/>
  <c r="AG1101" i="26"/>
  <c r="AG1111" i="26"/>
  <c r="AG1112" i="26"/>
  <c r="AG1121" i="26"/>
  <c r="AG1122" i="26"/>
  <c r="AG1131" i="26"/>
  <c r="AG1132" i="26"/>
  <c r="AG1133" i="26"/>
  <c r="AG1134" i="26"/>
  <c r="AG1135" i="26"/>
  <c r="AG1136" i="26"/>
  <c r="AG1137" i="26"/>
  <c r="AG1147" i="26"/>
  <c r="AG1148" i="26"/>
  <c r="AG1149" i="26"/>
  <c r="AG1150" i="26"/>
  <c r="AG1151" i="26"/>
  <c r="AG1154" i="26"/>
  <c r="AG1155" i="26"/>
  <c r="AG1156" i="26"/>
  <c r="AG1157" i="26"/>
  <c r="AG1169" i="26"/>
  <c r="AG1170" i="26"/>
  <c r="AG1171" i="26"/>
  <c r="AG1176" i="26"/>
  <c r="AG1177" i="26"/>
  <c r="AG1182" i="26"/>
  <c r="AG1183" i="26"/>
  <c r="AG1184" i="26"/>
  <c r="AG1185" i="26"/>
  <c r="AG1186" i="26"/>
  <c r="AG1187" i="26"/>
  <c r="AG1188" i="26"/>
  <c r="AG1194" i="26"/>
  <c r="AG1195" i="26"/>
  <c r="AG1196" i="26"/>
  <c r="AG1206" i="26"/>
  <c r="AG1207" i="26"/>
  <c r="AG1208" i="26"/>
  <c r="AG1209" i="26"/>
  <c r="AG1210" i="26"/>
  <c r="AG1216" i="26"/>
  <c r="AG1217" i="26"/>
  <c r="AG1218" i="26"/>
  <c r="AG1219" i="26"/>
  <c r="AG1220" i="26"/>
  <c r="AG1221" i="26"/>
  <c r="AG1222" i="26"/>
  <c r="AG1223" i="26"/>
  <c r="AG1224" i="26"/>
  <c r="AG1242" i="26"/>
  <c r="AG1243" i="26"/>
  <c r="AG1244" i="26"/>
  <c r="AG1249" i="26"/>
  <c r="AG1250" i="26"/>
  <c r="AG1251" i="26"/>
  <c r="AG1252" i="26"/>
  <c r="AG1253" i="26"/>
  <c r="AG1254" i="26"/>
  <c r="AG1255" i="26"/>
  <c r="AG1256" i="26"/>
  <c r="AG1257" i="26"/>
  <c r="AG1258" i="26"/>
  <c r="AG1259" i="26"/>
  <c r="AG1260" i="26"/>
  <c r="AG1263" i="26"/>
  <c r="AG1264" i="26"/>
  <c r="AG1270" i="26"/>
  <c r="AG1271" i="26"/>
  <c r="AG1272" i="26"/>
  <c r="AG1273" i="26"/>
  <c r="AG1274" i="26"/>
  <c r="AG1275" i="26"/>
  <c r="AG1276" i="26"/>
  <c r="AG1277" i="26"/>
  <c r="AG1278" i="26"/>
  <c r="AG1279" i="26"/>
  <c r="AG1280" i="26"/>
  <c r="AG1281" i="26"/>
  <c r="AG1282" i="26"/>
  <c r="AG1283" i="26"/>
  <c r="AG1284" i="26"/>
  <c r="AG1285" i="26"/>
  <c r="AG1286" i="26"/>
  <c r="AG1287" i="26"/>
  <c r="AG1297" i="26"/>
  <c r="AG1298" i="26"/>
  <c r="AG1299" i="26"/>
  <c r="AG1303" i="26"/>
  <c r="AG1304" i="26"/>
  <c r="AG1305" i="26"/>
  <c r="AG1306" i="26"/>
  <c r="AG1307" i="26"/>
  <c r="AG1308" i="26"/>
  <c r="AG1309" i="26"/>
  <c r="AG1310" i="26"/>
  <c r="AG1311" i="26"/>
  <c r="AG1312" i="26"/>
  <c r="AG1320" i="26"/>
  <c r="AG1321" i="26"/>
  <c r="AG1322" i="26"/>
  <c r="AG1323" i="26"/>
  <c r="AG1324" i="26"/>
  <c r="AG1325" i="26"/>
  <c r="AG1326" i="26"/>
  <c r="AG1327" i="26"/>
  <c r="AG1328" i="26"/>
  <c r="AG1329" i="26"/>
  <c r="AG1336" i="26"/>
  <c r="AG1337" i="26"/>
  <c r="AG1343" i="26"/>
  <c r="AG1344" i="26"/>
  <c r="AG1345" i="26"/>
  <c r="AG1346" i="26"/>
  <c r="AG1358" i="26"/>
  <c r="AG1359" i="26"/>
  <c r="AG1360" i="26"/>
  <c r="AG1361" i="26"/>
  <c r="AG1362" i="26"/>
  <c r="AG1363" i="26"/>
  <c r="AG1364" i="26"/>
  <c r="AG1365" i="26"/>
  <c r="AG1366" i="26"/>
  <c r="AG1371" i="26"/>
  <c r="AG1372" i="26"/>
  <c r="AG1373" i="26"/>
  <c r="AG1374" i="26"/>
  <c r="AG1375" i="26"/>
  <c r="AG1376" i="26"/>
  <c r="AG1377" i="26"/>
  <c r="AG1378" i="26"/>
  <c r="AG1390" i="26"/>
  <c r="AG1391" i="26"/>
  <c r="AG1396" i="26"/>
  <c r="AG1397" i="26"/>
  <c r="AG1398" i="26"/>
  <c r="AG1399" i="26"/>
  <c r="AG1400" i="26"/>
  <c r="AG1401" i="26"/>
  <c r="AG1402" i="26"/>
  <c r="AG1409" i="26"/>
  <c r="AG1410" i="26"/>
  <c r="AG1415" i="26"/>
  <c r="AG1416" i="26"/>
  <c r="AG1417" i="26"/>
  <c r="AG1418" i="26"/>
  <c r="AG1420" i="26"/>
  <c r="AG1421" i="26"/>
  <c r="AG1422" i="26"/>
  <c r="AG1423" i="26"/>
  <c r="AG1424" i="26"/>
  <c r="AG1425" i="26"/>
  <c r="AG1426" i="26"/>
  <c r="AG1427" i="26"/>
  <c r="AG1428" i="26"/>
  <c r="AG1439" i="26"/>
  <c r="AG1440" i="26"/>
  <c r="AG1441" i="26"/>
  <c r="AG1442" i="26"/>
  <c r="AG1443" i="26"/>
  <c r="AG1444" i="26"/>
  <c r="AG1448" i="26"/>
  <c r="AG1449" i="26"/>
  <c r="AG1450" i="26"/>
  <c r="AG1470" i="26"/>
  <c r="AG1471" i="26"/>
  <c r="AG1472" i="26"/>
  <c r="AG1473" i="26"/>
  <c r="AG1474" i="26"/>
  <c r="AG1475" i="26"/>
  <c r="AG1476" i="26"/>
  <c r="AG1477" i="26"/>
  <c r="AG1478" i="26"/>
  <c r="AG1479" i="26"/>
  <c r="AG1480" i="26"/>
  <c r="AG1481" i="26"/>
  <c r="AG1482" i="26"/>
  <c r="AG1483" i="26"/>
  <c r="AG1493" i="26"/>
  <c r="AG1494" i="26"/>
  <c r="AG1495" i="26"/>
  <c r="AG1496" i="26"/>
  <c r="AG1497" i="26"/>
  <c r="AG1502" i="26"/>
  <c r="AG1503" i="26"/>
  <c r="AG1504" i="26"/>
  <c r="AG1505" i="26"/>
  <c r="AG1519" i="26"/>
  <c r="AG1520" i="26"/>
  <c r="AG1521" i="26"/>
  <c r="AG1522" i="26"/>
  <c r="AG1523" i="26"/>
  <c r="AG1524" i="26"/>
  <c r="AG1525" i="26"/>
  <c r="AG1526" i="26"/>
  <c r="AG1527" i="26"/>
  <c r="AG1528" i="26"/>
  <c r="AG1529" i="26"/>
  <c r="AG1530" i="26"/>
  <c r="AG1531" i="26"/>
  <c r="AG1532" i="26"/>
  <c r="AG1533" i="26"/>
  <c r="AG1534" i="26"/>
  <c r="AG1535" i="26"/>
  <c r="AG1536" i="26"/>
  <c r="AG1537" i="26"/>
  <c r="AG1538" i="26"/>
  <c r="AG1539" i="26"/>
  <c r="AG1540" i="26"/>
  <c r="AG1541" i="26"/>
  <c r="AG1542" i="26"/>
  <c r="AG1543" i="26"/>
  <c r="AG1544" i="26"/>
  <c r="AG1545" i="26"/>
  <c r="AG1549" i="26"/>
  <c r="AG1550" i="26"/>
  <c r="AG1551" i="26"/>
  <c r="AG1552" i="26"/>
  <c r="AG1553" i="26"/>
  <c r="AG1554" i="26"/>
  <c r="AG1558" i="26"/>
  <c r="AG1559" i="26"/>
  <c r="AG1560" i="26"/>
  <c r="AG1561" i="26"/>
  <c r="AG1562" i="26"/>
  <c r="AG1563" i="26"/>
  <c r="AG1564" i="26"/>
  <c r="AG1565" i="26"/>
  <c r="AG1566" i="26"/>
  <c r="AG1567" i="26"/>
  <c r="AG1568" i="26"/>
  <c r="AG1569" i="26"/>
  <c r="AG1570" i="26"/>
  <c r="AG1575" i="26"/>
  <c r="AG1576" i="26"/>
  <c r="AG1588" i="26"/>
  <c r="AG1589" i="26"/>
  <c r="AG1590" i="26"/>
  <c r="AG1594" i="26"/>
  <c r="AG1595" i="26"/>
  <c r="AG1596" i="26"/>
  <c r="AG1597" i="26"/>
  <c r="AG1598" i="26"/>
  <c r="AG1599" i="26"/>
  <c r="AG1606" i="26"/>
  <c r="AG1607" i="26"/>
  <c r="AG1608" i="26"/>
  <c r="AG1609" i="26"/>
  <c r="AG1610" i="26"/>
  <c r="AG1620" i="26"/>
  <c r="AG1621" i="26"/>
  <c r="AG1622" i="26"/>
  <c r="AG1623" i="26"/>
  <c r="AG1624" i="26"/>
  <c r="AG1625" i="26"/>
  <c r="AG1626" i="26"/>
  <c r="AG1633" i="26"/>
  <c r="AG1634" i="26"/>
  <c r="AG1635" i="26"/>
  <c r="AG1636" i="26"/>
  <c r="AG1637" i="26"/>
  <c r="AG1638" i="26"/>
  <c r="AG1639" i="26"/>
  <c r="AG1640" i="26"/>
  <c r="AG1650" i="26"/>
  <c r="AG1651" i="26"/>
  <c r="AG1652" i="26"/>
  <c r="AG1653" i="26"/>
  <c r="AG1658" i="26"/>
  <c r="AG1659" i="26"/>
  <c r="AG1660" i="26"/>
  <c r="AG1661" i="26"/>
  <c r="AG1674" i="26"/>
  <c r="AG1675" i="26"/>
  <c r="AG1676" i="26"/>
  <c r="AG1677" i="26"/>
  <c r="AG1685" i="26"/>
  <c r="AG1686" i="26"/>
  <c r="AG1687" i="26"/>
  <c r="AG1688" i="26"/>
  <c r="AG1689" i="26"/>
  <c r="AG1690" i="26"/>
  <c r="AG1695" i="26"/>
  <c r="AG1696" i="26"/>
  <c r="AG1697" i="26"/>
  <c r="AG1698" i="26"/>
  <c r="AG1699" i="26"/>
  <c r="AG1700" i="26"/>
  <c r="AG1701" i="26"/>
  <c r="AG1702" i="26"/>
  <c r="AG1703" i="26"/>
  <c r="AG1710" i="26"/>
  <c r="AG1711" i="26"/>
  <c r="AG1712" i="26"/>
  <c r="AG1713" i="26"/>
  <c r="AG1714" i="26"/>
  <c r="AG1715" i="26"/>
  <c r="AG1716" i="26"/>
  <c r="AG1717" i="26"/>
  <c r="AG1718" i="26"/>
  <c r="AG1719" i="26"/>
  <c r="AG1720" i="26"/>
  <c r="AG1721" i="26"/>
  <c r="AH13" i="26"/>
  <c r="AH14" i="26"/>
  <c r="AH15" i="26"/>
  <c r="AH16" i="26"/>
  <c r="AH17" i="26"/>
  <c r="AH18" i="26"/>
  <c r="AH19" i="26"/>
  <c r="AH20" i="26"/>
  <c r="AH21" i="26"/>
  <c r="AH22" i="26"/>
  <c r="AH23" i="26"/>
  <c r="AH24" i="26"/>
  <c r="AH25" i="26"/>
  <c r="AH26" i="26"/>
  <c r="AH27" i="26"/>
  <c r="AH37" i="26"/>
  <c r="AH38" i="26"/>
  <c r="AH39" i="26"/>
  <c r="AH40" i="26"/>
  <c r="AH41" i="26"/>
  <c r="AH47" i="26"/>
  <c r="AH48" i="26"/>
  <c r="AH49" i="26"/>
  <c r="AH50" i="26"/>
  <c r="AH51" i="26"/>
  <c r="AH52" i="26"/>
  <c r="AH53" i="26"/>
  <c r="AH54" i="26"/>
  <c r="AH64" i="26"/>
  <c r="AH65" i="26"/>
  <c r="AH66" i="26"/>
  <c r="AH67" i="26"/>
  <c r="AH68" i="26"/>
  <c r="AH73" i="26"/>
  <c r="AH74" i="26"/>
  <c r="AH75" i="26"/>
  <c r="AH76" i="26"/>
  <c r="AH77" i="26"/>
  <c r="AH78" i="26"/>
  <c r="AH79" i="26"/>
  <c r="AH80" i="26"/>
  <c r="AH85" i="26"/>
  <c r="AH86" i="26"/>
  <c r="AH87" i="26"/>
  <c r="AH88" i="26"/>
  <c r="AH93" i="26"/>
  <c r="AH94" i="26"/>
  <c r="AH95" i="26"/>
  <c r="AH96" i="26"/>
  <c r="AH97" i="26"/>
  <c r="AH98" i="26"/>
  <c r="AH99" i="26"/>
  <c r="AH100" i="26"/>
  <c r="AH101" i="26"/>
  <c r="AH102" i="26"/>
  <c r="AH103" i="26"/>
  <c r="AH104" i="26"/>
  <c r="AH109" i="26"/>
  <c r="AH110" i="26"/>
  <c r="AH111" i="26"/>
  <c r="AH112" i="26"/>
  <c r="AH113" i="26"/>
  <c r="AH114" i="26"/>
  <c r="AH115" i="26"/>
  <c r="AH116" i="26"/>
  <c r="AH117" i="26"/>
  <c r="AH118" i="26"/>
  <c r="AH119" i="26"/>
  <c r="AH124" i="26"/>
  <c r="AH125" i="26"/>
  <c r="AH129" i="26"/>
  <c r="AH130" i="26"/>
  <c r="AH131" i="26"/>
  <c r="AH132" i="26"/>
  <c r="AH133" i="26"/>
  <c r="AH134" i="26"/>
  <c r="AH135" i="26"/>
  <c r="AH136" i="26"/>
  <c r="AH137" i="26"/>
  <c r="AH138" i="26"/>
  <c r="AH139" i="26"/>
  <c r="AH144" i="26"/>
  <c r="AH145" i="26"/>
  <c r="AH146" i="26"/>
  <c r="AH147" i="26"/>
  <c r="AH148" i="26"/>
  <c r="AH149" i="26"/>
  <c r="AH150" i="26"/>
  <c r="AH151" i="26"/>
  <c r="AH152" i="26"/>
  <c r="AH167" i="26"/>
  <c r="AH168" i="26"/>
  <c r="AH169" i="26"/>
  <c r="AH170" i="26"/>
  <c r="AH171" i="26"/>
  <c r="AH172" i="26"/>
  <c r="AH177" i="26"/>
  <c r="AH178" i="26"/>
  <c r="AH179" i="26"/>
  <c r="AH184" i="26"/>
  <c r="AH185" i="26"/>
  <c r="AH195" i="26"/>
  <c r="AH196" i="26"/>
  <c r="AH201" i="26"/>
  <c r="AH202" i="26"/>
  <c r="AH203" i="26"/>
  <c r="AH204" i="26"/>
  <c r="AH205" i="26"/>
  <c r="AH210" i="26"/>
  <c r="AH211" i="26"/>
  <c r="AH212" i="26"/>
  <c r="AH213" i="26"/>
  <c r="AH214" i="26"/>
  <c r="AH220" i="26"/>
  <c r="AH221" i="26"/>
  <c r="AH222" i="26"/>
  <c r="AH223" i="26"/>
  <c r="AH224" i="26"/>
  <c r="AH230" i="26"/>
  <c r="AH231" i="26"/>
  <c r="AH232" i="26"/>
  <c r="AH241" i="26"/>
  <c r="AH242" i="26"/>
  <c r="AH247" i="26"/>
  <c r="AH248" i="26"/>
  <c r="AH249" i="26"/>
  <c r="AH250" i="26"/>
  <c r="AH251" i="26"/>
  <c r="AH252" i="26"/>
  <c r="AH253" i="26"/>
  <c r="AH254" i="26"/>
  <c r="AH255" i="26"/>
  <c r="AH256" i="26"/>
  <c r="AH257" i="26"/>
  <c r="AH258" i="26"/>
  <c r="AH259" i="26"/>
  <c r="AH260" i="26"/>
  <c r="AH261" i="26"/>
  <c r="AH262" i="26"/>
  <c r="AH263" i="26"/>
  <c r="AH264" i="26"/>
  <c r="AH272" i="26"/>
  <c r="AH273" i="26"/>
  <c r="AH279" i="26"/>
  <c r="AH280" i="26"/>
  <c r="AH281" i="26"/>
  <c r="AH287" i="26"/>
  <c r="AH296" i="26"/>
  <c r="AH297" i="26"/>
  <c r="AH298" i="26"/>
  <c r="AH299" i="26"/>
  <c r="AH307" i="26"/>
  <c r="AH308" i="26"/>
  <c r="AH309" i="26"/>
  <c r="AH318" i="26"/>
  <c r="AH319" i="26"/>
  <c r="AH320" i="26"/>
  <c r="AH321" i="26"/>
  <c r="AH330" i="26"/>
  <c r="AH331" i="26"/>
  <c r="AH339" i="26"/>
  <c r="AH340" i="26"/>
  <c r="AH341" i="26"/>
  <c r="AH342" i="26"/>
  <c r="AH343" i="26"/>
  <c r="AH344" i="26"/>
  <c r="AH345" i="26"/>
  <c r="AH346" i="26"/>
  <c r="AH347" i="26"/>
  <c r="AH348" i="26"/>
  <c r="AH349" i="26"/>
  <c r="AH350" i="26"/>
  <c r="AH355" i="26"/>
  <c r="AH356" i="26"/>
  <c r="AH357" i="26"/>
  <c r="AH358" i="26"/>
  <c r="AH359" i="26"/>
  <c r="AH360" i="26"/>
  <c r="AH366" i="26"/>
  <c r="AH367" i="26"/>
  <c r="AH368" i="26"/>
  <c r="AH369" i="26"/>
  <c r="AH370" i="26"/>
  <c r="AH371" i="26"/>
  <c r="AH372" i="26"/>
  <c r="AH373" i="26"/>
  <c r="AH374" i="26"/>
  <c r="AH375" i="26"/>
  <c r="AH376" i="26"/>
  <c r="AH377" i="26"/>
  <c r="AH378" i="26"/>
  <c r="AH383" i="26"/>
  <c r="AH384" i="26"/>
  <c r="AH385" i="26"/>
  <c r="AH386" i="26"/>
  <c r="AH387" i="26"/>
  <c r="AH388" i="26"/>
  <c r="AH389" i="26"/>
  <c r="AH395" i="26"/>
  <c r="AH396" i="26"/>
  <c r="AH397" i="26"/>
  <c r="AH398" i="26"/>
  <c r="AH399" i="26"/>
  <c r="AH400" i="26"/>
  <c r="AH401" i="26"/>
  <c r="AH402" i="26"/>
  <c r="AH403" i="26"/>
  <c r="AH404" i="26"/>
  <c r="AH405" i="26"/>
  <c r="AH410" i="26"/>
  <c r="AH411" i="26"/>
  <c r="AH412" i="26"/>
  <c r="AH413" i="26"/>
  <c r="AH414" i="26"/>
  <c r="AH415" i="26"/>
  <c r="AH420" i="26"/>
  <c r="AH421" i="26"/>
  <c r="AH422" i="26"/>
  <c r="AH427" i="26"/>
  <c r="AH428" i="26"/>
  <c r="AH429" i="26"/>
  <c r="AH430" i="26"/>
  <c r="AH431" i="26"/>
  <c r="AH432" i="26"/>
  <c r="AH433" i="26"/>
  <c r="AH438" i="26"/>
  <c r="AH439" i="26"/>
  <c r="AH440" i="26"/>
  <c r="AH441" i="26"/>
  <c r="AH442" i="26"/>
  <c r="AH465" i="26"/>
  <c r="AH466" i="26"/>
  <c r="AH467" i="26"/>
  <c r="AH468" i="26"/>
  <c r="AH469" i="26"/>
  <c r="AH470" i="26"/>
  <c r="AH471" i="26"/>
  <c r="AH472" i="26"/>
  <c r="AH473" i="26"/>
  <c r="AH474" i="26"/>
  <c r="AH475" i="26"/>
  <c r="AH480" i="26"/>
  <c r="AH481" i="26"/>
  <c r="AH482" i="26"/>
  <c r="AH483" i="26"/>
  <c r="AH484" i="26"/>
  <c r="AH491" i="26"/>
  <c r="AH492" i="26"/>
  <c r="AH493" i="26"/>
  <c r="AH494" i="26"/>
  <c r="AH504" i="26"/>
  <c r="AH505" i="26"/>
  <c r="AH506" i="26"/>
  <c r="AH507" i="26"/>
  <c r="AH518" i="26"/>
  <c r="AH519" i="26"/>
  <c r="AH520" i="26"/>
  <c r="AH521" i="26"/>
  <c r="AH522" i="26"/>
  <c r="AH523" i="26"/>
  <c r="AH524" i="26"/>
  <c r="AH525" i="26"/>
  <c r="AH526" i="26"/>
  <c r="AH527" i="26"/>
  <c r="AH528" i="26"/>
  <c r="AH529" i="26"/>
  <c r="AH530" i="26"/>
  <c r="AH531" i="26"/>
  <c r="AH532" i="26"/>
  <c r="AH533" i="26"/>
  <c r="AH534" i="26"/>
  <c r="AH535" i="26"/>
  <c r="AH536" i="26"/>
  <c r="AH537" i="26"/>
  <c r="AH538" i="26"/>
  <c r="AH545" i="26"/>
  <c r="AH546" i="26"/>
  <c r="AH547" i="26"/>
  <c r="AH549" i="26"/>
  <c r="AH550" i="26"/>
  <c r="AH551" i="26"/>
  <c r="AH552" i="26"/>
  <c r="AH553" i="26"/>
  <c r="AH559" i="26"/>
  <c r="AH560" i="26"/>
  <c r="AH561" i="26"/>
  <c r="AH562" i="26"/>
  <c r="AH563" i="26"/>
  <c r="AH564" i="26"/>
  <c r="AH565" i="26"/>
  <c r="AH566" i="26"/>
  <c r="AH582" i="26"/>
  <c r="AH583" i="26"/>
  <c r="AH584" i="26"/>
  <c r="AH585" i="26"/>
  <c r="AH586" i="26"/>
  <c r="AH592" i="26"/>
  <c r="AH593" i="26"/>
  <c r="AH596" i="26"/>
  <c r="AH597" i="26"/>
  <c r="AH598" i="26"/>
  <c r="AH599" i="26"/>
  <c r="AH600" i="26"/>
  <c r="AH604" i="26"/>
  <c r="AH605" i="26"/>
  <c r="AH606" i="26"/>
  <c r="AH611" i="26"/>
  <c r="AH612" i="26"/>
  <c r="AH613" i="26"/>
  <c r="AH614" i="26"/>
  <c r="AH615" i="26"/>
  <c r="AH616" i="26"/>
  <c r="AH617" i="26"/>
  <c r="AH618" i="26"/>
  <c r="AH619" i="26"/>
  <c r="AH624" i="26"/>
  <c r="AH625" i="26"/>
  <c r="AH626" i="26"/>
  <c r="AH627" i="26"/>
  <c r="AH628" i="26"/>
  <c r="AH629" i="26"/>
  <c r="AH630" i="26"/>
  <c r="AH631" i="26"/>
  <c r="AH632" i="26"/>
  <c r="AH633" i="26"/>
  <c r="AH634" i="26"/>
  <c r="AH635" i="26"/>
  <c r="AH636" i="26"/>
  <c r="AH637" i="26"/>
  <c r="AH646" i="26"/>
  <c r="AH647" i="26"/>
  <c r="AH648" i="26"/>
  <c r="AH649" i="26"/>
  <c r="AH650" i="26"/>
  <c r="AH651" i="26"/>
  <c r="AH652" i="26"/>
  <c r="AH653" i="26"/>
  <c r="AH654" i="26"/>
  <c r="AH668" i="26"/>
  <c r="AH669" i="26"/>
  <c r="AH670" i="26"/>
  <c r="AH671" i="26"/>
  <c r="AH672" i="26"/>
  <c r="AH673" i="26"/>
  <c r="AH674" i="26"/>
  <c r="AH675" i="26"/>
  <c r="AH676" i="26"/>
  <c r="AH677" i="26"/>
  <c r="AH678" i="26"/>
  <c r="AH679" i="26"/>
  <c r="AH684" i="26"/>
  <c r="AH685" i="26"/>
  <c r="AH686" i="26"/>
  <c r="AH687" i="26"/>
  <c r="AH688" i="26"/>
  <c r="AH689" i="26"/>
  <c r="AH690" i="26"/>
  <c r="AH691" i="26"/>
  <c r="AH692" i="26"/>
  <c r="AH693" i="26"/>
  <c r="AH694" i="26"/>
  <c r="AH695" i="26"/>
  <c r="AH696" i="26"/>
  <c r="AH697" i="26"/>
  <c r="AH698" i="26"/>
  <c r="AH703" i="26"/>
  <c r="AH704" i="26"/>
  <c r="AH705" i="26"/>
  <c r="AH706" i="26"/>
  <c r="AH707" i="26"/>
  <c r="AH708" i="26"/>
  <c r="AH709" i="26"/>
  <c r="AH710" i="26"/>
  <c r="AH711" i="26"/>
  <c r="AH712" i="26"/>
  <c r="AH713" i="26"/>
  <c r="AH714" i="26"/>
  <c r="AH715" i="26"/>
  <c r="AH716" i="26"/>
  <c r="AH717" i="26"/>
  <c r="AH718" i="26"/>
  <c r="AH719" i="26"/>
  <c r="AH720" i="26"/>
  <c r="AH721" i="26"/>
  <c r="AH722" i="26"/>
  <c r="AH723" i="26"/>
  <c r="AH724" i="26"/>
  <c r="AH725" i="26"/>
  <c r="AH726" i="26"/>
  <c r="AH727" i="26"/>
  <c r="AH728" i="26"/>
  <c r="AH729" i="26"/>
  <c r="AH730" i="26"/>
  <c r="AH731" i="26"/>
  <c r="AH732" i="26"/>
  <c r="AH733" i="26"/>
  <c r="AH734" i="26"/>
  <c r="AH735" i="26"/>
  <c r="AH736" i="26"/>
  <c r="AH737" i="26"/>
  <c r="AH738" i="26"/>
  <c r="AH743" i="26"/>
  <c r="AH744" i="26"/>
  <c r="AH745" i="26"/>
  <c r="AH746" i="26"/>
  <c r="AH758" i="26"/>
  <c r="AH759" i="26"/>
  <c r="AH760" i="26"/>
  <c r="AH761" i="26"/>
  <c r="AH762" i="26"/>
  <c r="AH771" i="26"/>
  <c r="AH772" i="26"/>
  <c r="AH773" i="26"/>
  <c r="AH774" i="26"/>
  <c r="AH775" i="26"/>
  <c r="AH776" i="26"/>
  <c r="AH777" i="26"/>
  <c r="AH778" i="26"/>
  <c r="AH787" i="26"/>
  <c r="AH788" i="26"/>
  <c r="AH789" i="26"/>
  <c r="AH790" i="26"/>
  <c r="AH797" i="26"/>
  <c r="AH798" i="26"/>
  <c r="AH799" i="26"/>
  <c r="AH800" i="26"/>
  <c r="AH801" i="26"/>
  <c r="AH802" i="26"/>
  <c r="AH803" i="26"/>
  <c r="AH804" i="26"/>
  <c r="AH805" i="26"/>
  <c r="AH814" i="26"/>
  <c r="AH815" i="26"/>
  <c r="AH816" i="26"/>
  <c r="AH817" i="26"/>
  <c r="AH818" i="26"/>
  <c r="AH821" i="26"/>
  <c r="AH822" i="26"/>
  <c r="AH823" i="26"/>
  <c r="AH829" i="26"/>
  <c r="AH830" i="26"/>
  <c r="AH834" i="26"/>
  <c r="AH835" i="26"/>
  <c r="AH841" i="26"/>
  <c r="AH842" i="26"/>
  <c r="AH843" i="26"/>
  <c r="AH844" i="26"/>
  <c r="AH855" i="26"/>
  <c r="AH856" i="26"/>
  <c r="AH862" i="26"/>
  <c r="AH863" i="26"/>
  <c r="AH864" i="26"/>
  <c r="AH865" i="26"/>
  <c r="AH866" i="26"/>
  <c r="AH867" i="26"/>
  <c r="AH868" i="26"/>
  <c r="AH869" i="26"/>
  <c r="AH870" i="26"/>
  <c r="AH871" i="26"/>
  <c r="AH877" i="26"/>
  <c r="AH878" i="26"/>
  <c r="AH879" i="26"/>
  <c r="AH880" i="26"/>
  <c r="AH881" i="26"/>
  <c r="AH887" i="26"/>
  <c r="AH888" i="26"/>
  <c r="AH889" i="26"/>
  <c r="AH895" i="26"/>
  <c r="AH896" i="26"/>
  <c r="AH897" i="26"/>
  <c r="AH898" i="26"/>
  <c r="AH899" i="26"/>
  <c r="AH900" i="26"/>
  <c r="AH901" i="26"/>
  <c r="AH902" i="26"/>
  <c r="AH903" i="26"/>
  <c r="AH904" i="26"/>
  <c r="AH920" i="26"/>
  <c r="AH921" i="26"/>
  <c r="AH922" i="26"/>
  <c r="AH923" i="26"/>
  <c r="AH924" i="26"/>
  <c r="AH925" i="26"/>
  <c r="AH926" i="26"/>
  <c r="AH927" i="26"/>
  <c r="AH928" i="26"/>
  <c r="AH929" i="26"/>
  <c r="AH930" i="26"/>
  <c r="AH931" i="26"/>
  <c r="AH932" i="26"/>
  <c r="AH933" i="26"/>
  <c r="AH934" i="26"/>
  <c r="AH935" i="26"/>
  <c r="AH936" i="26"/>
  <c r="AH958" i="26"/>
  <c r="AH959" i="26"/>
  <c r="AH960" i="26"/>
  <c r="AH961" i="26"/>
  <c r="AH962" i="26"/>
  <c r="AH963" i="26"/>
  <c r="AH964" i="26"/>
  <c r="AH965" i="26"/>
  <c r="AH966" i="26"/>
  <c r="AH967" i="26"/>
  <c r="AH970" i="26"/>
  <c r="AH971" i="26"/>
  <c r="AH978" i="26"/>
  <c r="AH979" i="26"/>
  <c r="AH980" i="26"/>
  <c r="AH985" i="26"/>
  <c r="AH986" i="26"/>
  <c r="AH987" i="26"/>
  <c r="AH988" i="26"/>
  <c r="AH989" i="26"/>
  <c r="AH990" i="26"/>
  <c r="AH991" i="26"/>
  <c r="AH992" i="26"/>
  <c r="AH993" i="26"/>
  <c r="AH994" i="26"/>
  <c r="AH995" i="26"/>
  <c r="AH996" i="26"/>
  <c r="AH997" i="26"/>
  <c r="AH998" i="26"/>
  <c r="AH1006" i="26"/>
  <c r="AH1007" i="26"/>
  <c r="AH1008" i="26"/>
  <c r="AH1009" i="26"/>
  <c r="AH1010" i="26"/>
  <c r="AH1014" i="26"/>
  <c r="AH1015" i="26"/>
  <c r="AH1016" i="26"/>
  <c r="AH1017" i="26"/>
  <c r="AH1018" i="26"/>
  <c r="AH1028" i="26"/>
  <c r="AH1029" i="26"/>
  <c r="AH1030" i="26"/>
  <c r="AH1031" i="26"/>
  <c r="AH1032" i="26"/>
  <c r="AH1037" i="26"/>
  <c r="AH1038" i="26"/>
  <c r="AH1039" i="26"/>
  <c r="AH1040" i="26"/>
  <c r="AH1041" i="26"/>
  <c r="AH1042" i="26"/>
  <c r="AH1043" i="26"/>
  <c r="AH1044" i="26"/>
  <c r="AH1045" i="26"/>
  <c r="AH1046" i="26"/>
  <c r="AH1047" i="26"/>
  <c r="AH1048" i="26"/>
  <c r="AH1049" i="26"/>
  <c r="AH1050" i="26"/>
  <c r="AH1051" i="26"/>
  <c r="AH1052" i="26"/>
  <c r="AH1053" i="26"/>
  <c r="AH1054" i="26"/>
  <c r="AH1055" i="26"/>
  <c r="AH1059" i="26"/>
  <c r="AH1060" i="26"/>
  <c r="AH1066" i="26"/>
  <c r="AH1067" i="26"/>
  <c r="AH1068" i="26"/>
  <c r="AH1069" i="26"/>
  <c r="AH1070" i="26"/>
  <c r="AH1071" i="26"/>
  <c r="AH1072" i="26"/>
  <c r="AH1073" i="26"/>
  <c r="AH1074" i="26"/>
  <c r="AH1075" i="26"/>
  <c r="AH1076" i="26"/>
  <c r="AH1077" i="26"/>
  <c r="AH1078" i="26"/>
  <c r="AH1079" i="26"/>
  <c r="AH1080" i="26"/>
  <c r="AH1081" i="26"/>
  <c r="AH1082" i="26"/>
  <c r="AH1087" i="26"/>
  <c r="AH1088" i="26"/>
  <c r="AH1089" i="26"/>
  <c r="AH1090" i="26"/>
  <c r="AH1091" i="26"/>
  <c r="AH1096" i="26"/>
  <c r="AH1097" i="26"/>
  <c r="AH1098" i="26"/>
  <c r="AH1099" i="26"/>
  <c r="AH1100" i="26"/>
  <c r="AH1101" i="26"/>
  <c r="AH1111" i="26"/>
  <c r="AH1112" i="26"/>
  <c r="AH1121" i="26"/>
  <c r="AH1122" i="26"/>
  <c r="AH1131" i="26"/>
  <c r="AH1132" i="26"/>
  <c r="AH1133" i="26"/>
  <c r="AH1134" i="26"/>
  <c r="AH1135" i="26"/>
  <c r="AH1136" i="26"/>
  <c r="AH1137" i="26"/>
  <c r="AH1147" i="26"/>
  <c r="AH1148" i="26"/>
  <c r="AH1149" i="26"/>
  <c r="AH1150" i="26"/>
  <c r="AH1151" i="26"/>
  <c r="AH1154" i="26"/>
  <c r="AH1155" i="26"/>
  <c r="AH1156" i="26"/>
  <c r="AH1157" i="26"/>
  <c r="AH1169" i="26"/>
  <c r="AH1170" i="26"/>
  <c r="AH1171" i="26"/>
  <c r="AH1176" i="26"/>
  <c r="AH1177" i="26"/>
  <c r="AH1182" i="26"/>
  <c r="AH1183" i="26"/>
  <c r="AH1184" i="26"/>
  <c r="AH1185" i="26"/>
  <c r="AH1186" i="26"/>
  <c r="AH1187" i="26"/>
  <c r="AH1188" i="26"/>
  <c r="AH1194" i="26"/>
  <c r="AH1195" i="26"/>
  <c r="AH1196" i="26"/>
  <c r="AH1206" i="26"/>
  <c r="AH1207" i="26"/>
  <c r="AH1208" i="26"/>
  <c r="AH1209" i="26"/>
  <c r="AH1210" i="26"/>
  <c r="AH1216" i="26"/>
  <c r="AH1217" i="26"/>
  <c r="AH1218" i="26"/>
  <c r="AH1219" i="26"/>
  <c r="AH1220" i="26"/>
  <c r="AH1221" i="26"/>
  <c r="AH1222" i="26"/>
  <c r="AH1223" i="26"/>
  <c r="AH1224" i="26"/>
  <c r="AH1242" i="26"/>
  <c r="AH1243" i="26"/>
  <c r="AH1244" i="26"/>
  <c r="AH1249" i="26"/>
  <c r="AH1250" i="26"/>
  <c r="AH1251" i="26"/>
  <c r="AH1252" i="26"/>
  <c r="AH1253" i="26"/>
  <c r="AH1254" i="26"/>
  <c r="AH1255" i="26"/>
  <c r="AH1256" i="26"/>
  <c r="AH1257" i="26"/>
  <c r="AH1258" i="26"/>
  <c r="AH1259" i="26"/>
  <c r="AH1260" i="26"/>
  <c r="AH1263" i="26"/>
  <c r="AH1264" i="26"/>
  <c r="AH1270" i="26"/>
  <c r="AH1271" i="26"/>
  <c r="AH1272" i="26"/>
  <c r="AH1273" i="26"/>
  <c r="AH1274" i="26"/>
  <c r="AH1275" i="26"/>
  <c r="AH1276" i="26"/>
  <c r="AH1277" i="26"/>
  <c r="AH1278" i="26"/>
  <c r="AH1279" i="26"/>
  <c r="AH1280" i="26"/>
  <c r="AH1281" i="26"/>
  <c r="AH1282" i="26"/>
  <c r="AH1283" i="26"/>
  <c r="AH1284" i="26"/>
  <c r="AH1285" i="26"/>
  <c r="AH1286" i="26"/>
  <c r="AH1287" i="26"/>
  <c r="AH1297" i="26"/>
  <c r="AH1298" i="26"/>
  <c r="AH1299" i="26"/>
  <c r="AH1303" i="26"/>
  <c r="AH1304" i="26"/>
  <c r="AH1305" i="26"/>
  <c r="AH1306" i="26"/>
  <c r="AH1307" i="26"/>
  <c r="AH1308" i="26"/>
  <c r="AH1309" i="26"/>
  <c r="AH1310" i="26"/>
  <c r="AH1311" i="26"/>
  <c r="AH1312" i="26"/>
  <c r="AH1320" i="26"/>
  <c r="AH1321" i="26"/>
  <c r="AH1322" i="26"/>
  <c r="AH1323" i="26"/>
  <c r="AH1324" i="26"/>
  <c r="AH1325" i="26"/>
  <c r="AH1326" i="26"/>
  <c r="AH1327" i="26"/>
  <c r="AH1328" i="26"/>
  <c r="AH1329" i="26"/>
  <c r="AH1336" i="26"/>
  <c r="AH1337" i="26"/>
  <c r="AH1343" i="26"/>
  <c r="AH1344" i="26"/>
  <c r="AH1345" i="26"/>
  <c r="AH1346" i="26"/>
  <c r="AH1358" i="26"/>
  <c r="AH1359" i="26"/>
  <c r="AH1360" i="26"/>
  <c r="AH1361" i="26"/>
  <c r="AH1362" i="26"/>
  <c r="AH1363" i="26"/>
  <c r="AH1364" i="26"/>
  <c r="AH1365" i="26"/>
  <c r="AH1366" i="26"/>
  <c r="AH1371" i="26"/>
  <c r="AH1372" i="26"/>
  <c r="AH1373" i="26"/>
  <c r="AH1374" i="26"/>
  <c r="AH1375" i="26"/>
  <c r="AH1376" i="26"/>
  <c r="AH1377" i="26"/>
  <c r="AH1378" i="26"/>
  <c r="AH1390" i="26"/>
  <c r="AH1391" i="26"/>
  <c r="AH1396" i="26"/>
  <c r="AH1397" i="26"/>
  <c r="AH1398" i="26"/>
  <c r="AH1399" i="26"/>
  <c r="AH1400" i="26"/>
  <c r="AH1401" i="26"/>
  <c r="AH1402" i="26"/>
  <c r="AH1409" i="26"/>
  <c r="AH1410" i="26"/>
  <c r="AH1415" i="26"/>
  <c r="AH1416" i="26"/>
  <c r="AH1417" i="26"/>
  <c r="AH1418" i="26"/>
  <c r="AH1420" i="26"/>
  <c r="AH1421" i="26"/>
  <c r="AH1422" i="26"/>
  <c r="AH1423" i="26"/>
  <c r="AH1424" i="26"/>
  <c r="AH1425" i="26"/>
  <c r="AH1426" i="26"/>
  <c r="AH1427" i="26"/>
  <c r="AH1428" i="26"/>
  <c r="AH1439" i="26"/>
  <c r="AH1440" i="26"/>
  <c r="AH1441" i="26"/>
  <c r="AH1442" i="26"/>
  <c r="AH1443" i="26"/>
  <c r="AH1444" i="26"/>
  <c r="AH1448" i="26"/>
  <c r="AH1449" i="26"/>
  <c r="AH1450" i="26"/>
  <c r="AH1470" i="26"/>
  <c r="AH1471" i="26"/>
  <c r="AH1472" i="26"/>
  <c r="AH1473" i="26"/>
  <c r="AH1474" i="26"/>
  <c r="AH1475" i="26"/>
  <c r="AH1476" i="26"/>
  <c r="AH1477" i="26"/>
  <c r="AH1478" i="26"/>
  <c r="AH1479" i="26"/>
  <c r="AH1480" i="26"/>
  <c r="AH1481" i="26"/>
  <c r="AH1482" i="26"/>
  <c r="AH1483" i="26"/>
  <c r="AH1493" i="26"/>
  <c r="AH1494" i="26"/>
  <c r="AH1495" i="26"/>
  <c r="AH1496" i="26"/>
  <c r="AH1497" i="26"/>
  <c r="AH1502" i="26"/>
  <c r="AH1503" i="26"/>
  <c r="AH1504" i="26"/>
  <c r="AH1505" i="26"/>
  <c r="AH1519" i="26"/>
  <c r="AH1520" i="26"/>
  <c r="AH1521" i="26"/>
  <c r="AH1522" i="26"/>
  <c r="AH1523" i="26"/>
  <c r="AH1524" i="26"/>
  <c r="AH1525" i="26"/>
  <c r="AH1526" i="26"/>
  <c r="AH1527" i="26"/>
  <c r="AH1528" i="26"/>
  <c r="AH1529" i="26"/>
  <c r="AH1530" i="26"/>
  <c r="AH1531" i="26"/>
  <c r="AH1532" i="26"/>
  <c r="AH1533" i="26"/>
  <c r="AH1534" i="26"/>
  <c r="AH1535" i="26"/>
  <c r="AH1536" i="26"/>
  <c r="AH1537" i="26"/>
  <c r="AH1538" i="26"/>
  <c r="AH1539" i="26"/>
  <c r="AH1540" i="26"/>
  <c r="AH1541" i="26"/>
  <c r="AH1542" i="26"/>
  <c r="AH1543" i="26"/>
  <c r="AH1544" i="26"/>
  <c r="AH1545" i="26"/>
  <c r="AH1549" i="26"/>
  <c r="AH1550" i="26"/>
  <c r="AH1551" i="26"/>
  <c r="AH1552" i="26"/>
  <c r="AH1553" i="26"/>
  <c r="AH1554" i="26"/>
  <c r="AH1558" i="26"/>
  <c r="AH1559" i="26"/>
  <c r="AH1560" i="26"/>
  <c r="AH1561" i="26"/>
  <c r="AH1562" i="26"/>
  <c r="AH1563" i="26"/>
  <c r="AH1564" i="26"/>
  <c r="AH1565" i="26"/>
  <c r="AH1566" i="26"/>
  <c r="AH1567" i="26"/>
  <c r="AH1568" i="26"/>
  <c r="AH1569" i="26"/>
  <c r="AH1570" i="26"/>
  <c r="AH1575" i="26"/>
  <c r="AH1576" i="26"/>
  <c r="AH1588" i="26"/>
  <c r="AH1589" i="26"/>
  <c r="AH1590" i="26"/>
  <c r="AH1594" i="26"/>
  <c r="AH1595" i="26"/>
  <c r="AH1596" i="26"/>
  <c r="AH1597" i="26"/>
  <c r="AH1598" i="26"/>
  <c r="AH1599" i="26"/>
  <c r="AH1606" i="26"/>
  <c r="AH1607" i="26"/>
  <c r="AH1608" i="26"/>
  <c r="AH1609" i="26"/>
  <c r="AH1610" i="26"/>
  <c r="AH1620" i="26"/>
  <c r="AH1621" i="26"/>
  <c r="AH1622" i="26"/>
  <c r="AH1623" i="26"/>
  <c r="AH1624" i="26"/>
  <c r="AH1625" i="26"/>
  <c r="AH1626" i="26"/>
  <c r="AH1633" i="26"/>
  <c r="AH1634" i="26"/>
  <c r="AH1635" i="26"/>
  <c r="AH1636" i="26"/>
  <c r="AH1637" i="26"/>
  <c r="AH1638" i="26"/>
  <c r="AH1639" i="26"/>
  <c r="AH1640" i="26"/>
  <c r="AH1650" i="26"/>
  <c r="AH1651" i="26"/>
  <c r="AH1652" i="26"/>
  <c r="AH1653" i="26"/>
  <c r="AH1658" i="26"/>
  <c r="AH1659" i="26"/>
  <c r="AH1660" i="26"/>
  <c r="AH1661" i="26"/>
  <c r="AH1674" i="26"/>
  <c r="AH1675" i="26"/>
  <c r="AH1676" i="26"/>
  <c r="AH1677" i="26"/>
  <c r="AH1685" i="26"/>
  <c r="AH1686" i="26"/>
  <c r="AH1687" i="26"/>
  <c r="AH1688" i="26"/>
  <c r="AH1689" i="26"/>
  <c r="AH1690" i="26"/>
  <c r="AH1695" i="26"/>
  <c r="AH1696" i="26"/>
  <c r="AH1697" i="26"/>
  <c r="AH1698" i="26"/>
  <c r="AH1699" i="26"/>
  <c r="AH1700" i="26"/>
  <c r="AH1701" i="26"/>
  <c r="AH1702" i="26"/>
  <c r="AH1703" i="26"/>
  <c r="AH1710" i="26"/>
  <c r="AH1711" i="26"/>
  <c r="AH1712" i="26"/>
  <c r="AH1713" i="26"/>
  <c r="AH1714" i="26"/>
  <c r="AH1715" i="26"/>
  <c r="AH1716" i="26"/>
  <c r="AH1717" i="26"/>
  <c r="AH1718" i="26"/>
  <c r="AH1719" i="26"/>
  <c r="AH1720" i="26"/>
  <c r="AH1721" i="26"/>
  <c r="AI13" i="26"/>
  <c r="AI14" i="26"/>
  <c r="AI15" i="26"/>
  <c r="AI16" i="26"/>
  <c r="AI17" i="26"/>
  <c r="AI18" i="26"/>
  <c r="AI19" i="26"/>
  <c r="AI20" i="26"/>
  <c r="AI21" i="26"/>
  <c r="AI22" i="26"/>
  <c r="AI23" i="26"/>
  <c r="AI24" i="26"/>
  <c r="AI25" i="26"/>
  <c r="AI26" i="26"/>
  <c r="AI27" i="26"/>
  <c r="AI37" i="26"/>
  <c r="AI38" i="26"/>
  <c r="AI39" i="26"/>
  <c r="AI40" i="26"/>
  <c r="AI41" i="26"/>
  <c r="AI47" i="26"/>
  <c r="AI48" i="26"/>
  <c r="AI49" i="26"/>
  <c r="AI50" i="26"/>
  <c r="AI51" i="26"/>
  <c r="AI52" i="26"/>
  <c r="AI53" i="26"/>
  <c r="AI54" i="26"/>
  <c r="AI64" i="26"/>
  <c r="AI65" i="26"/>
  <c r="AI66" i="26"/>
  <c r="AI67" i="26"/>
  <c r="AI68" i="26"/>
  <c r="AI73" i="26"/>
  <c r="AI74" i="26"/>
  <c r="AI75" i="26"/>
  <c r="AI76" i="26"/>
  <c r="AI77" i="26"/>
  <c r="AI78" i="26"/>
  <c r="AI79" i="26"/>
  <c r="AI80" i="26"/>
  <c r="AI85" i="26"/>
  <c r="AI86" i="26"/>
  <c r="AI87" i="26"/>
  <c r="AI88" i="26"/>
  <c r="AI93" i="26"/>
  <c r="AI94" i="26"/>
  <c r="AI95" i="26"/>
  <c r="AI96" i="26"/>
  <c r="AI97" i="26"/>
  <c r="AI98" i="26"/>
  <c r="AI99" i="26"/>
  <c r="AI100" i="26"/>
  <c r="AI101" i="26"/>
  <c r="AI102" i="26"/>
  <c r="AI103" i="26"/>
  <c r="AI104" i="26"/>
  <c r="AI109" i="26"/>
  <c r="AI110" i="26"/>
  <c r="AI111" i="26"/>
  <c r="AI112" i="26"/>
  <c r="AI113" i="26"/>
  <c r="AI114" i="26"/>
  <c r="AI115" i="26"/>
  <c r="AI116" i="26"/>
  <c r="AI117" i="26"/>
  <c r="AI118" i="26"/>
  <c r="AI119" i="26"/>
  <c r="AI124" i="26"/>
  <c r="AI125" i="26"/>
  <c r="AI129" i="26"/>
  <c r="AI130" i="26"/>
  <c r="AI131" i="26"/>
  <c r="AI132" i="26"/>
  <c r="AI133" i="26"/>
  <c r="AI134" i="26"/>
  <c r="AI135" i="26"/>
  <c r="AI136" i="26"/>
  <c r="AI137" i="26"/>
  <c r="AI138" i="26"/>
  <c r="AI139" i="26"/>
  <c r="AI144" i="26"/>
  <c r="AI145" i="26"/>
  <c r="AI146" i="26"/>
  <c r="AI147" i="26"/>
  <c r="AI148" i="26"/>
  <c r="AI149" i="26"/>
  <c r="AI150" i="26"/>
  <c r="AI151" i="26"/>
  <c r="AI152" i="26"/>
  <c r="AI167" i="26"/>
  <c r="AI168" i="26"/>
  <c r="AI169" i="26"/>
  <c r="AI170" i="26"/>
  <c r="AI171" i="26"/>
  <c r="AI172" i="26"/>
  <c r="AI177" i="26"/>
  <c r="AI178" i="26"/>
  <c r="AI179" i="26"/>
  <c r="AI184" i="26"/>
  <c r="AI185" i="26"/>
  <c r="AI195" i="26"/>
  <c r="AI196" i="26"/>
  <c r="AI201" i="26"/>
  <c r="AI202" i="26"/>
  <c r="AI203" i="26"/>
  <c r="AI204" i="26"/>
  <c r="AI205" i="26"/>
  <c r="AI210" i="26"/>
  <c r="AI211" i="26"/>
  <c r="AI212" i="26"/>
  <c r="AI213" i="26"/>
  <c r="AI214" i="26"/>
  <c r="AI220" i="26"/>
  <c r="AI221" i="26"/>
  <c r="AI222" i="26"/>
  <c r="AI223" i="26"/>
  <c r="AI224" i="26"/>
  <c r="AI230" i="26"/>
  <c r="AI231" i="26"/>
  <c r="AI232" i="26"/>
  <c r="AI241" i="26"/>
  <c r="AI242" i="26"/>
  <c r="AI247" i="26"/>
  <c r="AI248" i="26"/>
  <c r="AI249" i="26"/>
  <c r="AI250" i="26"/>
  <c r="AI251" i="26"/>
  <c r="AI252" i="26"/>
  <c r="AI253" i="26"/>
  <c r="AI254" i="26"/>
  <c r="AI255" i="26"/>
  <c r="AI256" i="26"/>
  <c r="AI257" i="26"/>
  <c r="AI258" i="26"/>
  <c r="AI259" i="26"/>
  <c r="AI260" i="26"/>
  <c r="AI261" i="26"/>
  <c r="AI262" i="26"/>
  <c r="AI263" i="26"/>
  <c r="AI264" i="26"/>
  <c r="AI272" i="26"/>
  <c r="AI273" i="26"/>
  <c r="AI279" i="26"/>
  <c r="AI280" i="26"/>
  <c r="AI281" i="26"/>
  <c r="AI287" i="26"/>
  <c r="AI288" i="26"/>
  <c r="AI289" i="26"/>
  <c r="AI290" i="26"/>
  <c r="AI291" i="26"/>
  <c r="AI296" i="26"/>
  <c r="AI297" i="26"/>
  <c r="AI298" i="26"/>
  <c r="AI299" i="26"/>
  <c r="AI307" i="26"/>
  <c r="AI308" i="26"/>
  <c r="AI309" i="26"/>
  <c r="AI318" i="26"/>
  <c r="AI319" i="26"/>
  <c r="AI320" i="26"/>
  <c r="AI321" i="26"/>
  <c r="AI330" i="26"/>
  <c r="AI331" i="26"/>
  <c r="AI339" i="26"/>
  <c r="AI340" i="26"/>
  <c r="AI341" i="26"/>
  <c r="AI342" i="26"/>
  <c r="AI343" i="26"/>
  <c r="AI344" i="26"/>
  <c r="AI345" i="26"/>
  <c r="AI346" i="26"/>
  <c r="AI347" i="26"/>
  <c r="AI348" i="26"/>
  <c r="AI349" i="26"/>
  <c r="AI350" i="26"/>
  <c r="AI355" i="26"/>
  <c r="AI356" i="26"/>
  <c r="AI357" i="26"/>
  <c r="AI358" i="26"/>
  <c r="AI359" i="26"/>
  <c r="AI360" i="26"/>
  <c r="AI366" i="26"/>
  <c r="AI367" i="26"/>
  <c r="AI368" i="26"/>
  <c r="AI369" i="26"/>
  <c r="AI370" i="26"/>
  <c r="AI371" i="26"/>
  <c r="AI372" i="26"/>
  <c r="AI373" i="26"/>
  <c r="AI374" i="26"/>
  <c r="AI375" i="26"/>
  <c r="AI376" i="26"/>
  <c r="AI377" i="26"/>
  <c r="AI378" i="26"/>
  <c r="AI383" i="26"/>
  <c r="AI384" i="26"/>
  <c r="AI385" i="26"/>
  <c r="AI386" i="26"/>
  <c r="AI387" i="26"/>
  <c r="AI388" i="26"/>
  <c r="AI389" i="26"/>
  <c r="AI395" i="26"/>
  <c r="AI396" i="26"/>
  <c r="AI397" i="26"/>
  <c r="AI398" i="26"/>
  <c r="AI399" i="26"/>
  <c r="AI400" i="26"/>
  <c r="AI401" i="26"/>
  <c r="AI402" i="26"/>
  <c r="AI403" i="26"/>
  <c r="AI404" i="26"/>
  <c r="AI405" i="26"/>
  <c r="AI410" i="26"/>
  <c r="AI411" i="26"/>
  <c r="AI412" i="26"/>
  <c r="AI413" i="26"/>
  <c r="AI414" i="26"/>
  <c r="AI415" i="26"/>
  <c r="AI420" i="26"/>
  <c r="AI421" i="26"/>
  <c r="AI422" i="26"/>
  <c r="AI427" i="26"/>
  <c r="AI428" i="26"/>
  <c r="AI429" i="26"/>
  <c r="AI430" i="26"/>
  <c r="AI431" i="26"/>
  <c r="AI432" i="26"/>
  <c r="AI433" i="26"/>
  <c r="AI438" i="26"/>
  <c r="AI439" i="26"/>
  <c r="AI440" i="26"/>
  <c r="AI441" i="26"/>
  <c r="AI442" i="26"/>
  <c r="AI465" i="26"/>
  <c r="AI466" i="26"/>
  <c r="AI467" i="26"/>
  <c r="AI468" i="26"/>
  <c r="AI469" i="26"/>
  <c r="AI470" i="26"/>
  <c r="AI471" i="26"/>
  <c r="AI472" i="26"/>
  <c r="AI473" i="26"/>
  <c r="AI474" i="26"/>
  <c r="AI475" i="26"/>
  <c r="AI480" i="26"/>
  <c r="AI481" i="26"/>
  <c r="AI482" i="26"/>
  <c r="AI483" i="26"/>
  <c r="AI484" i="26"/>
  <c r="AI491" i="26"/>
  <c r="AI492" i="26"/>
  <c r="AI493" i="26"/>
  <c r="AI494" i="26"/>
  <c r="AI504" i="26"/>
  <c r="AI505" i="26"/>
  <c r="AI506" i="26"/>
  <c r="AI507" i="26"/>
  <c r="AI518" i="26"/>
  <c r="AI519" i="26"/>
  <c r="AI520" i="26"/>
  <c r="AI521" i="26"/>
  <c r="AI522" i="26"/>
  <c r="AI523" i="26"/>
  <c r="AI524" i="26"/>
  <c r="AI525" i="26"/>
  <c r="AI526" i="26"/>
  <c r="AI527" i="26"/>
  <c r="AI528" i="26"/>
  <c r="AI529" i="26"/>
  <c r="AI530" i="26"/>
  <c r="AI531" i="26"/>
  <c r="AI532" i="26"/>
  <c r="AI533" i="26"/>
  <c r="AI534" i="26"/>
  <c r="AI535" i="26"/>
  <c r="AI536" i="26"/>
  <c r="AI537" i="26"/>
  <c r="AI538" i="26"/>
  <c r="AI545" i="26"/>
  <c r="AI546" i="26"/>
  <c r="AI547" i="26"/>
  <c r="AI549" i="26"/>
  <c r="AI550" i="26"/>
  <c r="AI551" i="26"/>
  <c r="AI552" i="26"/>
  <c r="AI553" i="26"/>
  <c r="AI559" i="26"/>
  <c r="AI560" i="26"/>
  <c r="AI561" i="26"/>
  <c r="AI562" i="26"/>
  <c r="AI563" i="26"/>
  <c r="AI564" i="26"/>
  <c r="AI565" i="26"/>
  <c r="AI566" i="26"/>
  <c r="AI582" i="26"/>
  <c r="AI583" i="26"/>
  <c r="AI584" i="26"/>
  <c r="AI585" i="26"/>
  <c r="AI586" i="26"/>
  <c r="AI592" i="26"/>
  <c r="AI593" i="26"/>
  <c r="AI596" i="26"/>
  <c r="AI597" i="26"/>
  <c r="AI598" i="26"/>
  <c r="AI599" i="26"/>
  <c r="AI600" i="26"/>
  <c r="AI604" i="26"/>
  <c r="AI605" i="26"/>
  <c r="AI606" i="26"/>
  <c r="AI611" i="26"/>
  <c r="AI612" i="26"/>
  <c r="AI613" i="26"/>
  <c r="AI614" i="26"/>
  <c r="AI615" i="26"/>
  <c r="AI616" i="26"/>
  <c r="AI617" i="26"/>
  <c r="AI618" i="26"/>
  <c r="AI619" i="26"/>
  <c r="AI624" i="26"/>
  <c r="AI625" i="26"/>
  <c r="AI626" i="26"/>
  <c r="AI627" i="26"/>
  <c r="AI628" i="26"/>
  <c r="AI629" i="26"/>
  <c r="AI630" i="26"/>
  <c r="AI631" i="26"/>
  <c r="AI632" i="26"/>
  <c r="AI633" i="26"/>
  <c r="AI634" i="26"/>
  <c r="AI635" i="26"/>
  <c r="AI636" i="26"/>
  <c r="AI637" i="26"/>
  <c r="AI646" i="26"/>
  <c r="AI647" i="26"/>
  <c r="AI648" i="26"/>
  <c r="AI649" i="26"/>
  <c r="AI650" i="26"/>
  <c r="AI651" i="26"/>
  <c r="AI652" i="26"/>
  <c r="AI653" i="26"/>
  <c r="AI654" i="26"/>
  <c r="AI668" i="26"/>
  <c r="AI669" i="26"/>
  <c r="AI670" i="26"/>
  <c r="AI671" i="26"/>
  <c r="AI672" i="26"/>
  <c r="AI673" i="26"/>
  <c r="AI674" i="26"/>
  <c r="AI675" i="26"/>
  <c r="AI676" i="26"/>
  <c r="AI677" i="26"/>
  <c r="AI678" i="26"/>
  <c r="AI679" i="26"/>
  <c r="AI684" i="26"/>
  <c r="AI685" i="26"/>
  <c r="AI686" i="26"/>
  <c r="AI687" i="26"/>
  <c r="AI688" i="26"/>
  <c r="AI689" i="26"/>
  <c r="AI690" i="26"/>
  <c r="AI691" i="26"/>
  <c r="AI692" i="26"/>
  <c r="AI693" i="26"/>
  <c r="AI694" i="26"/>
  <c r="AI695" i="26"/>
  <c r="AI696" i="26"/>
  <c r="AI697" i="26"/>
  <c r="AI698" i="26"/>
  <c r="AI703" i="26"/>
  <c r="AI704" i="26"/>
  <c r="AI705" i="26"/>
  <c r="AI706" i="26"/>
  <c r="AI707" i="26"/>
  <c r="AI708" i="26"/>
  <c r="AI709" i="26"/>
  <c r="AI710" i="26"/>
  <c r="AI711" i="26"/>
  <c r="AI712" i="26"/>
  <c r="AI713" i="26"/>
  <c r="AI714" i="26"/>
  <c r="AI715" i="26"/>
  <c r="AI716" i="26"/>
  <c r="AI717" i="26"/>
  <c r="AI718" i="26"/>
  <c r="AI719" i="26"/>
  <c r="AI720" i="26"/>
  <c r="AI721" i="26"/>
  <c r="AI722" i="26"/>
  <c r="AI723" i="26"/>
  <c r="AI724" i="26"/>
  <c r="AI725" i="26"/>
  <c r="AI726" i="26"/>
  <c r="AI727" i="26"/>
  <c r="AI728" i="26"/>
  <c r="AI729" i="26"/>
  <c r="AI730" i="26"/>
  <c r="AI731" i="26"/>
  <c r="AI732" i="26"/>
  <c r="AI733" i="26"/>
  <c r="AI734" i="26"/>
  <c r="AI735" i="26"/>
  <c r="AI736" i="26"/>
  <c r="AI737" i="26"/>
  <c r="AI738" i="26"/>
  <c r="AI743" i="26"/>
  <c r="AI744" i="26"/>
  <c r="AI745" i="26"/>
  <c r="AI746" i="26"/>
  <c r="AI758" i="26"/>
  <c r="AI759" i="26"/>
  <c r="AI760" i="26"/>
  <c r="AI761" i="26"/>
  <c r="AI762" i="26"/>
  <c r="AI771" i="26"/>
  <c r="AI772" i="26"/>
  <c r="AI773" i="26"/>
  <c r="AI774" i="26"/>
  <c r="AI775" i="26"/>
  <c r="AI776" i="26"/>
  <c r="AI777" i="26"/>
  <c r="AI778" i="26"/>
  <c r="AI787" i="26"/>
  <c r="AI788" i="26"/>
  <c r="AI789" i="26"/>
  <c r="AI790" i="26"/>
  <c r="AI797" i="26"/>
  <c r="AI798" i="26"/>
  <c r="AI799" i="26"/>
  <c r="AI800" i="26"/>
  <c r="AI801" i="26"/>
  <c r="AI802" i="26"/>
  <c r="AI803" i="26"/>
  <c r="AI804" i="26"/>
  <c r="AI805" i="26"/>
  <c r="AI814" i="26"/>
  <c r="AI815" i="26"/>
  <c r="AI816" i="26"/>
  <c r="AI817" i="26"/>
  <c r="AI818" i="26"/>
  <c r="AI821" i="26"/>
  <c r="AI822" i="26"/>
  <c r="AI823" i="26"/>
  <c r="AI829" i="26"/>
  <c r="AI830" i="26"/>
  <c r="AI834" i="26"/>
  <c r="AI835" i="26"/>
  <c r="AI841" i="26"/>
  <c r="AI842" i="26"/>
  <c r="AI843" i="26"/>
  <c r="AI844" i="26"/>
  <c r="AI855" i="26"/>
  <c r="AI856" i="26"/>
  <c r="AI862" i="26"/>
  <c r="AI863" i="26"/>
  <c r="AI864" i="26"/>
  <c r="AI865" i="26"/>
  <c r="AI866" i="26"/>
  <c r="AI867" i="26"/>
  <c r="AI868" i="26"/>
  <c r="AI869" i="26"/>
  <c r="AI870" i="26"/>
  <c r="AI871" i="26"/>
  <c r="AI877" i="26"/>
  <c r="AI878" i="26"/>
  <c r="AI879" i="26"/>
  <c r="AI880" i="26"/>
  <c r="AI881" i="26"/>
  <c r="AI887" i="26"/>
  <c r="AI888" i="26"/>
  <c r="AI889" i="26"/>
  <c r="AI895" i="26"/>
  <c r="AI896" i="26"/>
  <c r="AI897" i="26"/>
  <c r="AI898" i="26"/>
  <c r="AI899" i="26"/>
  <c r="AI900" i="26"/>
  <c r="AI901" i="26"/>
  <c r="AI902" i="26"/>
  <c r="AI903" i="26"/>
  <c r="AI904" i="26"/>
  <c r="AI920" i="26"/>
  <c r="AI921" i="26"/>
  <c r="AI922" i="26"/>
  <c r="AI923" i="26"/>
  <c r="AI924" i="26"/>
  <c r="AI925" i="26"/>
  <c r="AI926" i="26"/>
  <c r="AI927" i="26"/>
  <c r="AI928" i="26"/>
  <c r="AI929" i="26"/>
  <c r="AI930" i="26"/>
  <c r="AI931" i="26"/>
  <c r="AI932" i="26"/>
  <c r="AI933" i="26"/>
  <c r="AI934" i="26"/>
  <c r="AI935" i="26"/>
  <c r="AI936" i="26"/>
  <c r="AI958" i="26"/>
  <c r="AI959" i="26"/>
  <c r="AI960" i="26"/>
  <c r="AI961" i="26"/>
  <c r="AI962" i="26"/>
  <c r="AI963" i="26"/>
  <c r="AI964" i="26"/>
  <c r="AI965" i="26"/>
  <c r="AI966" i="26"/>
  <c r="AI967" i="26"/>
  <c r="AI970" i="26"/>
  <c r="AI971" i="26"/>
  <c r="AI978" i="26"/>
  <c r="AI979" i="26"/>
  <c r="AI980" i="26"/>
  <c r="AI985" i="26"/>
  <c r="AI986" i="26"/>
  <c r="AI987" i="26"/>
  <c r="AI988" i="26"/>
  <c r="AI989" i="26"/>
  <c r="AI990" i="26"/>
  <c r="AI991" i="26"/>
  <c r="AI992" i="26"/>
  <c r="AI993" i="26"/>
  <c r="AI994" i="26"/>
  <c r="AI995" i="26"/>
  <c r="AI996" i="26"/>
  <c r="AI997" i="26"/>
  <c r="AI998" i="26"/>
  <c r="AI1006" i="26"/>
  <c r="AI1007" i="26"/>
  <c r="AI1008" i="26"/>
  <c r="AI1009" i="26"/>
  <c r="AI1010" i="26"/>
  <c r="AI1014" i="26"/>
  <c r="AI1015" i="26"/>
  <c r="AI1016" i="26"/>
  <c r="AI1017" i="26"/>
  <c r="AI1018" i="26"/>
  <c r="AI1028" i="26"/>
  <c r="AI1029" i="26"/>
  <c r="AI1030" i="26"/>
  <c r="AI1031" i="26"/>
  <c r="AI1032" i="26"/>
  <c r="AI1037" i="26"/>
  <c r="AI1038" i="26"/>
  <c r="AI1039" i="26"/>
  <c r="AI1040" i="26"/>
  <c r="AI1041" i="26"/>
  <c r="AI1042" i="26"/>
  <c r="AI1043" i="26"/>
  <c r="AI1044" i="26"/>
  <c r="AI1045" i="26"/>
  <c r="AI1046" i="26"/>
  <c r="AI1047" i="26"/>
  <c r="AI1048" i="26"/>
  <c r="AI1049" i="26"/>
  <c r="AI1050" i="26"/>
  <c r="AI1051" i="26"/>
  <c r="AI1052" i="26"/>
  <c r="AI1053" i="26"/>
  <c r="AI1054" i="26"/>
  <c r="AI1055" i="26"/>
  <c r="AI1059" i="26"/>
  <c r="AI1060" i="26"/>
  <c r="AI1066" i="26"/>
  <c r="AI1067" i="26"/>
  <c r="AI1068" i="26"/>
  <c r="AI1069" i="26"/>
  <c r="AI1070" i="26"/>
  <c r="AI1071" i="26"/>
  <c r="AI1072" i="26"/>
  <c r="AI1073" i="26"/>
  <c r="AI1074" i="26"/>
  <c r="AI1075" i="26"/>
  <c r="AI1076" i="26"/>
  <c r="AI1077" i="26"/>
  <c r="AI1078" i="26"/>
  <c r="AI1079" i="26"/>
  <c r="AI1080" i="26"/>
  <c r="AI1081" i="26"/>
  <c r="AI1082" i="26"/>
  <c r="AI1087" i="26"/>
  <c r="AI1088" i="26"/>
  <c r="AI1089" i="26"/>
  <c r="AI1090" i="26"/>
  <c r="AI1091" i="26"/>
  <c r="AI1096" i="26"/>
  <c r="AI1097" i="26"/>
  <c r="AI1098" i="26"/>
  <c r="AI1099" i="26"/>
  <c r="AI1100" i="26"/>
  <c r="AI1101" i="26"/>
  <c r="AI1111" i="26"/>
  <c r="AI1112" i="26"/>
  <c r="AI1121" i="26"/>
  <c r="AI1122" i="26"/>
  <c r="AI1131" i="26"/>
  <c r="AI1132" i="26"/>
  <c r="AI1133" i="26"/>
  <c r="AI1134" i="26"/>
  <c r="AI1135" i="26"/>
  <c r="AI1136" i="26"/>
  <c r="AI1137" i="26"/>
  <c r="AI1147" i="26"/>
  <c r="AI1148" i="26"/>
  <c r="AI1149" i="26"/>
  <c r="AI1150" i="26"/>
  <c r="AI1151" i="26"/>
  <c r="AI1154" i="26"/>
  <c r="AI1155" i="26"/>
  <c r="AI1156" i="26"/>
  <c r="AI1157" i="26"/>
  <c r="AI1169" i="26"/>
  <c r="AI1170" i="26"/>
  <c r="AI1171" i="26"/>
  <c r="AI1176" i="26"/>
  <c r="AI1177" i="26"/>
  <c r="AI1182" i="26"/>
  <c r="AI1183" i="26"/>
  <c r="AI1184" i="26"/>
  <c r="AI1185" i="26"/>
  <c r="AI1186" i="26"/>
  <c r="AI1187" i="26"/>
  <c r="AI1188" i="26"/>
  <c r="AI1194" i="26"/>
  <c r="AI1195" i="26"/>
  <c r="AI1196" i="26"/>
  <c r="AI1206" i="26"/>
  <c r="AI1207" i="26"/>
  <c r="AI1208" i="26"/>
  <c r="AI1209" i="26"/>
  <c r="AI1210" i="26"/>
  <c r="AI1216" i="26"/>
  <c r="AI1217" i="26"/>
  <c r="AI1218" i="26"/>
  <c r="AI1219" i="26"/>
  <c r="AI1220" i="26"/>
  <c r="AI1221" i="26"/>
  <c r="AI1222" i="26"/>
  <c r="AI1223" i="26"/>
  <c r="AI1224" i="26"/>
  <c r="AI1242" i="26"/>
  <c r="AI1243" i="26"/>
  <c r="AI1244" i="26"/>
  <c r="AI1249" i="26"/>
  <c r="AI1250" i="26"/>
  <c r="AI1251" i="26"/>
  <c r="AI1252" i="26"/>
  <c r="AI1253" i="26"/>
  <c r="AI1254" i="26"/>
  <c r="AI1255" i="26"/>
  <c r="AI1256" i="26"/>
  <c r="AI1257" i="26"/>
  <c r="AI1258" i="26"/>
  <c r="AI1259" i="26"/>
  <c r="AI1260" i="26"/>
  <c r="AI1263" i="26"/>
  <c r="AI1264" i="26"/>
  <c r="AI1270" i="26"/>
  <c r="AI1271" i="26"/>
  <c r="AI1272" i="26"/>
  <c r="AI1273" i="26"/>
  <c r="AI1274" i="26"/>
  <c r="AI1275" i="26"/>
  <c r="AI1276" i="26"/>
  <c r="AI1277" i="26"/>
  <c r="AI1278" i="26"/>
  <c r="AI1279" i="26"/>
  <c r="AI1280" i="26"/>
  <c r="AI1281" i="26"/>
  <c r="AI1282" i="26"/>
  <c r="AI1283" i="26"/>
  <c r="AI1284" i="26"/>
  <c r="AI1285" i="26"/>
  <c r="AI1286" i="26"/>
  <c r="AI1287" i="26"/>
  <c r="AI1297" i="26"/>
  <c r="AI1298" i="26"/>
  <c r="AI1299" i="26"/>
  <c r="AI1303" i="26"/>
  <c r="AI1304" i="26"/>
  <c r="AI1305" i="26"/>
  <c r="AI1306" i="26"/>
  <c r="AI1307" i="26"/>
  <c r="AI1308" i="26"/>
  <c r="AI1309" i="26"/>
  <c r="AI1310" i="26"/>
  <c r="AI1311" i="26"/>
  <c r="AI1312" i="26"/>
  <c r="AI1320" i="26"/>
  <c r="AI1321" i="26"/>
  <c r="AI1322" i="26"/>
  <c r="AI1323" i="26"/>
  <c r="AI1324" i="26"/>
  <c r="AI1325" i="26"/>
  <c r="AI1326" i="26"/>
  <c r="AI1327" i="26"/>
  <c r="AI1328" i="26"/>
  <c r="AI1329" i="26"/>
  <c r="AI1336" i="26"/>
  <c r="AI1337" i="26"/>
  <c r="AI1343" i="26"/>
  <c r="AI1344" i="26"/>
  <c r="AI1345" i="26"/>
  <c r="AI1346" i="26"/>
  <c r="AI1358" i="26"/>
  <c r="AI1359" i="26"/>
  <c r="AI1360" i="26"/>
  <c r="AI1361" i="26"/>
  <c r="AI1362" i="26"/>
  <c r="AI1363" i="26"/>
  <c r="AI1364" i="26"/>
  <c r="AI1365" i="26"/>
  <c r="AI1366" i="26"/>
  <c r="AI1371" i="26"/>
  <c r="AI1372" i="26"/>
  <c r="AI1373" i="26"/>
  <c r="AI1374" i="26"/>
  <c r="AI1375" i="26"/>
  <c r="AI1376" i="26"/>
  <c r="AI1377" i="26"/>
  <c r="AI1378" i="26"/>
  <c r="AI1390" i="26"/>
  <c r="AI1391" i="26"/>
  <c r="AI1396" i="26"/>
  <c r="AI1397" i="26"/>
  <c r="AI1398" i="26"/>
  <c r="AI1399" i="26"/>
  <c r="AI1400" i="26"/>
  <c r="AI1401" i="26"/>
  <c r="AI1402" i="26"/>
  <c r="AI1409" i="26"/>
  <c r="AI1410" i="26"/>
  <c r="AI1415" i="26"/>
  <c r="AI1416" i="26"/>
  <c r="AI1417" i="26"/>
  <c r="AI1418" i="26"/>
  <c r="AI1420" i="26"/>
  <c r="AI1421" i="26"/>
  <c r="AI1422" i="26"/>
  <c r="AI1423" i="26"/>
  <c r="AI1424" i="26"/>
  <c r="AI1425" i="26"/>
  <c r="AI1426" i="26"/>
  <c r="AI1427" i="26"/>
  <c r="AI1428" i="26"/>
  <c r="AI1439" i="26"/>
  <c r="AI1440" i="26"/>
  <c r="AI1441" i="26"/>
  <c r="AI1442" i="26"/>
  <c r="AI1443" i="26"/>
  <c r="AI1444" i="26"/>
  <c r="AI1448" i="26"/>
  <c r="AI1449" i="26"/>
  <c r="AI1450" i="26"/>
  <c r="AI1470" i="26"/>
  <c r="AI1471" i="26"/>
  <c r="AI1472" i="26"/>
  <c r="AI1473" i="26"/>
  <c r="AI1474" i="26"/>
  <c r="AI1475" i="26"/>
  <c r="AI1476" i="26"/>
  <c r="AI1477" i="26"/>
  <c r="AI1478" i="26"/>
  <c r="AI1479" i="26"/>
  <c r="AI1480" i="26"/>
  <c r="AI1481" i="26"/>
  <c r="AI1482" i="26"/>
  <c r="AI1483" i="26"/>
  <c r="AI1493" i="26"/>
  <c r="AI1494" i="26"/>
  <c r="AI1495" i="26"/>
  <c r="AI1496" i="26"/>
  <c r="AI1497" i="26"/>
  <c r="AI1502" i="26"/>
  <c r="AI1503" i="26"/>
  <c r="AI1504" i="26"/>
  <c r="AI1505" i="26"/>
  <c r="AI1519" i="26"/>
  <c r="AI1520" i="26"/>
  <c r="AI1521" i="26"/>
  <c r="AI1522" i="26"/>
  <c r="AI1523" i="26"/>
  <c r="AI1524" i="26"/>
  <c r="AI1525" i="26"/>
  <c r="AI1526" i="26"/>
  <c r="AI1527" i="26"/>
  <c r="AI1528" i="26"/>
  <c r="AI1529" i="26"/>
  <c r="AI1530" i="26"/>
  <c r="AI1531" i="26"/>
  <c r="AI1532" i="26"/>
  <c r="AI1533" i="26"/>
  <c r="AI1534" i="26"/>
  <c r="AI1535" i="26"/>
  <c r="AI1536" i="26"/>
  <c r="AI1537" i="26"/>
  <c r="AI1538" i="26"/>
  <c r="AI1539" i="26"/>
  <c r="AI1540" i="26"/>
  <c r="AI1541" i="26"/>
  <c r="AI1542" i="26"/>
  <c r="AI1543" i="26"/>
  <c r="AI1544" i="26"/>
  <c r="AI1545" i="26"/>
  <c r="AI1549" i="26"/>
  <c r="AI1550" i="26"/>
  <c r="AI1551" i="26"/>
  <c r="AI1552" i="26"/>
  <c r="AI1553" i="26"/>
  <c r="AI1554" i="26"/>
  <c r="AI1558" i="26"/>
  <c r="AI1559" i="26"/>
  <c r="AI1560" i="26"/>
  <c r="AI1561" i="26"/>
  <c r="AI1562" i="26"/>
  <c r="AI1563" i="26"/>
  <c r="AI1564" i="26"/>
  <c r="AI1565" i="26"/>
  <c r="AI1566" i="26"/>
  <c r="AI1567" i="26"/>
  <c r="AI1568" i="26"/>
  <c r="AI1569" i="26"/>
  <c r="AI1570" i="26"/>
  <c r="AI1575" i="26"/>
  <c r="AI1576" i="26"/>
  <c r="AI1588" i="26"/>
  <c r="AI1589" i="26"/>
  <c r="AI1590" i="26"/>
  <c r="AI1594" i="26"/>
  <c r="AI1595" i="26"/>
  <c r="AI1596" i="26"/>
  <c r="AI1597" i="26"/>
  <c r="AI1598" i="26"/>
  <c r="AI1599" i="26"/>
  <c r="AI1606" i="26"/>
  <c r="AI1607" i="26"/>
  <c r="AI1608" i="26"/>
  <c r="AI1609" i="26"/>
  <c r="AI1610" i="26"/>
  <c r="AI1620" i="26"/>
  <c r="AI1621" i="26"/>
  <c r="AI1622" i="26"/>
  <c r="AI1623" i="26"/>
  <c r="AI1624" i="26"/>
  <c r="AI1625" i="26"/>
  <c r="AI1626" i="26"/>
  <c r="AI1633" i="26"/>
  <c r="AI1634" i="26"/>
  <c r="AI1635" i="26"/>
  <c r="AI1636" i="26"/>
  <c r="AI1637" i="26"/>
  <c r="AI1638" i="26"/>
  <c r="AI1639" i="26"/>
  <c r="AI1640" i="26"/>
  <c r="AI1650" i="26"/>
  <c r="AI1651" i="26"/>
  <c r="AI1652" i="26"/>
  <c r="AI1653" i="26"/>
  <c r="AI1658" i="26"/>
  <c r="AI1659" i="26"/>
  <c r="AI1660" i="26"/>
  <c r="AI1661" i="26"/>
  <c r="AI1674" i="26"/>
  <c r="AI1675" i="26"/>
  <c r="AI1676" i="26"/>
  <c r="AI1677" i="26"/>
  <c r="AI1685" i="26"/>
  <c r="AI1686" i="26"/>
  <c r="AI1687" i="26"/>
  <c r="AI1688" i="26"/>
  <c r="AI1689" i="26"/>
  <c r="AI1690" i="26"/>
  <c r="AI1695" i="26"/>
  <c r="AI1696" i="26"/>
  <c r="AI1697" i="26"/>
  <c r="AI1698" i="26"/>
  <c r="AI1699" i="26"/>
  <c r="AI1700" i="26"/>
  <c r="AI1701" i="26"/>
  <c r="AI1702" i="26"/>
  <c r="AI1703" i="26"/>
  <c r="AI1710" i="26"/>
  <c r="AI1711" i="26"/>
  <c r="AI1712" i="26"/>
  <c r="AI1713" i="26"/>
  <c r="AI1714" i="26"/>
  <c r="AI1715" i="26"/>
  <c r="AI1716" i="26"/>
  <c r="AI1717" i="26"/>
  <c r="AI1718" i="26"/>
  <c r="AI1719" i="26"/>
  <c r="AI1720" i="26"/>
  <c r="AI1721" i="26"/>
  <c r="AJ13" i="26"/>
  <c r="AJ14" i="26"/>
  <c r="AJ15" i="26"/>
  <c r="AJ16" i="26"/>
  <c r="AJ17" i="26"/>
  <c r="AJ18" i="26"/>
  <c r="AJ19" i="26"/>
  <c r="AJ20" i="26"/>
  <c r="AJ21" i="26"/>
  <c r="AJ22" i="26"/>
  <c r="AJ23" i="26"/>
  <c r="AJ24" i="26"/>
  <c r="AJ25" i="26"/>
  <c r="AJ26" i="26"/>
  <c r="AJ27" i="26"/>
  <c r="AJ37" i="26"/>
  <c r="AJ38" i="26"/>
  <c r="AJ39" i="26"/>
  <c r="AJ40" i="26"/>
  <c r="AJ41" i="26"/>
  <c r="AJ47" i="26"/>
  <c r="AJ48" i="26"/>
  <c r="AJ49" i="26"/>
  <c r="AJ50" i="26"/>
  <c r="AJ51" i="26"/>
  <c r="AJ52" i="26"/>
  <c r="AJ53" i="26"/>
  <c r="AJ54" i="26"/>
  <c r="AJ64" i="26"/>
  <c r="AJ65" i="26"/>
  <c r="AJ66" i="26"/>
  <c r="AJ67" i="26"/>
  <c r="AJ68" i="26"/>
  <c r="AJ73" i="26"/>
  <c r="AJ74" i="26"/>
  <c r="AJ75" i="26"/>
  <c r="AJ76" i="26"/>
  <c r="AJ77" i="26"/>
  <c r="AJ78" i="26"/>
  <c r="AJ79" i="26"/>
  <c r="AJ80" i="26"/>
  <c r="AJ85" i="26"/>
  <c r="AJ86" i="26"/>
  <c r="AJ87" i="26"/>
  <c r="AJ88" i="26"/>
  <c r="AJ93" i="26"/>
  <c r="AJ94" i="26"/>
  <c r="AJ95" i="26"/>
  <c r="AJ96" i="26"/>
  <c r="AJ97" i="26"/>
  <c r="AJ98" i="26"/>
  <c r="AJ99" i="26"/>
  <c r="AJ100" i="26"/>
  <c r="AJ101" i="26"/>
  <c r="AJ102" i="26"/>
  <c r="AJ103" i="26"/>
  <c r="AJ104" i="26"/>
  <c r="AJ109" i="26"/>
  <c r="AJ110" i="26"/>
  <c r="AJ111" i="26"/>
  <c r="AJ112" i="26"/>
  <c r="AJ113" i="26"/>
  <c r="AJ114" i="26"/>
  <c r="AJ115" i="26"/>
  <c r="AJ116" i="26"/>
  <c r="AJ117" i="26"/>
  <c r="AJ118" i="26"/>
  <c r="AJ119" i="26"/>
  <c r="AJ124" i="26"/>
  <c r="AJ125" i="26"/>
  <c r="AJ129" i="26"/>
  <c r="AJ130" i="26"/>
  <c r="AJ131" i="26"/>
  <c r="AJ132" i="26"/>
  <c r="AJ133" i="26"/>
  <c r="AJ134" i="26"/>
  <c r="AJ135" i="26"/>
  <c r="AJ136" i="26"/>
  <c r="AJ137" i="26"/>
  <c r="AJ138" i="26"/>
  <c r="AJ139" i="26"/>
  <c r="AJ144" i="26"/>
  <c r="AJ145" i="26"/>
  <c r="AJ146" i="26"/>
  <c r="AJ147" i="26"/>
  <c r="AJ148" i="26"/>
  <c r="AJ149" i="26"/>
  <c r="AJ150" i="26"/>
  <c r="AJ151" i="26"/>
  <c r="AJ152" i="26"/>
  <c r="AJ167" i="26"/>
  <c r="AJ168" i="26"/>
  <c r="AJ169" i="26"/>
  <c r="AJ170" i="26"/>
  <c r="AJ171" i="26"/>
  <c r="AJ172" i="26"/>
  <c r="AJ177" i="26"/>
  <c r="AJ178" i="26"/>
  <c r="AJ179" i="26"/>
  <c r="AJ184" i="26"/>
  <c r="AJ185" i="26"/>
  <c r="AJ195" i="26"/>
  <c r="AJ196" i="26"/>
  <c r="AJ201" i="26"/>
  <c r="AJ202" i="26"/>
  <c r="AJ203" i="26"/>
  <c r="AJ204" i="26"/>
  <c r="AJ205" i="26"/>
  <c r="AJ210" i="26"/>
  <c r="AJ211" i="26"/>
  <c r="AJ212" i="26"/>
  <c r="AJ213" i="26"/>
  <c r="AJ214" i="26"/>
  <c r="AJ220" i="26"/>
  <c r="AJ221" i="26"/>
  <c r="AJ222" i="26"/>
  <c r="AJ223" i="26"/>
  <c r="AJ224" i="26"/>
  <c r="AJ230" i="26"/>
  <c r="AJ231" i="26"/>
  <c r="AJ232" i="26"/>
  <c r="AJ241" i="26"/>
  <c r="AJ242" i="26"/>
  <c r="AJ247" i="26"/>
  <c r="AJ248" i="26"/>
  <c r="AJ249" i="26"/>
  <c r="AJ250" i="26"/>
  <c r="AJ251" i="26"/>
  <c r="AJ252" i="26"/>
  <c r="AJ253" i="26"/>
  <c r="AJ254" i="26"/>
  <c r="AJ255" i="26"/>
  <c r="AJ256" i="26"/>
  <c r="AJ257" i="26"/>
  <c r="AJ258" i="26"/>
  <c r="AJ259" i="26"/>
  <c r="AJ260" i="26"/>
  <c r="AJ261" i="26"/>
  <c r="AJ262" i="26"/>
  <c r="AJ263" i="26"/>
  <c r="AJ264" i="26"/>
  <c r="AJ272" i="26"/>
  <c r="AJ273" i="26"/>
  <c r="AJ279" i="26"/>
  <c r="AJ280" i="26"/>
  <c r="AJ281" i="26"/>
  <c r="AJ287" i="26"/>
  <c r="AJ288" i="26"/>
  <c r="AJ289" i="26"/>
  <c r="AJ290" i="26"/>
  <c r="AJ291" i="26"/>
  <c r="AJ296" i="26"/>
  <c r="AJ297" i="26"/>
  <c r="AJ298" i="26"/>
  <c r="AJ299" i="26"/>
  <c r="AJ307" i="26"/>
  <c r="AJ308" i="26"/>
  <c r="AJ309" i="26"/>
  <c r="AJ318" i="26"/>
  <c r="AJ319" i="26"/>
  <c r="AJ320" i="26"/>
  <c r="AJ321" i="26"/>
  <c r="AJ330" i="26"/>
  <c r="AJ331" i="26"/>
  <c r="AJ339" i="26"/>
  <c r="AJ340" i="26"/>
  <c r="AJ341" i="26"/>
  <c r="AJ342" i="26"/>
  <c r="AJ343" i="26"/>
  <c r="AJ344" i="26"/>
  <c r="AJ345" i="26"/>
  <c r="AJ346" i="26"/>
  <c r="AJ347" i="26"/>
  <c r="AJ348" i="26"/>
  <c r="AJ349" i="26"/>
  <c r="AJ350" i="26"/>
  <c r="AJ355" i="26"/>
  <c r="AJ356" i="26"/>
  <c r="AJ357" i="26"/>
  <c r="AJ358" i="26"/>
  <c r="AJ359" i="26"/>
  <c r="AJ360" i="26"/>
  <c r="AJ366" i="26"/>
  <c r="AJ367" i="26"/>
  <c r="AJ368" i="26"/>
  <c r="AJ369" i="26"/>
  <c r="AJ370" i="26"/>
  <c r="AJ371" i="26"/>
  <c r="AJ372" i="26"/>
  <c r="AJ373" i="26"/>
  <c r="AJ374" i="26"/>
  <c r="AJ375" i="26"/>
  <c r="AJ376" i="26"/>
  <c r="AJ377" i="26"/>
  <c r="AJ378" i="26"/>
  <c r="AJ383" i="26"/>
  <c r="AJ384" i="26"/>
  <c r="AJ385" i="26"/>
  <c r="AJ386" i="26"/>
  <c r="AJ387" i="26"/>
  <c r="AJ388" i="26"/>
  <c r="AJ389" i="26"/>
  <c r="AJ395" i="26"/>
  <c r="AJ396" i="26"/>
  <c r="AJ397" i="26"/>
  <c r="AJ398" i="26"/>
  <c r="AJ399" i="26"/>
  <c r="AJ400" i="26"/>
  <c r="AJ401" i="26"/>
  <c r="AJ402" i="26"/>
  <c r="AJ403" i="26"/>
  <c r="AJ404" i="26"/>
  <c r="AJ405" i="26"/>
  <c r="AJ410" i="26"/>
  <c r="AJ411" i="26"/>
  <c r="AJ412" i="26"/>
  <c r="AJ413" i="26"/>
  <c r="AJ414" i="26"/>
  <c r="AJ415" i="26"/>
  <c r="AJ420" i="26"/>
  <c r="AJ421" i="26"/>
  <c r="AJ422" i="26"/>
  <c r="AJ427" i="26"/>
  <c r="AJ428" i="26"/>
  <c r="AJ429" i="26"/>
  <c r="AJ430" i="26"/>
  <c r="AJ431" i="26"/>
  <c r="AJ432" i="26"/>
  <c r="AJ433" i="26"/>
  <c r="AJ438" i="26"/>
  <c r="AJ439" i="26"/>
  <c r="AJ440" i="26"/>
  <c r="AJ441" i="26"/>
  <c r="AJ442" i="26"/>
  <c r="AJ465" i="26"/>
  <c r="AJ466" i="26"/>
  <c r="AJ467" i="26"/>
  <c r="AJ468" i="26"/>
  <c r="AJ469" i="26"/>
  <c r="AJ470" i="26"/>
  <c r="AJ471" i="26"/>
  <c r="AJ472" i="26"/>
  <c r="AJ473" i="26"/>
  <c r="AJ474" i="26"/>
  <c r="AJ475" i="26"/>
  <c r="AJ480" i="26"/>
  <c r="AJ481" i="26"/>
  <c r="AJ482" i="26"/>
  <c r="AJ483" i="26"/>
  <c r="AJ484" i="26"/>
  <c r="AJ491" i="26"/>
  <c r="AJ492" i="26"/>
  <c r="AJ493" i="26"/>
  <c r="AJ494" i="26"/>
  <c r="AJ504" i="26"/>
  <c r="AJ505" i="26"/>
  <c r="AJ506" i="26"/>
  <c r="AJ507" i="26"/>
  <c r="AJ518" i="26"/>
  <c r="AJ519" i="26"/>
  <c r="AJ520" i="26"/>
  <c r="AJ521" i="26"/>
  <c r="AJ522" i="26"/>
  <c r="AJ523" i="26"/>
  <c r="AJ524" i="26"/>
  <c r="AJ525" i="26"/>
  <c r="AJ526" i="26"/>
  <c r="AJ527" i="26"/>
  <c r="AJ528" i="26"/>
  <c r="AJ529" i="26"/>
  <c r="AJ530" i="26"/>
  <c r="AJ531" i="26"/>
  <c r="AJ532" i="26"/>
  <c r="AJ533" i="26"/>
  <c r="AJ534" i="26"/>
  <c r="AJ535" i="26"/>
  <c r="AJ536" i="26"/>
  <c r="AJ537" i="26"/>
  <c r="AJ538" i="26"/>
  <c r="AJ545" i="26"/>
  <c r="AJ546" i="26"/>
  <c r="AJ547" i="26"/>
  <c r="AJ549" i="26"/>
  <c r="AJ550" i="26"/>
  <c r="AJ551" i="26"/>
  <c r="AJ552" i="26"/>
  <c r="AJ553" i="26"/>
  <c r="AJ559" i="26"/>
  <c r="AJ560" i="26"/>
  <c r="AJ561" i="26"/>
  <c r="AJ562" i="26"/>
  <c r="AJ563" i="26"/>
  <c r="AJ564" i="26"/>
  <c r="AJ565" i="26"/>
  <c r="AJ566" i="26"/>
  <c r="AJ582" i="26"/>
  <c r="AJ583" i="26"/>
  <c r="AJ584" i="26"/>
  <c r="AJ585" i="26"/>
  <c r="AJ586" i="26"/>
  <c r="AJ592" i="26"/>
  <c r="AJ593" i="26"/>
  <c r="AJ596" i="26"/>
  <c r="AJ597" i="26"/>
  <c r="AJ598" i="26"/>
  <c r="AJ599" i="26"/>
  <c r="AJ600" i="26"/>
  <c r="AJ604" i="26"/>
  <c r="AJ605" i="26"/>
  <c r="AJ606" i="26"/>
  <c r="AJ611" i="26"/>
  <c r="AJ612" i="26"/>
  <c r="AJ613" i="26"/>
  <c r="AJ614" i="26"/>
  <c r="AJ615" i="26"/>
  <c r="AJ616" i="26"/>
  <c r="AJ617" i="26"/>
  <c r="AJ618" i="26"/>
  <c r="AJ619" i="26"/>
  <c r="AJ624" i="26"/>
  <c r="AJ625" i="26"/>
  <c r="AJ626" i="26"/>
  <c r="AJ627" i="26"/>
  <c r="AJ628" i="26"/>
  <c r="AJ629" i="26"/>
  <c r="AJ630" i="26"/>
  <c r="AJ631" i="26"/>
  <c r="AJ632" i="26"/>
  <c r="AJ633" i="26"/>
  <c r="AJ634" i="26"/>
  <c r="AJ635" i="26"/>
  <c r="AJ636" i="26"/>
  <c r="AJ637" i="26"/>
  <c r="AJ646" i="26"/>
  <c r="AJ647" i="26"/>
  <c r="AJ648" i="26"/>
  <c r="AJ649" i="26"/>
  <c r="AJ650" i="26"/>
  <c r="AJ651" i="26"/>
  <c r="AJ652" i="26"/>
  <c r="AJ653" i="26"/>
  <c r="AJ654" i="26"/>
  <c r="AJ668" i="26"/>
  <c r="AJ669" i="26"/>
  <c r="AJ670" i="26"/>
  <c r="AJ671" i="26"/>
  <c r="AJ672" i="26"/>
  <c r="AJ673" i="26"/>
  <c r="AJ674" i="26"/>
  <c r="AJ675" i="26"/>
  <c r="AJ676" i="26"/>
  <c r="AJ677" i="26"/>
  <c r="AJ678" i="26"/>
  <c r="AJ679" i="26"/>
  <c r="AJ684" i="26"/>
  <c r="AJ685" i="26"/>
  <c r="AJ686" i="26"/>
  <c r="AJ687" i="26"/>
  <c r="AJ688" i="26"/>
  <c r="AJ689" i="26"/>
  <c r="AJ690" i="26"/>
  <c r="AJ691" i="26"/>
  <c r="AJ692" i="26"/>
  <c r="AJ693" i="26"/>
  <c r="AJ694" i="26"/>
  <c r="AJ695" i="26"/>
  <c r="AJ696" i="26"/>
  <c r="AJ697" i="26"/>
  <c r="AJ698" i="26"/>
  <c r="AJ703" i="26"/>
  <c r="AJ704" i="26"/>
  <c r="AJ705" i="26"/>
  <c r="AJ706" i="26"/>
  <c r="AJ707" i="26"/>
  <c r="AJ708" i="26"/>
  <c r="AJ709" i="26"/>
  <c r="AJ710" i="26"/>
  <c r="AJ711" i="26"/>
  <c r="AJ712" i="26"/>
  <c r="AJ713" i="26"/>
  <c r="AJ714" i="26"/>
  <c r="AJ715" i="26"/>
  <c r="AJ716" i="26"/>
  <c r="AJ717" i="26"/>
  <c r="AJ718" i="26"/>
  <c r="AJ719" i="26"/>
  <c r="AJ720" i="26"/>
  <c r="AJ721" i="26"/>
  <c r="AJ722" i="26"/>
  <c r="AJ723" i="26"/>
  <c r="AJ724" i="26"/>
  <c r="AJ725" i="26"/>
  <c r="AJ726" i="26"/>
  <c r="AJ727" i="26"/>
  <c r="AJ728" i="26"/>
  <c r="AJ729" i="26"/>
  <c r="AJ730" i="26"/>
  <c r="AJ731" i="26"/>
  <c r="AJ732" i="26"/>
  <c r="AJ733" i="26"/>
  <c r="AJ734" i="26"/>
  <c r="AJ735" i="26"/>
  <c r="AJ736" i="26"/>
  <c r="AJ737" i="26"/>
  <c r="AJ738" i="26"/>
  <c r="AJ743" i="26"/>
  <c r="AJ744" i="26"/>
  <c r="AJ745" i="26"/>
  <c r="AJ746" i="26"/>
  <c r="AJ758" i="26"/>
  <c r="AJ759" i="26"/>
  <c r="AJ760" i="26"/>
  <c r="AJ761" i="26"/>
  <c r="AJ762" i="26"/>
  <c r="AJ771" i="26"/>
  <c r="AJ772" i="26"/>
  <c r="AJ773" i="26"/>
  <c r="AJ774" i="26"/>
  <c r="AJ775" i="26"/>
  <c r="AJ776" i="26"/>
  <c r="AJ777" i="26"/>
  <c r="AJ778" i="26"/>
  <c r="AJ787" i="26"/>
  <c r="AJ788" i="26"/>
  <c r="AJ789" i="26"/>
  <c r="AJ790" i="26"/>
  <c r="AJ797" i="26"/>
  <c r="AJ798" i="26"/>
  <c r="AJ799" i="26"/>
  <c r="AJ800" i="26"/>
  <c r="AJ801" i="26"/>
  <c r="AJ802" i="26"/>
  <c r="AJ803" i="26"/>
  <c r="AJ804" i="26"/>
  <c r="AJ805" i="26"/>
  <c r="AJ814" i="26"/>
  <c r="AJ815" i="26"/>
  <c r="AJ816" i="26"/>
  <c r="AJ817" i="26"/>
  <c r="AJ818" i="26"/>
  <c r="AJ821" i="26"/>
  <c r="AJ822" i="26"/>
  <c r="AJ823" i="26"/>
  <c r="AJ829" i="26"/>
  <c r="AJ830" i="26"/>
  <c r="AJ834" i="26"/>
  <c r="AJ835" i="26"/>
  <c r="AJ841" i="26"/>
  <c r="AJ842" i="26"/>
  <c r="AJ843" i="26"/>
  <c r="AJ844" i="26"/>
  <c r="AJ855" i="26"/>
  <c r="AJ856" i="26"/>
  <c r="AJ862" i="26"/>
  <c r="AJ863" i="26"/>
  <c r="AJ864" i="26"/>
  <c r="AJ865" i="26"/>
  <c r="AJ866" i="26"/>
  <c r="AJ867" i="26"/>
  <c r="AJ868" i="26"/>
  <c r="AJ869" i="26"/>
  <c r="AJ870" i="26"/>
  <c r="AJ871" i="26"/>
  <c r="AJ877" i="26"/>
  <c r="AJ878" i="26"/>
  <c r="AJ879" i="26"/>
  <c r="AJ880" i="26"/>
  <c r="AJ881" i="26"/>
  <c r="AJ887" i="26"/>
  <c r="AJ888" i="26"/>
  <c r="AJ889" i="26"/>
  <c r="AJ895" i="26"/>
  <c r="AJ896" i="26"/>
  <c r="AJ897" i="26"/>
  <c r="AJ898" i="26"/>
  <c r="AJ899" i="26"/>
  <c r="AJ900" i="26"/>
  <c r="AJ901" i="26"/>
  <c r="AJ902" i="26"/>
  <c r="AJ903" i="26"/>
  <c r="AJ904" i="26"/>
  <c r="AJ920" i="26"/>
  <c r="AJ921" i="26"/>
  <c r="AJ922" i="26"/>
  <c r="AJ923" i="26"/>
  <c r="AJ924" i="26"/>
  <c r="AJ925" i="26"/>
  <c r="AJ926" i="26"/>
  <c r="AJ927" i="26"/>
  <c r="AJ928" i="26"/>
  <c r="AJ929" i="26"/>
  <c r="AJ930" i="26"/>
  <c r="AJ931" i="26"/>
  <c r="AJ932" i="26"/>
  <c r="AJ933" i="26"/>
  <c r="AJ934" i="26"/>
  <c r="AJ935" i="26"/>
  <c r="AJ936" i="26"/>
  <c r="AJ958" i="26"/>
  <c r="AJ959" i="26"/>
  <c r="AJ960" i="26"/>
  <c r="AJ961" i="26"/>
  <c r="AJ962" i="26"/>
  <c r="AJ963" i="26"/>
  <c r="AJ964" i="26"/>
  <c r="AJ965" i="26"/>
  <c r="AJ966" i="26"/>
  <c r="AJ967" i="26"/>
  <c r="AJ970" i="26"/>
  <c r="AJ971" i="26"/>
  <c r="AJ978" i="26"/>
  <c r="AJ979" i="26"/>
  <c r="AJ980" i="26"/>
  <c r="AJ985" i="26"/>
  <c r="AJ986" i="26"/>
  <c r="AJ987" i="26"/>
  <c r="AJ988" i="26"/>
  <c r="AJ989" i="26"/>
  <c r="AJ990" i="26"/>
  <c r="AJ991" i="26"/>
  <c r="AJ992" i="26"/>
  <c r="AJ993" i="26"/>
  <c r="AJ994" i="26"/>
  <c r="AJ995" i="26"/>
  <c r="AJ996" i="26"/>
  <c r="AJ997" i="26"/>
  <c r="AJ998" i="26"/>
  <c r="AJ1006" i="26"/>
  <c r="AJ1007" i="26"/>
  <c r="AJ1008" i="26"/>
  <c r="AJ1009" i="26"/>
  <c r="AJ1010" i="26"/>
  <c r="AJ1014" i="26"/>
  <c r="AJ1015" i="26"/>
  <c r="AJ1016" i="26"/>
  <c r="AJ1017" i="26"/>
  <c r="AJ1018" i="26"/>
  <c r="AJ1028" i="26"/>
  <c r="AJ1029" i="26"/>
  <c r="AJ1030" i="26"/>
  <c r="AJ1031" i="26"/>
  <c r="AJ1032" i="26"/>
  <c r="AJ1037" i="26"/>
  <c r="AJ1038" i="26"/>
  <c r="AJ1039" i="26"/>
  <c r="AJ1040" i="26"/>
  <c r="AJ1041" i="26"/>
  <c r="AJ1042" i="26"/>
  <c r="AJ1043" i="26"/>
  <c r="AJ1044" i="26"/>
  <c r="AJ1045" i="26"/>
  <c r="AJ1046" i="26"/>
  <c r="AJ1047" i="26"/>
  <c r="AJ1048" i="26"/>
  <c r="AJ1049" i="26"/>
  <c r="AJ1050" i="26"/>
  <c r="AJ1051" i="26"/>
  <c r="AJ1052" i="26"/>
  <c r="AJ1053" i="26"/>
  <c r="AJ1054" i="26"/>
  <c r="AJ1055" i="26"/>
  <c r="AJ1059" i="26"/>
  <c r="AJ1060" i="26"/>
  <c r="AJ1066" i="26"/>
  <c r="AJ1067" i="26"/>
  <c r="AJ1068" i="26"/>
  <c r="AJ1069" i="26"/>
  <c r="AJ1070" i="26"/>
  <c r="AJ1071" i="26"/>
  <c r="AJ1072" i="26"/>
  <c r="AJ1073" i="26"/>
  <c r="AJ1074" i="26"/>
  <c r="AJ1075" i="26"/>
  <c r="AJ1076" i="26"/>
  <c r="AJ1077" i="26"/>
  <c r="AJ1078" i="26"/>
  <c r="AJ1079" i="26"/>
  <c r="AJ1080" i="26"/>
  <c r="AJ1081" i="26"/>
  <c r="AJ1082" i="26"/>
  <c r="AJ1087" i="26"/>
  <c r="AJ1088" i="26"/>
  <c r="AJ1089" i="26"/>
  <c r="AJ1090" i="26"/>
  <c r="AJ1091" i="26"/>
  <c r="AJ1096" i="26"/>
  <c r="AJ1097" i="26"/>
  <c r="AJ1098" i="26"/>
  <c r="AJ1099" i="26"/>
  <c r="AJ1100" i="26"/>
  <c r="AJ1101" i="26"/>
  <c r="AJ1111" i="26"/>
  <c r="AJ1112" i="26"/>
  <c r="AJ1121" i="26"/>
  <c r="AJ1122" i="26"/>
  <c r="AJ1131" i="26"/>
  <c r="AJ1132" i="26"/>
  <c r="AJ1133" i="26"/>
  <c r="AJ1134" i="26"/>
  <c r="AJ1135" i="26"/>
  <c r="AJ1136" i="26"/>
  <c r="AJ1137" i="26"/>
  <c r="AJ1147" i="26"/>
  <c r="AJ1148" i="26"/>
  <c r="AJ1149" i="26"/>
  <c r="AJ1150" i="26"/>
  <c r="AJ1151" i="26"/>
  <c r="AJ1154" i="26"/>
  <c r="AJ1155" i="26"/>
  <c r="AJ1156" i="26"/>
  <c r="AJ1157" i="26"/>
  <c r="AJ1169" i="26"/>
  <c r="AJ1170" i="26"/>
  <c r="AJ1171" i="26"/>
  <c r="AJ1176" i="26"/>
  <c r="AJ1177" i="26"/>
  <c r="AJ1182" i="26"/>
  <c r="AJ1183" i="26"/>
  <c r="AJ1184" i="26"/>
  <c r="AJ1185" i="26"/>
  <c r="AJ1186" i="26"/>
  <c r="AJ1187" i="26"/>
  <c r="AJ1188" i="26"/>
  <c r="AJ1194" i="26"/>
  <c r="AJ1195" i="26"/>
  <c r="AJ1196" i="26"/>
  <c r="AJ1206" i="26"/>
  <c r="AJ1207" i="26"/>
  <c r="AJ1208" i="26"/>
  <c r="AJ1209" i="26"/>
  <c r="AJ1210" i="26"/>
  <c r="AJ1216" i="26"/>
  <c r="AJ1217" i="26"/>
  <c r="AJ1218" i="26"/>
  <c r="AJ1219" i="26"/>
  <c r="AJ1220" i="26"/>
  <c r="AJ1221" i="26"/>
  <c r="AJ1222" i="26"/>
  <c r="AJ1223" i="26"/>
  <c r="AJ1224" i="26"/>
  <c r="AJ1242" i="26"/>
  <c r="AJ1243" i="26"/>
  <c r="AJ1244" i="26"/>
  <c r="AJ1249" i="26"/>
  <c r="AJ1250" i="26"/>
  <c r="AJ1251" i="26"/>
  <c r="AJ1252" i="26"/>
  <c r="AJ1253" i="26"/>
  <c r="AJ1254" i="26"/>
  <c r="AJ1255" i="26"/>
  <c r="AJ1256" i="26"/>
  <c r="AJ1257" i="26"/>
  <c r="AJ1258" i="26"/>
  <c r="AJ1259" i="26"/>
  <c r="AJ1260" i="26"/>
  <c r="AJ1263" i="26"/>
  <c r="AJ1264" i="26"/>
  <c r="AJ1270" i="26"/>
  <c r="AJ1271" i="26"/>
  <c r="AJ1272" i="26"/>
  <c r="AJ1273" i="26"/>
  <c r="AJ1274" i="26"/>
  <c r="AJ1275" i="26"/>
  <c r="AJ1276" i="26"/>
  <c r="AJ1277" i="26"/>
  <c r="AJ1278" i="26"/>
  <c r="AJ1279" i="26"/>
  <c r="AJ1280" i="26"/>
  <c r="AJ1281" i="26"/>
  <c r="AJ1282" i="26"/>
  <c r="AJ1283" i="26"/>
  <c r="AJ1284" i="26"/>
  <c r="AJ1285" i="26"/>
  <c r="AJ1286" i="26"/>
  <c r="AJ1287" i="26"/>
  <c r="AJ1297" i="26"/>
  <c r="AJ1298" i="26"/>
  <c r="AJ1299" i="26"/>
  <c r="AJ1303" i="26"/>
  <c r="AJ1304" i="26"/>
  <c r="AJ1305" i="26"/>
  <c r="AJ1306" i="26"/>
  <c r="AJ1307" i="26"/>
  <c r="AJ1308" i="26"/>
  <c r="AJ1309" i="26"/>
  <c r="AJ1310" i="26"/>
  <c r="AJ1311" i="26"/>
  <c r="AJ1312" i="26"/>
  <c r="AJ1320" i="26"/>
  <c r="AJ1321" i="26"/>
  <c r="AJ1322" i="26"/>
  <c r="AJ1323" i="26"/>
  <c r="AJ1324" i="26"/>
  <c r="AJ1325" i="26"/>
  <c r="AJ1326" i="26"/>
  <c r="AJ1327" i="26"/>
  <c r="AJ1328" i="26"/>
  <c r="AJ1329" i="26"/>
  <c r="AJ1336" i="26"/>
  <c r="AJ1337" i="26"/>
  <c r="AJ1343" i="26"/>
  <c r="AJ1344" i="26"/>
  <c r="AJ1345" i="26"/>
  <c r="AJ1346" i="26"/>
  <c r="AJ1358" i="26"/>
  <c r="AJ1359" i="26"/>
  <c r="AJ1360" i="26"/>
  <c r="AJ1361" i="26"/>
  <c r="AJ1362" i="26"/>
  <c r="AJ1363" i="26"/>
  <c r="AJ1364" i="26"/>
  <c r="AJ1365" i="26"/>
  <c r="AJ1366" i="26"/>
  <c r="AJ1371" i="26"/>
  <c r="AJ1372" i="26"/>
  <c r="AJ1373" i="26"/>
  <c r="AJ1374" i="26"/>
  <c r="AJ1375" i="26"/>
  <c r="AJ1376" i="26"/>
  <c r="AJ1377" i="26"/>
  <c r="AJ1378" i="26"/>
  <c r="AJ1390" i="26"/>
  <c r="AJ1391" i="26"/>
  <c r="AJ1396" i="26"/>
  <c r="AJ1397" i="26"/>
  <c r="AJ1398" i="26"/>
  <c r="AJ1399" i="26"/>
  <c r="AJ1400" i="26"/>
  <c r="AJ1401" i="26"/>
  <c r="AJ1402" i="26"/>
  <c r="AJ1409" i="26"/>
  <c r="AJ1410" i="26"/>
  <c r="AJ1415" i="26"/>
  <c r="AJ1416" i="26"/>
  <c r="AJ1417" i="26"/>
  <c r="AJ1418" i="26"/>
  <c r="AJ1420" i="26"/>
  <c r="AJ1421" i="26"/>
  <c r="AJ1422" i="26"/>
  <c r="AJ1423" i="26"/>
  <c r="AJ1424" i="26"/>
  <c r="AJ1425" i="26"/>
  <c r="AJ1426" i="26"/>
  <c r="AJ1427" i="26"/>
  <c r="AJ1428" i="26"/>
  <c r="AJ1439" i="26"/>
  <c r="AJ1440" i="26"/>
  <c r="AJ1441" i="26"/>
  <c r="AJ1442" i="26"/>
  <c r="AJ1443" i="26"/>
  <c r="AJ1444" i="26"/>
  <c r="AJ1448" i="26"/>
  <c r="AJ1449" i="26"/>
  <c r="AJ1450" i="26"/>
  <c r="AJ1470" i="26"/>
  <c r="AJ1471" i="26"/>
  <c r="AJ1472" i="26"/>
  <c r="AJ1473" i="26"/>
  <c r="AJ1474" i="26"/>
  <c r="AJ1475" i="26"/>
  <c r="AJ1476" i="26"/>
  <c r="AJ1477" i="26"/>
  <c r="AJ1478" i="26"/>
  <c r="AJ1479" i="26"/>
  <c r="AJ1480" i="26"/>
  <c r="AJ1481" i="26"/>
  <c r="AJ1482" i="26"/>
  <c r="AJ1483" i="26"/>
  <c r="AJ1493" i="26"/>
  <c r="AJ1494" i="26"/>
  <c r="AJ1495" i="26"/>
  <c r="AJ1496" i="26"/>
  <c r="AJ1497" i="26"/>
  <c r="AJ1502" i="26"/>
  <c r="AJ1503" i="26"/>
  <c r="AJ1504" i="26"/>
  <c r="AJ1505" i="26"/>
  <c r="AJ1519" i="26"/>
  <c r="AJ1520" i="26"/>
  <c r="AJ1521" i="26"/>
  <c r="AJ1522" i="26"/>
  <c r="AJ1523" i="26"/>
  <c r="AJ1524" i="26"/>
  <c r="AJ1525" i="26"/>
  <c r="AJ1526" i="26"/>
  <c r="AJ1527" i="26"/>
  <c r="AJ1528" i="26"/>
  <c r="AJ1529" i="26"/>
  <c r="AJ1530" i="26"/>
  <c r="AJ1531" i="26"/>
  <c r="AJ1532" i="26"/>
  <c r="AJ1533" i="26"/>
  <c r="AJ1534" i="26"/>
  <c r="AJ1535" i="26"/>
  <c r="AJ1536" i="26"/>
  <c r="AJ1537" i="26"/>
  <c r="AJ1538" i="26"/>
  <c r="AJ1539" i="26"/>
  <c r="AJ1540" i="26"/>
  <c r="AJ1541" i="26"/>
  <c r="AJ1542" i="26"/>
  <c r="AJ1543" i="26"/>
  <c r="AJ1544" i="26"/>
  <c r="AJ1545" i="26"/>
  <c r="AJ1549" i="26"/>
  <c r="AJ1550" i="26"/>
  <c r="AJ1551" i="26"/>
  <c r="AJ1552" i="26"/>
  <c r="AJ1553" i="26"/>
  <c r="AJ1554" i="26"/>
  <c r="AJ1558" i="26"/>
  <c r="AJ1559" i="26"/>
  <c r="AJ1560" i="26"/>
  <c r="AJ1561" i="26"/>
  <c r="AJ1562" i="26"/>
  <c r="AJ1563" i="26"/>
  <c r="AJ1564" i="26"/>
  <c r="AJ1565" i="26"/>
  <c r="AJ1566" i="26"/>
  <c r="AJ1567" i="26"/>
  <c r="AJ1568" i="26"/>
  <c r="AJ1569" i="26"/>
  <c r="AJ1570" i="26"/>
  <c r="AJ1575" i="26"/>
  <c r="AJ1576" i="26"/>
  <c r="AJ1588" i="26"/>
  <c r="AJ1589" i="26"/>
  <c r="AJ1590" i="26"/>
  <c r="AJ1594" i="26"/>
  <c r="AJ1595" i="26"/>
  <c r="AJ1596" i="26"/>
  <c r="AJ1597" i="26"/>
  <c r="AJ1598" i="26"/>
  <c r="AJ1599" i="26"/>
  <c r="AJ1606" i="26"/>
  <c r="AJ1607" i="26"/>
  <c r="AJ1608" i="26"/>
  <c r="AJ1609" i="26"/>
  <c r="AJ1610" i="26"/>
  <c r="AJ1620" i="26"/>
  <c r="AJ1621" i="26"/>
  <c r="AJ1622" i="26"/>
  <c r="AJ1623" i="26"/>
  <c r="AJ1624" i="26"/>
  <c r="AJ1625" i="26"/>
  <c r="AJ1626" i="26"/>
  <c r="AJ1633" i="26"/>
  <c r="AJ1634" i="26"/>
  <c r="AJ1635" i="26"/>
  <c r="AJ1636" i="26"/>
  <c r="AJ1637" i="26"/>
  <c r="AJ1638" i="26"/>
  <c r="AJ1639" i="26"/>
  <c r="AJ1640" i="26"/>
  <c r="AJ1650" i="26"/>
  <c r="AJ1651" i="26"/>
  <c r="AJ1652" i="26"/>
  <c r="AJ1653" i="26"/>
  <c r="AJ1658" i="26"/>
  <c r="AJ1659" i="26"/>
  <c r="AJ1660" i="26"/>
  <c r="AJ1661" i="26"/>
  <c r="AJ1674" i="26"/>
  <c r="AJ1675" i="26"/>
  <c r="AJ1676" i="26"/>
  <c r="AJ1677" i="26"/>
  <c r="AJ1685" i="26"/>
  <c r="AJ1686" i="26"/>
  <c r="AJ1687" i="26"/>
  <c r="AJ1688" i="26"/>
  <c r="AJ1689" i="26"/>
  <c r="AJ1690" i="26"/>
  <c r="AJ1695" i="26"/>
  <c r="AJ1696" i="26"/>
  <c r="AJ1697" i="26"/>
  <c r="AJ1698" i="26"/>
  <c r="AJ1699" i="26"/>
  <c r="AJ1700" i="26"/>
  <c r="AJ1701" i="26"/>
  <c r="AJ1702" i="26"/>
  <c r="AJ1703" i="26"/>
  <c r="AJ1710" i="26"/>
  <c r="AJ1711" i="26"/>
  <c r="AJ1712" i="26"/>
  <c r="AJ1713" i="26"/>
  <c r="AJ1714" i="26"/>
  <c r="AJ1715" i="26"/>
  <c r="AJ1716" i="26"/>
  <c r="AJ1717" i="26"/>
  <c r="AJ1718" i="26"/>
  <c r="AJ1719" i="26"/>
  <c r="AJ1720" i="26"/>
  <c r="AJ1721" i="26"/>
  <c r="AK13" i="26"/>
  <c r="AK14" i="26"/>
  <c r="AK15" i="26"/>
  <c r="AK16" i="26"/>
  <c r="AK17" i="26"/>
  <c r="AK18" i="26"/>
  <c r="AK19" i="26"/>
  <c r="AK20" i="26"/>
  <c r="AK21" i="26"/>
  <c r="AK22" i="26"/>
  <c r="AK23" i="26"/>
  <c r="AK24" i="26"/>
  <c r="AK25" i="26"/>
  <c r="AK26" i="26"/>
  <c r="AK27" i="26"/>
  <c r="AK37" i="26"/>
  <c r="AK38" i="26"/>
  <c r="AK39" i="26"/>
  <c r="AK40" i="26"/>
  <c r="AK41" i="26"/>
  <c r="AK47" i="26"/>
  <c r="AK48" i="26"/>
  <c r="AK49" i="26"/>
  <c r="AK50" i="26"/>
  <c r="AK51" i="26"/>
  <c r="AK52" i="26"/>
  <c r="AK53" i="26"/>
  <c r="AK54" i="26"/>
  <c r="AK64" i="26"/>
  <c r="AK65" i="26"/>
  <c r="AK66" i="26"/>
  <c r="AK67" i="26"/>
  <c r="AK68" i="26"/>
  <c r="AK73" i="26"/>
  <c r="AK74" i="26"/>
  <c r="AK75" i="26"/>
  <c r="AK76" i="26"/>
  <c r="AK77" i="26"/>
  <c r="AK78" i="26"/>
  <c r="AK79" i="26"/>
  <c r="AK80" i="26"/>
  <c r="AK85" i="26"/>
  <c r="AK86" i="26"/>
  <c r="AK87" i="26"/>
  <c r="AK88" i="26"/>
  <c r="AK93" i="26"/>
  <c r="AK94" i="26"/>
  <c r="AK95" i="26"/>
  <c r="AK96" i="26"/>
  <c r="AK97" i="26"/>
  <c r="AK98" i="26"/>
  <c r="AK99" i="26"/>
  <c r="AK100" i="26"/>
  <c r="AK101" i="26"/>
  <c r="AK102" i="26"/>
  <c r="AK103" i="26"/>
  <c r="AK104" i="26"/>
  <c r="AK109" i="26"/>
  <c r="AK110" i="26"/>
  <c r="AK111" i="26"/>
  <c r="AK112" i="26"/>
  <c r="AK113" i="26"/>
  <c r="AK114" i="26"/>
  <c r="AK115" i="26"/>
  <c r="AK116" i="26"/>
  <c r="AK117" i="26"/>
  <c r="AK118" i="26"/>
  <c r="AK119" i="26"/>
  <c r="AK124" i="26"/>
  <c r="AK125" i="26"/>
  <c r="AK129" i="26"/>
  <c r="AK130" i="26"/>
  <c r="AK131" i="26"/>
  <c r="AK132" i="26"/>
  <c r="AK133" i="26"/>
  <c r="AK134" i="26"/>
  <c r="AK135" i="26"/>
  <c r="AK136" i="26"/>
  <c r="AK137" i="26"/>
  <c r="AK138" i="26"/>
  <c r="AK139" i="26"/>
  <c r="AK144" i="26"/>
  <c r="AK145" i="26"/>
  <c r="AK146" i="26"/>
  <c r="AK147" i="26"/>
  <c r="AK148" i="26"/>
  <c r="AK149" i="26"/>
  <c r="AK150" i="26"/>
  <c r="AK151" i="26"/>
  <c r="AK152" i="26"/>
  <c r="AK167" i="26"/>
  <c r="AK168" i="26"/>
  <c r="AK169" i="26"/>
  <c r="AK170" i="26"/>
  <c r="AK171" i="26"/>
  <c r="AK172" i="26"/>
  <c r="AK177" i="26"/>
  <c r="AK178" i="26"/>
  <c r="AK179" i="26"/>
  <c r="AK184" i="26"/>
  <c r="AK185" i="26"/>
  <c r="AK195" i="26"/>
  <c r="AK196" i="26"/>
  <c r="AK201" i="26"/>
  <c r="AK202" i="26"/>
  <c r="AK203" i="26"/>
  <c r="AK204" i="26"/>
  <c r="AK205" i="26"/>
  <c r="AK210" i="26"/>
  <c r="AK211" i="26"/>
  <c r="AK212" i="26"/>
  <c r="AK213" i="26"/>
  <c r="AK214" i="26"/>
  <c r="AK220" i="26"/>
  <c r="AK221" i="26"/>
  <c r="AK222" i="26"/>
  <c r="AK223" i="26"/>
  <c r="AK224" i="26"/>
  <c r="AK230" i="26"/>
  <c r="AK231" i="26"/>
  <c r="AK232" i="26"/>
  <c r="AK241" i="26"/>
  <c r="AK242" i="26"/>
  <c r="AK247" i="26"/>
  <c r="AK248" i="26"/>
  <c r="AK249" i="26"/>
  <c r="AK250" i="26"/>
  <c r="AK251" i="26"/>
  <c r="AK252" i="26"/>
  <c r="AK253" i="26"/>
  <c r="AK254" i="26"/>
  <c r="AK255" i="26"/>
  <c r="AK256" i="26"/>
  <c r="AK257" i="26"/>
  <c r="AK258" i="26"/>
  <c r="AK259" i="26"/>
  <c r="AK260" i="26"/>
  <c r="AK261" i="26"/>
  <c r="AK262" i="26"/>
  <c r="AK263" i="26"/>
  <c r="AK264" i="26"/>
  <c r="AK272" i="26"/>
  <c r="AK273" i="26"/>
  <c r="AK279" i="26"/>
  <c r="AK280" i="26"/>
  <c r="AK281" i="26"/>
  <c r="AK287" i="26"/>
  <c r="AK288" i="26"/>
  <c r="AK289" i="26"/>
  <c r="AK290" i="26"/>
  <c r="AK291" i="26"/>
  <c r="AK296" i="26"/>
  <c r="AK297" i="26"/>
  <c r="AK298" i="26"/>
  <c r="AK299" i="26"/>
  <c r="AK307" i="26"/>
  <c r="AK308" i="26"/>
  <c r="AK309" i="26"/>
  <c r="AK318" i="26"/>
  <c r="AK319" i="26"/>
  <c r="AK320" i="26"/>
  <c r="AK321" i="26"/>
  <c r="AK330" i="26"/>
  <c r="AK331" i="26"/>
  <c r="AK339" i="26"/>
  <c r="AK340" i="26"/>
  <c r="AK341" i="26"/>
  <c r="AK342" i="26"/>
  <c r="AK343" i="26"/>
  <c r="AK344" i="26"/>
  <c r="AK345" i="26"/>
  <c r="AK346" i="26"/>
  <c r="AK347" i="26"/>
  <c r="AK348" i="26"/>
  <c r="AK349" i="26"/>
  <c r="AK350" i="26"/>
  <c r="AK355" i="26"/>
  <c r="AK356" i="26"/>
  <c r="AK357" i="26"/>
  <c r="AK358" i="26"/>
  <c r="AK359" i="26"/>
  <c r="AK360" i="26"/>
  <c r="AK366" i="26"/>
  <c r="AK367" i="26"/>
  <c r="AK368" i="26"/>
  <c r="AK369" i="26"/>
  <c r="AK370" i="26"/>
  <c r="AK371" i="26"/>
  <c r="AK372" i="26"/>
  <c r="AK373" i="26"/>
  <c r="AK374" i="26"/>
  <c r="AK375" i="26"/>
  <c r="AK376" i="26"/>
  <c r="AK377" i="26"/>
  <c r="AK378" i="26"/>
  <c r="AK383" i="26"/>
  <c r="AK384" i="26"/>
  <c r="AK385" i="26"/>
  <c r="AK386" i="26"/>
  <c r="AK387" i="26"/>
  <c r="AK388" i="26"/>
  <c r="AK389" i="26"/>
  <c r="AK395" i="26"/>
  <c r="AK396" i="26"/>
  <c r="AK397" i="26"/>
  <c r="AK398" i="26"/>
  <c r="AK399" i="26"/>
  <c r="AK400" i="26"/>
  <c r="AK401" i="26"/>
  <c r="AK402" i="26"/>
  <c r="AK403" i="26"/>
  <c r="AK404" i="26"/>
  <c r="AK405" i="26"/>
  <c r="AK410" i="26"/>
  <c r="AK411" i="26"/>
  <c r="AK412" i="26"/>
  <c r="AK413" i="26"/>
  <c r="AK414" i="26"/>
  <c r="AK415" i="26"/>
  <c r="AK420" i="26"/>
  <c r="AK421" i="26"/>
  <c r="AK422" i="26"/>
  <c r="AK427" i="26"/>
  <c r="AK428" i="26"/>
  <c r="AK429" i="26"/>
  <c r="AK430" i="26"/>
  <c r="AK431" i="26"/>
  <c r="AK432" i="26"/>
  <c r="AK433" i="26"/>
  <c r="AK438" i="26"/>
  <c r="AK439" i="26"/>
  <c r="AK440" i="26"/>
  <c r="AK441" i="26"/>
  <c r="AK442" i="26"/>
  <c r="AK465" i="26"/>
  <c r="AK466" i="26"/>
  <c r="AK467" i="26"/>
  <c r="AK468" i="26"/>
  <c r="AK469" i="26"/>
  <c r="AK470" i="26"/>
  <c r="AK471" i="26"/>
  <c r="AK472" i="26"/>
  <c r="AK473" i="26"/>
  <c r="AK474" i="26"/>
  <c r="AK475" i="26"/>
  <c r="AK480" i="26"/>
  <c r="AK481" i="26"/>
  <c r="AK482" i="26"/>
  <c r="AK483" i="26"/>
  <c r="AK484" i="26"/>
  <c r="AK491" i="26"/>
  <c r="AK492" i="26"/>
  <c r="AK493" i="26"/>
  <c r="AK494" i="26"/>
  <c r="AK504" i="26"/>
  <c r="AK505" i="26"/>
  <c r="AK506" i="26"/>
  <c r="AK507" i="26"/>
  <c r="AK518" i="26"/>
  <c r="AK519" i="26"/>
  <c r="AK520" i="26"/>
  <c r="AK521" i="26"/>
  <c r="AK522" i="26"/>
  <c r="AK523" i="26"/>
  <c r="AK524" i="26"/>
  <c r="AK525" i="26"/>
  <c r="AK526" i="26"/>
  <c r="AK527" i="26"/>
  <c r="AK528" i="26"/>
  <c r="AK529" i="26"/>
  <c r="AK530" i="26"/>
  <c r="AK531" i="26"/>
  <c r="AK532" i="26"/>
  <c r="AK533" i="26"/>
  <c r="AK534" i="26"/>
  <c r="AK535" i="26"/>
  <c r="AK536" i="26"/>
  <c r="AK537" i="26"/>
  <c r="AK538" i="26"/>
  <c r="AK545" i="26"/>
  <c r="AK546" i="26"/>
  <c r="AK547" i="26"/>
  <c r="AK549" i="26"/>
  <c r="AK550" i="26"/>
  <c r="AK551" i="26"/>
  <c r="AK552" i="26"/>
  <c r="AK553" i="26"/>
  <c r="AK559" i="26"/>
  <c r="AK560" i="26"/>
  <c r="AK561" i="26"/>
  <c r="AK562" i="26"/>
  <c r="AK563" i="26"/>
  <c r="AK564" i="26"/>
  <c r="AK565" i="26"/>
  <c r="AK566" i="26"/>
  <c r="AK582" i="26"/>
  <c r="AK583" i="26"/>
  <c r="AK584" i="26"/>
  <c r="AK585" i="26"/>
  <c r="AK586" i="26"/>
  <c r="AK592" i="26"/>
  <c r="AK593" i="26"/>
  <c r="AK596" i="26"/>
  <c r="AK597" i="26"/>
  <c r="AK598" i="26"/>
  <c r="AK599" i="26"/>
  <c r="AK600" i="26"/>
  <c r="AK604" i="26"/>
  <c r="AK605" i="26"/>
  <c r="AK606" i="26"/>
  <c r="AK611" i="26"/>
  <c r="AK612" i="26"/>
  <c r="AK613" i="26"/>
  <c r="AK614" i="26"/>
  <c r="AK615" i="26"/>
  <c r="AK616" i="26"/>
  <c r="AK617" i="26"/>
  <c r="AK618" i="26"/>
  <c r="AK619" i="26"/>
  <c r="AK624" i="26"/>
  <c r="AK625" i="26"/>
  <c r="AK626" i="26"/>
  <c r="AK627" i="26"/>
  <c r="AK628" i="26"/>
  <c r="AK629" i="26"/>
  <c r="AK630" i="26"/>
  <c r="AK631" i="26"/>
  <c r="AK632" i="26"/>
  <c r="AK633" i="26"/>
  <c r="AK634" i="26"/>
  <c r="AK635" i="26"/>
  <c r="AK636" i="26"/>
  <c r="AK637" i="26"/>
  <c r="AK646" i="26"/>
  <c r="AK647" i="26"/>
  <c r="AK648" i="26"/>
  <c r="AK649" i="26"/>
  <c r="AK650" i="26"/>
  <c r="AK651" i="26"/>
  <c r="AK652" i="26"/>
  <c r="AK653" i="26"/>
  <c r="AK654" i="26"/>
  <c r="AK668" i="26"/>
  <c r="AK669" i="26"/>
  <c r="AK670" i="26"/>
  <c r="AK671" i="26"/>
  <c r="AK672" i="26"/>
  <c r="AK673" i="26"/>
  <c r="AK674" i="26"/>
  <c r="AK675" i="26"/>
  <c r="AK676" i="26"/>
  <c r="AK677" i="26"/>
  <c r="AK678" i="26"/>
  <c r="AK679" i="26"/>
  <c r="AK684" i="26"/>
  <c r="AK685" i="26"/>
  <c r="AK686" i="26"/>
  <c r="AK687" i="26"/>
  <c r="AK688" i="26"/>
  <c r="AK689" i="26"/>
  <c r="AK690" i="26"/>
  <c r="AK691" i="26"/>
  <c r="AK692" i="26"/>
  <c r="AK693" i="26"/>
  <c r="AK694" i="26"/>
  <c r="AK695" i="26"/>
  <c r="AK696" i="26"/>
  <c r="AK697" i="26"/>
  <c r="AK698" i="26"/>
  <c r="AK703" i="26"/>
  <c r="AK704" i="26"/>
  <c r="AK705" i="26"/>
  <c r="AK706" i="26"/>
  <c r="AK707" i="26"/>
  <c r="AK708" i="26"/>
  <c r="AK709" i="26"/>
  <c r="AK710" i="26"/>
  <c r="AK711" i="26"/>
  <c r="AK712" i="26"/>
  <c r="AK713" i="26"/>
  <c r="AK714" i="26"/>
  <c r="AK715" i="26"/>
  <c r="AK716" i="26"/>
  <c r="AK717" i="26"/>
  <c r="AK718" i="26"/>
  <c r="AK719" i="26"/>
  <c r="AK720" i="26"/>
  <c r="AK721" i="26"/>
  <c r="AK722" i="26"/>
  <c r="AK723" i="26"/>
  <c r="AK724" i="26"/>
  <c r="AK725" i="26"/>
  <c r="AK726" i="26"/>
  <c r="AK727" i="26"/>
  <c r="AK728" i="26"/>
  <c r="AK729" i="26"/>
  <c r="AK730" i="26"/>
  <c r="AK731" i="26"/>
  <c r="AK732" i="26"/>
  <c r="AK733" i="26"/>
  <c r="AK734" i="26"/>
  <c r="AK735" i="26"/>
  <c r="AK736" i="26"/>
  <c r="AK737" i="26"/>
  <c r="AK738" i="26"/>
  <c r="AK743" i="26"/>
  <c r="AK744" i="26"/>
  <c r="AK745" i="26"/>
  <c r="AK746" i="26"/>
  <c r="AK758" i="26"/>
  <c r="AK759" i="26"/>
  <c r="AK760" i="26"/>
  <c r="AK761" i="26"/>
  <c r="AK762" i="26"/>
  <c r="AK771" i="26"/>
  <c r="AK772" i="26"/>
  <c r="AK773" i="26"/>
  <c r="AK774" i="26"/>
  <c r="AK775" i="26"/>
  <c r="AK776" i="26"/>
  <c r="AK777" i="26"/>
  <c r="AK778" i="26"/>
  <c r="AK787" i="26"/>
  <c r="AK788" i="26"/>
  <c r="AK789" i="26"/>
  <c r="AK790" i="26"/>
  <c r="AK797" i="26"/>
  <c r="AK798" i="26"/>
  <c r="AK799" i="26"/>
  <c r="AK800" i="26"/>
  <c r="AK801" i="26"/>
  <c r="AK802" i="26"/>
  <c r="AK803" i="26"/>
  <c r="AK804" i="26"/>
  <c r="AK805" i="26"/>
  <c r="AK814" i="26"/>
  <c r="AK815" i="26"/>
  <c r="AK816" i="26"/>
  <c r="AK817" i="26"/>
  <c r="AK818" i="26"/>
  <c r="AK821" i="26"/>
  <c r="AK822" i="26"/>
  <c r="AK823" i="26"/>
  <c r="AK829" i="26"/>
  <c r="AK830" i="26"/>
  <c r="AK834" i="26"/>
  <c r="AK835" i="26"/>
  <c r="AK841" i="26"/>
  <c r="AK842" i="26"/>
  <c r="AK843" i="26"/>
  <c r="AK844" i="26"/>
  <c r="AK855" i="26"/>
  <c r="AK856" i="26"/>
  <c r="AK862" i="26"/>
  <c r="AK863" i="26"/>
  <c r="AK864" i="26"/>
  <c r="AK865" i="26"/>
  <c r="AK866" i="26"/>
  <c r="AK867" i="26"/>
  <c r="AK868" i="26"/>
  <c r="AK869" i="26"/>
  <c r="AK870" i="26"/>
  <c r="AK871" i="26"/>
  <c r="AK877" i="26"/>
  <c r="AK878" i="26"/>
  <c r="AK879" i="26"/>
  <c r="AK880" i="26"/>
  <c r="AK881" i="26"/>
  <c r="AK887" i="26"/>
  <c r="AK888" i="26"/>
  <c r="AK889" i="26"/>
  <c r="AK895" i="26"/>
  <c r="AK896" i="26"/>
  <c r="AK897" i="26"/>
  <c r="AK898" i="26"/>
  <c r="AK899" i="26"/>
  <c r="AK900" i="26"/>
  <c r="AK901" i="26"/>
  <c r="AK902" i="26"/>
  <c r="AK903" i="26"/>
  <c r="AK904" i="26"/>
  <c r="AK920" i="26"/>
  <c r="AK921" i="26"/>
  <c r="AK922" i="26"/>
  <c r="AK923" i="26"/>
  <c r="AK924" i="26"/>
  <c r="AK925" i="26"/>
  <c r="AK926" i="26"/>
  <c r="AK927" i="26"/>
  <c r="AK928" i="26"/>
  <c r="AK929" i="26"/>
  <c r="AK930" i="26"/>
  <c r="AK931" i="26"/>
  <c r="AK932" i="26"/>
  <c r="AK933" i="26"/>
  <c r="AK934" i="26"/>
  <c r="AK935" i="26"/>
  <c r="AK936" i="26"/>
  <c r="AK958" i="26"/>
  <c r="AK959" i="26"/>
  <c r="AK960" i="26"/>
  <c r="AK961" i="26"/>
  <c r="AK962" i="26"/>
  <c r="AK963" i="26"/>
  <c r="AK964" i="26"/>
  <c r="AK965" i="26"/>
  <c r="AK966" i="26"/>
  <c r="AK967" i="26"/>
  <c r="AK970" i="26"/>
  <c r="AK971" i="26"/>
  <c r="AK978" i="26"/>
  <c r="AK979" i="26"/>
  <c r="AK980" i="26"/>
  <c r="AK985" i="26"/>
  <c r="AK986" i="26"/>
  <c r="AK987" i="26"/>
  <c r="AK988" i="26"/>
  <c r="AK989" i="26"/>
  <c r="AK990" i="26"/>
  <c r="AK991" i="26"/>
  <c r="AK992" i="26"/>
  <c r="AK993" i="26"/>
  <c r="AK994" i="26"/>
  <c r="AK995" i="26"/>
  <c r="AK996" i="26"/>
  <c r="AK997" i="26"/>
  <c r="AK998" i="26"/>
  <c r="AK1006" i="26"/>
  <c r="AK1007" i="26"/>
  <c r="AK1008" i="26"/>
  <c r="AK1009" i="26"/>
  <c r="AK1010" i="26"/>
  <c r="AK1014" i="26"/>
  <c r="AK1015" i="26"/>
  <c r="AK1016" i="26"/>
  <c r="AK1017" i="26"/>
  <c r="AK1018" i="26"/>
  <c r="AK1028" i="26"/>
  <c r="AK1029" i="26"/>
  <c r="AK1030" i="26"/>
  <c r="AK1031" i="26"/>
  <c r="AK1032" i="26"/>
  <c r="AK1037" i="26"/>
  <c r="AK1038" i="26"/>
  <c r="AK1039" i="26"/>
  <c r="AK1040" i="26"/>
  <c r="AK1041" i="26"/>
  <c r="AK1042" i="26"/>
  <c r="AK1043" i="26"/>
  <c r="AK1044" i="26"/>
  <c r="AK1045" i="26"/>
  <c r="AK1046" i="26"/>
  <c r="AK1047" i="26"/>
  <c r="AK1048" i="26"/>
  <c r="AK1049" i="26"/>
  <c r="AK1050" i="26"/>
  <c r="AK1051" i="26"/>
  <c r="AK1052" i="26"/>
  <c r="AK1053" i="26"/>
  <c r="AK1054" i="26"/>
  <c r="AK1055" i="26"/>
  <c r="AK1059" i="26"/>
  <c r="AK1060" i="26"/>
  <c r="AK1066" i="26"/>
  <c r="AK1067" i="26"/>
  <c r="AK1068" i="26"/>
  <c r="AK1069" i="26"/>
  <c r="AK1070" i="26"/>
  <c r="AK1071" i="26"/>
  <c r="AK1072" i="26"/>
  <c r="AK1073" i="26"/>
  <c r="AK1074" i="26"/>
  <c r="AK1075" i="26"/>
  <c r="AK1076" i="26"/>
  <c r="AK1077" i="26"/>
  <c r="AK1078" i="26"/>
  <c r="AK1079" i="26"/>
  <c r="AK1080" i="26"/>
  <c r="AK1081" i="26"/>
  <c r="AK1082" i="26"/>
  <c r="AK1087" i="26"/>
  <c r="AK1088" i="26"/>
  <c r="AK1089" i="26"/>
  <c r="AK1090" i="26"/>
  <c r="AK1091" i="26"/>
  <c r="AK1096" i="26"/>
  <c r="AK1097" i="26"/>
  <c r="AK1098" i="26"/>
  <c r="AK1099" i="26"/>
  <c r="AK1100" i="26"/>
  <c r="AK1101" i="26"/>
  <c r="AK1111" i="26"/>
  <c r="AK1112" i="26"/>
  <c r="AK1121" i="26"/>
  <c r="AK1122" i="26"/>
  <c r="AK1131" i="26"/>
  <c r="AK1132" i="26"/>
  <c r="AK1133" i="26"/>
  <c r="AK1134" i="26"/>
  <c r="AK1135" i="26"/>
  <c r="AK1136" i="26"/>
  <c r="AK1137" i="26"/>
  <c r="AK1147" i="26"/>
  <c r="AK1148" i="26"/>
  <c r="AK1149" i="26"/>
  <c r="AK1150" i="26"/>
  <c r="AK1151" i="26"/>
  <c r="AK1154" i="26"/>
  <c r="AK1155" i="26"/>
  <c r="AK1156" i="26"/>
  <c r="AK1157" i="26"/>
  <c r="AK1169" i="26"/>
  <c r="AK1170" i="26"/>
  <c r="AK1171" i="26"/>
  <c r="AK1176" i="26"/>
  <c r="AK1177" i="26"/>
  <c r="AK1182" i="26"/>
  <c r="AK1183" i="26"/>
  <c r="AK1184" i="26"/>
  <c r="AK1185" i="26"/>
  <c r="AK1186" i="26"/>
  <c r="AK1187" i="26"/>
  <c r="AK1188" i="26"/>
  <c r="AK1194" i="26"/>
  <c r="AK1195" i="26"/>
  <c r="AK1196" i="26"/>
  <c r="AK1206" i="26"/>
  <c r="AK1207" i="26"/>
  <c r="AK1208" i="26"/>
  <c r="AK1209" i="26"/>
  <c r="AK1210" i="26"/>
  <c r="AK1216" i="26"/>
  <c r="AK1217" i="26"/>
  <c r="AK1218" i="26"/>
  <c r="AK1219" i="26"/>
  <c r="AK1220" i="26"/>
  <c r="AK1221" i="26"/>
  <c r="AK1222" i="26"/>
  <c r="AK1223" i="26"/>
  <c r="AK1224" i="26"/>
  <c r="AK1242" i="26"/>
  <c r="AK1243" i="26"/>
  <c r="AK1244" i="26"/>
  <c r="AK1249" i="26"/>
  <c r="AK1250" i="26"/>
  <c r="AK1251" i="26"/>
  <c r="AK1252" i="26"/>
  <c r="AK1253" i="26"/>
  <c r="AK1254" i="26"/>
  <c r="AK1255" i="26"/>
  <c r="AK1256" i="26"/>
  <c r="AK1257" i="26"/>
  <c r="AK1258" i="26"/>
  <c r="AK1259" i="26"/>
  <c r="AK1260" i="26"/>
  <c r="AK1263" i="26"/>
  <c r="AK1264" i="26"/>
  <c r="AK1270" i="26"/>
  <c r="AK1271" i="26"/>
  <c r="AK1272" i="26"/>
  <c r="AK1273" i="26"/>
  <c r="AK1274" i="26"/>
  <c r="AK1275" i="26"/>
  <c r="AK1276" i="26"/>
  <c r="AK1277" i="26"/>
  <c r="AK1278" i="26"/>
  <c r="AK1279" i="26"/>
  <c r="AK1280" i="26"/>
  <c r="AK1281" i="26"/>
  <c r="AK1282" i="26"/>
  <c r="AK1283" i="26"/>
  <c r="AK1284" i="26"/>
  <c r="AK1285" i="26"/>
  <c r="AK1286" i="26"/>
  <c r="AK1287" i="26"/>
  <c r="AK1297" i="26"/>
  <c r="AK1298" i="26"/>
  <c r="AK1299" i="26"/>
  <c r="AK1303" i="26"/>
  <c r="AK1304" i="26"/>
  <c r="AK1305" i="26"/>
  <c r="AK1306" i="26"/>
  <c r="AK1307" i="26"/>
  <c r="AK1308" i="26"/>
  <c r="AK1309" i="26"/>
  <c r="AK1310" i="26"/>
  <c r="AK1311" i="26"/>
  <c r="AK1312" i="26"/>
  <c r="AK1320" i="26"/>
  <c r="AK1321" i="26"/>
  <c r="AK1322" i="26"/>
  <c r="AK1323" i="26"/>
  <c r="AK1324" i="26"/>
  <c r="AK1325" i="26"/>
  <c r="AK1326" i="26"/>
  <c r="AK1327" i="26"/>
  <c r="AK1328" i="26"/>
  <c r="AK1329" i="26"/>
  <c r="AK1336" i="26"/>
  <c r="AK1337" i="26"/>
  <c r="AK1343" i="26"/>
  <c r="AK1344" i="26"/>
  <c r="AK1345" i="26"/>
  <c r="AK1346" i="26"/>
  <c r="AK1358" i="26"/>
  <c r="AK1359" i="26"/>
  <c r="AK1360" i="26"/>
  <c r="AK1361" i="26"/>
  <c r="AK1362" i="26"/>
  <c r="AK1363" i="26"/>
  <c r="AK1364" i="26"/>
  <c r="AK1365" i="26"/>
  <c r="AK1366" i="26"/>
  <c r="AK1371" i="26"/>
  <c r="AK1372" i="26"/>
  <c r="AK1373" i="26"/>
  <c r="AK1374" i="26"/>
  <c r="AK1375" i="26"/>
  <c r="AK1376" i="26"/>
  <c r="AK1377" i="26"/>
  <c r="AK1378" i="26"/>
  <c r="AK1390" i="26"/>
  <c r="AK1391" i="26"/>
  <c r="AK1396" i="26"/>
  <c r="AK1397" i="26"/>
  <c r="AK1398" i="26"/>
  <c r="AK1399" i="26"/>
  <c r="AK1400" i="26"/>
  <c r="AK1401" i="26"/>
  <c r="AK1402" i="26"/>
  <c r="AK1409" i="26"/>
  <c r="AK1410" i="26"/>
  <c r="AK1415" i="26"/>
  <c r="AK1416" i="26"/>
  <c r="AK1417" i="26"/>
  <c r="AK1418" i="26"/>
  <c r="AK1420" i="26"/>
  <c r="AK1421" i="26"/>
  <c r="AK1422" i="26"/>
  <c r="AK1423" i="26"/>
  <c r="AK1424" i="26"/>
  <c r="AK1425" i="26"/>
  <c r="AK1426" i="26"/>
  <c r="AK1427" i="26"/>
  <c r="AK1428" i="26"/>
  <c r="AK1439" i="26"/>
  <c r="AK1440" i="26"/>
  <c r="AK1441" i="26"/>
  <c r="AK1442" i="26"/>
  <c r="AK1443" i="26"/>
  <c r="AK1444" i="26"/>
  <c r="AK1448" i="26"/>
  <c r="AK1449" i="26"/>
  <c r="AK1450" i="26"/>
  <c r="AK1470" i="26"/>
  <c r="AK1471" i="26"/>
  <c r="AK1472" i="26"/>
  <c r="AK1473" i="26"/>
  <c r="AK1474" i="26"/>
  <c r="AK1475" i="26"/>
  <c r="AK1476" i="26"/>
  <c r="AK1477" i="26"/>
  <c r="AK1478" i="26"/>
  <c r="AK1479" i="26"/>
  <c r="AK1480" i="26"/>
  <c r="AK1481" i="26"/>
  <c r="AK1482" i="26"/>
  <c r="AK1483" i="26"/>
  <c r="AK1493" i="26"/>
  <c r="AK1494" i="26"/>
  <c r="AK1495" i="26"/>
  <c r="AK1496" i="26"/>
  <c r="AK1497" i="26"/>
  <c r="AK1502" i="26"/>
  <c r="AK1503" i="26"/>
  <c r="AK1504" i="26"/>
  <c r="AK1505" i="26"/>
  <c r="AK1519" i="26"/>
  <c r="AK1520" i="26"/>
  <c r="AK1521" i="26"/>
  <c r="AK1522" i="26"/>
  <c r="AK1523" i="26"/>
  <c r="AK1524" i="26"/>
  <c r="AK1525" i="26"/>
  <c r="AK1526" i="26"/>
  <c r="AK1527" i="26"/>
  <c r="AK1528" i="26"/>
  <c r="AK1529" i="26"/>
  <c r="AK1530" i="26"/>
  <c r="AK1531" i="26"/>
  <c r="AK1532" i="26"/>
  <c r="AK1533" i="26"/>
  <c r="AK1534" i="26"/>
  <c r="AK1535" i="26"/>
  <c r="AK1536" i="26"/>
  <c r="AK1537" i="26"/>
  <c r="AK1538" i="26"/>
  <c r="AK1539" i="26"/>
  <c r="AK1540" i="26"/>
  <c r="AK1541" i="26"/>
  <c r="AK1542" i="26"/>
  <c r="AK1543" i="26"/>
  <c r="AK1544" i="26"/>
  <c r="AK1545" i="26"/>
  <c r="AK1549" i="26"/>
  <c r="AK1550" i="26"/>
  <c r="AK1551" i="26"/>
  <c r="AK1552" i="26"/>
  <c r="AK1553" i="26"/>
  <c r="AK1554" i="26"/>
  <c r="AK1558" i="26"/>
  <c r="AK1559" i="26"/>
  <c r="AK1560" i="26"/>
  <c r="AK1561" i="26"/>
  <c r="AK1562" i="26"/>
  <c r="AK1563" i="26"/>
  <c r="AK1564" i="26"/>
  <c r="AK1565" i="26"/>
  <c r="AK1566" i="26"/>
  <c r="AK1567" i="26"/>
  <c r="AK1568" i="26"/>
  <c r="AK1569" i="26"/>
  <c r="AK1570" i="26"/>
  <c r="AK1575" i="26"/>
  <c r="AK1576" i="26"/>
  <c r="AK1588" i="26"/>
  <c r="AK1589" i="26"/>
  <c r="AK1590" i="26"/>
  <c r="AK1594" i="26"/>
  <c r="AK1595" i="26"/>
  <c r="AK1596" i="26"/>
  <c r="AK1597" i="26"/>
  <c r="AK1598" i="26"/>
  <c r="AK1599" i="26"/>
  <c r="AK1606" i="26"/>
  <c r="AK1607" i="26"/>
  <c r="AK1608" i="26"/>
  <c r="AK1609" i="26"/>
  <c r="AK1610" i="26"/>
  <c r="AK1620" i="26"/>
  <c r="AK1621" i="26"/>
  <c r="AK1622" i="26"/>
  <c r="AK1623" i="26"/>
  <c r="AK1624" i="26"/>
  <c r="AK1625" i="26"/>
  <c r="AK1626" i="26"/>
  <c r="AK1633" i="26"/>
  <c r="AK1634" i="26"/>
  <c r="AK1635" i="26"/>
  <c r="AK1636" i="26"/>
  <c r="AK1637" i="26"/>
  <c r="AK1638" i="26"/>
  <c r="AK1639" i="26"/>
  <c r="AK1640" i="26"/>
  <c r="AK1650" i="26"/>
  <c r="AK1651" i="26"/>
  <c r="AK1652" i="26"/>
  <c r="AK1653" i="26"/>
  <c r="AK1658" i="26"/>
  <c r="AK1659" i="26"/>
  <c r="AK1660" i="26"/>
  <c r="AK1661" i="26"/>
  <c r="AK1674" i="26"/>
  <c r="AK1675" i="26"/>
  <c r="AK1676" i="26"/>
  <c r="AK1677" i="26"/>
  <c r="AK1685" i="26"/>
  <c r="AK1686" i="26"/>
  <c r="AK1687" i="26"/>
  <c r="AK1688" i="26"/>
  <c r="AK1689" i="26"/>
  <c r="AK1690" i="26"/>
  <c r="AK1695" i="26"/>
  <c r="AK1696" i="26"/>
  <c r="AK1697" i="26"/>
  <c r="AK1698" i="26"/>
  <c r="AK1699" i="26"/>
  <c r="AK1700" i="26"/>
  <c r="AK1701" i="26"/>
  <c r="AK1702" i="26"/>
  <c r="AK1703" i="26"/>
  <c r="AK1710" i="26"/>
  <c r="AK1711" i="26"/>
  <c r="AK1712" i="26"/>
  <c r="AK1713" i="26"/>
  <c r="AK1714" i="26"/>
  <c r="AK1715" i="26"/>
  <c r="AK1716" i="26"/>
  <c r="AK1717" i="26"/>
  <c r="AK1718" i="26"/>
  <c r="AK1719" i="26"/>
  <c r="AK1720" i="26"/>
  <c r="AK1721" i="26"/>
  <c r="AL13" i="26"/>
  <c r="AL14" i="26"/>
  <c r="AL15" i="26"/>
  <c r="AL16" i="26"/>
  <c r="AL17" i="26"/>
  <c r="AL18" i="26"/>
  <c r="AL19" i="26"/>
  <c r="AL20" i="26"/>
  <c r="AL21" i="26"/>
  <c r="AL22" i="26"/>
  <c r="AL23" i="26"/>
  <c r="AL24" i="26"/>
  <c r="AL25" i="26"/>
  <c r="AL26" i="26"/>
  <c r="AL27" i="26"/>
  <c r="AL37" i="26"/>
  <c r="AL38" i="26"/>
  <c r="AL39" i="26"/>
  <c r="AL40" i="26"/>
  <c r="AL41" i="26"/>
  <c r="AL47" i="26"/>
  <c r="AL48" i="26"/>
  <c r="AL49" i="26"/>
  <c r="AL50" i="26"/>
  <c r="AL51" i="26"/>
  <c r="AL52" i="26"/>
  <c r="AL53" i="26"/>
  <c r="AL54" i="26"/>
  <c r="AL64" i="26"/>
  <c r="AL65" i="26"/>
  <c r="AL66" i="26"/>
  <c r="AL67" i="26"/>
  <c r="AL68" i="26"/>
  <c r="AL73" i="26"/>
  <c r="AL74" i="26"/>
  <c r="AL75" i="26"/>
  <c r="AL76" i="26"/>
  <c r="AL77" i="26"/>
  <c r="AL78" i="26"/>
  <c r="AL79" i="26"/>
  <c r="AL80" i="26"/>
  <c r="AL85" i="26"/>
  <c r="AL86" i="26"/>
  <c r="AL87" i="26"/>
  <c r="AL88" i="26"/>
  <c r="AL93" i="26"/>
  <c r="AL94" i="26"/>
  <c r="AL95" i="26"/>
  <c r="AL96" i="26"/>
  <c r="AL97" i="26"/>
  <c r="AL98" i="26"/>
  <c r="AL99" i="26"/>
  <c r="AL100" i="26"/>
  <c r="AL101" i="26"/>
  <c r="AL102" i="26"/>
  <c r="AL103" i="26"/>
  <c r="AL104" i="26"/>
  <c r="AL109" i="26"/>
  <c r="AL110" i="26"/>
  <c r="AL111" i="26"/>
  <c r="AL112" i="26"/>
  <c r="AL113" i="26"/>
  <c r="AL114" i="26"/>
  <c r="AL115" i="26"/>
  <c r="AL116" i="26"/>
  <c r="AL117" i="26"/>
  <c r="AL118" i="26"/>
  <c r="AL119" i="26"/>
  <c r="AL124" i="26"/>
  <c r="AL125" i="26"/>
  <c r="AL129" i="26"/>
  <c r="AL130" i="26"/>
  <c r="AL131" i="26"/>
  <c r="AL132" i="26"/>
  <c r="AL133" i="26"/>
  <c r="AL134" i="26"/>
  <c r="AL135" i="26"/>
  <c r="AL136" i="26"/>
  <c r="AL137" i="26"/>
  <c r="AL138" i="26"/>
  <c r="AL139" i="26"/>
  <c r="AL144" i="26"/>
  <c r="AL145" i="26"/>
  <c r="AL146" i="26"/>
  <c r="AL147" i="26"/>
  <c r="AL148" i="26"/>
  <c r="AL149" i="26"/>
  <c r="AL150" i="26"/>
  <c r="AL151" i="26"/>
  <c r="AL152" i="26"/>
  <c r="AL167" i="26"/>
  <c r="AL168" i="26"/>
  <c r="AL169" i="26"/>
  <c r="AL170" i="26"/>
  <c r="AL171" i="26"/>
  <c r="AL172" i="26"/>
  <c r="AL177" i="26"/>
  <c r="AL178" i="26"/>
  <c r="AL179" i="26"/>
  <c r="AL184" i="26"/>
  <c r="AL185" i="26"/>
  <c r="AL195" i="26"/>
  <c r="AL196" i="26"/>
  <c r="AL201" i="26"/>
  <c r="AL202" i="26"/>
  <c r="AL203" i="26"/>
  <c r="AL204" i="26"/>
  <c r="AL205" i="26"/>
  <c r="AL210" i="26"/>
  <c r="AL211" i="26"/>
  <c r="AL212" i="26"/>
  <c r="AL213" i="26"/>
  <c r="AL214" i="26"/>
  <c r="AL220" i="26"/>
  <c r="AL221" i="26"/>
  <c r="AL222" i="26"/>
  <c r="AL223" i="26"/>
  <c r="AL224" i="26"/>
  <c r="AL230" i="26"/>
  <c r="AL231" i="26"/>
  <c r="AL232" i="26"/>
  <c r="AL241" i="26"/>
  <c r="AL242" i="26"/>
  <c r="AL247" i="26"/>
  <c r="AL248" i="26"/>
  <c r="AL249" i="26"/>
  <c r="AL250" i="26"/>
  <c r="AL251" i="26"/>
  <c r="AL252" i="26"/>
  <c r="AL253" i="26"/>
  <c r="AL254" i="26"/>
  <c r="AL255" i="26"/>
  <c r="AL256" i="26"/>
  <c r="AL257" i="26"/>
  <c r="AL258" i="26"/>
  <c r="AL259" i="26"/>
  <c r="AL260" i="26"/>
  <c r="AL261" i="26"/>
  <c r="AL262" i="26"/>
  <c r="AL263" i="26"/>
  <c r="AL264" i="26"/>
  <c r="AL272" i="26"/>
  <c r="AL273" i="26"/>
  <c r="AL279" i="26"/>
  <c r="AL280" i="26"/>
  <c r="AL281" i="26"/>
  <c r="AL287" i="26"/>
  <c r="AL288" i="26"/>
  <c r="AL289" i="26"/>
  <c r="AL290" i="26"/>
  <c r="AL291" i="26"/>
  <c r="AL296" i="26"/>
  <c r="AL297" i="26"/>
  <c r="AL298" i="26"/>
  <c r="AL299" i="26"/>
  <c r="AL307" i="26"/>
  <c r="AL308" i="26"/>
  <c r="AL309" i="26"/>
  <c r="AL318" i="26"/>
  <c r="AL319" i="26"/>
  <c r="AL320" i="26"/>
  <c r="AL321" i="26"/>
  <c r="AL330" i="26"/>
  <c r="AL331" i="26"/>
  <c r="AL339" i="26"/>
  <c r="AL340" i="26"/>
  <c r="AL341" i="26"/>
  <c r="AL342" i="26"/>
  <c r="AL343" i="26"/>
  <c r="AL344" i="26"/>
  <c r="AL345" i="26"/>
  <c r="AL346" i="26"/>
  <c r="AL347" i="26"/>
  <c r="AL348" i="26"/>
  <c r="AL349" i="26"/>
  <c r="AL350" i="26"/>
  <c r="AL355" i="26"/>
  <c r="AL356" i="26"/>
  <c r="AL357" i="26"/>
  <c r="AL358" i="26"/>
  <c r="AL359" i="26"/>
  <c r="AL360" i="26"/>
  <c r="AL366" i="26"/>
  <c r="AL367" i="26"/>
  <c r="AL368" i="26"/>
  <c r="AL369" i="26"/>
  <c r="AL370" i="26"/>
  <c r="AL371" i="26"/>
  <c r="AL372" i="26"/>
  <c r="AL373" i="26"/>
  <c r="AL374" i="26"/>
  <c r="AL375" i="26"/>
  <c r="AL376" i="26"/>
  <c r="AL377" i="26"/>
  <c r="AL378" i="26"/>
  <c r="AL383" i="26"/>
  <c r="AL384" i="26"/>
  <c r="AL385" i="26"/>
  <c r="AL386" i="26"/>
  <c r="AL387" i="26"/>
  <c r="AL388" i="26"/>
  <c r="AL389" i="26"/>
  <c r="AL395" i="26"/>
  <c r="AL396" i="26"/>
  <c r="AL397" i="26"/>
  <c r="AL398" i="26"/>
  <c r="AL399" i="26"/>
  <c r="AL400" i="26"/>
  <c r="AL401" i="26"/>
  <c r="AL402" i="26"/>
  <c r="AL403" i="26"/>
  <c r="AL404" i="26"/>
  <c r="AL405" i="26"/>
  <c r="AL410" i="26"/>
  <c r="AL411" i="26"/>
  <c r="AL412" i="26"/>
  <c r="AL413" i="26"/>
  <c r="AL414" i="26"/>
  <c r="AL415" i="26"/>
  <c r="AL420" i="26"/>
  <c r="AL421" i="26"/>
  <c r="AL422" i="26"/>
  <c r="AL427" i="26"/>
  <c r="AL428" i="26"/>
  <c r="AL429" i="26"/>
  <c r="AL430" i="26"/>
  <c r="AL431" i="26"/>
  <c r="AL432" i="26"/>
  <c r="AL433" i="26"/>
  <c r="AL438" i="26"/>
  <c r="AL439" i="26"/>
  <c r="AL440" i="26"/>
  <c r="AL441" i="26"/>
  <c r="AL442" i="26"/>
  <c r="AL465" i="26"/>
  <c r="AL466" i="26"/>
  <c r="AL467" i="26"/>
  <c r="AL468" i="26"/>
  <c r="AL469" i="26"/>
  <c r="AL470" i="26"/>
  <c r="AL471" i="26"/>
  <c r="AL472" i="26"/>
  <c r="AL473" i="26"/>
  <c r="AL474" i="26"/>
  <c r="AL475" i="26"/>
  <c r="AL480" i="26"/>
  <c r="AL481" i="26"/>
  <c r="AL482" i="26"/>
  <c r="AL483" i="26"/>
  <c r="AL484" i="26"/>
  <c r="AL491" i="26"/>
  <c r="AL492" i="26"/>
  <c r="AL493" i="26"/>
  <c r="AL494" i="26"/>
  <c r="AL504" i="26"/>
  <c r="AL505" i="26"/>
  <c r="AL506" i="26"/>
  <c r="AL507" i="26"/>
  <c r="AL518" i="26"/>
  <c r="AL519" i="26"/>
  <c r="AL520" i="26"/>
  <c r="AL521" i="26"/>
  <c r="AL522" i="26"/>
  <c r="AL523" i="26"/>
  <c r="AL524" i="26"/>
  <c r="AL525" i="26"/>
  <c r="AL526" i="26"/>
  <c r="AL527" i="26"/>
  <c r="AL528" i="26"/>
  <c r="AL529" i="26"/>
  <c r="AL530" i="26"/>
  <c r="AL531" i="26"/>
  <c r="AL532" i="26"/>
  <c r="AL533" i="26"/>
  <c r="AL534" i="26"/>
  <c r="AL535" i="26"/>
  <c r="AL536" i="26"/>
  <c r="AL537" i="26"/>
  <c r="AL538" i="26"/>
  <c r="AL545" i="26"/>
  <c r="AL546" i="26"/>
  <c r="AL547" i="26"/>
  <c r="AL549" i="26"/>
  <c r="AL550" i="26"/>
  <c r="AL551" i="26"/>
  <c r="AL552" i="26"/>
  <c r="AL553" i="26"/>
  <c r="AL559" i="26"/>
  <c r="AL560" i="26"/>
  <c r="AL561" i="26"/>
  <c r="AL562" i="26"/>
  <c r="AL563" i="26"/>
  <c r="AL564" i="26"/>
  <c r="AL565" i="26"/>
  <c r="AL566" i="26"/>
  <c r="AL582" i="26"/>
  <c r="AL583" i="26"/>
  <c r="AL584" i="26"/>
  <c r="AL585" i="26"/>
  <c r="AL586" i="26"/>
  <c r="AL592" i="26"/>
  <c r="AL593" i="26"/>
  <c r="AL596" i="26"/>
  <c r="AL597" i="26"/>
  <c r="AL598" i="26"/>
  <c r="AL599" i="26"/>
  <c r="AL600" i="26"/>
  <c r="AL604" i="26"/>
  <c r="AL605" i="26"/>
  <c r="AL606" i="26"/>
  <c r="AL611" i="26"/>
  <c r="AL612" i="26"/>
  <c r="AL613" i="26"/>
  <c r="AL614" i="26"/>
  <c r="AL615" i="26"/>
  <c r="AL616" i="26"/>
  <c r="AL617" i="26"/>
  <c r="AL618" i="26"/>
  <c r="AL619" i="26"/>
  <c r="AL624" i="26"/>
  <c r="AL625" i="26"/>
  <c r="AL626" i="26"/>
  <c r="AL627" i="26"/>
  <c r="AL628" i="26"/>
  <c r="AL629" i="26"/>
  <c r="AL630" i="26"/>
  <c r="AL631" i="26"/>
  <c r="AL632" i="26"/>
  <c r="AL633" i="26"/>
  <c r="AL634" i="26"/>
  <c r="AL635" i="26"/>
  <c r="AL636" i="26"/>
  <c r="AL637" i="26"/>
  <c r="AL646" i="26"/>
  <c r="AL647" i="26"/>
  <c r="AL648" i="26"/>
  <c r="AL649" i="26"/>
  <c r="AL650" i="26"/>
  <c r="AL651" i="26"/>
  <c r="AL652" i="26"/>
  <c r="AL653" i="26"/>
  <c r="AL654" i="26"/>
  <c r="AL668" i="26"/>
  <c r="AL669" i="26"/>
  <c r="AL670" i="26"/>
  <c r="AL671" i="26"/>
  <c r="AL672" i="26"/>
  <c r="AL673" i="26"/>
  <c r="AL674" i="26"/>
  <c r="AL675" i="26"/>
  <c r="AL676" i="26"/>
  <c r="AL677" i="26"/>
  <c r="AL678" i="26"/>
  <c r="AL679" i="26"/>
  <c r="AL684" i="26"/>
  <c r="AL685" i="26"/>
  <c r="AL686" i="26"/>
  <c r="AL687" i="26"/>
  <c r="AL688" i="26"/>
  <c r="AL689" i="26"/>
  <c r="AL690" i="26"/>
  <c r="AL691" i="26"/>
  <c r="AL692" i="26"/>
  <c r="AL693" i="26"/>
  <c r="AL694" i="26"/>
  <c r="AL695" i="26"/>
  <c r="AL696" i="26"/>
  <c r="AL697" i="26"/>
  <c r="AL698" i="26"/>
  <c r="AL703" i="26"/>
  <c r="AL704" i="26"/>
  <c r="AL705" i="26"/>
  <c r="AL706" i="26"/>
  <c r="AL707" i="26"/>
  <c r="AL708" i="26"/>
  <c r="AL709" i="26"/>
  <c r="AL710" i="26"/>
  <c r="AL711" i="26"/>
  <c r="AL712" i="26"/>
  <c r="AL713" i="26"/>
  <c r="AL714" i="26"/>
  <c r="AL715" i="26"/>
  <c r="AL716" i="26"/>
  <c r="AL717" i="26"/>
  <c r="AL718" i="26"/>
  <c r="AL719" i="26"/>
  <c r="AL720" i="26"/>
  <c r="AL721" i="26"/>
  <c r="AL722" i="26"/>
  <c r="AL723" i="26"/>
  <c r="AL724" i="26"/>
  <c r="AL725" i="26"/>
  <c r="AL726" i="26"/>
  <c r="AL727" i="26"/>
  <c r="AL728" i="26"/>
  <c r="AL729" i="26"/>
  <c r="AL730" i="26"/>
  <c r="AL731" i="26"/>
  <c r="AL732" i="26"/>
  <c r="AL733" i="26"/>
  <c r="AL734" i="26"/>
  <c r="AL735" i="26"/>
  <c r="AL736" i="26"/>
  <c r="AL737" i="26"/>
  <c r="AL738" i="26"/>
  <c r="AL743" i="26"/>
  <c r="AL744" i="26"/>
  <c r="AL745" i="26"/>
  <c r="AL746" i="26"/>
  <c r="AL758" i="26"/>
  <c r="AL759" i="26"/>
  <c r="AL760" i="26"/>
  <c r="AL761" i="26"/>
  <c r="AL762" i="26"/>
  <c r="AL771" i="26"/>
  <c r="AL772" i="26"/>
  <c r="AL773" i="26"/>
  <c r="AL774" i="26"/>
  <c r="AL775" i="26"/>
  <c r="AL776" i="26"/>
  <c r="AL777" i="26"/>
  <c r="AL778" i="26"/>
  <c r="AL787" i="26"/>
  <c r="AL788" i="26"/>
  <c r="AL789" i="26"/>
  <c r="AL790" i="26"/>
  <c r="AL797" i="26"/>
  <c r="AL798" i="26"/>
  <c r="AL799" i="26"/>
  <c r="AL800" i="26"/>
  <c r="AL801" i="26"/>
  <c r="AL802" i="26"/>
  <c r="AL803" i="26"/>
  <c r="AL804" i="26"/>
  <c r="AL805" i="26"/>
  <c r="AL814" i="26"/>
  <c r="AL815" i="26"/>
  <c r="AL816" i="26"/>
  <c r="AL817" i="26"/>
  <c r="AL818" i="26"/>
  <c r="AL821" i="26"/>
  <c r="AL822" i="26"/>
  <c r="AL823" i="26"/>
  <c r="AL829" i="26"/>
  <c r="AL830" i="26"/>
  <c r="AL834" i="26"/>
  <c r="AL835" i="26"/>
  <c r="AL841" i="26"/>
  <c r="AL842" i="26"/>
  <c r="AL843" i="26"/>
  <c r="AL844" i="26"/>
  <c r="AL855" i="26"/>
  <c r="AL856" i="26"/>
  <c r="AL862" i="26"/>
  <c r="AL863" i="26"/>
  <c r="AL864" i="26"/>
  <c r="AL865" i="26"/>
  <c r="AL866" i="26"/>
  <c r="AL867" i="26"/>
  <c r="AL868" i="26"/>
  <c r="AL869" i="26"/>
  <c r="AL870" i="26"/>
  <c r="AL871" i="26"/>
  <c r="AL877" i="26"/>
  <c r="AL878" i="26"/>
  <c r="AL879" i="26"/>
  <c r="AL880" i="26"/>
  <c r="AL881" i="26"/>
  <c r="AL887" i="26"/>
  <c r="AL888" i="26"/>
  <c r="AL889" i="26"/>
  <c r="AL895" i="26"/>
  <c r="AL896" i="26"/>
  <c r="AL897" i="26"/>
  <c r="AL898" i="26"/>
  <c r="AL899" i="26"/>
  <c r="AL900" i="26"/>
  <c r="AL901" i="26"/>
  <c r="AL902" i="26"/>
  <c r="AL903" i="26"/>
  <c r="AL904" i="26"/>
  <c r="AL920" i="26"/>
  <c r="AL921" i="26"/>
  <c r="AL922" i="26"/>
  <c r="AL923" i="26"/>
  <c r="AL924" i="26"/>
  <c r="AL925" i="26"/>
  <c r="AL926" i="26"/>
  <c r="AL927" i="26"/>
  <c r="AL928" i="26"/>
  <c r="AL929" i="26"/>
  <c r="AL930" i="26"/>
  <c r="AL931" i="26"/>
  <c r="AL932" i="26"/>
  <c r="AL933" i="26"/>
  <c r="AL934" i="26"/>
  <c r="AL935" i="26"/>
  <c r="AL936" i="26"/>
  <c r="AL958" i="26"/>
  <c r="AL959" i="26"/>
  <c r="AL960" i="26"/>
  <c r="AL961" i="26"/>
  <c r="AL962" i="26"/>
  <c r="AL963" i="26"/>
  <c r="AL964" i="26"/>
  <c r="AL965" i="26"/>
  <c r="AL966" i="26"/>
  <c r="AL967" i="26"/>
  <c r="AL970" i="26"/>
  <c r="AL971" i="26"/>
  <c r="AL978" i="26"/>
  <c r="AL979" i="26"/>
  <c r="AL980" i="26"/>
  <c r="AL985" i="26"/>
  <c r="AL986" i="26"/>
  <c r="AL987" i="26"/>
  <c r="AL988" i="26"/>
  <c r="AL989" i="26"/>
  <c r="AL990" i="26"/>
  <c r="AL991" i="26"/>
  <c r="AL992" i="26"/>
  <c r="AL993" i="26"/>
  <c r="AL994" i="26"/>
  <c r="AL995" i="26"/>
  <c r="AL996" i="26"/>
  <c r="AL997" i="26"/>
  <c r="AL998" i="26"/>
  <c r="AL1006" i="26"/>
  <c r="AL1007" i="26"/>
  <c r="AL1008" i="26"/>
  <c r="AL1009" i="26"/>
  <c r="AL1010" i="26"/>
  <c r="AL1014" i="26"/>
  <c r="AL1015" i="26"/>
  <c r="AL1016" i="26"/>
  <c r="AL1017" i="26"/>
  <c r="AL1018" i="26"/>
  <c r="AL1028" i="26"/>
  <c r="AL1029" i="26"/>
  <c r="AL1030" i="26"/>
  <c r="AL1031" i="26"/>
  <c r="AL1032" i="26"/>
  <c r="AL1037" i="26"/>
  <c r="AL1038" i="26"/>
  <c r="AL1039" i="26"/>
  <c r="AL1040" i="26"/>
  <c r="AL1041" i="26"/>
  <c r="AL1042" i="26"/>
  <c r="AL1043" i="26"/>
  <c r="AL1044" i="26"/>
  <c r="AL1045" i="26"/>
  <c r="AL1046" i="26"/>
  <c r="AL1047" i="26"/>
  <c r="AL1048" i="26"/>
  <c r="AL1049" i="26"/>
  <c r="AL1050" i="26"/>
  <c r="AL1051" i="26"/>
  <c r="AL1052" i="26"/>
  <c r="AL1053" i="26"/>
  <c r="AL1054" i="26"/>
  <c r="AL1055" i="26"/>
  <c r="AL1059" i="26"/>
  <c r="AL1060" i="26"/>
  <c r="AL1066" i="26"/>
  <c r="AL1067" i="26"/>
  <c r="AL1068" i="26"/>
  <c r="AL1069" i="26"/>
  <c r="AL1070" i="26"/>
  <c r="AL1071" i="26"/>
  <c r="AL1072" i="26"/>
  <c r="AL1073" i="26"/>
  <c r="AL1074" i="26"/>
  <c r="AL1075" i="26"/>
  <c r="AL1076" i="26"/>
  <c r="AL1077" i="26"/>
  <c r="AL1078" i="26"/>
  <c r="AL1079" i="26"/>
  <c r="AL1080" i="26"/>
  <c r="AL1081" i="26"/>
  <c r="AL1082" i="26"/>
  <c r="AL1087" i="26"/>
  <c r="AL1088" i="26"/>
  <c r="AL1089" i="26"/>
  <c r="AL1090" i="26"/>
  <c r="AL1091" i="26"/>
  <c r="AL1096" i="26"/>
  <c r="AL1097" i="26"/>
  <c r="AL1098" i="26"/>
  <c r="AL1099" i="26"/>
  <c r="AL1100" i="26"/>
  <c r="AL1101" i="26"/>
  <c r="AL1111" i="26"/>
  <c r="AL1112" i="26"/>
  <c r="AL1121" i="26"/>
  <c r="AL1122" i="26"/>
  <c r="AL1131" i="26"/>
  <c r="AL1132" i="26"/>
  <c r="AL1133" i="26"/>
  <c r="AL1134" i="26"/>
  <c r="AL1135" i="26"/>
  <c r="AL1136" i="26"/>
  <c r="AL1137" i="26"/>
  <c r="AL1147" i="26"/>
  <c r="AL1148" i="26"/>
  <c r="AL1149" i="26"/>
  <c r="AL1150" i="26"/>
  <c r="AL1151" i="26"/>
  <c r="AL1154" i="26"/>
  <c r="AL1155" i="26"/>
  <c r="AL1156" i="26"/>
  <c r="AL1157" i="26"/>
  <c r="AL1169" i="26"/>
  <c r="AL1170" i="26"/>
  <c r="AL1171" i="26"/>
  <c r="AL1176" i="26"/>
  <c r="AL1177" i="26"/>
  <c r="AL1182" i="26"/>
  <c r="AL1183" i="26"/>
  <c r="AL1184" i="26"/>
  <c r="AL1185" i="26"/>
  <c r="AL1186" i="26"/>
  <c r="AL1187" i="26"/>
  <c r="AL1188" i="26"/>
  <c r="AL1194" i="26"/>
  <c r="AL1195" i="26"/>
  <c r="AL1196" i="26"/>
  <c r="AL1206" i="26"/>
  <c r="AL1207" i="26"/>
  <c r="AL1208" i="26"/>
  <c r="AL1209" i="26"/>
  <c r="AL1210" i="26"/>
  <c r="AL1216" i="26"/>
  <c r="AL1217" i="26"/>
  <c r="AL1218" i="26"/>
  <c r="AL1219" i="26"/>
  <c r="AL1220" i="26"/>
  <c r="AL1221" i="26"/>
  <c r="AL1222" i="26"/>
  <c r="AL1223" i="26"/>
  <c r="AL1224" i="26"/>
  <c r="AL1242" i="26"/>
  <c r="AL1243" i="26"/>
  <c r="AL1244" i="26"/>
  <c r="AL1249" i="26"/>
  <c r="AL1250" i="26"/>
  <c r="AL1251" i="26"/>
  <c r="AL1252" i="26"/>
  <c r="AL1253" i="26"/>
  <c r="AL1254" i="26"/>
  <c r="AL1255" i="26"/>
  <c r="AL1256" i="26"/>
  <c r="AL1257" i="26"/>
  <c r="AL1258" i="26"/>
  <c r="AL1259" i="26"/>
  <c r="AL1260" i="26"/>
  <c r="AL1263" i="26"/>
  <c r="AL1264" i="26"/>
  <c r="AL1270" i="26"/>
  <c r="AL1271" i="26"/>
  <c r="AL1272" i="26"/>
  <c r="AL1273" i="26"/>
  <c r="AL1274" i="26"/>
  <c r="AL1275" i="26"/>
  <c r="AL1276" i="26"/>
  <c r="AL1277" i="26"/>
  <c r="AL1278" i="26"/>
  <c r="AL1279" i="26"/>
  <c r="AL1280" i="26"/>
  <c r="AL1281" i="26"/>
  <c r="AL1282" i="26"/>
  <c r="AL1283" i="26"/>
  <c r="AL1284" i="26"/>
  <c r="AL1285" i="26"/>
  <c r="AL1286" i="26"/>
  <c r="AL1287" i="26"/>
  <c r="AL1297" i="26"/>
  <c r="AL1298" i="26"/>
  <c r="AL1299" i="26"/>
  <c r="AL1303" i="26"/>
  <c r="AL1304" i="26"/>
  <c r="AL1305" i="26"/>
  <c r="AL1306" i="26"/>
  <c r="AL1307" i="26"/>
  <c r="AL1308" i="26"/>
  <c r="AL1309" i="26"/>
  <c r="AL1310" i="26"/>
  <c r="AL1311" i="26"/>
  <c r="AL1312" i="26"/>
  <c r="AL1320" i="26"/>
  <c r="AL1321" i="26"/>
  <c r="AL1322" i="26"/>
  <c r="AL1323" i="26"/>
  <c r="AL1324" i="26"/>
  <c r="AL1325" i="26"/>
  <c r="AL1326" i="26"/>
  <c r="AL1327" i="26"/>
  <c r="AL1328" i="26"/>
  <c r="AL1329" i="26"/>
  <c r="AL1336" i="26"/>
  <c r="AL1337" i="26"/>
  <c r="AL1343" i="26"/>
  <c r="AL1344" i="26"/>
  <c r="AL1345" i="26"/>
  <c r="AL1346" i="26"/>
  <c r="AL1358" i="26"/>
  <c r="AL1359" i="26"/>
  <c r="AL1360" i="26"/>
  <c r="AL1361" i="26"/>
  <c r="AL1362" i="26"/>
  <c r="AL1363" i="26"/>
  <c r="AL1364" i="26"/>
  <c r="AL1365" i="26"/>
  <c r="AL1366" i="26"/>
  <c r="AL1371" i="26"/>
  <c r="AL1372" i="26"/>
  <c r="AL1373" i="26"/>
  <c r="AL1374" i="26"/>
  <c r="AL1375" i="26"/>
  <c r="AL1376" i="26"/>
  <c r="AL1377" i="26"/>
  <c r="AL1378" i="26"/>
  <c r="AL1390" i="26"/>
  <c r="AL1391" i="26"/>
  <c r="AL1396" i="26"/>
  <c r="AL1397" i="26"/>
  <c r="AL1398" i="26"/>
  <c r="AL1399" i="26"/>
  <c r="AL1400" i="26"/>
  <c r="AL1401" i="26"/>
  <c r="AL1402" i="26"/>
  <c r="AL1409" i="26"/>
  <c r="AL1410" i="26"/>
  <c r="AL1415" i="26"/>
  <c r="AL1416" i="26"/>
  <c r="AL1417" i="26"/>
  <c r="AL1418" i="26"/>
  <c r="AL1420" i="26"/>
  <c r="AL1421" i="26"/>
  <c r="AL1422" i="26"/>
  <c r="AL1423" i="26"/>
  <c r="AL1424" i="26"/>
  <c r="AL1425" i="26"/>
  <c r="AL1426" i="26"/>
  <c r="AL1427" i="26"/>
  <c r="AL1428" i="26"/>
  <c r="AL1439" i="26"/>
  <c r="AL1440" i="26"/>
  <c r="AL1441" i="26"/>
  <c r="AL1442" i="26"/>
  <c r="AL1443" i="26"/>
  <c r="AL1444" i="26"/>
  <c r="AL1448" i="26"/>
  <c r="AL1449" i="26"/>
  <c r="AL1450" i="26"/>
  <c r="AL1470" i="26"/>
  <c r="AL1471" i="26"/>
  <c r="AL1472" i="26"/>
  <c r="AL1473" i="26"/>
  <c r="AL1474" i="26"/>
  <c r="AL1475" i="26"/>
  <c r="AL1476" i="26"/>
  <c r="AL1477" i="26"/>
  <c r="AL1478" i="26"/>
  <c r="AL1479" i="26"/>
  <c r="AL1480" i="26"/>
  <c r="AL1481" i="26"/>
  <c r="AL1482" i="26"/>
  <c r="AL1483" i="26"/>
  <c r="AL1493" i="26"/>
  <c r="AL1494" i="26"/>
  <c r="AL1495" i="26"/>
  <c r="AL1496" i="26"/>
  <c r="AL1497" i="26"/>
  <c r="AL1502" i="26"/>
  <c r="AL1503" i="26"/>
  <c r="AL1504" i="26"/>
  <c r="AL1505" i="26"/>
  <c r="AL1519" i="26"/>
  <c r="AL1520" i="26"/>
  <c r="AL1521" i="26"/>
  <c r="AL1522" i="26"/>
  <c r="AL1523" i="26"/>
  <c r="AL1524" i="26"/>
  <c r="AL1525" i="26"/>
  <c r="AL1526" i="26"/>
  <c r="AL1527" i="26"/>
  <c r="AL1528" i="26"/>
  <c r="AL1529" i="26"/>
  <c r="AL1530" i="26"/>
  <c r="AL1531" i="26"/>
  <c r="AL1532" i="26"/>
  <c r="AL1533" i="26"/>
  <c r="AL1534" i="26"/>
  <c r="AL1535" i="26"/>
  <c r="AL1536" i="26"/>
  <c r="AL1537" i="26"/>
  <c r="AL1538" i="26"/>
  <c r="AL1539" i="26"/>
  <c r="AL1540" i="26"/>
  <c r="AL1541" i="26"/>
  <c r="AL1542" i="26"/>
  <c r="AL1543" i="26"/>
  <c r="AL1544" i="26"/>
  <c r="AL1545" i="26"/>
  <c r="AL1549" i="26"/>
  <c r="AL1550" i="26"/>
  <c r="AL1551" i="26"/>
  <c r="AL1552" i="26"/>
  <c r="AL1553" i="26"/>
  <c r="AL1554" i="26"/>
  <c r="AL1558" i="26"/>
  <c r="AL1559" i="26"/>
  <c r="AL1560" i="26"/>
  <c r="AL1561" i="26"/>
  <c r="AL1562" i="26"/>
  <c r="AL1563" i="26"/>
  <c r="AL1564" i="26"/>
  <c r="AL1565" i="26"/>
  <c r="AL1566" i="26"/>
  <c r="AL1567" i="26"/>
  <c r="AL1568" i="26"/>
  <c r="AL1569" i="26"/>
  <c r="AL1570" i="26"/>
  <c r="AL1575" i="26"/>
  <c r="AL1576" i="26"/>
  <c r="AL1588" i="26"/>
  <c r="AL1589" i="26"/>
  <c r="AL1590" i="26"/>
  <c r="AL1594" i="26"/>
  <c r="AL1595" i="26"/>
  <c r="AL1596" i="26"/>
  <c r="AL1597" i="26"/>
  <c r="AL1598" i="26"/>
  <c r="AL1599" i="26"/>
  <c r="AL1606" i="26"/>
  <c r="AL1607" i="26"/>
  <c r="AL1608" i="26"/>
  <c r="AL1609" i="26"/>
  <c r="AL1610" i="26"/>
  <c r="AL1620" i="26"/>
  <c r="AL1621" i="26"/>
  <c r="AL1622" i="26"/>
  <c r="AL1623" i="26"/>
  <c r="AL1624" i="26"/>
  <c r="AL1625" i="26"/>
  <c r="AL1626" i="26"/>
  <c r="AL1633" i="26"/>
  <c r="AL1634" i="26"/>
  <c r="AL1635" i="26"/>
  <c r="AL1636" i="26"/>
  <c r="AL1637" i="26"/>
  <c r="AL1638" i="26"/>
  <c r="AL1639" i="26"/>
  <c r="AL1640" i="26"/>
  <c r="AL1650" i="26"/>
  <c r="AL1651" i="26"/>
  <c r="AL1652" i="26"/>
  <c r="AL1653" i="26"/>
  <c r="AL1658" i="26"/>
  <c r="AL1659" i="26"/>
  <c r="AL1660" i="26"/>
  <c r="AL1661" i="26"/>
  <c r="AL1674" i="26"/>
  <c r="AL1675" i="26"/>
  <c r="AL1676" i="26"/>
  <c r="AL1677" i="26"/>
  <c r="AL1685" i="26"/>
  <c r="AL1686" i="26"/>
  <c r="AL1687" i="26"/>
  <c r="AL1688" i="26"/>
  <c r="AL1689" i="26"/>
  <c r="AL1690" i="26"/>
  <c r="AL1695" i="26"/>
  <c r="AL1696" i="26"/>
  <c r="AL1697" i="26"/>
  <c r="AL1698" i="26"/>
  <c r="AL1699" i="26"/>
  <c r="AL1700" i="26"/>
  <c r="AL1701" i="26"/>
  <c r="AL1702" i="26"/>
  <c r="AL1703" i="26"/>
  <c r="AL1710" i="26"/>
  <c r="AL1711" i="26"/>
  <c r="AL1712" i="26"/>
  <c r="AL1713" i="26"/>
  <c r="AL1714" i="26"/>
  <c r="AL1715" i="26"/>
  <c r="AL1716" i="26"/>
  <c r="AL1717" i="26"/>
  <c r="AL1718" i="26"/>
  <c r="AL1719" i="26"/>
  <c r="AL1720" i="26"/>
  <c r="AL1721" i="26"/>
  <c r="AM13" i="26"/>
  <c r="AM14" i="26"/>
  <c r="AM15" i="26"/>
  <c r="AM16" i="26"/>
  <c r="AM17" i="26"/>
  <c r="AM18" i="26"/>
  <c r="AM19" i="26"/>
  <c r="AM20" i="26"/>
  <c r="AM21" i="26"/>
  <c r="AM22" i="26"/>
  <c r="AM23" i="26"/>
  <c r="AM24" i="26"/>
  <c r="AM25" i="26"/>
  <c r="AM26" i="26"/>
  <c r="AM27" i="26"/>
  <c r="AM37" i="26"/>
  <c r="AM38" i="26"/>
  <c r="AM39" i="26"/>
  <c r="AM40" i="26"/>
  <c r="AM41" i="26"/>
  <c r="AM47" i="26"/>
  <c r="AM48" i="26"/>
  <c r="AM49" i="26"/>
  <c r="AM50" i="26"/>
  <c r="AM51" i="26"/>
  <c r="AM52" i="26"/>
  <c r="AM53" i="26"/>
  <c r="AM54" i="26"/>
  <c r="AM64" i="26"/>
  <c r="AM65" i="26"/>
  <c r="AM66" i="26"/>
  <c r="AM67" i="26"/>
  <c r="AM68" i="26"/>
  <c r="AM73" i="26"/>
  <c r="AM74" i="26"/>
  <c r="AM75" i="26"/>
  <c r="AM76" i="26"/>
  <c r="AM77" i="26"/>
  <c r="AM78" i="26"/>
  <c r="AM79" i="26"/>
  <c r="AM80" i="26"/>
  <c r="AM85" i="26"/>
  <c r="AM86" i="26"/>
  <c r="AM87" i="26"/>
  <c r="AM88" i="26"/>
  <c r="AM93" i="26"/>
  <c r="AM94" i="26"/>
  <c r="AM95" i="26"/>
  <c r="AM96" i="26"/>
  <c r="AM97" i="26"/>
  <c r="AM98" i="26"/>
  <c r="AM99" i="26"/>
  <c r="AM100" i="26"/>
  <c r="AM101" i="26"/>
  <c r="AM102" i="26"/>
  <c r="AM103" i="26"/>
  <c r="AM104" i="26"/>
  <c r="AM109" i="26"/>
  <c r="AM110" i="26"/>
  <c r="AM111" i="26"/>
  <c r="AM112" i="26"/>
  <c r="AM113" i="26"/>
  <c r="AM114" i="26"/>
  <c r="AM115" i="26"/>
  <c r="AM116" i="26"/>
  <c r="AM117" i="26"/>
  <c r="AM118" i="26"/>
  <c r="AM119" i="26"/>
  <c r="AM124" i="26"/>
  <c r="AM125" i="26"/>
  <c r="AM129" i="26"/>
  <c r="AM130" i="26"/>
  <c r="AM131" i="26"/>
  <c r="AM132" i="26"/>
  <c r="AM133" i="26"/>
  <c r="AM134" i="26"/>
  <c r="AM135" i="26"/>
  <c r="AM136" i="26"/>
  <c r="AM137" i="26"/>
  <c r="AM138" i="26"/>
  <c r="AM139" i="26"/>
  <c r="AM144" i="26"/>
  <c r="AM145" i="26"/>
  <c r="AM146" i="26"/>
  <c r="AM147" i="26"/>
  <c r="AM148" i="26"/>
  <c r="AM149" i="26"/>
  <c r="AM150" i="26"/>
  <c r="AM151" i="26"/>
  <c r="AM152" i="26"/>
  <c r="AM167" i="26"/>
  <c r="AM168" i="26"/>
  <c r="AM169" i="26"/>
  <c r="AM170" i="26"/>
  <c r="AM171" i="26"/>
  <c r="AM172" i="26"/>
  <c r="AM177" i="26"/>
  <c r="AM178" i="26"/>
  <c r="AM179" i="26"/>
  <c r="AM184" i="26"/>
  <c r="AM185" i="26"/>
  <c r="AM195" i="26"/>
  <c r="AM196" i="26"/>
  <c r="AM201" i="26"/>
  <c r="AM202" i="26"/>
  <c r="AM203" i="26"/>
  <c r="AM204" i="26"/>
  <c r="AM205" i="26"/>
  <c r="AM210" i="26"/>
  <c r="AM211" i="26"/>
  <c r="AM212" i="26"/>
  <c r="AM213" i="26"/>
  <c r="AM214" i="26"/>
  <c r="AM220" i="26"/>
  <c r="AM221" i="26"/>
  <c r="AM222" i="26"/>
  <c r="AM223" i="26"/>
  <c r="AM224" i="26"/>
  <c r="AM230" i="26"/>
  <c r="AM231" i="26"/>
  <c r="AM232" i="26"/>
  <c r="AM241" i="26"/>
  <c r="AM242" i="26"/>
  <c r="AM247" i="26"/>
  <c r="AM248" i="26"/>
  <c r="AM249" i="26"/>
  <c r="AM250" i="26"/>
  <c r="AM251" i="26"/>
  <c r="AM252" i="26"/>
  <c r="AM253" i="26"/>
  <c r="AM254" i="26"/>
  <c r="AM255" i="26"/>
  <c r="AM256" i="26"/>
  <c r="AM257" i="26"/>
  <c r="AM258" i="26"/>
  <c r="AM259" i="26"/>
  <c r="AM260" i="26"/>
  <c r="AM261" i="26"/>
  <c r="AM262" i="26"/>
  <c r="AM263" i="26"/>
  <c r="AM264" i="26"/>
  <c r="AM272" i="26"/>
  <c r="AM273" i="26"/>
  <c r="AM279" i="26"/>
  <c r="AM280" i="26"/>
  <c r="AM281" i="26"/>
  <c r="AM287" i="26"/>
  <c r="AM288" i="26"/>
  <c r="AM289" i="26"/>
  <c r="AM290" i="26"/>
  <c r="AM291" i="26"/>
  <c r="AM296" i="26"/>
  <c r="AM297" i="26"/>
  <c r="AM298" i="26"/>
  <c r="AM299" i="26"/>
  <c r="AM307" i="26"/>
  <c r="AM308" i="26"/>
  <c r="AM309" i="26"/>
  <c r="AM318" i="26"/>
  <c r="AM319" i="26"/>
  <c r="AM320" i="26"/>
  <c r="AM321" i="26"/>
  <c r="AM330" i="26"/>
  <c r="AM331" i="26"/>
  <c r="AM339" i="26"/>
  <c r="AM340" i="26"/>
  <c r="AM341" i="26"/>
  <c r="AM342" i="26"/>
  <c r="AM343" i="26"/>
  <c r="AM344" i="26"/>
  <c r="AM345" i="26"/>
  <c r="AM346" i="26"/>
  <c r="AM347" i="26"/>
  <c r="AM348" i="26"/>
  <c r="AM349" i="26"/>
  <c r="AM350" i="26"/>
  <c r="AM355" i="26"/>
  <c r="AM356" i="26"/>
  <c r="AM357" i="26"/>
  <c r="AM358" i="26"/>
  <c r="AM359" i="26"/>
  <c r="AM360" i="26"/>
  <c r="AM366" i="26"/>
  <c r="AM367" i="26"/>
  <c r="AM368" i="26"/>
  <c r="AM369" i="26"/>
  <c r="AM370" i="26"/>
  <c r="AM371" i="26"/>
  <c r="AM372" i="26"/>
  <c r="AM373" i="26"/>
  <c r="AM374" i="26"/>
  <c r="AM375" i="26"/>
  <c r="AM376" i="26"/>
  <c r="AM377" i="26"/>
  <c r="AM378" i="26"/>
  <c r="AM383" i="26"/>
  <c r="AM384" i="26"/>
  <c r="AM385" i="26"/>
  <c r="AM386" i="26"/>
  <c r="AM387" i="26"/>
  <c r="AM388" i="26"/>
  <c r="AM389" i="26"/>
  <c r="AM395" i="26"/>
  <c r="AM396" i="26"/>
  <c r="AM397" i="26"/>
  <c r="AM398" i="26"/>
  <c r="AM399" i="26"/>
  <c r="AM400" i="26"/>
  <c r="AM401" i="26"/>
  <c r="AM402" i="26"/>
  <c r="AM403" i="26"/>
  <c r="AM404" i="26"/>
  <c r="AM405" i="26"/>
  <c r="AM410" i="26"/>
  <c r="AM411" i="26"/>
  <c r="AM412" i="26"/>
  <c r="AM413" i="26"/>
  <c r="AM414" i="26"/>
  <c r="AM415" i="26"/>
  <c r="AM420" i="26"/>
  <c r="AM421" i="26"/>
  <c r="AM422" i="26"/>
  <c r="AM427" i="26"/>
  <c r="AM428" i="26"/>
  <c r="AM429" i="26"/>
  <c r="AM430" i="26"/>
  <c r="AM431" i="26"/>
  <c r="AM432" i="26"/>
  <c r="AM433" i="26"/>
  <c r="AM438" i="26"/>
  <c r="AM439" i="26"/>
  <c r="AM440" i="26"/>
  <c r="AM441" i="26"/>
  <c r="AM442" i="26"/>
  <c r="AM465" i="26"/>
  <c r="AM466" i="26"/>
  <c r="AM467" i="26"/>
  <c r="AM468" i="26"/>
  <c r="AM469" i="26"/>
  <c r="AM470" i="26"/>
  <c r="AM471" i="26"/>
  <c r="AM472" i="26"/>
  <c r="AM473" i="26"/>
  <c r="AM474" i="26"/>
  <c r="AM475" i="26"/>
  <c r="AM480" i="26"/>
  <c r="AM481" i="26"/>
  <c r="AM482" i="26"/>
  <c r="AM483" i="26"/>
  <c r="AM484" i="26"/>
  <c r="AM491" i="26"/>
  <c r="AM492" i="26"/>
  <c r="AM493" i="26"/>
  <c r="AM494" i="26"/>
  <c r="AM504" i="26"/>
  <c r="AM505" i="26"/>
  <c r="AM506" i="26"/>
  <c r="AM507" i="26"/>
  <c r="AM518" i="26"/>
  <c r="AM519" i="26"/>
  <c r="AM520" i="26"/>
  <c r="AM521" i="26"/>
  <c r="AM522" i="26"/>
  <c r="AM523" i="26"/>
  <c r="AM524" i="26"/>
  <c r="AM525" i="26"/>
  <c r="AM526" i="26"/>
  <c r="AM527" i="26"/>
  <c r="AM528" i="26"/>
  <c r="AM529" i="26"/>
  <c r="AM530" i="26"/>
  <c r="AM531" i="26"/>
  <c r="AM532" i="26"/>
  <c r="AM533" i="26"/>
  <c r="AM534" i="26"/>
  <c r="AM535" i="26"/>
  <c r="AM536" i="26"/>
  <c r="AM537" i="26"/>
  <c r="AM538" i="26"/>
  <c r="AM545" i="26"/>
  <c r="AM546" i="26"/>
  <c r="AM547" i="26"/>
  <c r="AM549" i="26"/>
  <c r="AM550" i="26"/>
  <c r="AM551" i="26"/>
  <c r="AM552" i="26"/>
  <c r="AM553" i="26"/>
  <c r="AM559" i="26"/>
  <c r="AM560" i="26"/>
  <c r="AM561" i="26"/>
  <c r="AM562" i="26"/>
  <c r="AM563" i="26"/>
  <c r="AM564" i="26"/>
  <c r="AM565" i="26"/>
  <c r="AM566" i="26"/>
  <c r="AM582" i="26"/>
  <c r="AM583" i="26"/>
  <c r="AM584" i="26"/>
  <c r="AM585" i="26"/>
  <c r="AM586" i="26"/>
  <c r="AM592" i="26"/>
  <c r="AM593" i="26"/>
  <c r="AM596" i="26"/>
  <c r="AM597" i="26"/>
  <c r="AM598" i="26"/>
  <c r="AM599" i="26"/>
  <c r="AM600" i="26"/>
  <c r="AM604" i="26"/>
  <c r="AM605" i="26"/>
  <c r="AM606" i="26"/>
  <c r="AM611" i="26"/>
  <c r="AM612" i="26"/>
  <c r="AM613" i="26"/>
  <c r="AM614" i="26"/>
  <c r="AM615" i="26"/>
  <c r="AM616" i="26"/>
  <c r="AM617" i="26"/>
  <c r="AM618" i="26"/>
  <c r="AM619" i="26"/>
  <c r="AM624" i="26"/>
  <c r="AM625" i="26"/>
  <c r="AM626" i="26"/>
  <c r="AM627" i="26"/>
  <c r="AM628" i="26"/>
  <c r="AM629" i="26"/>
  <c r="AM630" i="26"/>
  <c r="AM631" i="26"/>
  <c r="AM632" i="26"/>
  <c r="AM633" i="26"/>
  <c r="AM634" i="26"/>
  <c r="AM635" i="26"/>
  <c r="AM636" i="26"/>
  <c r="AM637" i="26"/>
  <c r="AM646" i="26"/>
  <c r="AM647" i="26"/>
  <c r="AM648" i="26"/>
  <c r="AM649" i="26"/>
  <c r="AM650" i="26"/>
  <c r="AM651" i="26"/>
  <c r="AM652" i="26"/>
  <c r="AM653" i="26"/>
  <c r="AM654" i="26"/>
  <c r="AM668" i="26"/>
  <c r="AM669" i="26"/>
  <c r="AM670" i="26"/>
  <c r="AM671" i="26"/>
  <c r="AM672" i="26"/>
  <c r="AM673" i="26"/>
  <c r="AM674" i="26"/>
  <c r="AM675" i="26"/>
  <c r="AM676" i="26"/>
  <c r="AM677" i="26"/>
  <c r="AM678" i="26"/>
  <c r="AM679" i="26"/>
  <c r="AM684" i="26"/>
  <c r="AM685" i="26"/>
  <c r="AM686" i="26"/>
  <c r="AM687" i="26"/>
  <c r="AM688" i="26"/>
  <c r="AM689" i="26"/>
  <c r="AM690" i="26"/>
  <c r="AM691" i="26"/>
  <c r="AM692" i="26"/>
  <c r="AM693" i="26"/>
  <c r="AM694" i="26"/>
  <c r="AM695" i="26"/>
  <c r="AM696" i="26"/>
  <c r="AM697" i="26"/>
  <c r="AM698" i="26"/>
  <c r="AM703" i="26"/>
  <c r="AM704" i="26"/>
  <c r="AM705" i="26"/>
  <c r="AM706" i="26"/>
  <c r="AM707" i="26"/>
  <c r="AM708" i="26"/>
  <c r="AM709" i="26"/>
  <c r="AM710" i="26"/>
  <c r="AM711" i="26"/>
  <c r="AM712" i="26"/>
  <c r="AM713" i="26"/>
  <c r="AM714" i="26"/>
  <c r="AM715" i="26"/>
  <c r="AM716" i="26"/>
  <c r="AM717" i="26"/>
  <c r="AM718" i="26"/>
  <c r="AM719" i="26"/>
  <c r="AM720" i="26"/>
  <c r="AM721" i="26"/>
  <c r="AM722" i="26"/>
  <c r="AM723" i="26"/>
  <c r="AM724" i="26"/>
  <c r="AM725" i="26"/>
  <c r="AM726" i="26"/>
  <c r="AM727" i="26"/>
  <c r="AM728" i="26"/>
  <c r="AM729" i="26"/>
  <c r="AM730" i="26"/>
  <c r="AM731" i="26"/>
  <c r="AM732" i="26"/>
  <c r="AM733" i="26"/>
  <c r="AM734" i="26"/>
  <c r="AM735" i="26"/>
  <c r="AM736" i="26"/>
  <c r="AM737" i="26"/>
  <c r="AM738" i="26"/>
  <c r="AM743" i="26"/>
  <c r="AM744" i="26"/>
  <c r="AM745" i="26"/>
  <c r="AM746" i="26"/>
  <c r="AM758" i="26"/>
  <c r="AM759" i="26"/>
  <c r="AM760" i="26"/>
  <c r="AM761" i="26"/>
  <c r="AM762" i="26"/>
  <c r="AM771" i="26"/>
  <c r="AM772" i="26"/>
  <c r="AM773" i="26"/>
  <c r="AM774" i="26"/>
  <c r="AM775" i="26"/>
  <c r="AM776" i="26"/>
  <c r="AM777" i="26"/>
  <c r="AM778" i="26"/>
  <c r="AM787" i="26"/>
  <c r="AM788" i="26"/>
  <c r="AM789" i="26"/>
  <c r="AM790" i="26"/>
  <c r="AM797" i="26"/>
  <c r="AM798" i="26"/>
  <c r="AM799" i="26"/>
  <c r="AM800" i="26"/>
  <c r="AM801" i="26"/>
  <c r="AM802" i="26"/>
  <c r="AM803" i="26"/>
  <c r="AM804" i="26"/>
  <c r="AM805" i="26"/>
  <c r="AM814" i="26"/>
  <c r="AM815" i="26"/>
  <c r="AM816" i="26"/>
  <c r="AM817" i="26"/>
  <c r="AM818" i="26"/>
  <c r="AM821" i="26"/>
  <c r="AM822" i="26"/>
  <c r="AM823" i="26"/>
  <c r="AM829" i="26"/>
  <c r="AM830" i="26"/>
  <c r="AM834" i="26"/>
  <c r="AM835" i="26"/>
  <c r="AM841" i="26"/>
  <c r="AM842" i="26"/>
  <c r="AM843" i="26"/>
  <c r="AM844" i="26"/>
  <c r="AM855" i="26"/>
  <c r="AM856" i="26"/>
  <c r="AM862" i="26"/>
  <c r="AM863" i="26"/>
  <c r="AM864" i="26"/>
  <c r="AM865" i="26"/>
  <c r="AM866" i="26"/>
  <c r="AM867" i="26"/>
  <c r="AM868" i="26"/>
  <c r="AM869" i="26"/>
  <c r="AM870" i="26"/>
  <c r="AM871" i="26"/>
  <c r="AM877" i="26"/>
  <c r="AM878" i="26"/>
  <c r="AM879" i="26"/>
  <c r="AM880" i="26"/>
  <c r="AM881" i="26"/>
  <c r="AM887" i="26"/>
  <c r="AM888" i="26"/>
  <c r="AM889" i="26"/>
  <c r="AM895" i="26"/>
  <c r="AM896" i="26"/>
  <c r="AM897" i="26"/>
  <c r="AM898" i="26"/>
  <c r="AM899" i="26"/>
  <c r="AM900" i="26"/>
  <c r="AM901" i="26"/>
  <c r="AM902" i="26"/>
  <c r="AM903" i="26"/>
  <c r="AM904" i="26"/>
  <c r="AM920" i="26"/>
  <c r="AM921" i="26"/>
  <c r="AM922" i="26"/>
  <c r="AM923" i="26"/>
  <c r="AM924" i="26"/>
  <c r="AM925" i="26"/>
  <c r="AM926" i="26"/>
  <c r="AM927" i="26"/>
  <c r="AM928" i="26"/>
  <c r="AM929" i="26"/>
  <c r="AM930" i="26"/>
  <c r="AM931" i="26"/>
  <c r="AM932" i="26"/>
  <c r="AM933" i="26"/>
  <c r="AM934" i="26"/>
  <c r="AM935" i="26"/>
  <c r="AM936" i="26"/>
  <c r="AM958" i="26"/>
  <c r="AM959" i="26"/>
  <c r="AM960" i="26"/>
  <c r="AM961" i="26"/>
  <c r="AM962" i="26"/>
  <c r="AM963" i="26"/>
  <c r="AM964" i="26"/>
  <c r="AM965" i="26"/>
  <c r="AM966" i="26"/>
  <c r="AM967" i="26"/>
  <c r="AM970" i="26"/>
  <c r="AM971" i="26"/>
  <c r="AM978" i="26"/>
  <c r="AM979" i="26"/>
  <c r="AM980" i="26"/>
  <c r="AM985" i="26"/>
  <c r="AM986" i="26"/>
  <c r="AM987" i="26"/>
  <c r="AM988" i="26"/>
  <c r="AM989" i="26"/>
  <c r="AM990" i="26"/>
  <c r="AM991" i="26"/>
  <c r="AM992" i="26"/>
  <c r="AM993" i="26"/>
  <c r="AM994" i="26"/>
  <c r="AM995" i="26"/>
  <c r="AM996" i="26"/>
  <c r="AM997" i="26"/>
  <c r="AM998" i="26"/>
  <c r="AM1006" i="26"/>
  <c r="AM1007" i="26"/>
  <c r="AM1008" i="26"/>
  <c r="AM1009" i="26"/>
  <c r="AM1010" i="26"/>
  <c r="AM1014" i="26"/>
  <c r="AM1015" i="26"/>
  <c r="AM1016" i="26"/>
  <c r="AM1017" i="26"/>
  <c r="AM1018" i="26"/>
  <c r="AM1028" i="26"/>
  <c r="AM1029" i="26"/>
  <c r="AM1030" i="26"/>
  <c r="AM1031" i="26"/>
  <c r="AM1032" i="26"/>
  <c r="AM1037" i="26"/>
  <c r="AM1038" i="26"/>
  <c r="AM1039" i="26"/>
  <c r="AM1040" i="26"/>
  <c r="AM1041" i="26"/>
  <c r="AM1042" i="26"/>
  <c r="AM1043" i="26"/>
  <c r="AM1044" i="26"/>
  <c r="AM1045" i="26"/>
  <c r="AM1046" i="26"/>
  <c r="AM1047" i="26"/>
  <c r="AM1048" i="26"/>
  <c r="AM1049" i="26"/>
  <c r="AM1050" i="26"/>
  <c r="AM1051" i="26"/>
  <c r="AM1052" i="26"/>
  <c r="AM1053" i="26"/>
  <c r="AM1054" i="26"/>
  <c r="AM1055" i="26"/>
  <c r="AM1059" i="26"/>
  <c r="AM1060" i="26"/>
  <c r="AM1066" i="26"/>
  <c r="AM1067" i="26"/>
  <c r="AM1068" i="26"/>
  <c r="AM1069" i="26"/>
  <c r="AM1070" i="26"/>
  <c r="AM1071" i="26"/>
  <c r="AM1072" i="26"/>
  <c r="AM1073" i="26"/>
  <c r="AM1074" i="26"/>
  <c r="AM1075" i="26"/>
  <c r="AM1076" i="26"/>
  <c r="AM1077" i="26"/>
  <c r="AM1078" i="26"/>
  <c r="AM1079" i="26"/>
  <c r="AM1080" i="26"/>
  <c r="AM1081" i="26"/>
  <c r="AM1082" i="26"/>
  <c r="AM1087" i="26"/>
  <c r="AM1088" i="26"/>
  <c r="AM1089" i="26"/>
  <c r="AM1090" i="26"/>
  <c r="AM1091" i="26"/>
  <c r="AM1096" i="26"/>
  <c r="AM1097" i="26"/>
  <c r="AM1098" i="26"/>
  <c r="AM1099" i="26"/>
  <c r="AM1100" i="26"/>
  <c r="AM1101" i="26"/>
  <c r="AM1111" i="26"/>
  <c r="AM1112" i="26"/>
  <c r="AM1121" i="26"/>
  <c r="AM1122" i="26"/>
  <c r="AM1131" i="26"/>
  <c r="AM1132" i="26"/>
  <c r="AM1133" i="26"/>
  <c r="AM1134" i="26"/>
  <c r="AM1135" i="26"/>
  <c r="AM1136" i="26"/>
  <c r="AM1137" i="26"/>
  <c r="AM1147" i="26"/>
  <c r="AM1148" i="26"/>
  <c r="AM1149" i="26"/>
  <c r="AM1150" i="26"/>
  <c r="AM1151" i="26"/>
  <c r="AM1154" i="26"/>
  <c r="AM1155" i="26"/>
  <c r="AM1156" i="26"/>
  <c r="AM1157" i="26"/>
  <c r="AM1169" i="26"/>
  <c r="AM1170" i="26"/>
  <c r="AM1171" i="26"/>
  <c r="AM1176" i="26"/>
  <c r="AM1177" i="26"/>
  <c r="AM1182" i="26"/>
  <c r="AM1183" i="26"/>
  <c r="AM1184" i="26"/>
  <c r="AM1185" i="26"/>
  <c r="AM1186" i="26"/>
  <c r="AM1187" i="26"/>
  <c r="AM1188" i="26"/>
  <c r="AM1194" i="26"/>
  <c r="AM1195" i="26"/>
  <c r="AM1196" i="26"/>
  <c r="AM1206" i="26"/>
  <c r="AM1207" i="26"/>
  <c r="AM1208" i="26"/>
  <c r="AM1209" i="26"/>
  <c r="AM1210" i="26"/>
  <c r="AM1216" i="26"/>
  <c r="AM1217" i="26"/>
  <c r="AM1218" i="26"/>
  <c r="AM1219" i="26"/>
  <c r="AM1220" i="26"/>
  <c r="AM1221" i="26"/>
  <c r="AM1222" i="26"/>
  <c r="AM1223" i="26"/>
  <c r="AM1224" i="26"/>
  <c r="AM1242" i="26"/>
  <c r="AM1243" i="26"/>
  <c r="AM1244" i="26"/>
  <c r="AM1249" i="26"/>
  <c r="AM1250" i="26"/>
  <c r="AM1251" i="26"/>
  <c r="AM1252" i="26"/>
  <c r="AM1253" i="26"/>
  <c r="AM1254" i="26"/>
  <c r="AM1255" i="26"/>
  <c r="AM1256" i="26"/>
  <c r="AM1257" i="26"/>
  <c r="AM1258" i="26"/>
  <c r="AM1259" i="26"/>
  <c r="AM1260" i="26"/>
  <c r="AM1263" i="26"/>
  <c r="AM1264" i="26"/>
  <c r="AM1270" i="26"/>
  <c r="AM1271" i="26"/>
  <c r="AM1272" i="26"/>
  <c r="AM1273" i="26"/>
  <c r="AM1274" i="26"/>
  <c r="AM1275" i="26"/>
  <c r="AM1276" i="26"/>
  <c r="AM1277" i="26"/>
  <c r="AM1278" i="26"/>
  <c r="AM1279" i="26"/>
  <c r="AM1280" i="26"/>
  <c r="AM1281" i="26"/>
  <c r="AM1282" i="26"/>
  <c r="AM1283" i="26"/>
  <c r="AM1284" i="26"/>
  <c r="AM1285" i="26"/>
  <c r="AM1286" i="26"/>
  <c r="AM1287" i="26"/>
  <c r="AM1297" i="26"/>
  <c r="AM1298" i="26"/>
  <c r="AM1299" i="26"/>
  <c r="AM1303" i="26"/>
  <c r="AM1304" i="26"/>
  <c r="AM1305" i="26"/>
  <c r="AM1306" i="26"/>
  <c r="AM1307" i="26"/>
  <c r="AM1308" i="26"/>
  <c r="AM1309" i="26"/>
  <c r="AM1310" i="26"/>
  <c r="AM1311" i="26"/>
  <c r="AM1312" i="26"/>
  <c r="AM1320" i="26"/>
  <c r="AM1321" i="26"/>
  <c r="AM1322" i="26"/>
  <c r="AM1323" i="26"/>
  <c r="AM1324" i="26"/>
  <c r="AM1325" i="26"/>
  <c r="AM1326" i="26"/>
  <c r="AM1327" i="26"/>
  <c r="AM1328" i="26"/>
  <c r="AM1329" i="26"/>
  <c r="AM1336" i="26"/>
  <c r="AM1337" i="26"/>
  <c r="AM1343" i="26"/>
  <c r="AM1344" i="26"/>
  <c r="AM1345" i="26"/>
  <c r="AM1346" i="26"/>
  <c r="AM1358" i="26"/>
  <c r="AM1359" i="26"/>
  <c r="AM1360" i="26"/>
  <c r="AM1361" i="26"/>
  <c r="AM1362" i="26"/>
  <c r="AM1363" i="26"/>
  <c r="AM1364" i="26"/>
  <c r="AM1365" i="26"/>
  <c r="AM1366" i="26"/>
  <c r="AM1371" i="26"/>
  <c r="AM1372" i="26"/>
  <c r="AM1373" i="26"/>
  <c r="AM1374" i="26"/>
  <c r="AM1375" i="26"/>
  <c r="AM1376" i="26"/>
  <c r="AM1377" i="26"/>
  <c r="AM1378" i="26"/>
  <c r="AM1390" i="26"/>
  <c r="AM1391" i="26"/>
  <c r="AM1396" i="26"/>
  <c r="AM1397" i="26"/>
  <c r="AM1398" i="26"/>
  <c r="AM1399" i="26"/>
  <c r="AM1400" i="26"/>
  <c r="AM1401" i="26"/>
  <c r="AM1402" i="26"/>
  <c r="AM1409" i="26"/>
  <c r="AM1410" i="26"/>
  <c r="AM1415" i="26"/>
  <c r="AM1416" i="26"/>
  <c r="AM1417" i="26"/>
  <c r="AM1418" i="26"/>
  <c r="AM1420" i="26"/>
  <c r="AM1421" i="26"/>
  <c r="AM1422" i="26"/>
  <c r="AM1423" i="26"/>
  <c r="AM1424" i="26"/>
  <c r="AM1425" i="26"/>
  <c r="AM1426" i="26"/>
  <c r="AM1427" i="26"/>
  <c r="AM1428" i="26"/>
  <c r="AM1439" i="26"/>
  <c r="AM1440" i="26"/>
  <c r="AM1441" i="26"/>
  <c r="AM1442" i="26"/>
  <c r="AM1443" i="26"/>
  <c r="AM1444" i="26"/>
  <c r="AM1448" i="26"/>
  <c r="AM1449" i="26"/>
  <c r="AM1450" i="26"/>
  <c r="AM1470" i="26"/>
  <c r="AM1471" i="26"/>
  <c r="AM1472" i="26"/>
  <c r="AM1473" i="26"/>
  <c r="AM1474" i="26"/>
  <c r="AM1475" i="26"/>
  <c r="AM1476" i="26"/>
  <c r="AM1477" i="26"/>
  <c r="AM1478" i="26"/>
  <c r="AM1479" i="26"/>
  <c r="AM1480" i="26"/>
  <c r="AM1481" i="26"/>
  <c r="AM1482" i="26"/>
  <c r="AM1483" i="26"/>
  <c r="AM1493" i="26"/>
  <c r="AM1494" i="26"/>
  <c r="AM1495" i="26"/>
  <c r="AM1496" i="26"/>
  <c r="AM1497" i="26"/>
  <c r="AM1502" i="26"/>
  <c r="AM1503" i="26"/>
  <c r="AM1504" i="26"/>
  <c r="AM1505" i="26"/>
  <c r="AM1519" i="26"/>
  <c r="AM1520" i="26"/>
  <c r="AM1521" i="26"/>
  <c r="AM1522" i="26"/>
  <c r="AM1523" i="26"/>
  <c r="AM1524" i="26"/>
  <c r="AM1525" i="26"/>
  <c r="AM1526" i="26"/>
  <c r="AM1527" i="26"/>
  <c r="AM1528" i="26"/>
  <c r="AM1529" i="26"/>
  <c r="AM1530" i="26"/>
  <c r="AM1531" i="26"/>
  <c r="AM1532" i="26"/>
  <c r="AM1533" i="26"/>
  <c r="AM1534" i="26"/>
  <c r="AM1535" i="26"/>
  <c r="AM1536" i="26"/>
  <c r="AM1537" i="26"/>
  <c r="AM1538" i="26"/>
  <c r="AM1539" i="26"/>
  <c r="AM1540" i="26"/>
  <c r="AM1541" i="26"/>
  <c r="AM1542" i="26"/>
  <c r="AM1543" i="26"/>
  <c r="AM1544" i="26"/>
  <c r="AM1545" i="26"/>
  <c r="AM1549" i="26"/>
  <c r="AM1550" i="26"/>
  <c r="AM1551" i="26"/>
  <c r="AM1552" i="26"/>
  <c r="AM1553" i="26"/>
  <c r="AM1554" i="26"/>
  <c r="AM1558" i="26"/>
  <c r="AM1559" i="26"/>
  <c r="AM1560" i="26"/>
  <c r="AM1561" i="26"/>
  <c r="AM1562" i="26"/>
  <c r="AM1563" i="26"/>
  <c r="AM1564" i="26"/>
  <c r="AM1565" i="26"/>
  <c r="AM1566" i="26"/>
  <c r="AM1567" i="26"/>
  <c r="AM1568" i="26"/>
  <c r="AM1569" i="26"/>
  <c r="AM1570" i="26"/>
  <c r="AM1575" i="26"/>
  <c r="AM1576" i="26"/>
  <c r="AM1588" i="26"/>
  <c r="AM1589" i="26"/>
  <c r="AM1590" i="26"/>
  <c r="AM1594" i="26"/>
  <c r="AM1595" i="26"/>
  <c r="AM1596" i="26"/>
  <c r="AM1597" i="26"/>
  <c r="AM1598" i="26"/>
  <c r="AM1599" i="26"/>
  <c r="AM1606" i="26"/>
  <c r="AM1607" i="26"/>
  <c r="AM1608" i="26"/>
  <c r="AM1609" i="26"/>
  <c r="AM1610" i="26"/>
  <c r="AM1620" i="26"/>
  <c r="AM1621" i="26"/>
  <c r="AM1622" i="26"/>
  <c r="AM1623" i="26"/>
  <c r="AM1624" i="26"/>
  <c r="AM1625" i="26"/>
  <c r="AM1626" i="26"/>
  <c r="AM1633" i="26"/>
  <c r="AM1634" i="26"/>
  <c r="AM1635" i="26"/>
  <c r="AM1636" i="26"/>
  <c r="AM1637" i="26"/>
  <c r="AM1638" i="26"/>
  <c r="AM1639" i="26"/>
  <c r="AM1640" i="26"/>
  <c r="AM1650" i="26"/>
  <c r="AM1651" i="26"/>
  <c r="AM1652" i="26"/>
  <c r="AM1653" i="26"/>
  <c r="AM1658" i="26"/>
  <c r="AM1659" i="26"/>
  <c r="AM1660" i="26"/>
  <c r="AM1661" i="26"/>
  <c r="AM1674" i="26"/>
  <c r="AM1675" i="26"/>
  <c r="AM1676" i="26"/>
  <c r="AM1677" i="26"/>
  <c r="AM1685" i="26"/>
  <c r="AM1686" i="26"/>
  <c r="AM1687" i="26"/>
  <c r="AM1688" i="26"/>
  <c r="AM1689" i="26"/>
  <c r="AM1690" i="26"/>
  <c r="AM1695" i="26"/>
  <c r="AM1696" i="26"/>
  <c r="AM1697" i="26"/>
  <c r="AM1698" i="26"/>
  <c r="AM1699" i="26"/>
  <c r="AM1700" i="26"/>
  <c r="AM1701" i="26"/>
  <c r="AM1702" i="26"/>
  <c r="AM1703" i="26"/>
  <c r="AM1710" i="26"/>
  <c r="AM1711" i="26"/>
  <c r="AM1712" i="26"/>
  <c r="AM1713" i="26"/>
  <c r="AM1714" i="26"/>
  <c r="AM1715" i="26"/>
  <c r="AM1716" i="26"/>
  <c r="AM1717" i="26"/>
  <c r="AM1718" i="26"/>
  <c r="AM1719" i="26"/>
  <c r="AM1720" i="26"/>
  <c r="AM1721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37" i="26"/>
  <c r="AN38" i="26"/>
  <c r="AN39" i="26"/>
  <c r="AN40" i="26"/>
  <c r="AN41" i="26"/>
  <c r="AN47" i="26"/>
  <c r="AN48" i="26"/>
  <c r="AN49" i="26"/>
  <c r="AN50" i="26"/>
  <c r="AN51" i="26"/>
  <c r="AN52" i="26"/>
  <c r="AN53" i="26"/>
  <c r="AN54" i="26"/>
  <c r="AN64" i="26"/>
  <c r="AN65" i="26"/>
  <c r="AN66" i="26"/>
  <c r="AN67" i="26"/>
  <c r="AN68" i="26"/>
  <c r="AN73" i="26"/>
  <c r="AN74" i="26"/>
  <c r="AN75" i="26"/>
  <c r="AN76" i="26"/>
  <c r="AN77" i="26"/>
  <c r="AN78" i="26"/>
  <c r="AN79" i="26"/>
  <c r="AN80" i="26"/>
  <c r="AN85" i="26"/>
  <c r="AN86" i="26"/>
  <c r="AN87" i="26"/>
  <c r="AN88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4" i="26"/>
  <c r="AN125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4" i="26"/>
  <c r="AN145" i="26"/>
  <c r="AN146" i="26"/>
  <c r="AN147" i="26"/>
  <c r="AN148" i="26"/>
  <c r="AN149" i="26"/>
  <c r="AN150" i="26"/>
  <c r="AN151" i="26"/>
  <c r="AN152" i="26"/>
  <c r="AN167" i="26"/>
  <c r="AN168" i="26"/>
  <c r="AN169" i="26"/>
  <c r="AN170" i="26"/>
  <c r="AN171" i="26"/>
  <c r="AN172" i="26"/>
  <c r="AN177" i="26"/>
  <c r="AN178" i="26"/>
  <c r="AN179" i="26"/>
  <c r="AN184" i="26"/>
  <c r="AN185" i="26"/>
  <c r="AN195" i="26"/>
  <c r="AN196" i="26"/>
  <c r="AN201" i="26"/>
  <c r="AN202" i="26"/>
  <c r="AN203" i="26"/>
  <c r="AN204" i="26"/>
  <c r="AN205" i="26"/>
  <c r="AN210" i="26"/>
  <c r="AN211" i="26"/>
  <c r="AN212" i="26"/>
  <c r="AN213" i="26"/>
  <c r="AN214" i="26"/>
  <c r="AN220" i="26"/>
  <c r="AN221" i="26"/>
  <c r="AN222" i="26"/>
  <c r="AN223" i="26"/>
  <c r="AN224" i="26"/>
  <c r="AN230" i="26"/>
  <c r="AN231" i="26"/>
  <c r="AN232" i="26"/>
  <c r="AN241" i="26"/>
  <c r="AN242" i="26"/>
  <c r="AN247" i="26"/>
  <c r="AN248" i="26"/>
  <c r="AN249" i="26"/>
  <c r="AN250" i="26"/>
  <c r="AN251" i="26"/>
  <c r="AN252" i="26"/>
  <c r="AN253" i="26"/>
  <c r="AN254" i="26"/>
  <c r="AN255" i="26"/>
  <c r="AN256" i="26"/>
  <c r="AN257" i="26"/>
  <c r="AN258" i="26"/>
  <c r="AN259" i="26"/>
  <c r="AN260" i="26"/>
  <c r="AN261" i="26"/>
  <c r="AN262" i="26"/>
  <c r="AN263" i="26"/>
  <c r="AN264" i="26"/>
  <c r="AN272" i="26"/>
  <c r="AN273" i="26"/>
  <c r="AN279" i="26"/>
  <c r="AN280" i="26"/>
  <c r="AN281" i="26"/>
  <c r="AN287" i="26"/>
  <c r="AN288" i="26"/>
  <c r="AN289" i="26"/>
  <c r="AN290" i="26"/>
  <c r="AN291" i="26"/>
  <c r="AN296" i="26"/>
  <c r="AN297" i="26"/>
  <c r="AN298" i="26"/>
  <c r="AN299" i="26"/>
  <c r="AN307" i="26"/>
  <c r="AN308" i="26"/>
  <c r="AN309" i="26"/>
  <c r="AN318" i="26"/>
  <c r="AN319" i="26"/>
  <c r="AN320" i="26"/>
  <c r="AN321" i="26"/>
  <c r="AN330" i="26"/>
  <c r="AN331" i="26"/>
  <c r="AN339" i="26"/>
  <c r="AN340" i="26"/>
  <c r="AN341" i="26"/>
  <c r="AN342" i="26"/>
  <c r="AN343" i="26"/>
  <c r="AN344" i="26"/>
  <c r="AN345" i="26"/>
  <c r="AN346" i="26"/>
  <c r="AN347" i="26"/>
  <c r="AN348" i="26"/>
  <c r="AN349" i="26"/>
  <c r="AN350" i="26"/>
  <c r="AN355" i="26"/>
  <c r="AN356" i="26"/>
  <c r="AN357" i="26"/>
  <c r="AN358" i="26"/>
  <c r="AN359" i="26"/>
  <c r="AN360" i="26"/>
  <c r="AN366" i="26"/>
  <c r="AN367" i="26"/>
  <c r="AN368" i="26"/>
  <c r="AN369" i="26"/>
  <c r="AN370" i="26"/>
  <c r="AN371" i="26"/>
  <c r="AN372" i="26"/>
  <c r="AN373" i="26"/>
  <c r="AN374" i="26"/>
  <c r="AN375" i="26"/>
  <c r="AN376" i="26"/>
  <c r="AN377" i="26"/>
  <c r="AN378" i="26"/>
  <c r="AN383" i="26"/>
  <c r="AN384" i="26"/>
  <c r="AN385" i="26"/>
  <c r="AN386" i="26"/>
  <c r="AN387" i="26"/>
  <c r="AN388" i="26"/>
  <c r="AN389" i="26"/>
  <c r="AN395" i="26"/>
  <c r="AN396" i="26"/>
  <c r="AN397" i="26"/>
  <c r="AN398" i="26"/>
  <c r="AN399" i="26"/>
  <c r="AN400" i="26"/>
  <c r="AN401" i="26"/>
  <c r="AN402" i="26"/>
  <c r="AN403" i="26"/>
  <c r="AN404" i="26"/>
  <c r="AN405" i="26"/>
  <c r="AN410" i="26"/>
  <c r="AN411" i="26"/>
  <c r="AN412" i="26"/>
  <c r="AN413" i="26"/>
  <c r="AN414" i="26"/>
  <c r="AN415" i="26"/>
  <c r="AN420" i="26"/>
  <c r="AN421" i="26"/>
  <c r="AN422" i="26"/>
  <c r="AN427" i="26"/>
  <c r="AN428" i="26"/>
  <c r="AN429" i="26"/>
  <c r="AN430" i="26"/>
  <c r="AN431" i="26"/>
  <c r="AN432" i="26"/>
  <c r="AN433" i="26"/>
  <c r="AN438" i="26"/>
  <c r="AN439" i="26"/>
  <c r="AN440" i="26"/>
  <c r="AN441" i="26"/>
  <c r="AN442" i="26"/>
  <c r="AN465" i="26"/>
  <c r="AN466" i="26"/>
  <c r="AN467" i="26"/>
  <c r="AN468" i="26"/>
  <c r="AN469" i="26"/>
  <c r="AN470" i="26"/>
  <c r="AN471" i="26"/>
  <c r="AN472" i="26"/>
  <c r="AN473" i="26"/>
  <c r="AN474" i="26"/>
  <c r="AN475" i="26"/>
  <c r="AN480" i="26"/>
  <c r="AN481" i="26"/>
  <c r="AN482" i="26"/>
  <c r="AN483" i="26"/>
  <c r="AN484" i="26"/>
  <c r="AN491" i="26"/>
  <c r="AN492" i="26"/>
  <c r="AN493" i="26"/>
  <c r="AN494" i="26"/>
  <c r="AN504" i="26"/>
  <c r="AN505" i="26"/>
  <c r="AN506" i="26"/>
  <c r="AN507" i="26"/>
  <c r="AN518" i="26"/>
  <c r="AN519" i="26"/>
  <c r="AN520" i="26"/>
  <c r="AN521" i="26"/>
  <c r="AN522" i="26"/>
  <c r="AN523" i="26"/>
  <c r="AN524" i="26"/>
  <c r="AN525" i="26"/>
  <c r="AN526" i="26"/>
  <c r="AN527" i="26"/>
  <c r="AN528" i="26"/>
  <c r="AN529" i="26"/>
  <c r="AN530" i="26"/>
  <c r="AN531" i="26"/>
  <c r="AN532" i="26"/>
  <c r="AN533" i="26"/>
  <c r="AN534" i="26"/>
  <c r="AN535" i="26"/>
  <c r="AN536" i="26"/>
  <c r="AN537" i="26"/>
  <c r="AN538" i="26"/>
  <c r="AN545" i="26"/>
  <c r="AN546" i="26"/>
  <c r="AN547" i="26"/>
  <c r="AN549" i="26"/>
  <c r="AN550" i="26"/>
  <c r="AN551" i="26"/>
  <c r="AN552" i="26"/>
  <c r="AN553" i="26"/>
  <c r="AN559" i="26"/>
  <c r="AN560" i="26"/>
  <c r="AN561" i="26"/>
  <c r="AN562" i="26"/>
  <c r="AN563" i="26"/>
  <c r="AN564" i="26"/>
  <c r="AN565" i="26"/>
  <c r="AN566" i="26"/>
  <c r="AN582" i="26"/>
  <c r="AN583" i="26"/>
  <c r="AN584" i="26"/>
  <c r="AN585" i="26"/>
  <c r="AN586" i="26"/>
  <c r="AN592" i="26"/>
  <c r="AN593" i="26"/>
  <c r="AN596" i="26"/>
  <c r="AN597" i="26"/>
  <c r="AN598" i="26"/>
  <c r="AN599" i="26"/>
  <c r="AN600" i="26"/>
  <c r="AN604" i="26"/>
  <c r="AN605" i="26"/>
  <c r="AN606" i="26"/>
  <c r="AN611" i="26"/>
  <c r="AN612" i="26"/>
  <c r="AN613" i="26"/>
  <c r="AN614" i="26"/>
  <c r="AN615" i="26"/>
  <c r="AN616" i="26"/>
  <c r="AN617" i="26"/>
  <c r="AN618" i="26"/>
  <c r="AN619" i="26"/>
  <c r="AN624" i="26"/>
  <c r="AN625" i="26"/>
  <c r="AN626" i="26"/>
  <c r="AN627" i="26"/>
  <c r="AN628" i="26"/>
  <c r="AN629" i="26"/>
  <c r="AN630" i="26"/>
  <c r="AN631" i="26"/>
  <c r="AN632" i="26"/>
  <c r="AN633" i="26"/>
  <c r="AN634" i="26"/>
  <c r="AN635" i="26"/>
  <c r="AN636" i="26"/>
  <c r="AN637" i="26"/>
  <c r="AN646" i="26"/>
  <c r="AN647" i="26"/>
  <c r="AN648" i="26"/>
  <c r="AN649" i="26"/>
  <c r="AN650" i="26"/>
  <c r="AN651" i="26"/>
  <c r="AN652" i="26"/>
  <c r="AN653" i="26"/>
  <c r="AN654" i="26"/>
  <c r="AN668" i="26"/>
  <c r="AN669" i="26"/>
  <c r="AN670" i="26"/>
  <c r="AN671" i="26"/>
  <c r="AN672" i="26"/>
  <c r="AN673" i="26"/>
  <c r="AN674" i="26"/>
  <c r="AN675" i="26"/>
  <c r="AN676" i="26"/>
  <c r="AN677" i="26"/>
  <c r="AN678" i="26"/>
  <c r="AN679" i="26"/>
  <c r="AN684" i="26"/>
  <c r="AN685" i="26"/>
  <c r="AN686" i="26"/>
  <c r="AN687" i="26"/>
  <c r="AN688" i="26"/>
  <c r="AN689" i="26"/>
  <c r="AN690" i="26"/>
  <c r="AN691" i="26"/>
  <c r="AN692" i="26"/>
  <c r="AN693" i="26"/>
  <c r="AN694" i="26"/>
  <c r="AN695" i="26"/>
  <c r="AN696" i="26"/>
  <c r="AN697" i="26"/>
  <c r="AN698" i="26"/>
  <c r="AN703" i="26"/>
  <c r="AN704" i="26"/>
  <c r="AN705" i="26"/>
  <c r="AN706" i="26"/>
  <c r="AN707" i="26"/>
  <c r="AN708" i="26"/>
  <c r="AN709" i="26"/>
  <c r="AN710" i="26"/>
  <c r="AN711" i="26"/>
  <c r="AN712" i="26"/>
  <c r="AN713" i="26"/>
  <c r="AN714" i="26"/>
  <c r="AN715" i="26"/>
  <c r="AN716" i="26"/>
  <c r="AN717" i="26"/>
  <c r="AN718" i="26"/>
  <c r="AN719" i="26"/>
  <c r="AN720" i="26"/>
  <c r="AN721" i="26"/>
  <c r="AN722" i="26"/>
  <c r="AN723" i="26"/>
  <c r="AN724" i="26"/>
  <c r="AN725" i="26"/>
  <c r="AN726" i="26"/>
  <c r="AN727" i="26"/>
  <c r="AN728" i="26"/>
  <c r="AN729" i="26"/>
  <c r="AN730" i="26"/>
  <c r="AN731" i="26"/>
  <c r="AN732" i="26"/>
  <c r="AN733" i="26"/>
  <c r="AN734" i="26"/>
  <c r="AN735" i="26"/>
  <c r="AN736" i="26"/>
  <c r="AN737" i="26"/>
  <c r="AN738" i="26"/>
  <c r="AN743" i="26"/>
  <c r="AN744" i="26"/>
  <c r="AN745" i="26"/>
  <c r="AN746" i="26"/>
  <c r="AN758" i="26"/>
  <c r="AN759" i="26"/>
  <c r="AN760" i="26"/>
  <c r="AN761" i="26"/>
  <c r="AN762" i="26"/>
  <c r="AN771" i="26"/>
  <c r="AN772" i="26"/>
  <c r="AN773" i="26"/>
  <c r="AN774" i="26"/>
  <c r="AN775" i="26"/>
  <c r="AN776" i="26"/>
  <c r="AN777" i="26"/>
  <c r="AN778" i="26"/>
  <c r="AN787" i="26"/>
  <c r="AN788" i="26"/>
  <c r="AN789" i="26"/>
  <c r="AN790" i="26"/>
  <c r="AN797" i="26"/>
  <c r="AN798" i="26"/>
  <c r="AN799" i="26"/>
  <c r="AN800" i="26"/>
  <c r="AN801" i="26"/>
  <c r="AN802" i="26"/>
  <c r="AN803" i="26"/>
  <c r="AN804" i="26"/>
  <c r="AN805" i="26"/>
  <c r="AN814" i="26"/>
  <c r="AN815" i="26"/>
  <c r="AN816" i="26"/>
  <c r="AN817" i="26"/>
  <c r="AN818" i="26"/>
  <c r="AN821" i="26"/>
  <c r="AN822" i="26"/>
  <c r="AN823" i="26"/>
  <c r="AN829" i="26"/>
  <c r="AN830" i="26"/>
  <c r="AN834" i="26"/>
  <c r="AN835" i="26"/>
  <c r="AN841" i="26"/>
  <c r="AN842" i="26"/>
  <c r="AN843" i="26"/>
  <c r="AN844" i="26"/>
  <c r="AN855" i="26"/>
  <c r="AN856" i="26"/>
  <c r="AN862" i="26"/>
  <c r="AN863" i="26"/>
  <c r="AN864" i="26"/>
  <c r="AN865" i="26"/>
  <c r="AN866" i="26"/>
  <c r="AN867" i="26"/>
  <c r="AN868" i="26"/>
  <c r="AN869" i="26"/>
  <c r="AN870" i="26"/>
  <c r="AN871" i="26"/>
  <c r="AN877" i="26"/>
  <c r="AN878" i="26"/>
  <c r="AN879" i="26"/>
  <c r="AN880" i="26"/>
  <c r="AN881" i="26"/>
  <c r="AN887" i="26"/>
  <c r="AN888" i="26"/>
  <c r="AN889" i="26"/>
  <c r="AN895" i="26"/>
  <c r="AN896" i="26"/>
  <c r="AN897" i="26"/>
  <c r="AN898" i="26"/>
  <c r="AN899" i="26"/>
  <c r="AN900" i="26"/>
  <c r="AN901" i="26"/>
  <c r="AN902" i="26"/>
  <c r="AN903" i="26"/>
  <c r="AN904" i="26"/>
  <c r="AN920" i="26"/>
  <c r="AN921" i="26"/>
  <c r="AN922" i="26"/>
  <c r="AN923" i="26"/>
  <c r="AN924" i="26"/>
  <c r="AN925" i="26"/>
  <c r="AN926" i="26"/>
  <c r="AN927" i="26"/>
  <c r="AN928" i="26"/>
  <c r="AN929" i="26"/>
  <c r="AN930" i="26"/>
  <c r="AN931" i="26"/>
  <c r="AN932" i="26"/>
  <c r="AN933" i="26"/>
  <c r="AN934" i="26"/>
  <c r="AN935" i="26"/>
  <c r="AN936" i="26"/>
  <c r="AN958" i="26"/>
  <c r="AN959" i="26"/>
  <c r="AN960" i="26"/>
  <c r="AN961" i="26"/>
  <c r="AN962" i="26"/>
  <c r="AN963" i="26"/>
  <c r="AN964" i="26"/>
  <c r="AN965" i="26"/>
  <c r="AN966" i="26"/>
  <c r="AN967" i="26"/>
  <c r="AN970" i="26"/>
  <c r="AN971" i="26"/>
  <c r="AN978" i="26"/>
  <c r="AN979" i="26"/>
  <c r="AN980" i="26"/>
  <c r="AN985" i="26"/>
  <c r="AN986" i="26"/>
  <c r="AN987" i="26"/>
  <c r="AN988" i="26"/>
  <c r="AN989" i="26"/>
  <c r="AN990" i="26"/>
  <c r="AN991" i="26"/>
  <c r="AN992" i="26"/>
  <c r="AN993" i="26"/>
  <c r="AN994" i="26"/>
  <c r="AN995" i="26"/>
  <c r="AN996" i="26"/>
  <c r="AN997" i="26"/>
  <c r="AN998" i="26"/>
  <c r="AN1006" i="26"/>
  <c r="AN1007" i="26"/>
  <c r="AN1008" i="26"/>
  <c r="AN1009" i="26"/>
  <c r="AN1010" i="26"/>
  <c r="AN1014" i="26"/>
  <c r="AN1015" i="26"/>
  <c r="AN1016" i="26"/>
  <c r="AN1017" i="26"/>
  <c r="AN1018" i="26"/>
  <c r="AN1028" i="26"/>
  <c r="AN1029" i="26"/>
  <c r="AN1030" i="26"/>
  <c r="AN1031" i="26"/>
  <c r="AN1032" i="26"/>
  <c r="AN1037" i="26"/>
  <c r="AN1038" i="26"/>
  <c r="AN1039" i="26"/>
  <c r="AN1040" i="26"/>
  <c r="AN1041" i="26"/>
  <c r="AN1042" i="26"/>
  <c r="AN1043" i="26"/>
  <c r="AN1044" i="26"/>
  <c r="AN1045" i="26"/>
  <c r="AN1046" i="26"/>
  <c r="AN1047" i="26"/>
  <c r="AN1048" i="26"/>
  <c r="AN1049" i="26"/>
  <c r="AN1050" i="26"/>
  <c r="AN1051" i="26"/>
  <c r="AN1052" i="26"/>
  <c r="AN1053" i="26"/>
  <c r="AN1054" i="26"/>
  <c r="AN1055" i="26"/>
  <c r="AN1059" i="26"/>
  <c r="AN1060" i="26"/>
  <c r="AN1066" i="26"/>
  <c r="AN1067" i="26"/>
  <c r="AN1068" i="26"/>
  <c r="AN1069" i="26"/>
  <c r="AN1070" i="26"/>
  <c r="AN1071" i="26"/>
  <c r="AN1072" i="26"/>
  <c r="AN1073" i="26"/>
  <c r="AN1074" i="26"/>
  <c r="AN1075" i="26"/>
  <c r="AN1076" i="26"/>
  <c r="AN1077" i="26"/>
  <c r="AN1078" i="26"/>
  <c r="AN1079" i="26"/>
  <c r="AN1080" i="26"/>
  <c r="AN1081" i="26"/>
  <c r="AN1082" i="26"/>
  <c r="AN1087" i="26"/>
  <c r="AN1088" i="26"/>
  <c r="AN1089" i="26"/>
  <c r="AN1090" i="26"/>
  <c r="AN1091" i="26"/>
  <c r="AN1096" i="26"/>
  <c r="AN1097" i="26"/>
  <c r="AN1098" i="26"/>
  <c r="AN1099" i="26"/>
  <c r="AN1100" i="26"/>
  <c r="AN1101" i="26"/>
  <c r="AN1111" i="26"/>
  <c r="AN1112" i="26"/>
  <c r="AN1121" i="26"/>
  <c r="AN1122" i="26"/>
  <c r="AN1131" i="26"/>
  <c r="AN1132" i="26"/>
  <c r="AN1133" i="26"/>
  <c r="AN1134" i="26"/>
  <c r="AN1135" i="26"/>
  <c r="AN1136" i="26"/>
  <c r="AN1137" i="26"/>
  <c r="AN1147" i="26"/>
  <c r="AN1148" i="26"/>
  <c r="AN1149" i="26"/>
  <c r="AN1150" i="26"/>
  <c r="AN1151" i="26"/>
  <c r="AN1154" i="26"/>
  <c r="AN1155" i="26"/>
  <c r="AN1156" i="26"/>
  <c r="AN1157" i="26"/>
  <c r="AN1169" i="26"/>
  <c r="AN1170" i="26"/>
  <c r="AN1171" i="26"/>
  <c r="AN1176" i="26"/>
  <c r="AN1177" i="26"/>
  <c r="AN1182" i="26"/>
  <c r="AN1183" i="26"/>
  <c r="AN1184" i="26"/>
  <c r="AN1185" i="26"/>
  <c r="AN1186" i="26"/>
  <c r="AN1187" i="26"/>
  <c r="AN1188" i="26"/>
  <c r="AN1194" i="26"/>
  <c r="AN1195" i="26"/>
  <c r="AN1196" i="26"/>
  <c r="AN1206" i="26"/>
  <c r="AN1207" i="26"/>
  <c r="AN1208" i="26"/>
  <c r="AN1209" i="26"/>
  <c r="AN1210" i="26"/>
  <c r="AN1216" i="26"/>
  <c r="AN1217" i="26"/>
  <c r="AN1218" i="26"/>
  <c r="AN1219" i="26"/>
  <c r="AN1220" i="26"/>
  <c r="AN1221" i="26"/>
  <c r="AN1222" i="26"/>
  <c r="AN1223" i="26"/>
  <c r="AN1224" i="26"/>
  <c r="AN1242" i="26"/>
  <c r="AN1243" i="26"/>
  <c r="AN1244" i="26"/>
  <c r="AN1249" i="26"/>
  <c r="AN1250" i="26"/>
  <c r="AN1251" i="26"/>
  <c r="AN1252" i="26"/>
  <c r="AN1253" i="26"/>
  <c r="AN1254" i="26"/>
  <c r="AN1255" i="26"/>
  <c r="AN1256" i="26"/>
  <c r="AN1257" i="26"/>
  <c r="AN1258" i="26"/>
  <c r="AN1259" i="26"/>
  <c r="AN1260" i="26"/>
  <c r="AN1263" i="26"/>
  <c r="AN1264" i="26"/>
  <c r="AN1270" i="26"/>
  <c r="AN1271" i="26"/>
  <c r="AN1272" i="26"/>
  <c r="AN1273" i="26"/>
  <c r="AN1274" i="26"/>
  <c r="AN1275" i="26"/>
  <c r="AN1276" i="26"/>
  <c r="AN1277" i="26"/>
  <c r="AN1278" i="26"/>
  <c r="AN1279" i="26"/>
  <c r="AN1280" i="26"/>
  <c r="AN1281" i="26"/>
  <c r="AN1282" i="26"/>
  <c r="AN1283" i="26"/>
  <c r="AN1284" i="26"/>
  <c r="AN1285" i="26"/>
  <c r="AN1286" i="26"/>
  <c r="AN1287" i="26"/>
  <c r="AN1297" i="26"/>
  <c r="AN1298" i="26"/>
  <c r="AN1299" i="26"/>
  <c r="AN1303" i="26"/>
  <c r="AN1304" i="26"/>
  <c r="AN1305" i="26"/>
  <c r="AN1306" i="26"/>
  <c r="AN1307" i="26"/>
  <c r="AN1308" i="26"/>
  <c r="AN1309" i="26"/>
  <c r="AN1310" i="26"/>
  <c r="AN1311" i="26"/>
  <c r="AN1312" i="26"/>
  <c r="AN1320" i="26"/>
  <c r="AN1321" i="26"/>
  <c r="AN1322" i="26"/>
  <c r="AN1323" i="26"/>
  <c r="AN1324" i="26"/>
  <c r="AN1325" i="26"/>
  <c r="AN1326" i="26"/>
  <c r="AN1327" i="26"/>
  <c r="AN1328" i="26"/>
  <c r="AN1329" i="26"/>
  <c r="AN1336" i="26"/>
  <c r="AN1337" i="26"/>
  <c r="AN1343" i="26"/>
  <c r="AN1344" i="26"/>
  <c r="AN1345" i="26"/>
  <c r="AN1346" i="26"/>
  <c r="AN1358" i="26"/>
  <c r="AN1359" i="26"/>
  <c r="AN1360" i="26"/>
  <c r="AN1361" i="26"/>
  <c r="AN1362" i="26"/>
  <c r="AN1363" i="26"/>
  <c r="AN1364" i="26"/>
  <c r="AN1365" i="26"/>
  <c r="AN1366" i="26"/>
  <c r="AN1371" i="26"/>
  <c r="AN1372" i="26"/>
  <c r="AN1373" i="26"/>
  <c r="AN1374" i="26"/>
  <c r="AN1375" i="26"/>
  <c r="AN1376" i="26"/>
  <c r="AN1377" i="26"/>
  <c r="AN1378" i="26"/>
  <c r="AN1390" i="26"/>
  <c r="AN1391" i="26"/>
  <c r="AN1396" i="26"/>
  <c r="AN1397" i="26"/>
  <c r="AN1398" i="26"/>
  <c r="AN1399" i="26"/>
  <c r="AN1400" i="26"/>
  <c r="AN1401" i="26"/>
  <c r="AN1402" i="26"/>
  <c r="AN1409" i="26"/>
  <c r="AN1410" i="26"/>
  <c r="AN1415" i="26"/>
  <c r="AN1416" i="26"/>
  <c r="AN1417" i="26"/>
  <c r="AN1418" i="26"/>
  <c r="AN1420" i="26"/>
  <c r="AN1421" i="26"/>
  <c r="AN1422" i="26"/>
  <c r="AN1423" i="26"/>
  <c r="AN1424" i="26"/>
  <c r="AN1425" i="26"/>
  <c r="AN1426" i="26"/>
  <c r="AN1427" i="26"/>
  <c r="AN1428" i="26"/>
  <c r="AN1439" i="26"/>
  <c r="AN1440" i="26"/>
  <c r="AN1441" i="26"/>
  <c r="AN1442" i="26"/>
  <c r="AN1443" i="26"/>
  <c r="AN1444" i="26"/>
  <c r="AN1448" i="26"/>
  <c r="AN1449" i="26"/>
  <c r="AN1450" i="26"/>
  <c r="AN1470" i="26"/>
  <c r="AN1471" i="26"/>
  <c r="AN1472" i="26"/>
  <c r="AN1473" i="26"/>
  <c r="AN1474" i="26"/>
  <c r="AN1475" i="26"/>
  <c r="AN1476" i="26"/>
  <c r="AN1477" i="26"/>
  <c r="AN1478" i="26"/>
  <c r="AN1479" i="26"/>
  <c r="AN1480" i="26"/>
  <c r="AN1481" i="26"/>
  <c r="AN1482" i="26"/>
  <c r="AN1483" i="26"/>
  <c r="AN1493" i="26"/>
  <c r="AN1494" i="26"/>
  <c r="AN1495" i="26"/>
  <c r="AN1496" i="26"/>
  <c r="AN1497" i="26"/>
  <c r="AN1502" i="26"/>
  <c r="AN1503" i="26"/>
  <c r="AN1504" i="26"/>
  <c r="AN1505" i="26"/>
  <c r="AN1519" i="26"/>
  <c r="AN1520" i="26"/>
  <c r="AN1521" i="26"/>
  <c r="AN1522" i="26"/>
  <c r="AN1523" i="26"/>
  <c r="AN1524" i="26"/>
  <c r="AN1525" i="26"/>
  <c r="AN1526" i="26"/>
  <c r="AN1527" i="26"/>
  <c r="AN1528" i="26"/>
  <c r="AN1529" i="26"/>
  <c r="AN1530" i="26"/>
  <c r="AN1531" i="26"/>
  <c r="AN1532" i="26"/>
  <c r="AN1533" i="26"/>
  <c r="AN1534" i="26"/>
  <c r="AN1535" i="26"/>
  <c r="AN1536" i="26"/>
  <c r="AN1537" i="26"/>
  <c r="AN1538" i="26"/>
  <c r="AN1539" i="26"/>
  <c r="AN1540" i="26"/>
  <c r="AN1541" i="26"/>
  <c r="AN1542" i="26"/>
  <c r="AN1543" i="26"/>
  <c r="AN1544" i="26"/>
  <c r="AN1545" i="26"/>
  <c r="AN1549" i="26"/>
  <c r="AN1550" i="26"/>
  <c r="AN1551" i="26"/>
  <c r="AN1552" i="26"/>
  <c r="AN1553" i="26"/>
  <c r="AN1554" i="26"/>
  <c r="AN1558" i="26"/>
  <c r="AN1559" i="26"/>
  <c r="AN1560" i="26"/>
  <c r="AN1561" i="26"/>
  <c r="AN1562" i="26"/>
  <c r="AN1563" i="26"/>
  <c r="AN1564" i="26"/>
  <c r="AN1565" i="26"/>
  <c r="AN1566" i="26"/>
  <c r="AN1567" i="26"/>
  <c r="AN1568" i="26"/>
  <c r="AN1569" i="26"/>
  <c r="AN1570" i="26"/>
  <c r="AN1575" i="26"/>
  <c r="AN1576" i="26"/>
  <c r="AN1588" i="26"/>
  <c r="AN1589" i="26"/>
  <c r="AN1590" i="26"/>
  <c r="AN1594" i="26"/>
  <c r="AN1595" i="26"/>
  <c r="AN1596" i="26"/>
  <c r="AN1597" i="26"/>
  <c r="AN1598" i="26"/>
  <c r="AN1599" i="26"/>
  <c r="AN1606" i="26"/>
  <c r="AN1607" i="26"/>
  <c r="AN1608" i="26"/>
  <c r="AN1609" i="26"/>
  <c r="AN1610" i="26"/>
  <c r="AN1620" i="26"/>
  <c r="AN1621" i="26"/>
  <c r="AN1622" i="26"/>
  <c r="AN1623" i="26"/>
  <c r="AN1624" i="26"/>
  <c r="AN1625" i="26"/>
  <c r="AN1626" i="26"/>
  <c r="AN1633" i="26"/>
  <c r="AN1634" i="26"/>
  <c r="AN1635" i="26"/>
  <c r="AN1636" i="26"/>
  <c r="AN1637" i="26"/>
  <c r="AN1638" i="26"/>
  <c r="AN1639" i="26"/>
  <c r="AN1640" i="26"/>
  <c r="AN1650" i="26"/>
  <c r="AN1651" i="26"/>
  <c r="AN1652" i="26"/>
  <c r="AN1653" i="26"/>
  <c r="AN1658" i="26"/>
  <c r="AN1659" i="26"/>
  <c r="AN1660" i="26"/>
  <c r="AN1661" i="26"/>
  <c r="AN1674" i="26"/>
  <c r="AN1675" i="26"/>
  <c r="AN1676" i="26"/>
  <c r="AN1677" i="26"/>
  <c r="AN1685" i="26"/>
  <c r="AN1686" i="26"/>
  <c r="AN1687" i="26"/>
  <c r="AN1688" i="26"/>
  <c r="AN1689" i="26"/>
  <c r="AN1690" i="26"/>
  <c r="AN1695" i="26"/>
  <c r="AN1696" i="26"/>
  <c r="AN1697" i="26"/>
  <c r="AN1698" i="26"/>
  <c r="AN1699" i="26"/>
  <c r="AN1700" i="26"/>
  <c r="AN1701" i="26"/>
  <c r="AN1702" i="26"/>
  <c r="AN1703" i="26"/>
  <c r="AN1710" i="26"/>
  <c r="AN1711" i="26"/>
  <c r="AN1712" i="26"/>
  <c r="AN1713" i="26"/>
  <c r="AN1714" i="26"/>
  <c r="AN1715" i="26"/>
  <c r="AN1716" i="26"/>
  <c r="AN1717" i="26"/>
  <c r="AN1718" i="26"/>
  <c r="AN1719" i="26"/>
  <c r="AN1720" i="26"/>
  <c r="AN1721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37" i="26"/>
  <c r="AO38" i="26"/>
  <c r="AO39" i="26"/>
  <c r="AO40" i="26"/>
  <c r="AO41" i="26"/>
  <c r="AO47" i="26"/>
  <c r="AO48" i="26"/>
  <c r="AO49" i="26"/>
  <c r="AO50" i="26"/>
  <c r="AO51" i="26"/>
  <c r="AO52" i="26"/>
  <c r="AO53" i="26"/>
  <c r="AO54" i="26"/>
  <c r="AO64" i="26"/>
  <c r="AO65" i="26"/>
  <c r="AO66" i="26"/>
  <c r="AO67" i="26"/>
  <c r="AO68" i="26"/>
  <c r="AO73" i="26"/>
  <c r="AO74" i="26"/>
  <c r="AO75" i="26"/>
  <c r="AO76" i="26"/>
  <c r="AO77" i="26"/>
  <c r="AO78" i="26"/>
  <c r="AO79" i="26"/>
  <c r="AO80" i="26"/>
  <c r="AO85" i="26"/>
  <c r="AO86" i="26"/>
  <c r="AO87" i="26"/>
  <c r="AO88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4" i="26"/>
  <c r="AO125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4" i="26"/>
  <c r="AO145" i="26"/>
  <c r="AO146" i="26"/>
  <c r="AO147" i="26"/>
  <c r="AO148" i="26"/>
  <c r="AO149" i="26"/>
  <c r="AO150" i="26"/>
  <c r="AO151" i="26"/>
  <c r="AO152" i="26"/>
  <c r="AO167" i="26"/>
  <c r="AO168" i="26"/>
  <c r="AO169" i="26"/>
  <c r="AO170" i="26"/>
  <c r="AO171" i="26"/>
  <c r="AO172" i="26"/>
  <c r="AO177" i="26"/>
  <c r="AO178" i="26"/>
  <c r="AO179" i="26"/>
  <c r="AO184" i="26"/>
  <c r="AO185" i="26"/>
  <c r="AO195" i="26"/>
  <c r="AO196" i="26"/>
  <c r="AO201" i="26"/>
  <c r="AO202" i="26"/>
  <c r="AO203" i="26"/>
  <c r="AO204" i="26"/>
  <c r="AO205" i="26"/>
  <c r="AO210" i="26"/>
  <c r="AO211" i="26"/>
  <c r="AO212" i="26"/>
  <c r="AO213" i="26"/>
  <c r="AO214" i="26"/>
  <c r="AO220" i="26"/>
  <c r="AO221" i="26"/>
  <c r="AO222" i="26"/>
  <c r="AO223" i="26"/>
  <c r="AO224" i="26"/>
  <c r="AO230" i="26"/>
  <c r="AO231" i="26"/>
  <c r="AO232" i="26"/>
  <c r="AO241" i="26"/>
  <c r="AO242" i="26"/>
  <c r="AO247" i="26"/>
  <c r="AO248" i="26"/>
  <c r="AO249" i="26"/>
  <c r="AO250" i="26"/>
  <c r="AO251" i="26"/>
  <c r="AO252" i="26"/>
  <c r="AO253" i="26"/>
  <c r="AO254" i="26"/>
  <c r="AO255" i="26"/>
  <c r="AO256" i="26"/>
  <c r="AO257" i="26"/>
  <c r="AO258" i="26"/>
  <c r="AO259" i="26"/>
  <c r="AO260" i="26"/>
  <c r="AO261" i="26"/>
  <c r="AO262" i="26"/>
  <c r="AO263" i="26"/>
  <c r="AO264" i="26"/>
  <c r="AO272" i="26"/>
  <c r="AO273" i="26"/>
  <c r="AO279" i="26"/>
  <c r="AO280" i="26"/>
  <c r="AO281" i="26"/>
  <c r="AO287" i="26"/>
  <c r="AO288" i="26"/>
  <c r="AO289" i="26"/>
  <c r="AO290" i="26"/>
  <c r="AO291" i="26"/>
  <c r="AO296" i="26"/>
  <c r="AO297" i="26"/>
  <c r="AO298" i="26"/>
  <c r="AO299" i="26"/>
  <c r="AO307" i="26"/>
  <c r="AO308" i="26"/>
  <c r="AO309" i="26"/>
  <c r="AO318" i="26"/>
  <c r="AO319" i="26"/>
  <c r="AO320" i="26"/>
  <c r="AO321" i="26"/>
  <c r="AO330" i="26"/>
  <c r="AO331" i="26"/>
  <c r="AO339" i="26"/>
  <c r="AO340" i="26"/>
  <c r="AO341" i="26"/>
  <c r="AO342" i="26"/>
  <c r="AO343" i="26"/>
  <c r="AO344" i="26"/>
  <c r="AO345" i="26"/>
  <c r="AO346" i="26"/>
  <c r="AO347" i="26"/>
  <c r="AO348" i="26"/>
  <c r="AO349" i="26"/>
  <c r="AO350" i="26"/>
  <c r="AO355" i="26"/>
  <c r="AO356" i="26"/>
  <c r="AO357" i="26"/>
  <c r="AO358" i="26"/>
  <c r="AO359" i="26"/>
  <c r="AO360" i="26"/>
  <c r="AO366" i="26"/>
  <c r="AO367" i="26"/>
  <c r="AO368" i="26"/>
  <c r="AO369" i="26"/>
  <c r="AO370" i="26"/>
  <c r="AO371" i="26"/>
  <c r="AO372" i="26"/>
  <c r="AO373" i="26"/>
  <c r="AO374" i="26"/>
  <c r="AO375" i="26"/>
  <c r="AO376" i="26"/>
  <c r="AO377" i="26"/>
  <c r="AO378" i="26"/>
  <c r="AO383" i="26"/>
  <c r="AO384" i="26"/>
  <c r="AO385" i="26"/>
  <c r="AO386" i="26"/>
  <c r="AO387" i="26"/>
  <c r="AO388" i="26"/>
  <c r="AO389" i="26"/>
  <c r="AO395" i="26"/>
  <c r="AO396" i="26"/>
  <c r="AO397" i="26"/>
  <c r="AO398" i="26"/>
  <c r="AO399" i="26"/>
  <c r="AO400" i="26"/>
  <c r="AO401" i="26"/>
  <c r="AO402" i="26"/>
  <c r="AO403" i="26"/>
  <c r="AO404" i="26"/>
  <c r="AO405" i="26"/>
  <c r="AO410" i="26"/>
  <c r="AO411" i="26"/>
  <c r="AO412" i="26"/>
  <c r="AO413" i="26"/>
  <c r="AO414" i="26"/>
  <c r="AO415" i="26"/>
  <c r="AO420" i="26"/>
  <c r="AO421" i="26"/>
  <c r="AO422" i="26"/>
  <c r="AO427" i="26"/>
  <c r="AO428" i="26"/>
  <c r="AO429" i="26"/>
  <c r="AO430" i="26"/>
  <c r="AO431" i="26"/>
  <c r="AO432" i="26"/>
  <c r="AO433" i="26"/>
  <c r="AO438" i="26"/>
  <c r="AO439" i="26"/>
  <c r="AO440" i="26"/>
  <c r="AO441" i="26"/>
  <c r="AO442" i="26"/>
  <c r="AO465" i="26"/>
  <c r="AO466" i="26"/>
  <c r="AO467" i="26"/>
  <c r="AO468" i="26"/>
  <c r="AO469" i="26"/>
  <c r="AO470" i="26"/>
  <c r="AO471" i="26"/>
  <c r="AO472" i="26"/>
  <c r="AO473" i="26"/>
  <c r="AO474" i="26"/>
  <c r="AO475" i="26"/>
  <c r="AO480" i="26"/>
  <c r="AO481" i="26"/>
  <c r="AO482" i="26"/>
  <c r="AO483" i="26"/>
  <c r="AO484" i="26"/>
  <c r="AO491" i="26"/>
  <c r="AO492" i="26"/>
  <c r="AO493" i="26"/>
  <c r="AO494" i="26"/>
  <c r="AO504" i="26"/>
  <c r="AO505" i="26"/>
  <c r="AO506" i="26"/>
  <c r="AO507" i="26"/>
  <c r="AO518" i="26"/>
  <c r="AO519" i="26"/>
  <c r="AO520" i="26"/>
  <c r="AO521" i="26"/>
  <c r="AO522" i="26"/>
  <c r="AO523" i="26"/>
  <c r="AO524" i="26"/>
  <c r="AO525" i="26"/>
  <c r="AO526" i="26"/>
  <c r="AO527" i="26"/>
  <c r="AO528" i="26"/>
  <c r="AO529" i="26"/>
  <c r="AO530" i="26"/>
  <c r="AO531" i="26"/>
  <c r="AO532" i="26"/>
  <c r="AO533" i="26"/>
  <c r="AO534" i="26"/>
  <c r="AO535" i="26"/>
  <c r="AO536" i="26"/>
  <c r="AO537" i="26"/>
  <c r="AO538" i="26"/>
  <c r="AO545" i="26"/>
  <c r="AO546" i="26"/>
  <c r="AO547" i="26"/>
  <c r="AO549" i="26"/>
  <c r="AO550" i="26"/>
  <c r="AO551" i="26"/>
  <c r="AO552" i="26"/>
  <c r="AO553" i="26"/>
  <c r="AO559" i="26"/>
  <c r="AO560" i="26"/>
  <c r="AO561" i="26"/>
  <c r="AO562" i="26"/>
  <c r="AO563" i="26"/>
  <c r="AO564" i="26"/>
  <c r="AO565" i="26"/>
  <c r="AO566" i="26"/>
  <c r="AO582" i="26"/>
  <c r="AO583" i="26"/>
  <c r="AO584" i="26"/>
  <c r="AO585" i="26"/>
  <c r="AO586" i="26"/>
  <c r="AO592" i="26"/>
  <c r="AO593" i="26"/>
  <c r="AO596" i="26"/>
  <c r="AO597" i="26"/>
  <c r="AO598" i="26"/>
  <c r="AO599" i="26"/>
  <c r="AO600" i="26"/>
  <c r="AO604" i="26"/>
  <c r="AO605" i="26"/>
  <c r="AO606" i="26"/>
  <c r="AO611" i="26"/>
  <c r="AO612" i="26"/>
  <c r="AO613" i="26"/>
  <c r="AO614" i="26"/>
  <c r="AO615" i="26"/>
  <c r="AO616" i="26"/>
  <c r="AO617" i="26"/>
  <c r="AO618" i="26"/>
  <c r="AO619" i="26"/>
  <c r="AO624" i="26"/>
  <c r="AO625" i="26"/>
  <c r="AO626" i="26"/>
  <c r="AO627" i="26"/>
  <c r="AO628" i="26"/>
  <c r="AO629" i="26"/>
  <c r="AO630" i="26"/>
  <c r="AO631" i="26"/>
  <c r="AO632" i="26"/>
  <c r="AO633" i="26"/>
  <c r="AO634" i="26"/>
  <c r="AO635" i="26"/>
  <c r="AO636" i="26"/>
  <c r="AO637" i="26"/>
  <c r="AO646" i="26"/>
  <c r="AO647" i="26"/>
  <c r="AO648" i="26"/>
  <c r="AO649" i="26"/>
  <c r="AO650" i="26"/>
  <c r="AO651" i="26"/>
  <c r="AO652" i="26"/>
  <c r="AO653" i="26"/>
  <c r="AO654" i="26"/>
  <c r="AO668" i="26"/>
  <c r="AO669" i="26"/>
  <c r="AO670" i="26"/>
  <c r="AO671" i="26"/>
  <c r="AO672" i="26"/>
  <c r="AO673" i="26"/>
  <c r="AO674" i="26"/>
  <c r="AO675" i="26"/>
  <c r="AO676" i="26"/>
  <c r="AO677" i="26"/>
  <c r="AO678" i="26"/>
  <c r="AO679" i="26"/>
  <c r="AO684" i="26"/>
  <c r="AO685" i="26"/>
  <c r="AO686" i="26"/>
  <c r="AO687" i="26"/>
  <c r="AO688" i="26"/>
  <c r="AO689" i="26"/>
  <c r="AO690" i="26"/>
  <c r="AO691" i="26"/>
  <c r="AO692" i="26"/>
  <c r="AO693" i="26"/>
  <c r="AO694" i="26"/>
  <c r="AO695" i="26"/>
  <c r="AO696" i="26"/>
  <c r="AO697" i="26"/>
  <c r="AO698" i="26"/>
  <c r="AO703" i="26"/>
  <c r="AO704" i="26"/>
  <c r="AO705" i="26"/>
  <c r="AO706" i="26"/>
  <c r="AO707" i="26"/>
  <c r="AO708" i="26"/>
  <c r="AO709" i="26"/>
  <c r="AO710" i="26"/>
  <c r="AO711" i="26"/>
  <c r="AO712" i="26"/>
  <c r="AO713" i="26"/>
  <c r="AO714" i="26"/>
  <c r="AO715" i="26"/>
  <c r="AO716" i="26"/>
  <c r="AO717" i="26"/>
  <c r="AO718" i="26"/>
  <c r="AO719" i="26"/>
  <c r="AO720" i="26"/>
  <c r="AO721" i="26"/>
  <c r="AO722" i="26"/>
  <c r="AO723" i="26"/>
  <c r="AO724" i="26"/>
  <c r="AO725" i="26"/>
  <c r="AO726" i="26"/>
  <c r="AO727" i="26"/>
  <c r="AO728" i="26"/>
  <c r="AO729" i="26"/>
  <c r="AO730" i="26"/>
  <c r="AO731" i="26"/>
  <c r="AO732" i="26"/>
  <c r="AO733" i="26"/>
  <c r="AO734" i="26"/>
  <c r="AO735" i="26"/>
  <c r="AO736" i="26"/>
  <c r="AO737" i="26"/>
  <c r="AO738" i="26"/>
  <c r="AO743" i="26"/>
  <c r="AO744" i="26"/>
  <c r="AO745" i="26"/>
  <c r="AO746" i="26"/>
  <c r="AO758" i="26"/>
  <c r="AO759" i="26"/>
  <c r="AO760" i="26"/>
  <c r="AO761" i="26"/>
  <c r="AO762" i="26"/>
  <c r="AO771" i="26"/>
  <c r="AO772" i="26"/>
  <c r="AO773" i="26"/>
  <c r="AO774" i="26"/>
  <c r="AO775" i="26"/>
  <c r="AO776" i="26"/>
  <c r="AO777" i="26"/>
  <c r="AO778" i="26"/>
  <c r="AO787" i="26"/>
  <c r="AO788" i="26"/>
  <c r="AO789" i="26"/>
  <c r="AO790" i="26"/>
  <c r="AO797" i="26"/>
  <c r="AO798" i="26"/>
  <c r="AO799" i="26"/>
  <c r="AO800" i="26"/>
  <c r="AO801" i="26"/>
  <c r="AO802" i="26"/>
  <c r="AO803" i="26"/>
  <c r="AO804" i="26"/>
  <c r="AO805" i="26"/>
  <c r="AO814" i="26"/>
  <c r="AO815" i="26"/>
  <c r="AO816" i="26"/>
  <c r="AO817" i="26"/>
  <c r="AO818" i="26"/>
  <c r="AO821" i="26"/>
  <c r="AO822" i="26"/>
  <c r="AO823" i="26"/>
  <c r="AO829" i="26"/>
  <c r="AO830" i="26"/>
  <c r="AO834" i="26"/>
  <c r="AO835" i="26"/>
  <c r="AO841" i="26"/>
  <c r="AO842" i="26"/>
  <c r="AO843" i="26"/>
  <c r="AO844" i="26"/>
  <c r="AO855" i="26"/>
  <c r="AO856" i="26"/>
  <c r="AO862" i="26"/>
  <c r="AO863" i="26"/>
  <c r="AO864" i="26"/>
  <c r="AO865" i="26"/>
  <c r="AO866" i="26"/>
  <c r="AO867" i="26"/>
  <c r="AO868" i="26"/>
  <c r="AO869" i="26"/>
  <c r="AO870" i="26"/>
  <c r="AO871" i="26"/>
  <c r="AO877" i="26"/>
  <c r="AO878" i="26"/>
  <c r="AO879" i="26"/>
  <c r="AO880" i="26"/>
  <c r="AO881" i="26"/>
  <c r="AO887" i="26"/>
  <c r="AO888" i="26"/>
  <c r="AO889" i="26"/>
  <c r="AO895" i="26"/>
  <c r="AO896" i="26"/>
  <c r="AO897" i="26"/>
  <c r="AO898" i="26"/>
  <c r="AO899" i="26"/>
  <c r="AO900" i="26"/>
  <c r="AO901" i="26"/>
  <c r="AO902" i="26"/>
  <c r="AO903" i="26"/>
  <c r="AO904" i="26"/>
  <c r="AO920" i="26"/>
  <c r="AO921" i="26"/>
  <c r="AO922" i="26"/>
  <c r="AO923" i="26"/>
  <c r="AO924" i="26"/>
  <c r="AO925" i="26"/>
  <c r="AO926" i="26"/>
  <c r="AO927" i="26"/>
  <c r="AO928" i="26"/>
  <c r="AO929" i="26"/>
  <c r="AO930" i="26"/>
  <c r="AO931" i="26"/>
  <c r="AO932" i="26"/>
  <c r="AO933" i="26"/>
  <c r="AO934" i="26"/>
  <c r="AO935" i="26"/>
  <c r="AO936" i="26"/>
  <c r="AO958" i="26"/>
  <c r="AO959" i="26"/>
  <c r="AO960" i="26"/>
  <c r="AO961" i="26"/>
  <c r="AO962" i="26"/>
  <c r="AO963" i="26"/>
  <c r="AO964" i="26"/>
  <c r="AO965" i="26"/>
  <c r="AO966" i="26"/>
  <c r="AO967" i="26"/>
  <c r="AO970" i="26"/>
  <c r="AO971" i="26"/>
  <c r="AO978" i="26"/>
  <c r="AO979" i="26"/>
  <c r="AO980" i="26"/>
  <c r="AO985" i="26"/>
  <c r="AO986" i="26"/>
  <c r="AO987" i="26"/>
  <c r="AO988" i="26"/>
  <c r="AO989" i="26"/>
  <c r="AO990" i="26"/>
  <c r="AO991" i="26"/>
  <c r="AO992" i="26"/>
  <c r="AO993" i="26"/>
  <c r="AO994" i="26"/>
  <c r="AO995" i="26"/>
  <c r="AO996" i="26"/>
  <c r="AO997" i="26"/>
  <c r="AO998" i="26"/>
  <c r="AO1006" i="26"/>
  <c r="AO1007" i="26"/>
  <c r="AO1008" i="26"/>
  <c r="AO1009" i="26"/>
  <c r="AO1010" i="26"/>
  <c r="AO1014" i="26"/>
  <c r="AO1015" i="26"/>
  <c r="AO1016" i="26"/>
  <c r="AO1017" i="26"/>
  <c r="AO1018" i="26"/>
  <c r="AO1028" i="26"/>
  <c r="AO1029" i="26"/>
  <c r="AO1030" i="26"/>
  <c r="AO1031" i="26"/>
  <c r="AO1032" i="26"/>
  <c r="AO1037" i="26"/>
  <c r="AO1038" i="26"/>
  <c r="AO1039" i="26"/>
  <c r="AO1040" i="26"/>
  <c r="AO1041" i="26"/>
  <c r="AO1042" i="26"/>
  <c r="AO1043" i="26"/>
  <c r="AO1044" i="26"/>
  <c r="AO1045" i="26"/>
  <c r="AO1046" i="26"/>
  <c r="AO1047" i="26"/>
  <c r="AO1048" i="26"/>
  <c r="AO1049" i="26"/>
  <c r="AO1050" i="26"/>
  <c r="AO1051" i="26"/>
  <c r="AO1052" i="26"/>
  <c r="AO1053" i="26"/>
  <c r="AO1054" i="26"/>
  <c r="AO1055" i="26"/>
  <c r="AO1059" i="26"/>
  <c r="AO1060" i="26"/>
  <c r="AO1066" i="26"/>
  <c r="AO1067" i="26"/>
  <c r="AO1068" i="26"/>
  <c r="AO1069" i="26"/>
  <c r="AO1070" i="26"/>
  <c r="AO1071" i="26"/>
  <c r="AO1072" i="26"/>
  <c r="AO1073" i="26"/>
  <c r="AO1074" i="26"/>
  <c r="AO1075" i="26"/>
  <c r="AO1076" i="26"/>
  <c r="AO1077" i="26"/>
  <c r="AO1078" i="26"/>
  <c r="AO1079" i="26"/>
  <c r="AO1080" i="26"/>
  <c r="AO1081" i="26"/>
  <c r="AO1082" i="26"/>
  <c r="AO1087" i="26"/>
  <c r="AO1088" i="26"/>
  <c r="AO1089" i="26"/>
  <c r="AO1090" i="26"/>
  <c r="AO1091" i="26"/>
  <c r="AO1096" i="26"/>
  <c r="AO1097" i="26"/>
  <c r="AO1098" i="26"/>
  <c r="AO1099" i="26"/>
  <c r="AO1100" i="26"/>
  <c r="AO1101" i="26"/>
  <c r="AO1111" i="26"/>
  <c r="AO1112" i="26"/>
  <c r="AO1121" i="26"/>
  <c r="AO1122" i="26"/>
  <c r="AO1131" i="26"/>
  <c r="AO1132" i="26"/>
  <c r="AO1133" i="26"/>
  <c r="AO1134" i="26"/>
  <c r="AO1135" i="26"/>
  <c r="AO1136" i="26"/>
  <c r="AO1137" i="26"/>
  <c r="AO1147" i="26"/>
  <c r="AO1148" i="26"/>
  <c r="AO1149" i="26"/>
  <c r="AO1150" i="26"/>
  <c r="AO1151" i="26"/>
  <c r="AO1154" i="26"/>
  <c r="AO1155" i="26"/>
  <c r="AO1156" i="26"/>
  <c r="AO1157" i="26"/>
  <c r="AO1169" i="26"/>
  <c r="AO1170" i="26"/>
  <c r="AO1171" i="26"/>
  <c r="AO1176" i="26"/>
  <c r="AO1177" i="26"/>
  <c r="AO1182" i="26"/>
  <c r="AO1183" i="26"/>
  <c r="AO1184" i="26"/>
  <c r="AO1185" i="26"/>
  <c r="AO1186" i="26"/>
  <c r="AO1187" i="26"/>
  <c r="AO1188" i="26"/>
  <c r="AO1194" i="26"/>
  <c r="AO1195" i="26"/>
  <c r="AO1196" i="26"/>
  <c r="AO1206" i="26"/>
  <c r="AO1207" i="26"/>
  <c r="AO1208" i="26"/>
  <c r="AO1209" i="26"/>
  <c r="AO1210" i="26"/>
  <c r="AO1216" i="26"/>
  <c r="AO1217" i="26"/>
  <c r="AO1218" i="26"/>
  <c r="AO1219" i="26"/>
  <c r="AO1220" i="26"/>
  <c r="AO1221" i="26"/>
  <c r="AO1222" i="26"/>
  <c r="AO1223" i="26"/>
  <c r="AO1224" i="26"/>
  <c r="AO1242" i="26"/>
  <c r="AO1243" i="26"/>
  <c r="AO1244" i="26"/>
  <c r="AO1249" i="26"/>
  <c r="AO1250" i="26"/>
  <c r="AO1251" i="26"/>
  <c r="AO1252" i="26"/>
  <c r="AO1253" i="26"/>
  <c r="AO1254" i="26"/>
  <c r="AO1255" i="26"/>
  <c r="AO1256" i="26"/>
  <c r="AO1257" i="26"/>
  <c r="AO1258" i="26"/>
  <c r="AO1259" i="26"/>
  <c r="AO1260" i="26"/>
  <c r="AO1263" i="26"/>
  <c r="AO1264" i="26"/>
  <c r="AO1270" i="26"/>
  <c r="AO1271" i="26"/>
  <c r="AO1272" i="26"/>
  <c r="AO1273" i="26"/>
  <c r="AO1274" i="26"/>
  <c r="AO1275" i="26"/>
  <c r="AO1276" i="26"/>
  <c r="AO1277" i="26"/>
  <c r="AO1278" i="26"/>
  <c r="AO1279" i="26"/>
  <c r="AO1280" i="26"/>
  <c r="AO1281" i="26"/>
  <c r="AO1282" i="26"/>
  <c r="AO1283" i="26"/>
  <c r="AO1284" i="26"/>
  <c r="AO1285" i="26"/>
  <c r="AO1286" i="26"/>
  <c r="AO1287" i="26"/>
  <c r="AO1297" i="26"/>
  <c r="AO1298" i="26"/>
  <c r="AO1299" i="26"/>
  <c r="AO1303" i="26"/>
  <c r="AO1304" i="26"/>
  <c r="AO1305" i="26"/>
  <c r="AO1306" i="26"/>
  <c r="AO1307" i="26"/>
  <c r="AO1308" i="26"/>
  <c r="AO1309" i="26"/>
  <c r="AO1310" i="26"/>
  <c r="AO1311" i="26"/>
  <c r="AO1312" i="26"/>
  <c r="AO1320" i="26"/>
  <c r="AO1321" i="26"/>
  <c r="AO1322" i="26"/>
  <c r="AO1323" i="26"/>
  <c r="AO1324" i="26"/>
  <c r="AO1325" i="26"/>
  <c r="AO1326" i="26"/>
  <c r="AO1327" i="26"/>
  <c r="AO1328" i="26"/>
  <c r="AO1329" i="26"/>
  <c r="AO1336" i="26"/>
  <c r="AO1337" i="26"/>
  <c r="AO1343" i="26"/>
  <c r="AO1344" i="26"/>
  <c r="AO1345" i="26"/>
  <c r="AO1346" i="26"/>
  <c r="AO1358" i="26"/>
  <c r="AO1359" i="26"/>
  <c r="AO1360" i="26"/>
  <c r="AO1361" i="26"/>
  <c r="AO1362" i="26"/>
  <c r="AO1363" i="26"/>
  <c r="AO1364" i="26"/>
  <c r="AO1365" i="26"/>
  <c r="AO1366" i="26"/>
  <c r="AO1371" i="26"/>
  <c r="AO1372" i="26"/>
  <c r="AO1373" i="26"/>
  <c r="AO1374" i="26"/>
  <c r="AO1375" i="26"/>
  <c r="AO1376" i="26"/>
  <c r="AO1377" i="26"/>
  <c r="AO1378" i="26"/>
  <c r="AO1390" i="26"/>
  <c r="AO1391" i="26"/>
  <c r="AO1396" i="26"/>
  <c r="AO1397" i="26"/>
  <c r="AO1398" i="26"/>
  <c r="AO1399" i="26"/>
  <c r="AO1400" i="26"/>
  <c r="AO1401" i="26"/>
  <c r="AO1402" i="26"/>
  <c r="AO1409" i="26"/>
  <c r="AO1410" i="26"/>
  <c r="AO1415" i="26"/>
  <c r="AO1416" i="26"/>
  <c r="AO1417" i="26"/>
  <c r="AO1418" i="26"/>
  <c r="AO1420" i="26"/>
  <c r="AO1421" i="26"/>
  <c r="AO1422" i="26"/>
  <c r="AO1423" i="26"/>
  <c r="AO1424" i="26"/>
  <c r="AO1425" i="26"/>
  <c r="AO1426" i="26"/>
  <c r="AO1427" i="26"/>
  <c r="AO1428" i="26"/>
  <c r="AO1439" i="26"/>
  <c r="AO1440" i="26"/>
  <c r="AO1441" i="26"/>
  <c r="AO1442" i="26"/>
  <c r="AO1443" i="26"/>
  <c r="AO1444" i="26"/>
  <c r="AO1448" i="26"/>
  <c r="AO1449" i="26"/>
  <c r="AO1450" i="26"/>
  <c r="AO1470" i="26"/>
  <c r="AO1471" i="26"/>
  <c r="AO1472" i="26"/>
  <c r="AO1473" i="26"/>
  <c r="AO1474" i="26"/>
  <c r="AO1475" i="26"/>
  <c r="AO1476" i="26"/>
  <c r="AO1477" i="26"/>
  <c r="AO1478" i="26"/>
  <c r="AO1479" i="26"/>
  <c r="AO1480" i="26"/>
  <c r="AO1481" i="26"/>
  <c r="AO1482" i="26"/>
  <c r="AO1483" i="26"/>
  <c r="AO1493" i="26"/>
  <c r="AO1494" i="26"/>
  <c r="AO1495" i="26"/>
  <c r="AO1496" i="26"/>
  <c r="AO1497" i="26"/>
  <c r="AO1502" i="26"/>
  <c r="AO1503" i="26"/>
  <c r="AO1504" i="26"/>
  <c r="AO1505" i="26"/>
  <c r="AO1519" i="26"/>
  <c r="AO1520" i="26"/>
  <c r="AO1521" i="26"/>
  <c r="AO1522" i="26"/>
  <c r="AO1523" i="26"/>
  <c r="AO1524" i="26"/>
  <c r="AO1525" i="26"/>
  <c r="AO1526" i="26"/>
  <c r="AO1527" i="26"/>
  <c r="AO1528" i="26"/>
  <c r="AO1529" i="26"/>
  <c r="AO1530" i="26"/>
  <c r="AO1531" i="26"/>
  <c r="AO1532" i="26"/>
  <c r="AO1533" i="26"/>
  <c r="AO1534" i="26"/>
  <c r="AO1535" i="26"/>
  <c r="AO1536" i="26"/>
  <c r="AO1537" i="26"/>
  <c r="AO1538" i="26"/>
  <c r="AO1539" i="26"/>
  <c r="AO1540" i="26"/>
  <c r="AO1541" i="26"/>
  <c r="AO1542" i="26"/>
  <c r="AO1543" i="26"/>
  <c r="AO1544" i="26"/>
  <c r="AO1545" i="26"/>
  <c r="AO1549" i="26"/>
  <c r="AO1550" i="26"/>
  <c r="AO1551" i="26"/>
  <c r="AO1552" i="26"/>
  <c r="AO1553" i="26"/>
  <c r="AO1554" i="26"/>
  <c r="AO1558" i="26"/>
  <c r="AO1559" i="26"/>
  <c r="AO1560" i="26"/>
  <c r="AO1561" i="26"/>
  <c r="AO1562" i="26"/>
  <c r="AO1563" i="26"/>
  <c r="AO1564" i="26"/>
  <c r="AO1565" i="26"/>
  <c r="AO1566" i="26"/>
  <c r="AO1567" i="26"/>
  <c r="AO1568" i="26"/>
  <c r="AO1569" i="26"/>
  <c r="AO1570" i="26"/>
  <c r="AO1575" i="26"/>
  <c r="AO1576" i="26"/>
  <c r="AO1588" i="26"/>
  <c r="AO1589" i="26"/>
  <c r="AO1590" i="26"/>
  <c r="AO1594" i="26"/>
  <c r="AO1595" i="26"/>
  <c r="AO1596" i="26"/>
  <c r="AO1597" i="26"/>
  <c r="AO1598" i="26"/>
  <c r="AO1599" i="26"/>
  <c r="AO1606" i="26"/>
  <c r="AO1607" i="26"/>
  <c r="AO1608" i="26"/>
  <c r="AO1609" i="26"/>
  <c r="AO1610" i="26"/>
  <c r="AO1620" i="26"/>
  <c r="AO1621" i="26"/>
  <c r="AO1622" i="26"/>
  <c r="AO1623" i="26"/>
  <c r="AO1624" i="26"/>
  <c r="AO1625" i="26"/>
  <c r="AO1626" i="26"/>
  <c r="AO1633" i="26"/>
  <c r="AO1634" i="26"/>
  <c r="AO1635" i="26"/>
  <c r="AO1636" i="26"/>
  <c r="AO1637" i="26"/>
  <c r="AO1638" i="26"/>
  <c r="AO1639" i="26"/>
  <c r="AO1640" i="26"/>
  <c r="AO1650" i="26"/>
  <c r="AO1651" i="26"/>
  <c r="AO1652" i="26"/>
  <c r="AO1653" i="26"/>
  <c r="AO1658" i="26"/>
  <c r="AO1659" i="26"/>
  <c r="AO1660" i="26"/>
  <c r="AO1661" i="26"/>
  <c r="AO1674" i="26"/>
  <c r="AO1675" i="26"/>
  <c r="AO1676" i="26"/>
  <c r="AO1677" i="26"/>
  <c r="AO1685" i="26"/>
  <c r="AO1686" i="26"/>
  <c r="AO1687" i="26"/>
  <c r="AO1688" i="26"/>
  <c r="AO1689" i="26"/>
  <c r="AO1690" i="26"/>
  <c r="AO1695" i="26"/>
  <c r="AO1696" i="26"/>
  <c r="AO1697" i="26"/>
  <c r="AO1698" i="26"/>
  <c r="AO1699" i="26"/>
  <c r="AO1700" i="26"/>
  <c r="AO1701" i="26"/>
  <c r="AO1702" i="26"/>
  <c r="AO1703" i="26"/>
  <c r="AO1710" i="26"/>
  <c r="AO1711" i="26"/>
  <c r="AO1712" i="26"/>
  <c r="AO1713" i="26"/>
  <c r="AO1714" i="26"/>
  <c r="AO1715" i="26"/>
  <c r="AO1716" i="26"/>
  <c r="AO1717" i="26"/>
  <c r="AO1718" i="26"/>
  <c r="AO1719" i="26"/>
  <c r="AO1720" i="26"/>
  <c r="AO1721" i="26"/>
  <c r="AP13" i="26"/>
  <c r="AP14" i="26"/>
  <c r="AP15" i="26"/>
  <c r="AP16" i="26"/>
  <c r="AP17" i="26"/>
  <c r="AP18" i="26"/>
  <c r="AP19" i="26"/>
  <c r="AP20" i="26"/>
  <c r="AP21" i="26"/>
  <c r="AP22" i="26"/>
  <c r="AP23" i="26"/>
  <c r="AP24" i="26"/>
  <c r="AP25" i="26"/>
  <c r="AP26" i="26"/>
  <c r="AP27" i="26"/>
  <c r="AP37" i="26"/>
  <c r="AP38" i="26"/>
  <c r="AP39" i="26"/>
  <c r="AP40" i="26"/>
  <c r="AP41" i="26"/>
  <c r="AP47" i="26"/>
  <c r="AP48" i="26"/>
  <c r="AP49" i="26"/>
  <c r="AP50" i="26"/>
  <c r="AP51" i="26"/>
  <c r="AP52" i="26"/>
  <c r="AP53" i="26"/>
  <c r="AP54" i="26"/>
  <c r="AP64" i="26"/>
  <c r="AP65" i="26"/>
  <c r="AP66" i="26"/>
  <c r="AP67" i="26"/>
  <c r="AP68" i="26"/>
  <c r="AP73" i="26"/>
  <c r="AP74" i="26"/>
  <c r="AP75" i="26"/>
  <c r="AP76" i="26"/>
  <c r="AP77" i="26"/>
  <c r="AP78" i="26"/>
  <c r="AP79" i="26"/>
  <c r="AP80" i="26"/>
  <c r="AP85" i="26"/>
  <c r="AP86" i="26"/>
  <c r="AP87" i="26"/>
  <c r="AP88" i="26"/>
  <c r="AP93" i="26"/>
  <c r="AP94" i="26"/>
  <c r="AP95" i="26"/>
  <c r="AP96" i="26"/>
  <c r="AP97" i="26"/>
  <c r="AP98" i="26"/>
  <c r="AP99" i="26"/>
  <c r="AP100" i="26"/>
  <c r="AP101" i="26"/>
  <c r="AP102" i="26"/>
  <c r="AP103" i="26"/>
  <c r="AP104" i="26"/>
  <c r="AP109" i="26"/>
  <c r="AP110" i="26"/>
  <c r="AP111" i="26"/>
  <c r="AP112" i="26"/>
  <c r="AP113" i="26"/>
  <c r="AP114" i="26"/>
  <c r="AP115" i="26"/>
  <c r="AP116" i="26"/>
  <c r="AP117" i="26"/>
  <c r="AP118" i="26"/>
  <c r="AP119" i="26"/>
  <c r="AP124" i="26"/>
  <c r="AP125" i="26"/>
  <c r="AP129" i="26"/>
  <c r="AP130" i="26"/>
  <c r="AP131" i="26"/>
  <c r="AP132" i="26"/>
  <c r="AP133" i="26"/>
  <c r="AP134" i="26"/>
  <c r="AP135" i="26"/>
  <c r="AP136" i="26"/>
  <c r="AP137" i="26"/>
  <c r="AP138" i="26"/>
  <c r="AP139" i="26"/>
  <c r="AP144" i="26"/>
  <c r="AP145" i="26"/>
  <c r="AP146" i="26"/>
  <c r="AP147" i="26"/>
  <c r="AP148" i="26"/>
  <c r="AP149" i="26"/>
  <c r="AP150" i="26"/>
  <c r="AP151" i="26"/>
  <c r="AP152" i="26"/>
  <c r="AP167" i="26"/>
  <c r="AP168" i="26"/>
  <c r="AP169" i="26"/>
  <c r="AP170" i="26"/>
  <c r="AP171" i="26"/>
  <c r="AP172" i="26"/>
  <c r="AP177" i="26"/>
  <c r="AP178" i="26"/>
  <c r="AP179" i="26"/>
  <c r="AP184" i="26"/>
  <c r="AP185" i="26"/>
  <c r="AP195" i="26"/>
  <c r="AP196" i="26"/>
  <c r="AP201" i="26"/>
  <c r="AP202" i="26"/>
  <c r="AP203" i="26"/>
  <c r="AP204" i="26"/>
  <c r="AP205" i="26"/>
  <c r="AP210" i="26"/>
  <c r="AP211" i="26"/>
  <c r="AP212" i="26"/>
  <c r="AP213" i="26"/>
  <c r="AP214" i="26"/>
  <c r="AP220" i="26"/>
  <c r="AP221" i="26"/>
  <c r="AP222" i="26"/>
  <c r="AP223" i="26"/>
  <c r="AP224" i="26"/>
  <c r="AP230" i="26"/>
  <c r="AP231" i="26"/>
  <c r="AP232" i="26"/>
  <c r="AP241" i="26"/>
  <c r="AP242" i="26"/>
  <c r="AP247" i="26"/>
  <c r="AP248" i="26"/>
  <c r="AP249" i="26"/>
  <c r="AP250" i="26"/>
  <c r="AP251" i="26"/>
  <c r="AP252" i="26"/>
  <c r="AP253" i="26"/>
  <c r="AP254" i="26"/>
  <c r="AP255" i="26"/>
  <c r="AP256" i="26"/>
  <c r="AP257" i="26"/>
  <c r="AP258" i="26"/>
  <c r="AP259" i="26"/>
  <c r="AP260" i="26"/>
  <c r="AP261" i="26"/>
  <c r="AP262" i="26"/>
  <c r="AP263" i="26"/>
  <c r="AP264" i="26"/>
  <c r="AP272" i="26"/>
  <c r="AP273" i="26"/>
  <c r="AP279" i="26"/>
  <c r="AP280" i="26"/>
  <c r="AP281" i="26"/>
  <c r="AP287" i="26"/>
  <c r="AP288" i="26"/>
  <c r="AP289" i="26"/>
  <c r="AP290" i="26"/>
  <c r="AP291" i="26"/>
  <c r="AP296" i="26"/>
  <c r="AP297" i="26"/>
  <c r="AP298" i="26"/>
  <c r="AP299" i="26"/>
  <c r="AP307" i="26"/>
  <c r="AP308" i="26"/>
  <c r="AP309" i="26"/>
  <c r="AP318" i="26"/>
  <c r="AP319" i="26"/>
  <c r="AP320" i="26"/>
  <c r="AP321" i="26"/>
  <c r="AP330" i="26"/>
  <c r="AP331" i="26"/>
  <c r="AP339" i="26"/>
  <c r="AP340" i="26"/>
  <c r="AP341" i="26"/>
  <c r="AP342" i="26"/>
  <c r="AP343" i="26"/>
  <c r="AP344" i="26"/>
  <c r="AP345" i="26"/>
  <c r="AP346" i="26"/>
  <c r="AP347" i="26"/>
  <c r="AP348" i="26"/>
  <c r="AP349" i="26"/>
  <c r="AP350" i="26"/>
  <c r="AP355" i="26"/>
  <c r="AP356" i="26"/>
  <c r="AP357" i="26"/>
  <c r="AP358" i="26"/>
  <c r="AP359" i="26"/>
  <c r="AP360" i="26"/>
  <c r="AP366" i="26"/>
  <c r="AP367" i="26"/>
  <c r="AP368" i="26"/>
  <c r="AP369" i="26"/>
  <c r="AP370" i="26"/>
  <c r="AP371" i="26"/>
  <c r="AP372" i="26"/>
  <c r="AP373" i="26"/>
  <c r="AP374" i="26"/>
  <c r="AP375" i="26"/>
  <c r="AP376" i="26"/>
  <c r="AP377" i="26"/>
  <c r="AP378" i="26"/>
  <c r="AP383" i="26"/>
  <c r="AP384" i="26"/>
  <c r="AP385" i="26"/>
  <c r="AP386" i="26"/>
  <c r="AP387" i="26"/>
  <c r="AP388" i="26"/>
  <c r="AP389" i="26"/>
  <c r="AP395" i="26"/>
  <c r="AP396" i="26"/>
  <c r="AP397" i="26"/>
  <c r="AP398" i="26"/>
  <c r="AP399" i="26"/>
  <c r="AP400" i="26"/>
  <c r="AP401" i="26"/>
  <c r="AP402" i="26"/>
  <c r="AP403" i="26"/>
  <c r="AP404" i="26"/>
  <c r="AP405" i="26"/>
  <c r="AP410" i="26"/>
  <c r="AP411" i="26"/>
  <c r="AP412" i="26"/>
  <c r="AP413" i="26"/>
  <c r="AP414" i="26"/>
  <c r="AP415" i="26"/>
  <c r="AP420" i="26"/>
  <c r="AP421" i="26"/>
  <c r="AP422" i="26"/>
  <c r="AP427" i="26"/>
  <c r="AP428" i="26"/>
  <c r="AP429" i="26"/>
  <c r="AP430" i="26"/>
  <c r="AP431" i="26"/>
  <c r="AP432" i="26"/>
  <c r="AP433" i="26"/>
  <c r="AP438" i="26"/>
  <c r="AP439" i="26"/>
  <c r="AP440" i="26"/>
  <c r="AP441" i="26"/>
  <c r="AP442" i="26"/>
  <c r="AP465" i="26"/>
  <c r="AP466" i="26"/>
  <c r="AP467" i="26"/>
  <c r="AP468" i="26"/>
  <c r="AP469" i="26"/>
  <c r="AP470" i="26"/>
  <c r="AP471" i="26"/>
  <c r="AP472" i="26"/>
  <c r="AP473" i="26"/>
  <c r="AP474" i="26"/>
  <c r="AP475" i="26"/>
  <c r="AP480" i="26"/>
  <c r="AP481" i="26"/>
  <c r="AP482" i="26"/>
  <c r="AP483" i="26"/>
  <c r="AP484" i="26"/>
  <c r="AP491" i="26"/>
  <c r="AP492" i="26"/>
  <c r="AP493" i="26"/>
  <c r="AP494" i="26"/>
  <c r="AP504" i="26"/>
  <c r="AP505" i="26"/>
  <c r="AP506" i="26"/>
  <c r="AP507" i="26"/>
  <c r="AP518" i="26"/>
  <c r="AP519" i="26"/>
  <c r="AP520" i="26"/>
  <c r="AP521" i="26"/>
  <c r="AP522" i="26"/>
  <c r="AP523" i="26"/>
  <c r="AP524" i="26"/>
  <c r="AP525" i="26"/>
  <c r="AP526" i="26"/>
  <c r="AP527" i="26"/>
  <c r="AP528" i="26"/>
  <c r="AP529" i="26"/>
  <c r="AP530" i="26"/>
  <c r="AP531" i="26"/>
  <c r="AP532" i="26"/>
  <c r="AP533" i="26"/>
  <c r="AP534" i="26"/>
  <c r="AP535" i="26"/>
  <c r="AP536" i="26"/>
  <c r="AP537" i="26"/>
  <c r="AP538" i="26"/>
  <c r="AP545" i="26"/>
  <c r="AP546" i="26"/>
  <c r="AP547" i="26"/>
  <c r="AP549" i="26"/>
  <c r="AP550" i="26"/>
  <c r="AP551" i="26"/>
  <c r="AP552" i="26"/>
  <c r="AP553" i="26"/>
  <c r="AP559" i="26"/>
  <c r="AP560" i="26"/>
  <c r="AP561" i="26"/>
  <c r="AP562" i="26"/>
  <c r="AP563" i="26"/>
  <c r="AP564" i="26"/>
  <c r="AP565" i="26"/>
  <c r="AP566" i="26"/>
  <c r="AP582" i="26"/>
  <c r="AP583" i="26"/>
  <c r="AP584" i="26"/>
  <c r="AP585" i="26"/>
  <c r="AP586" i="26"/>
  <c r="AP592" i="26"/>
  <c r="AP593" i="26"/>
  <c r="AP596" i="26"/>
  <c r="AP597" i="26"/>
  <c r="AP598" i="26"/>
  <c r="AP599" i="26"/>
  <c r="AP600" i="26"/>
  <c r="AP604" i="26"/>
  <c r="AP605" i="26"/>
  <c r="AP606" i="26"/>
  <c r="AP611" i="26"/>
  <c r="AP612" i="26"/>
  <c r="AP613" i="26"/>
  <c r="AP614" i="26"/>
  <c r="AP615" i="26"/>
  <c r="AP616" i="26"/>
  <c r="AP617" i="26"/>
  <c r="AP618" i="26"/>
  <c r="AP619" i="26"/>
  <c r="AP624" i="26"/>
  <c r="AP625" i="26"/>
  <c r="AP626" i="26"/>
  <c r="AP627" i="26"/>
  <c r="AP628" i="26"/>
  <c r="AP629" i="26"/>
  <c r="AP630" i="26"/>
  <c r="AP631" i="26"/>
  <c r="AP632" i="26"/>
  <c r="AP633" i="26"/>
  <c r="AP634" i="26"/>
  <c r="AP635" i="26"/>
  <c r="AP636" i="26"/>
  <c r="AP637" i="26"/>
  <c r="AP646" i="26"/>
  <c r="AP647" i="26"/>
  <c r="AP648" i="26"/>
  <c r="AP649" i="26"/>
  <c r="AP650" i="26"/>
  <c r="AP651" i="26"/>
  <c r="AP652" i="26"/>
  <c r="AP653" i="26"/>
  <c r="AP654" i="26"/>
  <c r="AP668" i="26"/>
  <c r="AP669" i="26"/>
  <c r="AP670" i="26"/>
  <c r="AP671" i="26"/>
  <c r="AP672" i="26"/>
  <c r="AP673" i="26"/>
  <c r="AP674" i="26"/>
  <c r="AP675" i="26"/>
  <c r="AP676" i="26"/>
  <c r="AP677" i="26"/>
  <c r="AP678" i="26"/>
  <c r="AP679" i="26"/>
  <c r="AP684" i="26"/>
  <c r="AP685" i="26"/>
  <c r="AP686" i="26"/>
  <c r="AP687" i="26"/>
  <c r="AP688" i="26"/>
  <c r="AP689" i="26"/>
  <c r="AP690" i="26"/>
  <c r="AP691" i="26"/>
  <c r="AP692" i="26"/>
  <c r="AP693" i="26"/>
  <c r="AP694" i="26"/>
  <c r="AP695" i="26"/>
  <c r="AP696" i="26"/>
  <c r="AP697" i="26"/>
  <c r="AP698" i="26"/>
  <c r="AP703" i="26"/>
  <c r="AP704" i="26"/>
  <c r="AP705" i="26"/>
  <c r="AP706" i="26"/>
  <c r="AP707" i="26"/>
  <c r="AP708" i="26"/>
  <c r="AP709" i="26"/>
  <c r="AP710" i="26"/>
  <c r="AP711" i="26"/>
  <c r="AP712" i="26"/>
  <c r="AP713" i="26"/>
  <c r="AP714" i="26"/>
  <c r="AP715" i="26"/>
  <c r="AP716" i="26"/>
  <c r="AP717" i="26"/>
  <c r="AP718" i="26"/>
  <c r="AP719" i="26"/>
  <c r="AP720" i="26"/>
  <c r="AP721" i="26"/>
  <c r="AP722" i="26"/>
  <c r="AP723" i="26"/>
  <c r="AP724" i="26"/>
  <c r="AP725" i="26"/>
  <c r="AP726" i="26"/>
  <c r="AP727" i="26"/>
  <c r="AP728" i="26"/>
  <c r="AP729" i="26"/>
  <c r="AP730" i="26"/>
  <c r="AP731" i="26"/>
  <c r="AP732" i="26"/>
  <c r="AP733" i="26"/>
  <c r="AP734" i="26"/>
  <c r="AP735" i="26"/>
  <c r="AP736" i="26"/>
  <c r="AP737" i="26"/>
  <c r="AP738" i="26"/>
  <c r="AP743" i="26"/>
  <c r="AP744" i="26"/>
  <c r="AP745" i="26"/>
  <c r="AP746" i="26"/>
  <c r="AP758" i="26"/>
  <c r="AP759" i="26"/>
  <c r="AP760" i="26"/>
  <c r="AP761" i="26"/>
  <c r="AP762" i="26"/>
  <c r="AP771" i="26"/>
  <c r="AP772" i="26"/>
  <c r="AP773" i="26"/>
  <c r="AP774" i="26"/>
  <c r="AP775" i="26"/>
  <c r="AP776" i="26"/>
  <c r="AP777" i="26"/>
  <c r="AP778" i="26"/>
  <c r="AP787" i="26"/>
  <c r="AP788" i="26"/>
  <c r="AP789" i="26"/>
  <c r="AP790" i="26"/>
  <c r="AP797" i="26"/>
  <c r="AP798" i="26"/>
  <c r="AP799" i="26"/>
  <c r="AP800" i="26"/>
  <c r="AP801" i="26"/>
  <c r="AP802" i="26"/>
  <c r="AP803" i="26"/>
  <c r="AP804" i="26"/>
  <c r="AP805" i="26"/>
  <c r="AP814" i="26"/>
  <c r="AP815" i="26"/>
  <c r="AP816" i="26"/>
  <c r="AP817" i="26"/>
  <c r="AP818" i="26"/>
  <c r="AP821" i="26"/>
  <c r="AP822" i="26"/>
  <c r="AP823" i="26"/>
  <c r="AP829" i="26"/>
  <c r="AP830" i="26"/>
  <c r="AP834" i="26"/>
  <c r="AP835" i="26"/>
  <c r="AP841" i="26"/>
  <c r="AP842" i="26"/>
  <c r="AP843" i="26"/>
  <c r="AP844" i="26"/>
  <c r="AP855" i="26"/>
  <c r="AP856" i="26"/>
  <c r="AP862" i="26"/>
  <c r="AP863" i="26"/>
  <c r="AP864" i="26"/>
  <c r="AP865" i="26"/>
  <c r="AP866" i="26"/>
  <c r="AP867" i="26"/>
  <c r="AP868" i="26"/>
  <c r="AP869" i="26"/>
  <c r="AP870" i="26"/>
  <c r="AP871" i="26"/>
  <c r="AP877" i="26"/>
  <c r="AP878" i="26"/>
  <c r="AP879" i="26"/>
  <c r="AP880" i="26"/>
  <c r="AP881" i="26"/>
  <c r="AP887" i="26"/>
  <c r="AP888" i="26"/>
  <c r="AP889" i="26"/>
  <c r="AP895" i="26"/>
  <c r="AP896" i="26"/>
  <c r="AP897" i="26"/>
  <c r="AP898" i="26"/>
  <c r="AP899" i="26"/>
  <c r="AP900" i="26"/>
  <c r="AP901" i="26"/>
  <c r="AP902" i="26"/>
  <c r="AP903" i="26"/>
  <c r="AP904" i="26"/>
  <c r="AP920" i="26"/>
  <c r="AP921" i="26"/>
  <c r="AP922" i="26"/>
  <c r="AP923" i="26"/>
  <c r="AP924" i="26"/>
  <c r="AP925" i="26"/>
  <c r="AP926" i="26"/>
  <c r="AP927" i="26"/>
  <c r="AP928" i="26"/>
  <c r="AP929" i="26"/>
  <c r="AP930" i="26"/>
  <c r="AP931" i="26"/>
  <c r="AP932" i="26"/>
  <c r="AP933" i="26"/>
  <c r="AP934" i="26"/>
  <c r="AP935" i="26"/>
  <c r="AP936" i="26"/>
  <c r="AP958" i="26"/>
  <c r="AP959" i="26"/>
  <c r="AP960" i="26"/>
  <c r="AP961" i="26"/>
  <c r="AP962" i="26"/>
  <c r="AP963" i="26"/>
  <c r="AP964" i="26"/>
  <c r="AP965" i="26"/>
  <c r="AP966" i="26"/>
  <c r="AP967" i="26"/>
  <c r="AP970" i="26"/>
  <c r="AP971" i="26"/>
  <c r="AP978" i="26"/>
  <c r="AP979" i="26"/>
  <c r="AP980" i="26"/>
  <c r="AP985" i="26"/>
  <c r="AP986" i="26"/>
  <c r="AP987" i="26"/>
  <c r="AP988" i="26"/>
  <c r="AP989" i="26"/>
  <c r="AP990" i="26"/>
  <c r="AP991" i="26"/>
  <c r="AP992" i="26"/>
  <c r="AP993" i="26"/>
  <c r="AP994" i="26"/>
  <c r="AP995" i="26"/>
  <c r="AP996" i="26"/>
  <c r="AP997" i="26"/>
  <c r="AP998" i="26"/>
  <c r="AP1006" i="26"/>
  <c r="AP1007" i="26"/>
  <c r="AP1008" i="26"/>
  <c r="AP1009" i="26"/>
  <c r="AP1010" i="26"/>
  <c r="AP1014" i="26"/>
  <c r="AP1015" i="26"/>
  <c r="AP1016" i="26"/>
  <c r="AP1017" i="26"/>
  <c r="AP1018" i="26"/>
  <c r="AP1028" i="26"/>
  <c r="AP1029" i="26"/>
  <c r="AP1030" i="26"/>
  <c r="AP1031" i="26"/>
  <c r="AP1032" i="26"/>
  <c r="AP1037" i="26"/>
  <c r="AP1038" i="26"/>
  <c r="AP1039" i="26"/>
  <c r="AP1040" i="26"/>
  <c r="AP1041" i="26"/>
  <c r="AP1042" i="26"/>
  <c r="AP1043" i="26"/>
  <c r="AP1044" i="26"/>
  <c r="AP1045" i="26"/>
  <c r="AP1046" i="26"/>
  <c r="AP1047" i="26"/>
  <c r="AP1048" i="26"/>
  <c r="AP1049" i="26"/>
  <c r="AP1050" i="26"/>
  <c r="AP1051" i="26"/>
  <c r="AP1052" i="26"/>
  <c r="AP1053" i="26"/>
  <c r="AP1054" i="26"/>
  <c r="AP1055" i="26"/>
  <c r="AP1059" i="26"/>
  <c r="AP1060" i="26"/>
  <c r="AP1066" i="26"/>
  <c r="AP1067" i="26"/>
  <c r="AP1068" i="26"/>
  <c r="AP1069" i="26"/>
  <c r="AP1070" i="26"/>
  <c r="AP1071" i="26"/>
  <c r="AP1072" i="26"/>
  <c r="AP1073" i="26"/>
  <c r="AP1074" i="26"/>
  <c r="AP1075" i="26"/>
  <c r="AP1076" i="26"/>
  <c r="AP1077" i="26"/>
  <c r="AP1078" i="26"/>
  <c r="AP1079" i="26"/>
  <c r="AP1080" i="26"/>
  <c r="AP1081" i="26"/>
  <c r="AP1082" i="26"/>
  <c r="AP1087" i="26"/>
  <c r="AP1088" i="26"/>
  <c r="AP1089" i="26"/>
  <c r="AP1090" i="26"/>
  <c r="AP1091" i="26"/>
  <c r="AP1096" i="26"/>
  <c r="AP1097" i="26"/>
  <c r="AP1098" i="26"/>
  <c r="AP1099" i="26"/>
  <c r="AP1100" i="26"/>
  <c r="AP1101" i="26"/>
  <c r="AP1111" i="26"/>
  <c r="AP1112" i="26"/>
  <c r="AP1121" i="26"/>
  <c r="AP1122" i="26"/>
  <c r="AP1131" i="26"/>
  <c r="AP1132" i="26"/>
  <c r="AP1133" i="26"/>
  <c r="AP1134" i="26"/>
  <c r="AP1135" i="26"/>
  <c r="AP1136" i="26"/>
  <c r="AP1137" i="26"/>
  <c r="AP1147" i="26"/>
  <c r="AP1148" i="26"/>
  <c r="AP1149" i="26"/>
  <c r="AP1150" i="26"/>
  <c r="AP1151" i="26"/>
  <c r="AP1154" i="26"/>
  <c r="AP1155" i="26"/>
  <c r="AP1156" i="26"/>
  <c r="AP1157" i="26"/>
  <c r="AP1169" i="26"/>
  <c r="AP1170" i="26"/>
  <c r="AP1171" i="26"/>
  <c r="AP1176" i="26"/>
  <c r="AP1177" i="26"/>
  <c r="AP1182" i="26"/>
  <c r="AP1183" i="26"/>
  <c r="AP1184" i="26"/>
  <c r="AP1185" i="26"/>
  <c r="AP1186" i="26"/>
  <c r="AP1187" i="26"/>
  <c r="AP1188" i="26"/>
  <c r="AP1194" i="26"/>
  <c r="AP1195" i="26"/>
  <c r="AP1196" i="26"/>
  <c r="AP1206" i="26"/>
  <c r="AP1207" i="26"/>
  <c r="AP1208" i="26"/>
  <c r="AP1209" i="26"/>
  <c r="AP1210" i="26"/>
  <c r="AP1216" i="26"/>
  <c r="AP1217" i="26"/>
  <c r="AP1218" i="26"/>
  <c r="AP1219" i="26"/>
  <c r="AP1220" i="26"/>
  <c r="AP1221" i="26"/>
  <c r="AP1222" i="26"/>
  <c r="AP1223" i="26"/>
  <c r="AP1224" i="26"/>
  <c r="AP1242" i="26"/>
  <c r="AP1243" i="26"/>
  <c r="AP1244" i="26"/>
  <c r="AP1249" i="26"/>
  <c r="AP1250" i="26"/>
  <c r="AP1251" i="26"/>
  <c r="AP1252" i="26"/>
  <c r="AP1253" i="26"/>
  <c r="AP1254" i="26"/>
  <c r="AP1255" i="26"/>
  <c r="AP1256" i="26"/>
  <c r="AP1257" i="26"/>
  <c r="AP1258" i="26"/>
  <c r="AP1259" i="26"/>
  <c r="AP1260" i="26"/>
  <c r="AP1263" i="26"/>
  <c r="AP1264" i="26"/>
  <c r="AP1270" i="26"/>
  <c r="AP1271" i="26"/>
  <c r="AP1272" i="26"/>
  <c r="AP1273" i="26"/>
  <c r="AP1274" i="26"/>
  <c r="AP1275" i="26"/>
  <c r="AP1276" i="26"/>
  <c r="AP1277" i="26"/>
  <c r="AP1278" i="26"/>
  <c r="AP1279" i="26"/>
  <c r="AP1280" i="26"/>
  <c r="AP1281" i="26"/>
  <c r="AP1282" i="26"/>
  <c r="AP1283" i="26"/>
  <c r="AP1284" i="26"/>
  <c r="AP1285" i="26"/>
  <c r="AP1286" i="26"/>
  <c r="AP1287" i="26"/>
  <c r="AP1297" i="26"/>
  <c r="AP1298" i="26"/>
  <c r="AP1299" i="26"/>
  <c r="AP1303" i="26"/>
  <c r="AP1304" i="26"/>
  <c r="AP1305" i="26"/>
  <c r="AP1306" i="26"/>
  <c r="AP1307" i="26"/>
  <c r="AP1308" i="26"/>
  <c r="AP1309" i="26"/>
  <c r="AP1310" i="26"/>
  <c r="AP1311" i="26"/>
  <c r="AP1312" i="26"/>
  <c r="AP1320" i="26"/>
  <c r="AP1321" i="26"/>
  <c r="AP1322" i="26"/>
  <c r="AP1323" i="26"/>
  <c r="AP1324" i="26"/>
  <c r="AP1325" i="26"/>
  <c r="AP1326" i="26"/>
  <c r="AP1327" i="26"/>
  <c r="AP1328" i="26"/>
  <c r="AP1329" i="26"/>
  <c r="AP1336" i="26"/>
  <c r="AP1337" i="26"/>
  <c r="AP1343" i="26"/>
  <c r="AP1344" i="26"/>
  <c r="AP1345" i="26"/>
  <c r="AP1346" i="26"/>
  <c r="AP1358" i="26"/>
  <c r="AP1359" i="26"/>
  <c r="AP1360" i="26"/>
  <c r="AP1361" i="26"/>
  <c r="AP1362" i="26"/>
  <c r="AP1363" i="26"/>
  <c r="AP1364" i="26"/>
  <c r="AP1365" i="26"/>
  <c r="AP1366" i="26"/>
  <c r="AP1371" i="26"/>
  <c r="AP1372" i="26"/>
  <c r="AP1373" i="26"/>
  <c r="AP1374" i="26"/>
  <c r="AP1375" i="26"/>
  <c r="AP1376" i="26"/>
  <c r="AP1377" i="26"/>
  <c r="AP1378" i="26"/>
  <c r="AP1390" i="26"/>
  <c r="AP1391" i="26"/>
  <c r="AP1396" i="26"/>
  <c r="AP1397" i="26"/>
  <c r="AP1398" i="26"/>
  <c r="AP1399" i="26"/>
  <c r="AP1400" i="26"/>
  <c r="AP1401" i="26"/>
  <c r="AP1402" i="26"/>
  <c r="AP1409" i="26"/>
  <c r="AP1410" i="26"/>
  <c r="AP1415" i="26"/>
  <c r="AP1416" i="26"/>
  <c r="AP1417" i="26"/>
  <c r="AP1418" i="26"/>
  <c r="AP1420" i="26"/>
  <c r="AP1421" i="26"/>
  <c r="AP1422" i="26"/>
  <c r="AP1423" i="26"/>
  <c r="AP1424" i="26"/>
  <c r="AP1425" i="26"/>
  <c r="AP1426" i="26"/>
  <c r="AP1427" i="26"/>
  <c r="AP1428" i="26"/>
  <c r="AP1439" i="26"/>
  <c r="AP1440" i="26"/>
  <c r="AP1441" i="26"/>
  <c r="AP1442" i="26"/>
  <c r="AP1443" i="26"/>
  <c r="AP1444" i="26"/>
  <c r="AP1448" i="26"/>
  <c r="AP1449" i="26"/>
  <c r="AP1450" i="26"/>
  <c r="AP1470" i="26"/>
  <c r="AP1471" i="26"/>
  <c r="AP1472" i="26"/>
  <c r="AP1473" i="26"/>
  <c r="AP1474" i="26"/>
  <c r="AP1475" i="26"/>
  <c r="AP1476" i="26"/>
  <c r="AP1477" i="26"/>
  <c r="AP1478" i="26"/>
  <c r="AP1479" i="26"/>
  <c r="AP1480" i="26"/>
  <c r="AP1481" i="26"/>
  <c r="AP1482" i="26"/>
  <c r="AP1483" i="26"/>
  <c r="AP1493" i="26"/>
  <c r="AP1494" i="26"/>
  <c r="AP1495" i="26"/>
  <c r="AP1496" i="26"/>
  <c r="AP1497" i="26"/>
  <c r="AP1502" i="26"/>
  <c r="AP1503" i="26"/>
  <c r="AP1504" i="26"/>
  <c r="AP1505" i="26"/>
  <c r="AP1519" i="26"/>
  <c r="AP1520" i="26"/>
  <c r="AP1521" i="26"/>
  <c r="AP1522" i="26"/>
  <c r="AP1523" i="26"/>
  <c r="AP1524" i="26"/>
  <c r="AP1525" i="26"/>
  <c r="AP1526" i="26"/>
  <c r="AP1527" i="26"/>
  <c r="AP1528" i="26"/>
  <c r="AP1529" i="26"/>
  <c r="AP1530" i="26"/>
  <c r="AP1531" i="26"/>
  <c r="AP1532" i="26"/>
  <c r="AP1533" i="26"/>
  <c r="AP1534" i="26"/>
  <c r="AP1535" i="26"/>
  <c r="AP1536" i="26"/>
  <c r="AP1537" i="26"/>
  <c r="AP1538" i="26"/>
  <c r="AP1539" i="26"/>
  <c r="AP1540" i="26"/>
  <c r="AP1541" i="26"/>
  <c r="AP1542" i="26"/>
  <c r="AP1543" i="26"/>
  <c r="AP1544" i="26"/>
  <c r="AP1545" i="26"/>
  <c r="AP1549" i="26"/>
  <c r="AP1550" i="26"/>
  <c r="AP1551" i="26"/>
  <c r="AP1552" i="26"/>
  <c r="AP1553" i="26"/>
  <c r="AP1554" i="26"/>
  <c r="AP1558" i="26"/>
  <c r="AP1559" i="26"/>
  <c r="AP1560" i="26"/>
  <c r="AP1561" i="26"/>
  <c r="AP1562" i="26"/>
  <c r="AP1563" i="26"/>
  <c r="AP1564" i="26"/>
  <c r="AP1565" i="26"/>
  <c r="AP1566" i="26"/>
  <c r="AP1567" i="26"/>
  <c r="AP1568" i="26"/>
  <c r="AP1569" i="26"/>
  <c r="AP1570" i="26"/>
  <c r="AP1575" i="26"/>
  <c r="AP1576" i="26"/>
  <c r="AP1588" i="26"/>
  <c r="AP1589" i="26"/>
  <c r="AP1590" i="26"/>
  <c r="AP1594" i="26"/>
  <c r="AP1595" i="26"/>
  <c r="AP1596" i="26"/>
  <c r="AP1597" i="26"/>
  <c r="AP1598" i="26"/>
  <c r="AP1599" i="26"/>
  <c r="AP1606" i="26"/>
  <c r="AP1607" i="26"/>
  <c r="AP1608" i="26"/>
  <c r="AP1609" i="26"/>
  <c r="AP1610" i="26"/>
  <c r="AP1620" i="26"/>
  <c r="AP1621" i="26"/>
  <c r="AP1622" i="26"/>
  <c r="AP1623" i="26"/>
  <c r="AP1624" i="26"/>
  <c r="AP1625" i="26"/>
  <c r="AP1626" i="26"/>
  <c r="AP1633" i="26"/>
  <c r="AP1634" i="26"/>
  <c r="AP1635" i="26"/>
  <c r="AP1636" i="26"/>
  <c r="AP1637" i="26"/>
  <c r="AP1638" i="26"/>
  <c r="AP1639" i="26"/>
  <c r="AP1640" i="26"/>
  <c r="AP1650" i="26"/>
  <c r="AP1651" i="26"/>
  <c r="AP1652" i="26"/>
  <c r="AP1653" i="26"/>
  <c r="AP1658" i="26"/>
  <c r="AP1659" i="26"/>
  <c r="AP1660" i="26"/>
  <c r="AP1661" i="26"/>
  <c r="AP1674" i="26"/>
  <c r="AP1675" i="26"/>
  <c r="AP1676" i="26"/>
  <c r="AP1677" i="26"/>
  <c r="AP1685" i="26"/>
  <c r="AP1686" i="26"/>
  <c r="AP1687" i="26"/>
  <c r="AP1688" i="26"/>
  <c r="AP1689" i="26"/>
  <c r="AP1690" i="26"/>
  <c r="AP1695" i="26"/>
  <c r="AP1696" i="26"/>
  <c r="AP1697" i="26"/>
  <c r="AP1698" i="26"/>
  <c r="AP1699" i="26"/>
  <c r="AP1700" i="26"/>
  <c r="AP1701" i="26"/>
  <c r="AP1702" i="26"/>
  <c r="AP1703" i="26"/>
  <c r="AP1710" i="26"/>
  <c r="AP1711" i="26"/>
  <c r="AP1712" i="26"/>
  <c r="AP1713" i="26"/>
  <c r="AP1714" i="26"/>
  <c r="AP1715" i="26"/>
  <c r="AP1716" i="26"/>
  <c r="AP1717" i="26"/>
  <c r="AP1718" i="26"/>
  <c r="AP1719" i="26"/>
  <c r="AP1720" i="26"/>
  <c r="AP1721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37" i="26"/>
  <c r="AQ38" i="26"/>
  <c r="AQ39" i="26"/>
  <c r="AQ40" i="26"/>
  <c r="AQ41" i="26"/>
  <c r="AQ47" i="26"/>
  <c r="AQ48" i="26"/>
  <c r="AQ49" i="26"/>
  <c r="AQ50" i="26"/>
  <c r="AQ51" i="26"/>
  <c r="AQ52" i="26"/>
  <c r="AQ53" i="26"/>
  <c r="AQ54" i="26"/>
  <c r="AQ64" i="26"/>
  <c r="AQ65" i="26"/>
  <c r="AQ66" i="26"/>
  <c r="AQ67" i="26"/>
  <c r="AQ68" i="26"/>
  <c r="AQ73" i="26"/>
  <c r="AQ74" i="26"/>
  <c r="AQ75" i="26"/>
  <c r="AQ76" i="26"/>
  <c r="AQ77" i="26"/>
  <c r="AQ78" i="26"/>
  <c r="AQ79" i="26"/>
  <c r="AQ80" i="26"/>
  <c r="AQ85" i="26"/>
  <c r="AQ86" i="26"/>
  <c r="AQ87" i="26"/>
  <c r="AQ88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4" i="26"/>
  <c r="AQ125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4" i="26"/>
  <c r="AQ145" i="26"/>
  <c r="AQ146" i="26"/>
  <c r="AQ147" i="26"/>
  <c r="AQ148" i="26"/>
  <c r="AQ149" i="26"/>
  <c r="AQ150" i="26"/>
  <c r="AQ151" i="26"/>
  <c r="AQ152" i="26"/>
  <c r="AQ167" i="26"/>
  <c r="AQ168" i="26"/>
  <c r="AQ169" i="26"/>
  <c r="AQ170" i="26"/>
  <c r="AQ171" i="26"/>
  <c r="AQ172" i="26"/>
  <c r="AQ177" i="26"/>
  <c r="AQ178" i="26"/>
  <c r="AQ179" i="26"/>
  <c r="AQ184" i="26"/>
  <c r="AQ185" i="26"/>
  <c r="AQ195" i="26"/>
  <c r="AQ196" i="26"/>
  <c r="AQ201" i="26"/>
  <c r="AQ202" i="26"/>
  <c r="AQ203" i="26"/>
  <c r="AQ204" i="26"/>
  <c r="AQ205" i="26"/>
  <c r="AQ210" i="26"/>
  <c r="AQ211" i="26"/>
  <c r="AQ212" i="26"/>
  <c r="AQ213" i="26"/>
  <c r="AQ214" i="26"/>
  <c r="AQ220" i="26"/>
  <c r="AQ221" i="26"/>
  <c r="AQ222" i="26"/>
  <c r="AQ223" i="26"/>
  <c r="AQ224" i="26"/>
  <c r="AQ230" i="26"/>
  <c r="AQ231" i="26"/>
  <c r="AQ232" i="26"/>
  <c r="AQ241" i="26"/>
  <c r="AQ242" i="26"/>
  <c r="AQ247" i="26"/>
  <c r="AQ248" i="26"/>
  <c r="AQ249" i="26"/>
  <c r="AQ250" i="26"/>
  <c r="AQ251" i="26"/>
  <c r="AQ252" i="26"/>
  <c r="AQ253" i="26"/>
  <c r="AQ254" i="26"/>
  <c r="AQ255" i="26"/>
  <c r="AQ256" i="26"/>
  <c r="AQ257" i="26"/>
  <c r="AQ258" i="26"/>
  <c r="AQ259" i="26"/>
  <c r="AQ260" i="26"/>
  <c r="AQ261" i="26"/>
  <c r="AQ262" i="26"/>
  <c r="AQ263" i="26"/>
  <c r="AQ264" i="26"/>
  <c r="AQ272" i="26"/>
  <c r="AQ273" i="26"/>
  <c r="AQ279" i="26"/>
  <c r="AQ280" i="26"/>
  <c r="AQ281" i="26"/>
  <c r="AQ287" i="26"/>
  <c r="AQ288" i="26"/>
  <c r="AQ289" i="26"/>
  <c r="AQ290" i="26"/>
  <c r="AQ291" i="26"/>
  <c r="AQ296" i="26"/>
  <c r="AQ297" i="26"/>
  <c r="AQ298" i="26"/>
  <c r="AQ299" i="26"/>
  <c r="AQ307" i="26"/>
  <c r="AQ308" i="26"/>
  <c r="AQ309" i="26"/>
  <c r="AQ318" i="26"/>
  <c r="AQ319" i="26"/>
  <c r="AQ320" i="26"/>
  <c r="AQ321" i="26"/>
  <c r="AQ330" i="26"/>
  <c r="AQ331" i="26"/>
  <c r="AQ339" i="26"/>
  <c r="AQ340" i="26"/>
  <c r="AQ341" i="26"/>
  <c r="AQ342" i="26"/>
  <c r="AQ343" i="26"/>
  <c r="AQ344" i="26"/>
  <c r="AQ345" i="26"/>
  <c r="AQ346" i="26"/>
  <c r="AQ347" i="26"/>
  <c r="AQ348" i="26"/>
  <c r="AQ349" i="26"/>
  <c r="AQ350" i="26"/>
  <c r="AQ355" i="26"/>
  <c r="AQ356" i="26"/>
  <c r="AQ357" i="26"/>
  <c r="AQ358" i="26"/>
  <c r="AQ359" i="26"/>
  <c r="AQ360" i="26"/>
  <c r="AQ366" i="26"/>
  <c r="AQ367" i="26"/>
  <c r="AQ368" i="26"/>
  <c r="AQ369" i="26"/>
  <c r="AQ370" i="26"/>
  <c r="AQ371" i="26"/>
  <c r="AQ372" i="26"/>
  <c r="AQ373" i="26"/>
  <c r="AQ374" i="26"/>
  <c r="AQ375" i="26"/>
  <c r="AQ376" i="26"/>
  <c r="AQ377" i="26"/>
  <c r="AQ378" i="26"/>
  <c r="AQ383" i="26"/>
  <c r="AQ384" i="26"/>
  <c r="AQ385" i="26"/>
  <c r="AQ386" i="26"/>
  <c r="AQ387" i="26"/>
  <c r="AQ388" i="26"/>
  <c r="AQ389" i="26"/>
  <c r="AQ395" i="26"/>
  <c r="AQ396" i="26"/>
  <c r="AQ397" i="26"/>
  <c r="AQ398" i="26"/>
  <c r="AQ399" i="26"/>
  <c r="AQ400" i="26"/>
  <c r="AQ401" i="26"/>
  <c r="AQ402" i="26"/>
  <c r="AQ403" i="26"/>
  <c r="AQ404" i="26"/>
  <c r="AQ405" i="26"/>
  <c r="AQ410" i="26"/>
  <c r="AQ411" i="26"/>
  <c r="AQ412" i="26"/>
  <c r="AQ413" i="26"/>
  <c r="AQ414" i="26"/>
  <c r="AQ415" i="26"/>
  <c r="AQ420" i="26"/>
  <c r="AQ421" i="26"/>
  <c r="AQ422" i="26"/>
  <c r="AQ427" i="26"/>
  <c r="AQ428" i="26"/>
  <c r="AQ429" i="26"/>
  <c r="AQ430" i="26"/>
  <c r="AQ431" i="26"/>
  <c r="AQ432" i="26"/>
  <c r="AQ433" i="26"/>
  <c r="AQ438" i="26"/>
  <c r="AQ439" i="26"/>
  <c r="AQ440" i="26"/>
  <c r="AQ441" i="26"/>
  <c r="AQ442" i="26"/>
  <c r="AQ465" i="26"/>
  <c r="AQ466" i="26"/>
  <c r="AQ467" i="26"/>
  <c r="AQ468" i="26"/>
  <c r="AQ469" i="26"/>
  <c r="AQ470" i="26"/>
  <c r="AQ471" i="26"/>
  <c r="AQ472" i="26"/>
  <c r="AQ473" i="26"/>
  <c r="AQ474" i="26"/>
  <c r="AQ475" i="26"/>
  <c r="AQ480" i="26"/>
  <c r="AQ481" i="26"/>
  <c r="AQ482" i="26"/>
  <c r="AQ483" i="26"/>
  <c r="AQ484" i="26"/>
  <c r="AQ491" i="26"/>
  <c r="AQ492" i="26"/>
  <c r="AQ493" i="26"/>
  <c r="AQ494" i="26"/>
  <c r="AQ504" i="26"/>
  <c r="AQ505" i="26"/>
  <c r="AQ506" i="26"/>
  <c r="AQ507" i="26"/>
  <c r="AQ518" i="26"/>
  <c r="AQ519" i="26"/>
  <c r="AQ520" i="26"/>
  <c r="AQ521" i="26"/>
  <c r="AQ522" i="26"/>
  <c r="AQ523" i="26"/>
  <c r="AQ524" i="26"/>
  <c r="AQ525" i="26"/>
  <c r="AQ526" i="26"/>
  <c r="AQ527" i="26"/>
  <c r="AQ528" i="26"/>
  <c r="AQ529" i="26"/>
  <c r="AQ530" i="26"/>
  <c r="AQ531" i="26"/>
  <c r="AQ532" i="26"/>
  <c r="AQ533" i="26"/>
  <c r="AQ534" i="26"/>
  <c r="AQ535" i="26"/>
  <c r="AQ536" i="26"/>
  <c r="AQ537" i="26"/>
  <c r="AQ538" i="26"/>
  <c r="AQ545" i="26"/>
  <c r="AQ546" i="26"/>
  <c r="AQ547" i="26"/>
  <c r="AQ549" i="26"/>
  <c r="AQ550" i="26"/>
  <c r="AQ551" i="26"/>
  <c r="AQ552" i="26"/>
  <c r="AQ553" i="26"/>
  <c r="AQ559" i="26"/>
  <c r="AQ560" i="26"/>
  <c r="AQ561" i="26"/>
  <c r="AQ562" i="26"/>
  <c r="AQ563" i="26"/>
  <c r="AQ564" i="26"/>
  <c r="AQ565" i="26"/>
  <c r="AQ566" i="26"/>
  <c r="AQ582" i="26"/>
  <c r="AQ583" i="26"/>
  <c r="AQ584" i="26"/>
  <c r="AQ585" i="26"/>
  <c r="AQ586" i="26"/>
  <c r="AQ592" i="26"/>
  <c r="AQ593" i="26"/>
  <c r="AQ596" i="26"/>
  <c r="AQ597" i="26"/>
  <c r="AQ598" i="26"/>
  <c r="AQ599" i="26"/>
  <c r="AQ600" i="26"/>
  <c r="AQ604" i="26"/>
  <c r="AQ605" i="26"/>
  <c r="AQ606" i="26"/>
  <c r="AQ611" i="26"/>
  <c r="AQ612" i="26"/>
  <c r="AQ613" i="26"/>
  <c r="AQ614" i="26"/>
  <c r="AQ615" i="26"/>
  <c r="AQ616" i="26"/>
  <c r="AQ617" i="26"/>
  <c r="AQ618" i="26"/>
  <c r="AQ619" i="26"/>
  <c r="AQ624" i="26"/>
  <c r="AQ625" i="26"/>
  <c r="AQ626" i="26"/>
  <c r="AQ627" i="26"/>
  <c r="AQ628" i="26"/>
  <c r="AQ629" i="26"/>
  <c r="AQ630" i="26"/>
  <c r="AQ631" i="26"/>
  <c r="AQ632" i="26"/>
  <c r="AQ633" i="26"/>
  <c r="AQ634" i="26"/>
  <c r="AQ635" i="26"/>
  <c r="AQ636" i="26"/>
  <c r="AQ637" i="26"/>
  <c r="AQ646" i="26"/>
  <c r="AQ647" i="26"/>
  <c r="AQ648" i="26"/>
  <c r="AQ649" i="26"/>
  <c r="AQ650" i="26"/>
  <c r="AQ651" i="26"/>
  <c r="AQ652" i="26"/>
  <c r="AQ653" i="26"/>
  <c r="AQ654" i="26"/>
  <c r="AQ668" i="26"/>
  <c r="AQ669" i="26"/>
  <c r="AQ670" i="26"/>
  <c r="AQ671" i="26"/>
  <c r="AQ672" i="26"/>
  <c r="AQ673" i="26"/>
  <c r="AQ674" i="26"/>
  <c r="AQ675" i="26"/>
  <c r="AQ676" i="26"/>
  <c r="AQ677" i="26"/>
  <c r="AQ678" i="26"/>
  <c r="AQ679" i="26"/>
  <c r="AQ684" i="26"/>
  <c r="AQ685" i="26"/>
  <c r="AQ686" i="26"/>
  <c r="AQ687" i="26"/>
  <c r="AQ688" i="26"/>
  <c r="AQ689" i="26"/>
  <c r="AQ690" i="26"/>
  <c r="AQ691" i="26"/>
  <c r="AQ692" i="26"/>
  <c r="AQ693" i="26"/>
  <c r="AQ694" i="26"/>
  <c r="AQ695" i="26"/>
  <c r="AQ696" i="26"/>
  <c r="AQ697" i="26"/>
  <c r="AQ698" i="26"/>
  <c r="AQ703" i="26"/>
  <c r="AQ704" i="26"/>
  <c r="AQ705" i="26"/>
  <c r="AQ706" i="26"/>
  <c r="AQ707" i="26"/>
  <c r="AQ708" i="26"/>
  <c r="AQ709" i="26"/>
  <c r="AQ710" i="26"/>
  <c r="AQ711" i="26"/>
  <c r="AQ712" i="26"/>
  <c r="AQ713" i="26"/>
  <c r="AQ714" i="26"/>
  <c r="AQ715" i="26"/>
  <c r="AQ716" i="26"/>
  <c r="AQ717" i="26"/>
  <c r="AQ718" i="26"/>
  <c r="AQ719" i="26"/>
  <c r="AQ720" i="26"/>
  <c r="AQ721" i="26"/>
  <c r="AQ722" i="26"/>
  <c r="AQ723" i="26"/>
  <c r="AQ724" i="26"/>
  <c r="AQ725" i="26"/>
  <c r="AQ726" i="26"/>
  <c r="AQ727" i="26"/>
  <c r="AQ728" i="26"/>
  <c r="AQ729" i="26"/>
  <c r="AQ730" i="26"/>
  <c r="AQ731" i="26"/>
  <c r="AQ732" i="26"/>
  <c r="AQ733" i="26"/>
  <c r="AQ734" i="26"/>
  <c r="AQ735" i="26"/>
  <c r="AQ736" i="26"/>
  <c r="AQ737" i="26"/>
  <c r="AQ738" i="26"/>
  <c r="AQ743" i="26"/>
  <c r="AQ744" i="26"/>
  <c r="AQ745" i="26"/>
  <c r="AQ746" i="26"/>
  <c r="AQ758" i="26"/>
  <c r="AQ759" i="26"/>
  <c r="AQ760" i="26"/>
  <c r="AQ761" i="26"/>
  <c r="AQ762" i="26"/>
  <c r="AQ771" i="26"/>
  <c r="AQ772" i="26"/>
  <c r="AQ773" i="26"/>
  <c r="AQ774" i="26"/>
  <c r="AQ775" i="26"/>
  <c r="AQ776" i="26"/>
  <c r="AQ777" i="26"/>
  <c r="AQ778" i="26"/>
  <c r="AQ787" i="26"/>
  <c r="AQ788" i="26"/>
  <c r="AQ789" i="26"/>
  <c r="AQ790" i="26"/>
  <c r="AQ797" i="26"/>
  <c r="AQ798" i="26"/>
  <c r="AQ799" i="26"/>
  <c r="AQ800" i="26"/>
  <c r="AQ801" i="26"/>
  <c r="AQ802" i="26"/>
  <c r="AQ803" i="26"/>
  <c r="AQ804" i="26"/>
  <c r="AQ805" i="26"/>
  <c r="AQ814" i="26"/>
  <c r="AQ815" i="26"/>
  <c r="AQ816" i="26"/>
  <c r="AQ817" i="26"/>
  <c r="AQ818" i="26"/>
  <c r="AQ821" i="26"/>
  <c r="AQ822" i="26"/>
  <c r="AQ823" i="26"/>
  <c r="AQ829" i="26"/>
  <c r="AQ830" i="26"/>
  <c r="AQ834" i="26"/>
  <c r="AQ835" i="26"/>
  <c r="AQ841" i="26"/>
  <c r="AQ842" i="26"/>
  <c r="AQ843" i="26"/>
  <c r="AQ844" i="26"/>
  <c r="AQ855" i="26"/>
  <c r="AQ856" i="26"/>
  <c r="AQ862" i="26"/>
  <c r="AQ863" i="26"/>
  <c r="AQ864" i="26"/>
  <c r="AQ865" i="26"/>
  <c r="AQ866" i="26"/>
  <c r="AQ867" i="26"/>
  <c r="AQ868" i="26"/>
  <c r="AQ869" i="26"/>
  <c r="AQ870" i="26"/>
  <c r="AQ871" i="26"/>
  <c r="AQ877" i="26"/>
  <c r="AQ878" i="26"/>
  <c r="AQ879" i="26"/>
  <c r="AQ880" i="26"/>
  <c r="AQ881" i="26"/>
  <c r="AQ887" i="26"/>
  <c r="AQ888" i="26"/>
  <c r="AQ889" i="26"/>
  <c r="AQ895" i="26"/>
  <c r="AQ896" i="26"/>
  <c r="AQ897" i="26"/>
  <c r="AQ898" i="26"/>
  <c r="AQ899" i="26"/>
  <c r="AQ900" i="26"/>
  <c r="AQ901" i="26"/>
  <c r="AQ902" i="26"/>
  <c r="AQ903" i="26"/>
  <c r="AQ904" i="26"/>
  <c r="AQ920" i="26"/>
  <c r="AQ921" i="26"/>
  <c r="AQ922" i="26"/>
  <c r="AQ923" i="26"/>
  <c r="AQ924" i="26"/>
  <c r="AQ925" i="26"/>
  <c r="AQ926" i="26"/>
  <c r="AQ927" i="26"/>
  <c r="AQ928" i="26"/>
  <c r="AQ929" i="26"/>
  <c r="AQ930" i="26"/>
  <c r="AQ931" i="26"/>
  <c r="AQ932" i="26"/>
  <c r="AQ933" i="26"/>
  <c r="AQ934" i="26"/>
  <c r="AQ935" i="26"/>
  <c r="AQ936" i="26"/>
  <c r="AQ958" i="26"/>
  <c r="AQ959" i="26"/>
  <c r="AQ960" i="26"/>
  <c r="AQ961" i="26"/>
  <c r="AQ962" i="26"/>
  <c r="AQ963" i="26"/>
  <c r="AQ964" i="26"/>
  <c r="AQ965" i="26"/>
  <c r="AQ966" i="26"/>
  <c r="AQ967" i="26"/>
  <c r="AQ970" i="26"/>
  <c r="AQ971" i="26"/>
  <c r="AQ978" i="26"/>
  <c r="AQ979" i="26"/>
  <c r="AQ980" i="26"/>
  <c r="AQ985" i="26"/>
  <c r="AQ986" i="26"/>
  <c r="AQ987" i="26"/>
  <c r="AQ988" i="26"/>
  <c r="AQ989" i="26"/>
  <c r="AQ990" i="26"/>
  <c r="AQ991" i="26"/>
  <c r="AQ992" i="26"/>
  <c r="AQ993" i="26"/>
  <c r="AQ994" i="26"/>
  <c r="AQ995" i="26"/>
  <c r="AQ996" i="26"/>
  <c r="AQ997" i="26"/>
  <c r="AQ998" i="26"/>
  <c r="AQ1006" i="26"/>
  <c r="AQ1007" i="26"/>
  <c r="AQ1008" i="26"/>
  <c r="AQ1009" i="26"/>
  <c r="AQ1010" i="26"/>
  <c r="AQ1014" i="26"/>
  <c r="AQ1015" i="26"/>
  <c r="AQ1016" i="26"/>
  <c r="AQ1017" i="26"/>
  <c r="AQ1018" i="26"/>
  <c r="AQ1028" i="26"/>
  <c r="AQ1029" i="26"/>
  <c r="AQ1030" i="26"/>
  <c r="AQ1031" i="26"/>
  <c r="AQ1032" i="26"/>
  <c r="AQ1037" i="26"/>
  <c r="AQ1038" i="26"/>
  <c r="AQ1039" i="26"/>
  <c r="AQ1040" i="26"/>
  <c r="AQ1041" i="26"/>
  <c r="AQ1042" i="26"/>
  <c r="AQ1043" i="26"/>
  <c r="AQ1044" i="26"/>
  <c r="AQ1045" i="26"/>
  <c r="AQ1046" i="26"/>
  <c r="AQ1047" i="26"/>
  <c r="AQ1048" i="26"/>
  <c r="AQ1049" i="26"/>
  <c r="AQ1050" i="26"/>
  <c r="AQ1051" i="26"/>
  <c r="AQ1052" i="26"/>
  <c r="AQ1053" i="26"/>
  <c r="AQ1054" i="26"/>
  <c r="AQ1055" i="26"/>
  <c r="AQ1059" i="26"/>
  <c r="AQ1060" i="26"/>
  <c r="AQ1066" i="26"/>
  <c r="AQ1067" i="26"/>
  <c r="AQ1068" i="26"/>
  <c r="AQ1069" i="26"/>
  <c r="AQ1070" i="26"/>
  <c r="AQ1071" i="26"/>
  <c r="AQ1072" i="26"/>
  <c r="AQ1073" i="26"/>
  <c r="AQ1074" i="26"/>
  <c r="AQ1075" i="26"/>
  <c r="AQ1076" i="26"/>
  <c r="AQ1077" i="26"/>
  <c r="AQ1078" i="26"/>
  <c r="AQ1079" i="26"/>
  <c r="AQ1080" i="26"/>
  <c r="AQ1081" i="26"/>
  <c r="AQ1082" i="26"/>
  <c r="AQ1087" i="26"/>
  <c r="AQ1088" i="26"/>
  <c r="AQ1089" i="26"/>
  <c r="AQ1090" i="26"/>
  <c r="AQ1091" i="26"/>
  <c r="AQ1096" i="26"/>
  <c r="AQ1097" i="26"/>
  <c r="AQ1098" i="26"/>
  <c r="AQ1099" i="26"/>
  <c r="AQ1100" i="26"/>
  <c r="AQ1101" i="26"/>
  <c r="AQ1111" i="26"/>
  <c r="AQ1112" i="26"/>
  <c r="AQ1121" i="26"/>
  <c r="AQ1122" i="26"/>
  <c r="AQ1131" i="26"/>
  <c r="AQ1132" i="26"/>
  <c r="AQ1133" i="26"/>
  <c r="AQ1134" i="26"/>
  <c r="AQ1135" i="26"/>
  <c r="AQ1136" i="26"/>
  <c r="AQ1137" i="26"/>
  <c r="AQ1147" i="26"/>
  <c r="AQ1148" i="26"/>
  <c r="AQ1149" i="26"/>
  <c r="AQ1150" i="26"/>
  <c r="AQ1151" i="26"/>
  <c r="AQ1154" i="26"/>
  <c r="AQ1155" i="26"/>
  <c r="AQ1156" i="26"/>
  <c r="AQ1157" i="26"/>
  <c r="AQ1169" i="26"/>
  <c r="AQ1170" i="26"/>
  <c r="AQ1171" i="26"/>
  <c r="AQ1176" i="26"/>
  <c r="AQ1177" i="26"/>
  <c r="AQ1182" i="26"/>
  <c r="AQ1183" i="26"/>
  <c r="AQ1184" i="26"/>
  <c r="AQ1185" i="26"/>
  <c r="AQ1186" i="26"/>
  <c r="AQ1187" i="26"/>
  <c r="AQ1188" i="26"/>
  <c r="AQ1194" i="26"/>
  <c r="AQ1195" i="26"/>
  <c r="AQ1196" i="26"/>
  <c r="AQ1206" i="26"/>
  <c r="AQ1207" i="26"/>
  <c r="AQ1208" i="26"/>
  <c r="AQ1209" i="26"/>
  <c r="AQ1210" i="26"/>
  <c r="AQ1216" i="26"/>
  <c r="AQ1217" i="26"/>
  <c r="AQ1218" i="26"/>
  <c r="AQ1219" i="26"/>
  <c r="AQ1220" i="26"/>
  <c r="AQ1221" i="26"/>
  <c r="AQ1222" i="26"/>
  <c r="AQ1223" i="26"/>
  <c r="AQ1224" i="26"/>
  <c r="AQ1242" i="26"/>
  <c r="AQ1243" i="26"/>
  <c r="AQ1244" i="26"/>
  <c r="AQ1249" i="26"/>
  <c r="AQ1250" i="26"/>
  <c r="AQ1251" i="26"/>
  <c r="AQ1252" i="26"/>
  <c r="AQ1253" i="26"/>
  <c r="AQ1254" i="26"/>
  <c r="AQ1255" i="26"/>
  <c r="AQ1256" i="26"/>
  <c r="AQ1257" i="26"/>
  <c r="AQ1258" i="26"/>
  <c r="AQ1259" i="26"/>
  <c r="AQ1260" i="26"/>
  <c r="AQ1263" i="26"/>
  <c r="AQ1264" i="26"/>
  <c r="AQ1270" i="26"/>
  <c r="AQ1271" i="26"/>
  <c r="AQ1272" i="26"/>
  <c r="AQ1273" i="26"/>
  <c r="AQ1274" i="26"/>
  <c r="AQ1275" i="26"/>
  <c r="AQ1276" i="26"/>
  <c r="AQ1277" i="26"/>
  <c r="AQ1278" i="26"/>
  <c r="AQ1279" i="26"/>
  <c r="AQ1280" i="26"/>
  <c r="AQ1281" i="26"/>
  <c r="AQ1282" i="26"/>
  <c r="AQ1283" i="26"/>
  <c r="AQ1284" i="26"/>
  <c r="AQ1285" i="26"/>
  <c r="AQ1286" i="26"/>
  <c r="AQ1287" i="26"/>
  <c r="AQ1297" i="26"/>
  <c r="AQ1298" i="26"/>
  <c r="AQ1299" i="26"/>
  <c r="AQ1303" i="26"/>
  <c r="AQ1304" i="26"/>
  <c r="AQ1305" i="26"/>
  <c r="AQ1306" i="26"/>
  <c r="AQ1307" i="26"/>
  <c r="AQ1308" i="26"/>
  <c r="AQ1309" i="26"/>
  <c r="AQ1310" i="26"/>
  <c r="AQ1311" i="26"/>
  <c r="AQ1312" i="26"/>
  <c r="AQ1320" i="26"/>
  <c r="AQ1321" i="26"/>
  <c r="AQ1322" i="26"/>
  <c r="AQ1323" i="26"/>
  <c r="AQ1324" i="26"/>
  <c r="AQ1325" i="26"/>
  <c r="AQ1326" i="26"/>
  <c r="AQ1327" i="26"/>
  <c r="AQ1328" i="26"/>
  <c r="AQ1329" i="26"/>
  <c r="AQ1336" i="26"/>
  <c r="AQ1337" i="26"/>
  <c r="AQ1343" i="26"/>
  <c r="AQ1344" i="26"/>
  <c r="AQ1345" i="26"/>
  <c r="AQ1346" i="26"/>
  <c r="AQ1358" i="26"/>
  <c r="AQ1359" i="26"/>
  <c r="AQ1360" i="26"/>
  <c r="AQ1361" i="26"/>
  <c r="AQ1362" i="26"/>
  <c r="AQ1363" i="26"/>
  <c r="AQ1364" i="26"/>
  <c r="AQ1365" i="26"/>
  <c r="AQ1366" i="26"/>
  <c r="AQ1371" i="26"/>
  <c r="AQ1372" i="26"/>
  <c r="AQ1373" i="26"/>
  <c r="AQ1374" i="26"/>
  <c r="AQ1375" i="26"/>
  <c r="AQ1376" i="26"/>
  <c r="AQ1377" i="26"/>
  <c r="AQ1378" i="26"/>
  <c r="AQ1390" i="26"/>
  <c r="AQ1391" i="26"/>
  <c r="AQ1396" i="26"/>
  <c r="AQ1397" i="26"/>
  <c r="AQ1398" i="26"/>
  <c r="AQ1399" i="26"/>
  <c r="AQ1400" i="26"/>
  <c r="AQ1401" i="26"/>
  <c r="AQ1402" i="26"/>
  <c r="AQ1409" i="26"/>
  <c r="AQ1410" i="26"/>
  <c r="AQ1415" i="26"/>
  <c r="AQ1416" i="26"/>
  <c r="AQ1417" i="26"/>
  <c r="AQ1418" i="26"/>
  <c r="AQ1420" i="26"/>
  <c r="AQ1421" i="26"/>
  <c r="AQ1422" i="26"/>
  <c r="AQ1423" i="26"/>
  <c r="AQ1424" i="26"/>
  <c r="AQ1425" i="26"/>
  <c r="AQ1426" i="26"/>
  <c r="AQ1427" i="26"/>
  <c r="AQ1428" i="26"/>
  <c r="AQ1439" i="26"/>
  <c r="AQ1440" i="26"/>
  <c r="AQ1441" i="26"/>
  <c r="AQ1442" i="26"/>
  <c r="AQ1443" i="26"/>
  <c r="AQ1444" i="26"/>
  <c r="AQ1448" i="26"/>
  <c r="AQ1449" i="26"/>
  <c r="AQ1450" i="26"/>
  <c r="AQ1470" i="26"/>
  <c r="AQ1471" i="26"/>
  <c r="AQ1472" i="26"/>
  <c r="AQ1473" i="26"/>
  <c r="AQ1474" i="26"/>
  <c r="AQ1475" i="26"/>
  <c r="AQ1476" i="26"/>
  <c r="AQ1477" i="26"/>
  <c r="AQ1478" i="26"/>
  <c r="AQ1479" i="26"/>
  <c r="AQ1480" i="26"/>
  <c r="AQ1481" i="26"/>
  <c r="AQ1482" i="26"/>
  <c r="AQ1483" i="26"/>
  <c r="AQ1493" i="26"/>
  <c r="AQ1494" i="26"/>
  <c r="AQ1495" i="26"/>
  <c r="AQ1496" i="26"/>
  <c r="AQ1497" i="26"/>
  <c r="AQ1502" i="26"/>
  <c r="AQ1503" i="26"/>
  <c r="AQ1504" i="26"/>
  <c r="AQ1505" i="26"/>
  <c r="AQ1519" i="26"/>
  <c r="AQ1520" i="26"/>
  <c r="AQ1521" i="26"/>
  <c r="AQ1522" i="26"/>
  <c r="AQ1523" i="26"/>
  <c r="AQ1524" i="26"/>
  <c r="AQ1525" i="26"/>
  <c r="AQ1526" i="26"/>
  <c r="AQ1527" i="26"/>
  <c r="AQ1528" i="26"/>
  <c r="AQ1529" i="26"/>
  <c r="AQ1530" i="26"/>
  <c r="AQ1531" i="26"/>
  <c r="AQ1532" i="26"/>
  <c r="AQ1533" i="26"/>
  <c r="AQ1534" i="26"/>
  <c r="AQ1535" i="26"/>
  <c r="AQ1536" i="26"/>
  <c r="AQ1537" i="26"/>
  <c r="AQ1538" i="26"/>
  <c r="AQ1539" i="26"/>
  <c r="AQ1540" i="26"/>
  <c r="AQ1541" i="26"/>
  <c r="AQ1542" i="26"/>
  <c r="AQ1543" i="26"/>
  <c r="AQ1544" i="26"/>
  <c r="AQ1545" i="26"/>
  <c r="AQ1549" i="26"/>
  <c r="AQ1550" i="26"/>
  <c r="AQ1551" i="26"/>
  <c r="AQ1552" i="26"/>
  <c r="AQ1553" i="26"/>
  <c r="AQ1554" i="26"/>
  <c r="AQ1558" i="26"/>
  <c r="AQ1559" i="26"/>
  <c r="AQ1560" i="26"/>
  <c r="AQ1561" i="26"/>
  <c r="AQ1562" i="26"/>
  <c r="AQ1563" i="26"/>
  <c r="AQ1564" i="26"/>
  <c r="AQ1565" i="26"/>
  <c r="AQ1566" i="26"/>
  <c r="AQ1567" i="26"/>
  <c r="AQ1568" i="26"/>
  <c r="AQ1569" i="26"/>
  <c r="AQ1570" i="26"/>
  <c r="AQ1575" i="26"/>
  <c r="AQ1576" i="26"/>
  <c r="AQ1588" i="26"/>
  <c r="AQ1589" i="26"/>
  <c r="AQ1590" i="26"/>
  <c r="AQ1594" i="26"/>
  <c r="AQ1595" i="26"/>
  <c r="AQ1596" i="26"/>
  <c r="AQ1597" i="26"/>
  <c r="AQ1598" i="26"/>
  <c r="AQ1599" i="26"/>
  <c r="AQ1606" i="26"/>
  <c r="AQ1607" i="26"/>
  <c r="AQ1608" i="26"/>
  <c r="AQ1609" i="26"/>
  <c r="AQ1610" i="26"/>
  <c r="AQ1620" i="26"/>
  <c r="AQ1621" i="26"/>
  <c r="AQ1622" i="26"/>
  <c r="AQ1623" i="26"/>
  <c r="AQ1624" i="26"/>
  <c r="AQ1625" i="26"/>
  <c r="AQ1626" i="26"/>
  <c r="AQ1633" i="26"/>
  <c r="AQ1634" i="26"/>
  <c r="AQ1635" i="26"/>
  <c r="AQ1636" i="26"/>
  <c r="AQ1637" i="26"/>
  <c r="AQ1638" i="26"/>
  <c r="AQ1639" i="26"/>
  <c r="AQ1640" i="26"/>
  <c r="AQ1650" i="26"/>
  <c r="AQ1651" i="26"/>
  <c r="AQ1652" i="26"/>
  <c r="AQ1653" i="26"/>
  <c r="AQ1658" i="26"/>
  <c r="AQ1659" i="26"/>
  <c r="AQ1660" i="26"/>
  <c r="AQ1661" i="26"/>
  <c r="AQ1674" i="26"/>
  <c r="AQ1675" i="26"/>
  <c r="AQ1676" i="26"/>
  <c r="AQ1677" i="26"/>
  <c r="AQ1685" i="26"/>
  <c r="AQ1686" i="26"/>
  <c r="AQ1687" i="26"/>
  <c r="AQ1688" i="26"/>
  <c r="AQ1689" i="26"/>
  <c r="AQ1690" i="26"/>
  <c r="AQ1695" i="26"/>
  <c r="AQ1696" i="26"/>
  <c r="AQ1697" i="26"/>
  <c r="AQ1698" i="26"/>
  <c r="AQ1699" i="26"/>
  <c r="AQ1700" i="26"/>
  <c r="AQ1701" i="26"/>
  <c r="AQ1702" i="26"/>
  <c r="AQ1703" i="26"/>
  <c r="AQ1710" i="26"/>
  <c r="AQ1711" i="26"/>
  <c r="AQ1712" i="26"/>
  <c r="AQ1713" i="26"/>
  <c r="AQ1714" i="26"/>
  <c r="AQ1715" i="26"/>
  <c r="AQ1716" i="26"/>
  <c r="AQ1717" i="26"/>
  <c r="AQ1718" i="26"/>
  <c r="AQ1719" i="26"/>
  <c r="AQ1720" i="26"/>
  <c r="AQ1721" i="26"/>
  <c r="AR13" i="26"/>
  <c r="AR14" i="26"/>
  <c r="AR15" i="26"/>
  <c r="AR16" i="26"/>
  <c r="AR17" i="26"/>
  <c r="AR18" i="26"/>
  <c r="AR19" i="26"/>
  <c r="AR20" i="26"/>
  <c r="AR21" i="26"/>
  <c r="AR22" i="26"/>
  <c r="AR23" i="26"/>
  <c r="AR24" i="26"/>
  <c r="AR25" i="26"/>
  <c r="AR26" i="26"/>
  <c r="AR27" i="26"/>
  <c r="AR37" i="26"/>
  <c r="AR38" i="26"/>
  <c r="AR39" i="26"/>
  <c r="AR40" i="26"/>
  <c r="AR41" i="26"/>
  <c r="AR47" i="26"/>
  <c r="AR48" i="26"/>
  <c r="AR49" i="26"/>
  <c r="AR50" i="26"/>
  <c r="AR51" i="26"/>
  <c r="AR52" i="26"/>
  <c r="AR53" i="26"/>
  <c r="AR54" i="26"/>
  <c r="AR64" i="26"/>
  <c r="AR65" i="26"/>
  <c r="AR66" i="26"/>
  <c r="AR67" i="26"/>
  <c r="AR68" i="26"/>
  <c r="AR73" i="26"/>
  <c r="AR74" i="26"/>
  <c r="AR75" i="26"/>
  <c r="AR76" i="26"/>
  <c r="AR77" i="26"/>
  <c r="AR78" i="26"/>
  <c r="AR79" i="26"/>
  <c r="AR80" i="26"/>
  <c r="AR85" i="26"/>
  <c r="AR86" i="26"/>
  <c r="AR87" i="26"/>
  <c r="AR88" i="26"/>
  <c r="AR93" i="26"/>
  <c r="AR94" i="26"/>
  <c r="AR95" i="26"/>
  <c r="AR96" i="26"/>
  <c r="AR97" i="26"/>
  <c r="AR98" i="26"/>
  <c r="AR99" i="26"/>
  <c r="AR100" i="26"/>
  <c r="AR101" i="26"/>
  <c r="AR102" i="26"/>
  <c r="AR103" i="26"/>
  <c r="AR104" i="26"/>
  <c r="AR109" i="26"/>
  <c r="AR110" i="26"/>
  <c r="AR111" i="26"/>
  <c r="AR112" i="26"/>
  <c r="AR113" i="26"/>
  <c r="AR114" i="26"/>
  <c r="AR115" i="26"/>
  <c r="AR116" i="26"/>
  <c r="AR117" i="26"/>
  <c r="AR118" i="26"/>
  <c r="AR119" i="26"/>
  <c r="AR124" i="26"/>
  <c r="AR125" i="26"/>
  <c r="AR129" i="26"/>
  <c r="AR130" i="26"/>
  <c r="AR131" i="26"/>
  <c r="AR132" i="26"/>
  <c r="AR133" i="26"/>
  <c r="AR134" i="26"/>
  <c r="AR135" i="26"/>
  <c r="AR136" i="26"/>
  <c r="AR137" i="26"/>
  <c r="AR138" i="26"/>
  <c r="AR139" i="26"/>
  <c r="AR144" i="26"/>
  <c r="AR145" i="26"/>
  <c r="AR146" i="26"/>
  <c r="AR147" i="26"/>
  <c r="AR148" i="26"/>
  <c r="AR149" i="26"/>
  <c r="AR150" i="26"/>
  <c r="AR151" i="26"/>
  <c r="AR152" i="26"/>
  <c r="AR167" i="26"/>
  <c r="AR168" i="26"/>
  <c r="AR169" i="26"/>
  <c r="AR170" i="26"/>
  <c r="AR171" i="26"/>
  <c r="AR172" i="26"/>
  <c r="AR177" i="26"/>
  <c r="AR178" i="26"/>
  <c r="AR179" i="26"/>
  <c r="AR184" i="26"/>
  <c r="AR185" i="26"/>
  <c r="AR195" i="26"/>
  <c r="AR196" i="26"/>
  <c r="AR201" i="26"/>
  <c r="AR202" i="26"/>
  <c r="AR203" i="26"/>
  <c r="AR204" i="26"/>
  <c r="AR205" i="26"/>
  <c r="AR210" i="26"/>
  <c r="AR211" i="26"/>
  <c r="AR212" i="26"/>
  <c r="AR213" i="26"/>
  <c r="AR214" i="26"/>
  <c r="AR220" i="26"/>
  <c r="AR221" i="26"/>
  <c r="AR222" i="26"/>
  <c r="AR223" i="26"/>
  <c r="AR224" i="26"/>
  <c r="AR230" i="26"/>
  <c r="AR231" i="26"/>
  <c r="AR232" i="26"/>
  <c r="AR241" i="26"/>
  <c r="AR242" i="26"/>
  <c r="AR247" i="26"/>
  <c r="AR248" i="26"/>
  <c r="AR249" i="26"/>
  <c r="AR250" i="26"/>
  <c r="AR251" i="26"/>
  <c r="AR252" i="26"/>
  <c r="AR253" i="26"/>
  <c r="AR254" i="26"/>
  <c r="AR255" i="26"/>
  <c r="AR256" i="26"/>
  <c r="AR257" i="26"/>
  <c r="AR258" i="26"/>
  <c r="AR259" i="26"/>
  <c r="AR260" i="26"/>
  <c r="AR261" i="26"/>
  <c r="AR262" i="26"/>
  <c r="AR263" i="26"/>
  <c r="AR264" i="26"/>
  <c r="AR272" i="26"/>
  <c r="AR273" i="26"/>
  <c r="AR279" i="26"/>
  <c r="AR280" i="26"/>
  <c r="AR281" i="26"/>
  <c r="AR287" i="26"/>
  <c r="AR288" i="26"/>
  <c r="AR289" i="26"/>
  <c r="AR290" i="26"/>
  <c r="AR291" i="26"/>
  <c r="AR296" i="26"/>
  <c r="AR297" i="26"/>
  <c r="AR298" i="26"/>
  <c r="AR299" i="26"/>
  <c r="AR307" i="26"/>
  <c r="AR308" i="26"/>
  <c r="AR309" i="26"/>
  <c r="AR318" i="26"/>
  <c r="AR319" i="26"/>
  <c r="AR320" i="26"/>
  <c r="AR321" i="26"/>
  <c r="AR330" i="26"/>
  <c r="AR331" i="26"/>
  <c r="AR339" i="26"/>
  <c r="AR340" i="26"/>
  <c r="AR341" i="26"/>
  <c r="AR342" i="26"/>
  <c r="AR343" i="26"/>
  <c r="AR344" i="26"/>
  <c r="AR345" i="26"/>
  <c r="AR346" i="26"/>
  <c r="AR347" i="26"/>
  <c r="AR348" i="26"/>
  <c r="AR349" i="26"/>
  <c r="AR350" i="26"/>
  <c r="AR355" i="26"/>
  <c r="AR356" i="26"/>
  <c r="AR357" i="26"/>
  <c r="AR358" i="26"/>
  <c r="AR359" i="26"/>
  <c r="AR360" i="26"/>
  <c r="AR366" i="26"/>
  <c r="AR367" i="26"/>
  <c r="AR368" i="26"/>
  <c r="AR369" i="26"/>
  <c r="AR370" i="26"/>
  <c r="AR371" i="26"/>
  <c r="AR372" i="26"/>
  <c r="AR373" i="26"/>
  <c r="AR374" i="26"/>
  <c r="AR375" i="26"/>
  <c r="AR376" i="26"/>
  <c r="AR377" i="26"/>
  <c r="AR378" i="26"/>
  <c r="AR383" i="26"/>
  <c r="AR384" i="26"/>
  <c r="AR385" i="26"/>
  <c r="AR386" i="26"/>
  <c r="AR387" i="26"/>
  <c r="AR388" i="26"/>
  <c r="AR389" i="26"/>
  <c r="AR395" i="26"/>
  <c r="AR396" i="26"/>
  <c r="AR397" i="26"/>
  <c r="AR398" i="26"/>
  <c r="AR399" i="26"/>
  <c r="AR400" i="26"/>
  <c r="AR401" i="26"/>
  <c r="AR402" i="26"/>
  <c r="AR403" i="26"/>
  <c r="AR404" i="26"/>
  <c r="AR405" i="26"/>
  <c r="AR410" i="26"/>
  <c r="AR411" i="26"/>
  <c r="AR412" i="26"/>
  <c r="AR413" i="26"/>
  <c r="AR414" i="26"/>
  <c r="AR415" i="26"/>
  <c r="AR420" i="26"/>
  <c r="AR421" i="26"/>
  <c r="AR422" i="26"/>
  <c r="AR427" i="26"/>
  <c r="AR428" i="26"/>
  <c r="AR429" i="26"/>
  <c r="AR430" i="26"/>
  <c r="AR431" i="26"/>
  <c r="AR432" i="26"/>
  <c r="AR433" i="26"/>
  <c r="AR438" i="26"/>
  <c r="AR439" i="26"/>
  <c r="AR440" i="26"/>
  <c r="AR441" i="26"/>
  <c r="AR442" i="26"/>
  <c r="AR465" i="26"/>
  <c r="AR466" i="26"/>
  <c r="AR467" i="26"/>
  <c r="AR468" i="26"/>
  <c r="AR469" i="26"/>
  <c r="AR470" i="26"/>
  <c r="AR471" i="26"/>
  <c r="AR472" i="26"/>
  <c r="AR473" i="26"/>
  <c r="AR474" i="26"/>
  <c r="AR475" i="26"/>
  <c r="AR480" i="26"/>
  <c r="AR481" i="26"/>
  <c r="AR482" i="26"/>
  <c r="AR483" i="26"/>
  <c r="AR484" i="26"/>
  <c r="AR491" i="26"/>
  <c r="AR492" i="26"/>
  <c r="AR493" i="26"/>
  <c r="AR494" i="26"/>
  <c r="AR504" i="26"/>
  <c r="AR505" i="26"/>
  <c r="AR506" i="26"/>
  <c r="AR507" i="26"/>
  <c r="AR518" i="26"/>
  <c r="AR519" i="26"/>
  <c r="AR520" i="26"/>
  <c r="AR521" i="26"/>
  <c r="AR522" i="26"/>
  <c r="AR523" i="26"/>
  <c r="AR524" i="26"/>
  <c r="AR525" i="26"/>
  <c r="AR526" i="26"/>
  <c r="AR527" i="26"/>
  <c r="AR528" i="26"/>
  <c r="AR529" i="26"/>
  <c r="AR530" i="26"/>
  <c r="AR531" i="26"/>
  <c r="AR532" i="26"/>
  <c r="AR533" i="26"/>
  <c r="AR534" i="26"/>
  <c r="AR535" i="26"/>
  <c r="AR536" i="26"/>
  <c r="AR537" i="26"/>
  <c r="AR538" i="26"/>
  <c r="AR545" i="26"/>
  <c r="AR546" i="26"/>
  <c r="AR547" i="26"/>
  <c r="AR549" i="26"/>
  <c r="AR550" i="26"/>
  <c r="AR551" i="26"/>
  <c r="AR552" i="26"/>
  <c r="AR553" i="26"/>
  <c r="AR559" i="26"/>
  <c r="AR560" i="26"/>
  <c r="AR561" i="26"/>
  <c r="AR562" i="26"/>
  <c r="AR563" i="26"/>
  <c r="AR564" i="26"/>
  <c r="AR565" i="26"/>
  <c r="AR566" i="26"/>
  <c r="AR582" i="26"/>
  <c r="AR583" i="26"/>
  <c r="AR584" i="26"/>
  <c r="AR585" i="26"/>
  <c r="AR586" i="26"/>
  <c r="AR592" i="26"/>
  <c r="AR593" i="26"/>
  <c r="AR596" i="26"/>
  <c r="AR597" i="26"/>
  <c r="AR598" i="26"/>
  <c r="AR599" i="26"/>
  <c r="AR600" i="26"/>
  <c r="AR604" i="26"/>
  <c r="AR605" i="26"/>
  <c r="AR606" i="26"/>
  <c r="AR611" i="26"/>
  <c r="AR612" i="26"/>
  <c r="AR613" i="26"/>
  <c r="AR614" i="26"/>
  <c r="AR615" i="26"/>
  <c r="AR616" i="26"/>
  <c r="AR617" i="26"/>
  <c r="AR618" i="26"/>
  <c r="AR619" i="26"/>
  <c r="AR624" i="26"/>
  <c r="AR625" i="26"/>
  <c r="AR626" i="26"/>
  <c r="AR627" i="26"/>
  <c r="AR628" i="26"/>
  <c r="AR629" i="26"/>
  <c r="AR630" i="26"/>
  <c r="AR631" i="26"/>
  <c r="AR632" i="26"/>
  <c r="AR633" i="26"/>
  <c r="AR634" i="26"/>
  <c r="AR635" i="26"/>
  <c r="AR636" i="26"/>
  <c r="AR637" i="26"/>
  <c r="AR646" i="26"/>
  <c r="AR647" i="26"/>
  <c r="AR648" i="26"/>
  <c r="AR649" i="26"/>
  <c r="AR650" i="26"/>
  <c r="AR651" i="26"/>
  <c r="AR652" i="26"/>
  <c r="AR653" i="26"/>
  <c r="AR654" i="26"/>
  <c r="AR668" i="26"/>
  <c r="AR669" i="26"/>
  <c r="AR670" i="26"/>
  <c r="AR671" i="26"/>
  <c r="AR672" i="26"/>
  <c r="AR673" i="26"/>
  <c r="AR674" i="26"/>
  <c r="AR675" i="26"/>
  <c r="AR676" i="26"/>
  <c r="AR677" i="26"/>
  <c r="AR678" i="26"/>
  <c r="AR679" i="26"/>
  <c r="AR684" i="26"/>
  <c r="AR685" i="26"/>
  <c r="AR686" i="26"/>
  <c r="AR687" i="26"/>
  <c r="AR688" i="26"/>
  <c r="AR689" i="26"/>
  <c r="AR690" i="26"/>
  <c r="AR691" i="26"/>
  <c r="AR692" i="26"/>
  <c r="AR693" i="26"/>
  <c r="AR694" i="26"/>
  <c r="AR695" i="26"/>
  <c r="AR696" i="26"/>
  <c r="AR697" i="26"/>
  <c r="AR698" i="26"/>
  <c r="AR703" i="26"/>
  <c r="AR704" i="26"/>
  <c r="AR705" i="26"/>
  <c r="AR706" i="26"/>
  <c r="AR707" i="26"/>
  <c r="AR708" i="26"/>
  <c r="AR709" i="26"/>
  <c r="AR710" i="26"/>
  <c r="AR711" i="26"/>
  <c r="AR712" i="26"/>
  <c r="AR713" i="26"/>
  <c r="AR714" i="26"/>
  <c r="AR715" i="26"/>
  <c r="AR716" i="26"/>
  <c r="AR717" i="26"/>
  <c r="AR718" i="26"/>
  <c r="AR719" i="26"/>
  <c r="AR720" i="26"/>
  <c r="AR721" i="26"/>
  <c r="AR722" i="26"/>
  <c r="AR723" i="26"/>
  <c r="AR724" i="26"/>
  <c r="AR725" i="26"/>
  <c r="AR726" i="26"/>
  <c r="AR727" i="26"/>
  <c r="AR728" i="26"/>
  <c r="AR729" i="26"/>
  <c r="AR730" i="26"/>
  <c r="AR731" i="26"/>
  <c r="AR732" i="26"/>
  <c r="AR733" i="26"/>
  <c r="AR734" i="26"/>
  <c r="AR735" i="26"/>
  <c r="AR736" i="26"/>
  <c r="AR737" i="26"/>
  <c r="AR738" i="26"/>
  <c r="AR743" i="26"/>
  <c r="AR744" i="26"/>
  <c r="AR745" i="26"/>
  <c r="AR746" i="26"/>
  <c r="AR758" i="26"/>
  <c r="AR759" i="26"/>
  <c r="AR760" i="26"/>
  <c r="AR761" i="26"/>
  <c r="AR762" i="26"/>
  <c r="AR771" i="26"/>
  <c r="AR772" i="26"/>
  <c r="AR773" i="26"/>
  <c r="AR774" i="26"/>
  <c r="AR775" i="26"/>
  <c r="AR776" i="26"/>
  <c r="AR777" i="26"/>
  <c r="AR778" i="26"/>
  <c r="AR787" i="26"/>
  <c r="AR788" i="26"/>
  <c r="AR789" i="26"/>
  <c r="AR790" i="26"/>
  <c r="AR797" i="26"/>
  <c r="AR798" i="26"/>
  <c r="AR799" i="26"/>
  <c r="AR800" i="26"/>
  <c r="AR801" i="26"/>
  <c r="AR802" i="26"/>
  <c r="AR803" i="26"/>
  <c r="AR804" i="26"/>
  <c r="AR805" i="26"/>
  <c r="AR814" i="26"/>
  <c r="AR815" i="26"/>
  <c r="AR816" i="26"/>
  <c r="AR817" i="26"/>
  <c r="AR818" i="26"/>
  <c r="AR821" i="26"/>
  <c r="AR822" i="26"/>
  <c r="AR823" i="26"/>
  <c r="AR829" i="26"/>
  <c r="AR830" i="26"/>
  <c r="AR834" i="26"/>
  <c r="AR835" i="26"/>
  <c r="AR841" i="26"/>
  <c r="AR842" i="26"/>
  <c r="AR843" i="26"/>
  <c r="AR844" i="26"/>
  <c r="AR855" i="26"/>
  <c r="AR856" i="26"/>
  <c r="AR862" i="26"/>
  <c r="AR863" i="26"/>
  <c r="AR864" i="26"/>
  <c r="AR865" i="26"/>
  <c r="AR866" i="26"/>
  <c r="AR867" i="26"/>
  <c r="AR868" i="26"/>
  <c r="AR869" i="26"/>
  <c r="AR870" i="26"/>
  <c r="AR871" i="26"/>
  <c r="AR877" i="26"/>
  <c r="AR878" i="26"/>
  <c r="AR879" i="26"/>
  <c r="AR880" i="26"/>
  <c r="AR881" i="26"/>
  <c r="AR887" i="26"/>
  <c r="AR888" i="26"/>
  <c r="AR889" i="26"/>
  <c r="AR895" i="26"/>
  <c r="AR896" i="26"/>
  <c r="AR897" i="26"/>
  <c r="AR898" i="26"/>
  <c r="AR899" i="26"/>
  <c r="AR900" i="26"/>
  <c r="AR901" i="26"/>
  <c r="AR902" i="26"/>
  <c r="AR903" i="26"/>
  <c r="AR904" i="26"/>
  <c r="AR920" i="26"/>
  <c r="AR921" i="26"/>
  <c r="AR922" i="26"/>
  <c r="AR923" i="26"/>
  <c r="AR924" i="26"/>
  <c r="AR925" i="26"/>
  <c r="AR926" i="26"/>
  <c r="AR927" i="26"/>
  <c r="AR928" i="26"/>
  <c r="AR929" i="26"/>
  <c r="AR930" i="26"/>
  <c r="AR931" i="26"/>
  <c r="AR932" i="26"/>
  <c r="AR933" i="26"/>
  <c r="AR934" i="26"/>
  <c r="AR935" i="26"/>
  <c r="AR936" i="26"/>
  <c r="AR958" i="26"/>
  <c r="AR959" i="26"/>
  <c r="AR960" i="26"/>
  <c r="AR961" i="26"/>
  <c r="AR962" i="26"/>
  <c r="AR963" i="26"/>
  <c r="AR964" i="26"/>
  <c r="AR965" i="26"/>
  <c r="AR966" i="26"/>
  <c r="AR967" i="26"/>
  <c r="AR970" i="26"/>
  <c r="AR971" i="26"/>
  <c r="AR978" i="26"/>
  <c r="AR979" i="26"/>
  <c r="AR980" i="26"/>
  <c r="AR985" i="26"/>
  <c r="AR986" i="26"/>
  <c r="AR987" i="26"/>
  <c r="AR988" i="26"/>
  <c r="AR989" i="26"/>
  <c r="AR990" i="26"/>
  <c r="AR991" i="26"/>
  <c r="AR992" i="26"/>
  <c r="AR993" i="26"/>
  <c r="AR994" i="26"/>
  <c r="AR995" i="26"/>
  <c r="AR996" i="26"/>
  <c r="AR997" i="26"/>
  <c r="AR998" i="26"/>
  <c r="AR1006" i="26"/>
  <c r="AR1007" i="26"/>
  <c r="AR1008" i="26"/>
  <c r="AR1009" i="26"/>
  <c r="AR1010" i="26"/>
  <c r="AR1014" i="26"/>
  <c r="AR1015" i="26"/>
  <c r="AR1016" i="26"/>
  <c r="AR1017" i="26"/>
  <c r="AR1018" i="26"/>
  <c r="AR1028" i="26"/>
  <c r="AR1029" i="26"/>
  <c r="AR1030" i="26"/>
  <c r="AR1031" i="26"/>
  <c r="AR1032" i="26"/>
  <c r="AR1037" i="26"/>
  <c r="AR1038" i="26"/>
  <c r="AR1039" i="26"/>
  <c r="AR1040" i="26"/>
  <c r="AR1041" i="26"/>
  <c r="AR1042" i="26"/>
  <c r="AR1043" i="26"/>
  <c r="AR1044" i="26"/>
  <c r="AR1045" i="26"/>
  <c r="AR1046" i="26"/>
  <c r="AR1047" i="26"/>
  <c r="AR1048" i="26"/>
  <c r="AR1049" i="26"/>
  <c r="AR1050" i="26"/>
  <c r="AR1051" i="26"/>
  <c r="AR1052" i="26"/>
  <c r="AR1053" i="26"/>
  <c r="AR1054" i="26"/>
  <c r="AR1055" i="26"/>
  <c r="AR1059" i="26"/>
  <c r="AR1060" i="26"/>
  <c r="AR1066" i="26"/>
  <c r="AR1067" i="26"/>
  <c r="AR1068" i="26"/>
  <c r="AR1069" i="26"/>
  <c r="AR1070" i="26"/>
  <c r="AR1071" i="26"/>
  <c r="AR1072" i="26"/>
  <c r="AR1073" i="26"/>
  <c r="AR1074" i="26"/>
  <c r="AR1075" i="26"/>
  <c r="AR1076" i="26"/>
  <c r="AR1077" i="26"/>
  <c r="AR1078" i="26"/>
  <c r="AR1079" i="26"/>
  <c r="AR1080" i="26"/>
  <c r="AR1081" i="26"/>
  <c r="AR1082" i="26"/>
  <c r="AR1087" i="26"/>
  <c r="AR1088" i="26"/>
  <c r="AR1089" i="26"/>
  <c r="AR1090" i="26"/>
  <c r="AR1091" i="26"/>
  <c r="AR1096" i="26"/>
  <c r="AR1097" i="26"/>
  <c r="AR1098" i="26"/>
  <c r="AR1099" i="26"/>
  <c r="AR1100" i="26"/>
  <c r="AR1101" i="26"/>
  <c r="AR1111" i="26"/>
  <c r="AR1112" i="26"/>
  <c r="AR1121" i="26"/>
  <c r="AR1122" i="26"/>
  <c r="AR1131" i="26"/>
  <c r="AR1132" i="26"/>
  <c r="AR1133" i="26"/>
  <c r="AR1134" i="26"/>
  <c r="AR1135" i="26"/>
  <c r="AR1136" i="26"/>
  <c r="AR1137" i="26"/>
  <c r="AR1147" i="26"/>
  <c r="AR1148" i="26"/>
  <c r="AR1149" i="26"/>
  <c r="AR1150" i="26"/>
  <c r="AR1151" i="26"/>
  <c r="AR1154" i="26"/>
  <c r="AR1155" i="26"/>
  <c r="AR1156" i="26"/>
  <c r="AR1157" i="26"/>
  <c r="AR1169" i="26"/>
  <c r="AR1170" i="26"/>
  <c r="AR1171" i="26"/>
  <c r="AR1176" i="26"/>
  <c r="AR1177" i="26"/>
  <c r="AR1182" i="26"/>
  <c r="AR1183" i="26"/>
  <c r="AR1184" i="26"/>
  <c r="AR1185" i="26"/>
  <c r="AR1186" i="26"/>
  <c r="AR1187" i="26"/>
  <c r="AR1188" i="26"/>
  <c r="AR1194" i="26"/>
  <c r="AR1195" i="26"/>
  <c r="AR1196" i="26"/>
  <c r="AR1206" i="26"/>
  <c r="AR1207" i="26"/>
  <c r="AR1208" i="26"/>
  <c r="AR1209" i="26"/>
  <c r="AR1210" i="26"/>
  <c r="AR1216" i="26"/>
  <c r="AR1217" i="26"/>
  <c r="AR1218" i="26"/>
  <c r="AR1219" i="26"/>
  <c r="AR1220" i="26"/>
  <c r="AR1221" i="26"/>
  <c r="AR1222" i="26"/>
  <c r="AR1223" i="26"/>
  <c r="AR1224" i="26"/>
  <c r="AR1242" i="26"/>
  <c r="AR1243" i="26"/>
  <c r="AR1244" i="26"/>
  <c r="AR1249" i="26"/>
  <c r="AR1250" i="26"/>
  <c r="AR1251" i="26"/>
  <c r="AR1252" i="26"/>
  <c r="AR1253" i="26"/>
  <c r="AR1254" i="26"/>
  <c r="AR1255" i="26"/>
  <c r="AR1256" i="26"/>
  <c r="AR1257" i="26"/>
  <c r="AR1258" i="26"/>
  <c r="AR1259" i="26"/>
  <c r="AR1260" i="26"/>
  <c r="AR1263" i="26"/>
  <c r="AR1264" i="26"/>
  <c r="AR1270" i="26"/>
  <c r="AR1271" i="26"/>
  <c r="AR1272" i="26"/>
  <c r="AR1273" i="26"/>
  <c r="AR1274" i="26"/>
  <c r="AR1275" i="26"/>
  <c r="AR1276" i="26"/>
  <c r="AR1277" i="26"/>
  <c r="AR1278" i="26"/>
  <c r="AR1279" i="26"/>
  <c r="AR1280" i="26"/>
  <c r="AR1281" i="26"/>
  <c r="AR1282" i="26"/>
  <c r="AR1283" i="26"/>
  <c r="AR1284" i="26"/>
  <c r="AR1285" i="26"/>
  <c r="AR1286" i="26"/>
  <c r="AR1287" i="26"/>
  <c r="AR1297" i="26"/>
  <c r="AR1298" i="26"/>
  <c r="AR1299" i="26"/>
  <c r="AR1303" i="26"/>
  <c r="AR1304" i="26"/>
  <c r="AR1305" i="26"/>
  <c r="AR1306" i="26"/>
  <c r="AR1307" i="26"/>
  <c r="AR1308" i="26"/>
  <c r="AR1309" i="26"/>
  <c r="AR1310" i="26"/>
  <c r="AR1311" i="26"/>
  <c r="AR1312" i="26"/>
  <c r="AR1320" i="26"/>
  <c r="AR1321" i="26"/>
  <c r="AR1322" i="26"/>
  <c r="AR1323" i="26"/>
  <c r="AR1324" i="26"/>
  <c r="AR1325" i="26"/>
  <c r="AR1326" i="26"/>
  <c r="AR1327" i="26"/>
  <c r="AR1328" i="26"/>
  <c r="AR1329" i="26"/>
  <c r="AR1336" i="26"/>
  <c r="AR1337" i="26"/>
  <c r="AR1343" i="26"/>
  <c r="AR1344" i="26"/>
  <c r="AR1345" i="26"/>
  <c r="AR1346" i="26"/>
  <c r="AR1358" i="26"/>
  <c r="AR1359" i="26"/>
  <c r="AR1360" i="26"/>
  <c r="AR1361" i="26"/>
  <c r="AR1362" i="26"/>
  <c r="AR1363" i="26"/>
  <c r="AR1364" i="26"/>
  <c r="AR1365" i="26"/>
  <c r="AR1366" i="26"/>
  <c r="AR1371" i="26"/>
  <c r="AR1372" i="26"/>
  <c r="AR1373" i="26"/>
  <c r="AR1374" i="26"/>
  <c r="AR1375" i="26"/>
  <c r="AR1376" i="26"/>
  <c r="AR1377" i="26"/>
  <c r="AR1378" i="26"/>
  <c r="AR1390" i="26"/>
  <c r="AR1391" i="26"/>
  <c r="AR1396" i="26"/>
  <c r="AR1397" i="26"/>
  <c r="AR1398" i="26"/>
  <c r="AR1399" i="26"/>
  <c r="AR1400" i="26"/>
  <c r="AR1401" i="26"/>
  <c r="AR1402" i="26"/>
  <c r="AR1409" i="26"/>
  <c r="AR1410" i="26"/>
  <c r="AR1415" i="26"/>
  <c r="AR1416" i="26"/>
  <c r="AR1417" i="26"/>
  <c r="AR1418" i="26"/>
  <c r="AR1420" i="26"/>
  <c r="AR1421" i="26"/>
  <c r="AR1422" i="26"/>
  <c r="AR1423" i="26"/>
  <c r="AR1424" i="26"/>
  <c r="AR1425" i="26"/>
  <c r="AR1426" i="26"/>
  <c r="AR1427" i="26"/>
  <c r="AR1428" i="26"/>
  <c r="AR1439" i="26"/>
  <c r="AR1440" i="26"/>
  <c r="AR1441" i="26"/>
  <c r="AR1442" i="26"/>
  <c r="AR1443" i="26"/>
  <c r="AR1444" i="26"/>
  <c r="AR1448" i="26"/>
  <c r="AR1449" i="26"/>
  <c r="AR1450" i="26"/>
  <c r="AR1470" i="26"/>
  <c r="AR1471" i="26"/>
  <c r="AR1472" i="26"/>
  <c r="AR1473" i="26"/>
  <c r="AR1474" i="26"/>
  <c r="AR1475" i="26"/>
  <c r="AR1476" i="26"/>
  <c r="AR1477" i="26"/>
  <c r="AR1478" i="26"/>
  <c r="AR1479" i="26"/>
  <c r="AR1480" i="26"/>
  <c r="AR1481" i="26"/>
  <c r="AR1482" i="26"/>
  <c r="AR1483" i="26"/>
  <c r="AR1493" i="26"/>
  <c r="AR1494" i="26"/>
  <c r="AR1495" i="26"/>
  <c r="AR1496" i="26"/>
  <c r="AR1497" i="26"/>
  <c r="AR1502" i="26"/>
  <c r="AR1503" i="26"/>
  <c r="AR1504" i="26"/>
  <c r="AR1505" i="26"/>
  <c r="AR1519" i="26"/>
  <c r="AR1520" i="26"/>
  <c r="AR1521" i="26"/>
  <c r="AR1522" i="26"/>
  <c r="AR1523" i="26"/>
  <c r="AR1524" i="26"/>
  <c r="AR1525" i="26"/>
  <c r="AR1526" i="26"/>
  <c r="AR1527" i="26"/>
  <c r="AR1528" i="26"/>
  <c r="AR1529" i="26"/>
  <c r="AR1530" i="26"/>
  <c r="AR1531" i="26"/>
  <c r="AR1532" i="26"/>
  <c r="AR1533" i="26"/>
  <c r="AR1534" i="26"/>
  <c r="AR1535" i="26"/>
  <c r="AR1536" i="26"/>
  <c r="AR1537" i="26"/>
  <c r="AR1538" i="26"/>
  <c r="AR1539" i="26"/>
  <c r="AR1540" i="26"/>
  <c r="AR1541" i="26"/>
  <c r="AR1542" i="26"/>
  <c r="AR1543" i="26"/>
  <c r="AR1544" i="26"/>
  <c r="AR1545" i="26"/>
  <c r="AR1549" i="26"/>
  <c r="AR1550" i="26"/>
  <c r="AR1551" i="26"/>
  <c r="AR1552" i="26"/>
  <c r="AR1553" i="26"/>
  <c r="AR1554" i="26"/>
  <c r="AR1558" i="26"/>
  <c r="AR1559" i="26"/>
  <c r="AR1560" i="26"/>
  <c r="AR1561" i="26"/>
  <c r="AR1562" i="26"/>
  <c r="AR1563" i="26"/>
  <c r="AR1564" i="26"/>
  <c r="AR1565" i="26"/>
  <c r="AR1566" i="26"/>
  <c r="AR1567" i="26"/>
  <c r="AR1568" i="26"/>
  <c r="AR1569" i="26"/>
  <c r="AR1570" i="26"/>
  <c r="AR1575" i="26"/>
  <c r="AR1576" i="26"/>
  <c r="AR1588" i="26"/>
  <c r="AR1589" i="26"/>
  <c r="AR1590" i="26"/>
  <c r="AR1594" i="26"/>
  <c r="AR1595" i="26"/>
  <c r="AR1596" i="26"/>
  <c r="AR1597" i="26"/>
  <c r="AR1598" i="26"/>
  <c r="AR1599" i="26"/>
  <c r="AR1606" i="26"/>
  <c r="AR1607" i="26"/>
  <c r="AR1608" i="26"/>
  <c r="AR1609" i="26"/>
  <c r="AR1610" i="26"/>
  <c r="AR1620" i="26"/>
  <c r="AR1621" i="26"/>
  <c r="AR1622" i="26"/>
  <c r="AR1623" i="26"/>
  <c r="AR1624" i="26"/>
  <c r="AR1625" i="26"/>
  <c r="AR1626" i="26"/>
  <c r="AR1633" i="26"/>
  <c r="AR1634" i="26"/>
  <c r="AR1635" i="26"/>
  <c r="AR1636" i="26"/>
  <c r="AR1637" i="26"/>
  <c r="AR1638" i="26"/>
  <c r="AR1639" i="26"/>
  <c r="AR1640" i="26"/>
  <c r="AR1650" i="26"/>
  <c r="AR1651" i="26"/>
  <c r="AR1652" i="26"/>
  <c r="AR1653" i="26"/>
  <c r="AR1658" i="26"/>
  <c r="AR1659" i="26"/>
  <c r="AR1660" i="26"/>
  <c r="AR1661" i="26"/>
  <c r="AR1674" i="26"/>
  <c r="AR1675" i="26"/>
  <c r="AR1676" i="26"/>
  <c r="AR1677" i="26"/>
  <c r="AR1685" i="26"/>
  <c r="AR1686" i="26"/>
  <c r="AR1687" i="26"/>
  <c r="AR1688" i="26"/>
  <c r="AR1689" i="26"/>
  <c r="AR1690" i="26"/>
  <c r="AR1695" i="26"/>
  <c r="AR1696" i="26"/>
  <c r="AR1697" i="26"/>
  <c r="AR1698" i="26"/>
  <c r="AR1699" i="26"/>
  <c r="AR1700" i="26"/>
  <c r="AR1701" i="26"/>
  <c r="AR1702" i="26"/>
  <c r="AR1703" i="26"/>
  <c r="AR1710" i="26"/>
  <c r="AR1711" i="26"/>
  <c r="AR1712" i="26"/>
  <c r="AR1713" i="26"/>
  <c r="AR1714" i="26"/>
  <c r="AR1715" i="26"/>
  <c r="AR1716" i="26"/>
  <c r="AR1717" i="26"/>
  <c r="AR1718" i="26"/>
  <c r="AR1719" i="26"/>
  <c r="AR1720" i="26"/>
  <c r="AR1721" i="26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37" i="26"/>
  <c r="AS38" i="26"/>
  <c r="AS39" i="26"/>
  <c r="AS40" i="26"/>
  <c r="AS41" i="26"/>
  <c r="AS47" i="26"/>
  <c r="AS48" i="26"/>
  <c r="AS49" i="26"/>
  <c r="AS50" i="26"/>
  <c r="AS51" i="26"/>
  <c r="AS52" i="26"/>
  <c r="AS53" i="26"/>
  <c r="AS54" i="26"/>
  <c r="AS64" i="26"/>
  <c r="AS65" i="26"/>
  <c r="AS66" i="26"/>
  <c r="AS67" i="26"/>
  <c r="AS68" i="26"/>
  <c r="AS73" i="26"/>
  <c r="AS74" i="26"/>
  <c r="AS75" i="26"/>
  <c r="AS76" i="26"/>
  <c r="AS77" i="26"/>
  <c r="AS78" i="26"/>
  <c r="AS79" i="26"/>
  <c r="AS80" i="26"/>
  <c r="AS85" i="26"/>
  <c r="AS86" i="26"/>
  <c r="AS87" i="26"/>
  <c r="AS88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4" i="26"/>
  <c r="AS125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4" i="26"/>
  <c r="AS145" i="26"/>
  <c r="AS146" i="26"/>
  <c r="AS147" i="26"/>
  <c r="AS148" i="26"/>
  <c r="AS149" i="26"/>
  <c r="AS150" i="26"/>
  <c r="AS151" i="26"/>
  <c r="AS152" i="26"/>
  <c r="AS167" i="26"/>
  <c r="AS168" i="26"/>
  <c r="AS169" i="26"/>
  <c r="AS170" i="26"/>
  <c r="AS171" i="26"/>
  <c r="AS172" i="26"/>
  <c r="AS177" i="26"/>
  <c r="AS178" i="26"/>
  <c r="AS179" i="26"/>
  <c r="AS184" i="26"/>
  <c r="AS185" i="26"/>
  <c r="AS195" i="26"/>
  <c r="AS196" i="26"/>
  <c r="AS201" i="26"/>
  <c r="AS202" i="26"/>
  <c r="AS203" i="26"/>
  <c r="AS204" i="26"/>
  <c r="AS205" i="26"/>
  <c r="AS210" i="26"/>
  <c r="AS211" i="26"/>
  <c r="AS212" i="26"/>
  <c r="AS213" i="26"/>
  <c r="AS214" i="26"/>
  <c r="AS220" i="26"/>
  <c r="AS221" i="26"/>
  <c r="AS222" i="26"/>
  <c r="AS223" i="26"/>
  <c r="AS224" i="26"/>
  <c r="AS230" i="26"/>
  <c r="AS231" i="26"/>
  <c r="AS232" i="26"/>
  <c r="AS241" i="26"/>
  <c r="AS242" i="26"/>
  <c r="AS247" i="26"/>
  <c r="AS248" i="26"/>
  <c r="AS249" i="26"/>
  <c r="AS250" i="26"/>
  <c r="AS251" i="26"/>
  <c r="AS252" i="26"/>
  <c r="AS253" i="26"/>
  <c r="AS254" i="26"/>
  <c r="AS255" i="26"/>
  <c r="AS256" i="26"/>
  <c r="AS257" i="26"/>
  <c r="AS258" i="26"/>
  <c r="AS259" i="26"/>
  <c r="AS260" i="26"/>
  <c r="AS261" i="26"/>
  <c r="AS262" i="26"/>
  <c r="AS263" i="26"/>
  <c r="AS264" i="26"/>
  <c r="AS272" i="26"/>
  <c r="AS273" i="26"/>
  <c r="AS279" i="26"/>
  <c r="AS280" i="26"/>
  <c r="AS281" i="26"/>
  <c r="AS287" i="26"/>
  <c r="AS288" i="26"/>
  <c r="AS289" i="26"/>
  <c r="AS290" i="26"/>
  <c r="AS291" i="26"/>
  <c r="AS296" i="26"/>
  <c r="AS297" i="26"/>
  <c r="AS298" i="26"/>
  <c r="AS299" i="26"/>
  <c r="AS307" i="26"/>
  <c r="AS308" i="26"/>
  <c r="AS309" i="26"/>
  <c r="AS318" i="26"/>
  <c r="AS319" i="26"/>
  <c r="AS320" i="26"/>
  <c r="AS321" i="26"/>
  <c r="AS330" i="26"/>
  <c r="AS331" i="26"/>
  <c r="AS339" i="26"/>
  <c r="AS340" i="26"/>
  <c r="AS341" i="26"/>
  <c r="AS342" i="26"/>
  <c r="AS343" i="26"/>
  <c r="AS344" i="26"/>
  <c r="AS345" i="26"/>
  <c r="AS346" i="26"/>
  <c r="AS347" i="26"/>
  <c r="AS348" i="26"/>
  <c r="AS349" i="26"/>
  <c r="AS350" i="26"/>
  <c r="AS355" i="26"/>
  <c r="AS356" i="26"/>
  <c r="AS357" i="26"/>
  <c r="AS358" i="26"/>
  <c r="AS359" i="26"/>
  <c r="AS360" i="26"/>
  <c r="AS366" i="26"/>
  <c r="AS367" i="26"/>
  <c r="AS368" i="26"/>
  <c r="AS369" i="26"/>
  <c r="AS370" i="26"/>
  <c r="AS371" i="26"/>
  <c r="AS372" i="26"/>
  <c r="AS373" i="26"/>
  <c r="AS374" i="26"/>
  <c r="AS375" i="26"/>
  <c r="AS376" i="26"/>
  <c r="AS377" i="26"/>
  <c r="AS378" i="26"/>
  <c r="AS383" i="26"/>
  <c r="AS384" i="26"/>
  <c r="AS385" i="26"/>
  <c r="AS386" i="26"/>
  <c r="AS387" i="26"/>
  <c r="AS388" i="26"/>
  <c r="AS389" i="26"/>
  <c r="AS395" i="26"/>
  <c r="AS396" i="26"/>
  <c r="AS397" i="26"/>
  <c r="AS398" i="26"/>
  <c r="AS399" i="26"/>
  <c r="AS400" i="26"/>
  <c r="AS401" i="26"/>
  <c r="AS402" i="26"/>
  <c r="AS403" i="26"/>
  <c r="AS404" i="26"/>
  <c r="AS405" i="26"/>
  <c r="AS410" i="26"/>
  <c r="AS411" i="26"/>
  <c r="AS412" i="26"/>
  <c r="AS413" i="26"/>
  <c r="AS414" i="26"/>
  <c r="AS415" i="26"/>
  <c r="AS420" i="26"/>
  <c r="AS421" i="26"/>
  <c r="AS422" i="26"/>
  <c r="AS427" i="26"/>
  <c r="AS428" i="26"/>
  <c r="AS429" i="26"/>
  <c r="AS430" i="26"/>
  <c r="AS431" i="26"/>
  <c r="AS432" i="26"/>
  <c r="AS433" i="26"/>
  <c r="AS438" i="26"/>
  <c r="AS439" i="26"/>
  <c r="AS440" i="26"/>
  <c r="AS441" i="26"/>
  <c r="AS442" i="26"/>
  <c r="AS465" i="26"/>
  <c r="AS466" i="26"/>
  <c r="AS467" i="26"/>
  <c r="AS468" i="26"/>
  <c r="AS469" i="26"/>
  <c r="AS470" i="26"/>
  <c r="AS471" i="26"/>
  <c r="AS472" i="26"/>
  <c r="AS473" i="26"/>
  <c r="AS474" i="26"/>
  <c r="AS475" i="26"/>
  <c r="AS480" i="26"/>
  <c r="AS481" i="26"/>
  <c r="AS482" i="26"/>
  <c r="AS483" i="26"/>
  <c r="AS484" i="26"/>
  <c r="AS491" i="26"/>
  <c r="AS492" i="26"/>
  <c r="AS493" i="26"/>
  <c r="AS494" i="26"/>
  <c r="AS504" i="26"/>
  <c r="AS505" i="26"/>
  <c r="AS506" i="26"/>
  <c r="AS507" i="26"/>
  <c r="AS518" i="26"/>
  <c r="AS519" i="26"/>
  <c r="AS520" i="26"/>
  <c r="AS521" i="26"/>
  <c r="AS522" i="26"/>
  <c r="AS523" i="26"/>
  <c r="AS524" i="26"/>
  <c r="AS525" i="26"/>
  <c r="AS526" i="26"/>
  <c r="AS527" i="26"/>
  <c r="AS528" i="26"/>
  <c r="AS529" i="26"/>
  <c r="AS530" i="26"/>
  <c r="AS531" i="26"/>
  <c r="AS532" i="26"/>
  <c r="AS533" i="26"/>
  <c r="AS534" i="26"/>
  <c r="AS535" i="26"/>
  <c r="AS536" i="26"/>
  <c r="AS537" i="26"/>
  <c r="AS538" i="26"/>
  <c r="AS545" i="26"/>
  <c r="AS546" i="26"/>
  <c r="AS547" i="26"/>
  <c r="AS549" i="26"/>
  <c r="AS550" i="26"/>
  <c r="AS551" i="26"/>
  <c r="AS552" i="26"/>
  <c r="AS553" i="26"/>
  <c r="AS559" i="26"/>
  <c r="AS560" i="26"/>
  <c r="AS561" i="26"/>
  <c r="AS562" i="26"/>
  <c r="AS563" i="26"/>
  <c r="AS564" i="26"/>
  <c r="AS565" i="26"/>
  <c r="AS566" i="26"/>
  <c r="AS582" i="26"/>
  <c r="AS583" i="26"/>
  <c r="AS584" i="26"/>
  <c r="AS585" i="26"/>
  <c r="AS586" i="26"/>
  <c r="AS592" i="26"/>
  <c r="AS593" i="26"/>
  <c r="AS596" i="26"/>
  <c r="AS597" i="26"/>
  <c r="AS598" i="26"/>
  <c r="AS599" i="26"/>
  <c r="AS600" i="26"/>
  <c r="AS604" i="26"/>
  <c r="AS605" i="26"/>
  <c r="AS606" i="26"/>
  <c r="AS611" i="26"/>
  <c r="AS612" i="26"/>
  <c r="AS613" i="26"/>
  <c r="AS614" i="26"/>
  <c r="AS615" i="26"/>
  <c r="AS616" i="26"/>
  <c r="AS617" i="26"/>
  <c r="AS618" i="26"/>
  <c r="AS619" i="26"/>
  <c r="AS624" i="26"/>
  <c r="AS625" i="26"/>
  <c r="AS626" i="26"/>
  <c r="AS627" i="26"/>
  <c r="AS628" i="26"/>
  <c r="AS629" i="26"/>
  <c r="AS630" i="26"/>
  <c r="AS631" i="26"/>
  <c r="AS632" i="26"/>
  <c r="AS633" i="26"/>
  <c r="AS634" i="26"/>
  <c r="AS635" i="26"/>
  <c r="AS636" i="26"/>
  <c r="AS637" i="26"/>
  <c r="AS646" i="26"/>
  <c r="AS647" i="26"/>
  <c r="AS648" i="26"/>
  <c r="AS649" i="26"/>
  <c r="AS650" i="26"/>
  <c r="AS651" i="26"/>
  <c r="AS652" i="26"/>
  <c r="AS653" i="26"/>
  <c r="AS654" i="26"/>
  <c r="AS668" i="26"/>
  <c r="AS669" i="26"/>
  <c r="AS670" i="26"/>
  <c r="AS671" i="26"/>
  <c r="AS672" i="26"/>
  <c r="AS673" i="26"/>
  <c r="AS674" i="26"/>
  <c r="AS675" i="26"/>
  <c r="AS676" i="26"/>
  <c r="AS677" i="26"/>
  <c r="AS678" i="26"/>
  <c r="AS679" i="26"/>
  <c r="AS684" i="26"/>
  <c r="AS685" i="26"/>
  <c r="AS686" i="26"/>
  <c r="AS687" i="26"/>
  <c r="AS688" i="26"/>
  <c r="AS689" i="26"/>
  <c r="AS690" i="26"/>
  <c r="AS691" i="26"/>
  <c r="AS692" i="26"/>
  <c r="AS693" i="26"/>
  <c r="AS694" i="26"/>
  <c r="AS695" i="26"/>
  <c r="AS696" i="26"/>
  <c r="AS697" i="26"/>
  <c r="AS698" i="26"/>
  <c r="AS703" i="26"/>
  <c r="AS704" i="26"/>
  <c r="AS705" i="26"/>
  <c r="AS706" i="26"/>
  <c r="AS707" i="26"/>
  <c r="AS708" i="26"/>
  <c r="AS709" i="26"/>
  <c r="AS710" i="26"/>
  <c r="AS711" i="26"/>
  <c r="AS712" i="26"/>
  <c r="AS713" i="26"/>
  <c r="AS714" i="26"/>
  <c r="AS715" i="26"/>
  <c r="AS716" i="26"/>
  <c r="AS717" i="26"/>
  <c r="AS718" i="26"/>
  <c r="AS719" i="26"/>
  <c r="AS720" i="26"/>
  <c r="AS721" i="26"/>
  <c r="AS722" i="26"/>
  <c r="AS723" i="26"/>
  <c r="AS724" i="26"/>
  <c r="AS725" i="26"/>
  <c r="AS726" i="26"/>
  <c r="AS727" i="26"/>
  <c r="AS728" i="26"/>
  <c r="AS729" i="26"/>
  <c r="AS730" i="26"/>
  <c r="AS731" i="26"/>
  <c r="AS732" i="26"/>
  <c r="AS733" i="26"/>
  <c r="AS734" i="26"/>
  <c r="AS735" i="26"/>
  <c r="AS736" i="26"/>
  <c r="AS737" i="26"/>
  <c r="AS738" i="26"/>
  <c r="AS743" i="26"/>
  <c r="AS744" i="26"/>
  <c r="AS745" i="26"/>
  <c r="AS746" i="26"/>
  <c r="AS758" i="26"/>
  <c r="AS759" i="26"/>
  <c r="AS760" i="26"/>
  <c r="AS761" i="26"/>
  <c r="AS762" i="26"/>
  <c r="AS771" i="26"/>
  <c r="AS772" i="26"/>
  <c r="AS773" i="26"/>
  <c r="AS774" i="26"/>
  <c r="AS775" i="26"/>
  <c r="AS776" i="26"/>
  <c r="AS777" i="26"/>
  <c r="AS778" i="26"/>
  <c r="AS787" i="26"/>
  <c r="AS788" i="26"/>
  <c r="AS789" i="26"/>
  <c r="AS790" i="26"/>
  <c r="AS797" i="26"/>
  <c r="AS798" i="26"/>
  <c r="AS799" i="26"/>
  <c r="AS800" i="26"/>
  <c r="AS801" i="26"/>
  <c r="AS802" i="26"/>
  <c r="AS803" i="26"/>
  <c r="AS804" i="26"/>
  <c r="AS805" i="26"/>
  <c r="AS814" i="26"/>
  <c r="AS815" i="26"/>
  <c r="AS816" i="26"/>
  <c r="AS817" i="26"/>
  <c r="AS818" i="26"/>
  <c r="AS821" i="26"/>
  <c r="AS822" i="26"/>
  <c r="AS823" i="26"/>
  <c r="AS829" i="26"/>
  <c r="AS830" i="26"/>
  <c r="AS834" i="26"/>
  <c r="AS835" i="26"/>
  <c r="AS841" i="26"/>
  <c r="AS842" i="26"/>
  <c r="AS843" i="26"/>
  <c r="AS844" i="26"/>
  <c r="AS855" i="26"/>
  <c r="AS856" i="26"/>
  <c r="AS862" i="26"/>
  <c r="AS863" i="26"/>
  <c r="AS864" i="26"/>
  <c r="AS865" i="26"/>
  <c r="AS866" i="26"/>
  <c r="AS867" i="26"/>
  <c r="AS868" i="26"/>
  <c r="AS869" i="26"/>
  <c r="AS870" i="26"/>
  <c r="AS871" i="26"/>
  <c r="AS877" i="26"/>
  <c r="AS878" i="26"/>
  <c r="AS879" i="26"/>
  <c r="AS880" i="26"/>
  <c r="AS881" i="26"/>
  <c r="AS887" i="26"/>
  <c r="AS888" i="26"/>
  <c r="AS889" i="26"/>
  <c r="AS895" i="26"/>
  <c r="AS896" i="26"/>
  <c r="AS897" i="26"/>
  <c r="AS898" i="26"/>
  <c r="AS899" i="26"/>
  <c r="AS900" i="26"/>
  <c r="AS901" i="26"/>
  <c r="AS902" i="26"/>
  <c r="AS903" i="26"/>
  <c r="AS904" i="26"/>
  <c r="AS920" i="26"/>
  <c r="AS921" i="26"/>
  <c r="AS922" i="26"/>
  <c r="AS923" i="26"/>
  <c r="AS924" i="26"/>
  <c r="AS925" i="26"/>
  <c r="AS926" i="26"/>
  <c r="AS927" i="26"/>
  <c r="AS928" i="26"/>
  <c r="AS929" i="26"/>
  <c r="AS930" i="26"/>
  <c r="AS931" i="26"/>
  <c r="AS932" i="26"/>
  <c r="AS933" i="26"/>
  <c r="AS934" i="26"/>
  <c r="AS935" i="26"/>
  <c r="AS936" i="26"/>
  <c r="AS958" i="26"/>
  <c r="AS959" i="26"/>
  <c r="AS960" i="26"/>
  <c r="AS961" i="26"/>
  <c r="AS962" i="26"/>
  <c r="AS963" i="26"/>
  <c r="AS964" i="26"/>
  <c r="AS965" i="26"/>
  <c r="AS966" i="26"/>
  <c r="AS967" i="26"/>
  <c r="AS970" i="26"/>
  <c r="AS971" i="26"/>
  <c r="AS978" i="26"/>
  <c r="AS979" i="26"/>
  <c r="AS980" i="26"/>
  <c r="AS985" i="26"/>
  <c r="AS986" i="26"/>
  <c r="AS987" i="26"/>
  <c r="AS988" i="26"/>
  <c r="AS989" i="26"/>
  <c r="AS990" i="26"/>
  <c r="AS991" i="26"/>
  <c r="AS992" i="26"/>
  <c r="AS993" i="26"/>
  <c r="AS994" i="26"/>
  <c r="AS995" i="26"/>
  <c r="AS996" i="26"/>
  <c r="AS997" i="26"/>
  <c r="AS998" i="26"/>
  <c r="AS1006" i="26"/>
  <c r="AS1007" i="26"/>
  <c r="AS1008" i="26"/>
  <c r="AS1009" i="26"/>
  <c r="AS1010" i="26"/>
  <c r="AS1014" i="26"/>
  <c r="AS1015" i="26"/>
  <c r="AS1016" i="26"/>
  <c r="AS1017" i="26"/>
  <c r="AS1018" i="26"/>
  <c r="AS1028" i="26"/>
  <c r="AS1029" i="26"/>
  <c r="AS1030" i="26"/>
  <c r="AS1031" i="26"/>
  <c r="AS1032" i="26"/>
  <c r="AS1037" i="26"/>
  <c r="AS1038" i="26"/>
  <c r="AS1039" i="26"/>
  <c r="AS1040" i="26"/>
  <c r="AS1041" i="26"/>
  <c r="AS1042" i="26"/>
  <c r="AS1043" i="26"/>
  <c r="AS1044" i="26"/>
  <c r="AS1045" i="26"/>
  <c r="AS1046" i="26"/>
  <c r="AS1047" i="26"/>
  <c r="AS1048" i="26"/>
  <c r="AS1049" i="26"/>
  <c r="AS1050" i="26"/>
  <c r="AS1051" i="26"/>
  <c r="AS1052" i="26"/>
  <c r="AS1053" i="26"/>
  <c r="AS1054" i="26"/>
  <c r="AS1055" i="26"/>
  <c r="AS1059" i="26"/>
  <c r="AS1060" i="26"/>
  <c r="AS1066" i="26"/>
  <c r="AS1067" i="26"/>
  <c r="AS1068" i="26"/>
  <c r="AS1069" i="26"/>
  <c r="AS1070" i="26"/>
  <c r="AS1071" i="26"/>
  <c r="AS1072" i="26"/>
  <c r="AS1073" i="26"/>
  <c r="AS1074" i="26"/>
  <c r="AS1075" i="26"/>
  <c r="AS1076" i="26"/>
  <c r="AS1077" i="26"/>
  <c r="AS1078" i="26"/>
  <c r="AS1079" i="26"/>
  <c r="AS1080" i="26"/>
  <c r="AS1081" i="26"/>
  <c r="AS1082" i="26"/>
  <c r="AS1087" i="26"/>
  <c r="AS1088" i="26"/>
  <c r="AS1089" i="26"/>
  <c r="AS1090" i="26"/>
  <c r="AS1091" i="26"/>
  <c r="AS1096" i="26"/>
  <c r="AS1097" i="26"/>
  <c r="AS1098" i="26"/>
  <c r="AS1099" i="26"/>
  <c r="AS1100" i="26"/>
  <c r="AS1101" i="26"/>
  <c r="AS1111" i="26"/>
  <c r="AS1112" i="26"/>
  <c r="AS1121" i="26"/>
  <c r="AS1122" i="26"/>
  <c r="AS1131" i="26"/>
  <c r="AS1132" i="26"/>
  <c r="AS1133" i="26"/>
  <c r="AS1134" i="26"/>
  <c r="AS1135" i="26"/>
  <c r="AS1136" i="26"/>
  <c r="AS1137" i="26"/>
  <c r="AS1147" i="26"/>
  <c r="AS1148" i="26"/>
  <c r="AS1149" i="26"/>
  <c r="AS1150" i="26"/>
  <c r="AS1151" i="26"/>
  <c r="AS1154" i="26"/>
  <c r="AS1155" i="26"/>
  <c r="AS1156" i="26"/>
  <c r="AS1157" i="26"/>
  <c r="AS1169" i="26"/>
  <c r="AS1170" i="26"/>
  <c r="AS1171" i="26"/>
  <c r="AS1176" i="26"/>
  <c r="AS1177" i="26"/>
  <c r="AS1182" i="26"/>
  <c r="AS1183" i="26"/>
  <c r="AS1184" i="26"/>
  <c r="AS1185" i="26"/>
  <c r="AS1186" i="26"/>
  <c r="AS1187" i="26"/>
  <c r="AS1188" i="26"/>
  <c r="AS1194" i="26"/>
  <c r="AS1195" i="26"/>
  <c r="AS1196" i="26"/>
  <c r="AS1206" i="26"/>
  <c r="AS1207" i="26"/>
  <c r="AS1208" i="26"/>
  <c r="AS1209" i="26"/>
  <c r="AS1210" i="26"/>
  <c r="AS1216" i="26"/>
  <c r="AS1217" i="26"/>
  <c r="AS1218" i="26"/>
  <c r="AS1219" i="26"/>
  <c r="AS1220" i="26"/>
  <c r="AS1221" i="26"/>
  <c r="AS1222" i="26"/>
  <c r="AS1223" i="26"/>
  <c r="AS1224" i="26"/>
  <c r="AS1242" i="26"/>
  <c r="AS1243" i="26"/>
  <c r="AS1244" i="26"/>
  <c r="AS1249" i="26"/>
  <c r="AS1250" i="26"/>
  <c r="AS1251" i="26"/>
  <c r="AS1252" i="26"/>
  <c r="AS1253" i="26"/>
  <c r="AS1254" i="26"/>
  <c r="AS1255" i="26"/>
  <c r="AS1256" i="26"/>
  <c r="AS1257" i="26"/>
  <c r="AS1258" i="26"/>
  <c r="AS1259" i="26"/>
  <c r="AS1260" i="26"/>
  <c r="AS1263" i="26"/>
  <c r="AS1264" i="26"/>
  <c r="AS1270" i="26"/>
  <c r="AS1271" i="26"/>
  <c r="AS1272" i="26"/>
  <c r="AS1273" i="26"/>
  <c r="AS1274" i="26"/>
  <c r="AS1275" i="26"/>
  <c r="AS1276" i="26"/>
  <c r="AS1277" i="26"/>
  <c r="AS1278" i="26"/>
  <c r="AS1279" i="26"/>
  <c r="AS1280" i="26"/>
  <c r="AS1281" i="26"/>
  <c r="AS1282" i="26"/>
  <c r="AS1283" i="26"/>
  <c r="AS1284" i="26"/>
  <c r="AS1285" i="26"/>
  <c r="AS1286" i="26"/>
  <c r="AS1287" i="26"/>
  <c r="AS1297" i="26"/>
  <c r="AS1298" i="26"/>
  <c r="AS1299" i="26"/>
  <c r="AS1303" i="26"/>
  <c r="AS1304" i="26"/>
  <c r="AS1305" i="26"/>
  <c r="AS1306" i="26"/>
  <c r="AS1307" i="26"/>
  <c r="AS1308" i="26"/>
  <c r="AS1309" i="26"/>
  <c r="AS1310" i="26"/>
  <c r="AS1311" i="26"/>
  <c r="AS1312" i="26"/>
  <c r="AS1320" i="26"/>
  <c r="AS1321" i="26"/>
  <c r="AS1322" i="26"/>
  <c r="AS1323" i="26"/>
  <c r="AS1324" i="26"/>
  <c r="AS1325" i="26"/>
  <c r="AS1326" i="26"/>
  <c r="AS1327" i="26"/>
  <c r="AS1328" i="26"/>
  <c r="AS1329" i="26"/>
  <c r="AS1336" i="26"/>
  <c r="AS1337" i="26"/>
  <c r="AS1343" i="26"/>
  <c r="AS1344" i="26"/>
  <c r="AS1345" i="26"/>
  <c r="AS1346" i="26"/>
  <c r="AS1358" i="26"/>
  <c r="AS1359" i="26"/>
  <c r="AS1360" i="26"/>
  <c r="AS1361" i="26"/>
  <c r="AS1362" i="26"/>
  <c r="AS1363" i="26"/>
  <c r="AS1364" i="26"/>
  <c r="AS1365" i="26"/>
  <c r="AS1366" i="26"/>
  <c r="AS1371" i="26"/>
  <c r="AS1372" i="26"/>
  <c r="AS1373" i="26"/>
  <c r="AS1374" i="26"/>
  <c r="AS1375" i="26"/>
  <c r="AS1376" i="26"/>
  <c r="AS1377" i="26"/>
  <c r="AS1378" i="26"/>
  <c r="AS1390" i="26"/>
  <c r="AS1391" i="26"/>
  <c r="AS1396" i="26"/>
  <c r="AS1397" i="26"/>
  <c r="AS1398" i="26"/>
  <c r="AS1399" i="26"/>
  <c r="AS1400" i="26"/>
  <c r="AS1401" i="26"/>
  <c r="AS1402" i="26"/>
  <c r="AS1409" i="26"/>
  <c r="AS1410" i="26"/>
  <c r="AS1415" i="26"/>
  <c r="AS1416" i="26"/>
  <c r="AS1417" i="26"/>
  <c r="AS1418" i="26"/>
  <c r="AS1420" i="26"/>
  <c r="AS1421" i="26"/>
  <c r="AS1422" i="26"/>
  <c r="AS1423" i="26"/>
  <c r="AS1424" i="26"/>
  <c r="AS1425" i="26"/>
  <c r="AS1426" i="26"/>
  <c r="AS1427" i="26"/>
  <c r="AS1428" i="26"/>
  <c r="AS1439" i="26"/>
  <c r="AS1440" i="26"/>
  <c r="AS1441" i="26"/>
  <c r="AS1442" i="26"/>
  <c r="AS1443" i="26"/>
  <c r="AS1444" i="26"/>
  <c r="AS1448" i="26"/>
  <c r="AS1449" i="26"/>
  <c r="AS1450" i="26"/>
  <c r="AS1470" i="26"/>
  <c r="AS1471" i="26"/>
  <c r="AS1472" i="26"/>
  <c r="AS1473" i="26"/>
  <c r="AS1474" i="26"/>
  <c r="AS1475" i="26"/>
  <c r="AS1476" i="26"/>
  <c r="AS1477" i="26"/>
  <c r="AS1478" i="26"/>
  <c r="AS1479" i="26"/>
  <c r="AS1480" i="26"/>
  <c r="AS1481" i="26"/>
  <c r="AS1482" i="26"/>
  <c r="AS1483" i="26"/>
  <c r="AS1493" i="26"/>
  <c r="AS1494" i="26"/>
  <c r="AS1495" i="26"/>
  <c r="AS1496" i="26"/>
  <c r="AS1497" i="26"/>
  <c r="AS1502" i="26"/>
  <c r="AS1503" i="26"/>
  <c r="AS1504" i="26"/>
  <c r="AS1505" i="26"/>
  <c r="AS1519" i="26"/>
  <c r="AS1520" i="26"/>
  <c r="AS1521" i="26"/>
  <c r="AS1522" i="26"/>
  <c r="AS1523" i="26"/>
  <c r="AS1524" i="26"/>
  <c r="AS1525" i="26"/>
  <c r="AS1526" i="26"/>
  <c r="AS1527" i="26"/>
  <c r="AS1528" i="26"/>
  <c r="AS1529" i="26"/>
  <c r="AS1530" i="26"/>
  <c r="AS1531" i="26"/>
  <c r="AS1532" i="26"/>
  <c r="AS1533" i="26"/>
  <c r="AS1534" i="26"/>
  <c r="AS1535" i="26"/>
  <c r="AS1536" i="26"/>
  <c r="AS1537" i="26"/>
  <c r="AS1538" i="26"/>
  <c r="AS1539" i="26"/>
  <c r="AS1540" i="26"/>
  <c r="AS1541" i="26"/>
  <c r="AS1542" i="26"/>
  <c r="AS1543" i="26"/>
  <c r="AS1544" i="26"/>
  <c r="AS1545" i="26"/>
  <c r="AS1549" i="26"/>
  <c r="AS1550" i="26"/>
  <c r="AS1551" i="26"/>
  <c r="AS1552" i="26"/>
  <c r="AS1553" i="26"/>
  <c r="AS1554" i="26"/>
  <c r="AS1558" i="26"/>
  <c r="AS1559" i="26"/>
  <c r="AS1560" i="26"/>
  <c r="AS1561" i="26"/>
  <c r="AS1562" i="26"/>
  <c r="AS1563" i="26"/>
  <c r="AS1564" i="26"/>
  <c r="AS1565" i="26"/>
  <c r="AS1566" i="26"/>
  <c r="AS1567" i="26"/>
  <c r="AS1568" i="26"/>
  <c r="AS1569" i="26"/>
  <c r="AS1570" i="26"/>
  <c r="AS1575" i="26"/>
  <c r="AS1576" i="26"/>
  <c r="AS1588" i="26"/>
  <c r="AS1589" i="26"/>
  <c r="AS1590" i="26"/>
  <c r="AS1594" i="26"/>
  <c r="AS1595" i="26"/>
  <c r="AS1596" i="26"/>
  <c r="AS1597" i="26"/>
  <c r="AS1598" i="26"/>
  <c r="AS1599" i="26"/>
  <c r="AS1606" i="26"/>
  <c r="AS1607" i="26"/>
  <c r="AS1608" i="26"/>
  <c r="AS1609" i="26"/>
  <c r="AS1610" i="26"/>
  <c r="AS1620" i="26"/>
  <c r="AS1621" i="26"/>
  <c r="AS1622" i="26"/>
  <c r="AS1623" i="26"/>
  <c r="AS1624" i="26"/>
  <c r="AS1625" i="26"/>
  <c r="AS1626" i="26"/>
  <c r="AS1633" i="26"/>
  <c r="AS1634" i="26"/>
  <c r="AS1635" i="26"/>
  <c r="AS1636" i="26"/>
  <c r="AS1637" i="26"/>
  <c r="AS1638" i="26"/>
  <c r="AS1639" i="26"/>
  <c r="AS1640" i="26"/>
  <c r="AS1650" i="26"/>
  <c r="AS1651" i="26"/>
  <c r="AS1652" i="26"/>
  <c r="AS1653" i="26"/>
  <c r="AS1658" i="26"/>
  <c r="AS1659" i="26"/>
  <c r="AS1660" i="26"/>
  <c r="AS1661" i="26"/>
  <c r="AS1674" i="26"/>
  <c r="AS1675" i="26"/>
  <c r="AS1676" i="26"/>
  <c r="AS1677" i="26"/>
  <c r="AS1685" i="26"/>
  <c r="AS1686" i="26"/>
  <c r="AS1687" i="26"/>
  <c r="AS1688" i="26"/>
  <c r="AS1689" i="26"/>
  <c r="AS1690" i="26"/>
  <c r="AS1695" i="26"/>
  <c r="AS1696" i="26"/>
  <c r="AS1697" i="26"/>
  <c r="AS1698" i="26"/>
  <c r="AS1699" i="26"/>
  <c r="AS1700" i="26"/>
  <c r="AS1701" i="26"/>
  <c r="AS1702" i="26"/>
  <c r="AS1703" i="26"/>
  <c r="AS1710" i="26"/>
  <c r="AS1711" i="26"/>
  <c r="AS1712" i="26"/>
  <c r="AS1713" i="26"/>
  <c r="AS1714" i="26"/>
  <c r="AS1715" i="26"/>
  <c r="AS1716" i="26"/>
  <c r="AS1717" i="26"/>
  <c r="AS1718" i="26"/>
  <c r="AS1719" i="26"/>
  <c r="AS1720" i="26"/>
  <c r="AS1721" i="26"/>
  <c r="R1028" i="26"/>
  <c r="X1028" i="26"/>
  <c r="Y1028" i="26"/>
  <c r="Z1028" i="26"/>
  <c r="R1029" i="26"/>
  <c r="X1029" i="26"/>
  <c r="Y1029" i="26"/>
  <c r="Z1029" i="26"/>
  <c r="M1030" i="26"/>
  <c r="X1030" i="26"/>
  <c r="Y1030" i="26"/>
  <c r="Z1030" i="26"/>
  <c r="M1031" i="26"/>
  <c r="X1031" i="26"/>
  <c r="Y1031" i="26"/>
  <c r="Z1031" i="26"/>
  <c r="M13" i="26"/>
  <c r="T13" i="26"/>
  <c r="U13" i="26"/>
  <c r="X13" i="26"/>
  <c r="Y13" i="26"/>
  <c r="Z13" i="26"/>
  <c r="M14" i="26"/>
  <c r="X14" i="26"/>
  <c r="Y14" i="26"/>
  <c r="Z14" i="26"/>
  <c r="M15" i="26"/>
  <c r="R15" i="26"/>
  <c r="X15" i="26"/>
  <c r="Y15" i="26"/>
  <c r="Z15" i="26"/>
  <c r="M16" i="26"/>
  <c r="R16" i="26"/>
  <c r="X16" i="26"/>
  <c r="Y16" i="26"/>
  <c r="Z16" i="26"/>
  <c r="M17" i="26"/>
  <c r="U17" i="26"/>
  <c r="X17" i="26"/>
  <c r="Y17" i="26"/>
  <c r="Z17" i="26"/>
  <c r="M18" i="26"/>
  <c r="U18" i="26"/>
  <c r="R18" i="26"/>
  <c r="X18" i="26"/>
  <c r="Y18" i="26"/>
  <c r="Z18" i="26"/>
  <c r="M19" i="26"/>
  <c r="U19" i="26"/>
  <c r="X19" i="26"/>
  <c r="Y19" i="26"/>
  <c r="Z19" i="26"/>
  <c r="M20" i="26"/>
  <c r="R20" i="26"/>
  <c r="X20" i="26"/>
  <c r="Y20" i="26"/>
  <c r="Z20" i="26"/>
  <c r="X21" i="26"/>
  <c r="Y21" i="26"/>
  <c r="Z21" i="26"/>
  <c r="M22" i="26"/>
  <c r="R22" i="26"/>
  <c r="X22" i="26"/>
  <c r="Y22" i="26"/>
  <c r="Z22" i="26"/>
  <c r="X23" i="26"/>
  <c r="Y23" i="26"/>
  <c r="Z23" i="26"/>
  <c r="M24" i="26"/>
  <c r="U24" i="26"/>
  <c r="R24" i="26"/>
  <c r="X24" i="26"/>
  <c r="Y24" i="26"/>
  <c r="Z24" i="26"/>
  <c r="M25" i="26"/>
  <c r="R25" i="26"/>
  <c r="X25" i="26"/>
  <c r="Y25" i="26"/>
  <c r="Z25" i="26"/>
  <c r="X26" i="26"/>
  <c r="Y26" i="26"/>
  <c r="Z26" i="26"/>
  <c r="R27" i="26"/>
  <c r="X27" i="26"/>
  <c r="Y27" i="26"/>
  <c r="Z27" i="26"/>
  <c r="R28" i="26"/>
  <c r="X28" i="26"/>
  <c r="Y28" i="26"/>
  <c r="Z28" i="26"/>
  <c r="X31" i="26"/>
  <c r="Y31" i="26"/>
  <c r="Z31" i="26"/>
  <c r="Z33" i="26"/>
  <c r="M37" i="26"/>
  <c r="X37" i="26"/>
  <c r="Y37" i="26"/>
  <c r="Z37" i="26"/>
  <c r="R38" i="26"/>
  <c r="X38" i="26"/>
  <c r="Y38" i="26"/>
  <c r="Z38" i="26"/>
  <c r="X39" i="26"/>
  <c r="Y39" i="26"/>
  <c r="Z39" i="26"/>
  <c r="X40" i="26"/>
  <c r="Y40" i="26"/>
  <c r="Z40" i="26"/>
  <c r="M41" i="26"/>
  <c r="X41" i="26"/>
  <c r="Y41" i="26"/>
  <c r="Z41" i="26"/>
  <c r="Z42" i="26"/>
  <c r="M47" i="26"/>
  <c r="R47" i="26"/>
  <c r="X47" i="26"/>
  <c r="Y47" i="26"/>
  <c r="Z47" i="26"/>
  <c r="R48" i="26"/>
  <c r="X48" i="26"/>
  <c r="Y48" i="26"/>
  <c r="Z48" i="26"/>
  <c r="X49" i="26"/>
  <c r="Y49" i="26"/>
  <c r="Z49" i="26"/>
  <c r="X50" i="26"/>
  <c r="Y50" i="26"/>
  <c r="Z50" i="26"/>
  <c r="M51" i="26"/>
  <c r="X51" i="26"/>
  <c r="Y51" i="26"/>
  <c r="Z51" i="26"/>
  <c r="M52" i="26"/>
  <c r="X52" i="26"/>
  <c r="Y52" i="26"/>
  <c r="Z52" i="26"/>
  <c r="X53" i="26"/>
  <c r="Y53" i="26"/>
  <c r="Z53" i="26"/>
  <c r="M54" i="26"/>
  <c r="X54" i="26"/>
  <c r="Y54" i="26"/>
  <c r="Z54" i="26"/>
  <c r="M55" i="26"/>
  <c r="X55" i="26"/>
  <c r="Y55" i="26"/>
  <c r="Z55" i="26"/>
  <c r="Z56" i="26"/>
  <c r="M64" i="26"/>
  <c r="X64" i="26"/>
  <c r="Y64" i="26"/>
  <c r="Z64" i="26"/>
  <c r="M65" i="26"/>
  <c r="R65" i="26"/>
  <c r="X65" i="26"/>
  <c r="Y65" i="26"/>
  <c r="Z65" i="26"/>
  <c r="M66" i="26"/>
  <c r="X66" i="26"/>
  <c r="Y66" i="26"/>
  <c r="Z66" i="26"/>
  <c r="M67" i="26"/>
  <c r="X67" i="26"/>
  <c r="Y67" i="26"/>
  <c r="Z67" i="26"/>
  <c r="M68" i="26"/>
  <c r="X68" i="26"/>
  <c r="Y68" i="26"/>
  <c r="Z68" i="26"/>
  <c r="X73" i="26"/>
  <c r="Y73" i="26"/>
  <c r="Z73" i="26"/>
  <c r="M74" i="26"/>
  <c r="R74" i="26"/>
  <c r="X74" i="26"/>
  <c r="Y74" i="26"/>
  <c r="Z74" i="26"/>
  <c r="M75" i="26"/>
  <c r="X75" i="26"/>
  <c r="Y75" i="26"/>
  <c r="Z75" i="26"/>
  <c r="M76" i="26"/>
  <c r="X76" i="26"/>
  <c r="Y76" i="26"/>
  <c r="Z76" i="26"/>
  <c r="M77" i="26"/>
  <c r="R77" i="26"/>
  <c r="X77" i="26"/>
  <c r="Y77" i="26"/>
  <c r="Z77" i="26"/>
  <c r="M78" i="26"/>
  <c r="X78" i="26"/>
  <c r="Y78" i="26"/>
  <c r="Z78" i="26"/>
  <c r="M79" i="26"/>
  <c r="X79" i="26"/>
  <c r="Y79" i="26"/>
  <c r="Z79" i="26"/>
  <c r="M80" i="26"/>
  <c r="X80" i="26"/>
  <c r="Y80" i="26"/>
  <c r="Z80" i="26"/>
  <c r="X85" i="26"/>
  <c r="Y85" i="26"/>
  <c r="Z85" i="26"/>
  <c r="X86" i="26"/>
  <c r="Y86" i="26"/>
  <c r="Z86" i="26"/>
  <c r="X87" i="26"/>
  <c r="Y87" i="26"/>
  <c r="Z87" i="26"/>
  <c r="X88" i="26"/>
  <c r="Y88" i="26"/>
  <c r="Z88" i="26"/>
  <c r="M93" i="26"/>
  <c r="R93" i="26"/>
  <c r="X93" i="26"/>
  <c r="Y93" i="26"/>
  <c r="Z93" i="26"/>
  <c r="M94" i="26"/>
  <c r="R94" i="26"/>
  <c r="X94" i="26"/>
  <c r="Y94" i="26"/>
  <c r="Z94" i="26"/>
  <c r="X95" i="26"/>
  <c r="Y95" i="26"/>
  <c r="Z95" i="26"/>
  <c r="X96" i="26"/>
  <c r="Y96" i="26"/>
  <c r="Z96" i="26"/>
  <c r="X97" i="26"/>
  <c r="Y97" i="26"/>
  <c r="Z97" i="26"/>
  <c r="M98" i="26"/>
  <c r="R98" i="26"/>
  <c r="X98" i="26"/>
  <c r="Y98" i="26"/>
  <c r="Z98" i="26"/>
  <c r="M99" i="26"/>
  <c r="R99" i="26"/>
  <c r="X99" i="26"/>
  <c r="Y99" i="26"/>
  <c r="Z99" i="26"/>
  <c r="M100" i="26"/>
  <c r="X100" i="26"/>
  <c r="Y100" i="26"/>
  <c r="Z100" i="26"/>
  <c r="M101" i="26"/>
  <c r="R101" i="26"/>
  <c r="X101" i="26"/>
  <c r="Y101" i="26"/>
  <c r="Z101" i="26"/>
  <c r="M102" i="26"/>
  <c r="X102" i="26"/>
  <c r="Y102" i="26"/>
  <c r="Z102" i="26"/>
  <c r="M103" i="26"/>
  <c r="W103" i="26"/>
  <c r="R103" i="26"/>
  <c r="X103" i="26"/>
  <c r="Y103" i="26"/>
  <c r="Z103" i="26"/>
  <c r="M104" i="26"/>
  <c r="R104" i="26"/>
  <c r="X104" i="26"/>
  <c r="Y104" i="26"/>
  <c r="Z104" i="26"/>
  <c r="M109" i="26"/>
  <c r="R109" i="26"/>
  <c r="X109" i="26"/>
  <c r="Y109" i="26"/>
  <c r="Z109" i="26"/>
  <c r="M110" i="26"/>
  <c r="X110" i="26"/>
  <c r="Y110" i="26"/>
  <c r="Z110" i="26"/>
  <c r="M111" i="26"/>
  <c r="R111" i="26"/>
  <c r="X111" i="26"/>
  <c r="Y111" i="26"/>
  <c r="Z111" i="26"/>
  <c r="M112" i="26"/>
  <c r="X112" i="26"/>
  <c r="Y112" i="26"/>
  <c r="Z112" i="26"/>
  <c r="M113" i="26"/>
  <c r="X113" i="26"/>
  <c r="Y113" i="26"/>
  <c r="Z113" i="26"/>
  <c r="M114" i="26"/>
  <c r="X114" i="26"/>
  <c r="Y114" i="26"/>
  <c r="Z114" i="26"/>
  <c r="M115" i="26"/>
  <c r="X115" i="26"/>
  <c r="Y115" i="26"/>
  <c r="Z115" i="26"/>
  <c r="M116" i="26"/>
  <c r="X116" i="26"/>
  <c r="Y116" i="26"/>
  <c r="Z116" i="26"/>
  <c r="M117" i="26"/>
  <c r="X117" i="26"/>
  <c r="Y117" i="26"/>
  <c r="Z117" i="26"/>
  <c r="M118" i="26"/>
  <c r="X118" i="26"/>
  <c r="Y118" i="26"/>
  <c r="Z118" i="26"/>
  <c r="M119" i="26"/>
  <c r="R119" i="26"/>
  <c r="X119" i="26"/>
  <c r="Y119" i="26"/>
  <c r="Z119" i="26"/>
  <c r="X124" i="26"/>
  <c r="Y124" i="26"/>
  <c r="Z124" i="26"/>
  <c r="X125" i="26"/>
  <c r="Y125" i="26"/>
  <c r="Z125" i="26"/>
  <c r="M129" i="26"/>
  <c r="X129" i="26"/>
  <c r="Y129" i="26"/>
  <c r="Z129" i="26"/>
  <c r="X130" i="26"/>
  <c r="Y130" i="26"/>
  <c r="Z130" i="26"/>
  <c r="M131" i="26"/>
  <c r="X131" i="26"/>
  <c r="Y131" i="26"/>
  <c r="Z131" i="26"/>
  <c r="M132" i="26"/>
  <c r="R132" i="26"/>
  <c r="X132" i="26"/>
  <c r="Y132" i="26"/>
  <c r="Z132" i="26"/>
  <c r="M133" i="26"/>
  <c r="X133" i="26"/>
  <c r="Y133" i="26"/>
  <c r="Z133" i="26"/>
  <c r="X134" i="26"/>
  <c r="Y134" i="26"/>
  <c r="Z134" i="26"/>
  <c r="X135" i="26"/>
  <c r="Y135" i="26"/>
  <c r="Z135" i="26"/>
  <c r="X136" i="26"/>
  <c r="Y136" i="26"/>
  <c r="Z136" i="26"/>
  <c r="M137" i="26"/>
  <c r="R137" i="26"/>
  <c r="X137" i="26"/>
  <c r="Y137" i="26"/>
  <c r="Z137" i="26"/>
  <c r="X138" i="26"/>
  <c r="Y138" i="26"/>
  <c r="Z138" i="26"/>
  <c r="M139" i="26"/>
  <c r="X139" i="26"/>
  <c r="Y139" i="26"/>
  <c r="Z139" i="26"/>
  <c r="M144" i="26"/>
  <c r="R144" i="26"/>
  <c r="X144" i="26"/>
  <c r="Y144" i="26"/>
  <c r="Z144" i="26"/>
  <c r="R145" i="26"/>
  <c r="X145" i="26"/>
  <c r="Y145" i="26"/>
  <c r="Z145" i="26"/>
  <c r="X146" i="26"/>
  <c r="Y146" i="26"/>
  <c r="Z146" i="26"/>
  <c r="X147" i="26"/>
  <c r="Y147" i="26"/>
  <c r="Z147" i="26"/>
  <c r="X148" i="26"/>
  <c r="Y148" i="26"/>
  <c r="Z148" i="26"/>
  <c r="R149" i="26"/>
  <c r="X149" i="26"/>
  <c r="Y149" i="26"/>
  <c r="Z149" i="26"/>
  <c r="X150" i="26"/>
  <c r="Y150" i="26"/>
  <c r="Z150" i="26"/>
  <c r="X151" i="26"/>
  <c r="Y151" i="26"/>
  <c r="Z151" i="26"/>
  <c r="X152" i="26"/>
  <c r="Y152" i="26"/>
  <c r="Z152" i="26"/>
  <c r="X153" i="26"/>
  <c r="Y153" i="26"/>
  <c r="Z153" i="26"/>
  <c r="Z156" i="26"/>
  <c r="M161" i="26"/>
  <c r="X161" i="26"/>
  <c r="Y161" i="26"/>
  <c r="Z161" i="26"/>
  <c r="M167" i="26"/>
  <c r="R167" i="26"/>
  <c r="X167" i="26"/>
  <c r="Y167" i="26"/>
  <c r="Z167" i="26"/>
  <c r="M168" i="26"/>
  <c r="R168" i="26"/>
  <c r="X168" i="26"/>
  <c r="Y168" i="26"/>
  <c r="Z168" i="26"/>
  <c r="M169" i="26"/>
  <c r="R169" i="26"/>
  <c r="X169" i="26"/>
  <c r="Y169" i="26"/>
  <c r="Z169" i="26"/>
  <c r="R170" i="26"/>
  <c r="X170" i="26"/>
  <c r="Y170" i="26"/>
  <c r="Z170" i="26"/>
  <c r="M171" i="26"/>
  <c r="R171" i="26"/>
  <c r="X171" i="26"/>
  <c r="Y171" i="26"/>
  <c r="Z171" i="26"/>
  <c r="M172" i="26"/>
  <c r="X172" i="26"/>
  <c r="Y172" i="26"/>
  <c r="Z172" i="26"/>
  <c r="M177" i="26"/>
  <c r="R177" i="26"/>
  <c r="X177" i="26"/>
  <c r="Y177" i="26"/>
  <c r="Z177" i="26"/>
  <c r="M178" i="26"/>
  <c r="X178" i="26"/>
  <c r="Y178" i="26"/>
  <c r="Z178" i="26"/>
  <c r="X179" i="26"/>
  <c r="Y179" i="26"/>
  <c r="Z179" i="26"/>
  <c r="M184" i="26"/>
  <c r="X184" i="26"/>
  <c r="Y184" i="26"/>
  <c r="Z184" i="26"/>
  <c r="R185" i="26"/>
  <c r="X185" i="26"/>
  <c r="Y185" i="26"/>
  <c r="Z185" i="26"/>
  <c r="Z189" i="26"/>
  <c r="M195" i="26"/>
  <c r="R195" i="26"/>
  <c r="X195" i="26"/>
  <c r="Y195" i="26"/>
  <c r="Z195" i="26"/>
  <c r="M196" i="26"/>
  <c r="X196" i="26"/>
  <c r="Y196" i="26"/>
  <c r="Z196" i="26"/>
  <c r="M201" i="26"/>
  <c r="R201" i="26"/>
  <c r="X201" i="26"/>
  <c r="Y201" i="26"/>
  <c r="Z201" i="26"/>
  <c r="X202" i="26"/>
  <c r="Y202" i="26"/>
  <c r="Z202" i="26"/>
  <c r="X203" i="26"/>
  <c r="Y203" i="26"/>
  <c r="Z203" i="26"/>
  <c r="X204" i="26"/>
  <c r="Y204" i="26"/>
  <c r="Z204" i="26"/>
  <c r="X205" i="26"/>
  <c r="Y205" i="26"/>
  <c r="Z205" i="26"/>
  <c r="M210" i="26"/>
  <c r="X210" i="26"/>
  <c r="Y210" i="26"/>
  <c r="Z210" i="26"/>
  <c r="M211" i="26"/>
  <c r="X211" i="26"/>
  <c r="Y211" i="26"/>
  <c r="Z211" i="26"/>
  <c r="M212" i="26"/>
  <c r="R212" i="26"/>
  <c r="X212" i="26"/>
  <c r="Y212" i="26"/>
  <c r="Z212" i="26"/>
  <c r="M213" i="26"/>
  <c r="R213" i="26"/>
  <c r="X213" i="26"/>
  <c r="Y213" i="26"/>
  <c r="Z213" i="26"/>
  <c r="M214" i="26"/>
  <c r="W214" i="26"/>
  <c r="X214" i="26"/>
  <c r="Y214" i="26"/>
  <c r="Z214" i="26"/>
  <c r="M220" i="26"/>
  <c r="R220" i="26"/>
  <c r="X220" i="26"/>
  <c r="Y220" i="26"/>
  <c r="Z220" i="26"/>
  <c r="M221" i="26"/>
  <c r="R221" i="26"/>
  <c r="X221" i="26"/>
  <c r="Y221" i="26"/>
  <c r="Z221" i="26"/>
  <c r="M222" i="26"/>
  <c r="R222" i="26"/>
  <c r="X222" i="26"/>
  <c r="Y222" i="26"/>
  <c r="Z222" i="26"/>
  <c r="M223" i="26"/>
  <c r="R223" i="26"/>
  <c r="X223" i="26"/>
  <c r="Y223" i="26"/>
  <c r="Z223" i="26"/>
  <c r="M224" i="26"/>
  <c r="R224" i="26"/>
  <c r="X224" i="26"/>
  <c r="Y224" i="26"/>
  <c r="Z224" i="26"/>
  <c r="M230" i="26"/>
  <c r="X230" i="26"/>
  <c r="Y230" i="26"/>
  <c r="Z230" i="26"/>
  <c r="M231" i="26"/>
  <c r="R231" i="26"/>
  <c r="X231" i="26"/>
  <c r="Y231" i="26"/>
  <c r="Z231" i="26"/>
  <c r="M232" i="26"/>
  <c r="R232" i="26"/>
  <c r="X232" i="26"/>
  <c r="Y232" i="26"/>
  <c r="Z232" i="26"/>
  <c r="Z236" i="26"/>
  <c r="M241" i="26"/>
  <c r="R241" i="26"/>
  <c r="X241" i="26"/>
  <c r="Y241" i="26"/>
  <c r="Z241" i="26"/>
  <c r="M242" i="26"/>
  <c r="X242" i="26"/>
  <c r="Y242" i="26"/>
  <c r="Z242" i="26"/>
  <c r="M247" i="26"/>
  <c r="R247" i="26"/>
  <c r="X247" i="26"/>
  <c r="Y247" i="26"/>
  <c r="Z247" i="26"/>
  <c r="M248" i="26"/>
  <c r="R248" i="26"/>
  <c r="X248" i="26"/>
  <c r="Y248" i="26"/>
  <c r="Z248" i="26"/>
  <c r="M249" i="26"/>
  <c r="R249" i="26"/>
  <c r="X249" i="26"/>
  <c r="Y249" i="26"/>
  <c r="Z249" i="26"/>
  <c r="M250" i="26"/>
  <c r="R250" i="26"/>
  <c r="X250" i="26"/>
  <c r="Y250" i="26"/>
  <c r="Z250" i="26"/>
  <c r="X251" i="26"/>
  <c r="Y251" i="26"/>
  <c r="Z251" i="26"/>
  <c r="M252" i="26"/>
  <c r="R252" i="26"/>
  <c r="X252" i="26"/>
  <c r="Y252" i="26"/>
  <c r="Z252" i="26"/>
  <c r="M253" i="26"/>
  <c r="R253" i="26"/>
  <c r="X253" i="26"/>
  <c r="Y253" i="26"/>
  <c r="Z253" i="26"/>
  <c r="M254" i="26"/>
  <c r="R254" i="26"/>
  <c r="X254" i="26"/>
  <c r="Y254" i="26"/>
  <c r="Z254" i="26"/>
  <c r="M255" i="26"/>
  <c r="X255" i="26"/>
  <c r="Y255" i="26"/>
  <c r="Z255" i="26"/>
  <c r="X256" i="26"/>
  <c r="Y256" i="26"/>
  <c r="Z256" i="26"/>
  <c r="M257" i="26"/>
  <c r="R257" i="26"/>
  <c r="X257" i="26"/>
  <c r="Y257" i="26"/>
  <c r="Z257" i="26"/>
  <c r="M258" i="26"/>
  <c r="X258" i="26"/>
  <c r="Y258" i="26"/>
  <c r="Z258" i="26"/>
  <c r="R259" i="26"/>
  <c r="X259" i="26"/>
  <c r="Y259" i="26"/>
  <c r="Z259" i="26"/>
  <c r="X260" i="26"/>
  <c r="Y260" i="26"/>
  <c r="Z260" i="26"/>
  <c r="M261" i="26"/>
  <c r="R261" i="26"/>
  <c r="X261" i="26"/>
  <c r="Y261" i="26"/>
  <c r="Z261" i="26"/>
  <c r="X262" i="26"/>
  <c r="Y262" i="26"/>
  <c r="Z262" i="26"/>
  <c r="R263" i="26"/>
  <c r="X263" i="26"/>
  <c r="Y263" i="26"/>
  <c r="Z263" i="26"/>
  <c r="M264" i="26"/>
  <c r="R264" i="26"/>
  <c r="X264" i="26"/>
  <c r="Y264" i="26"/>
  <c r="Z264" i="26"/>
  <c r="X268" i="26"/>
  <c r="Y268" i="26"/>
  <c r="Z268" i="26"/>
  <c r="M272" i="26"/>
  <c r="X272" i="26"/>
  <c r="Y272" i="26"/>
  <c r="Z272" i="26"/>
  <c r="M273" i="26"/>
  <c r="R273" i="26"/>
  <c r="X273" i="26"/>
  <c r="Y273" i="26"/>
  <c r="Z273" i="26"/>
  <c r="M279" i="26"/>
  <c r="R279" i="26"/>
  <c r="X279" i="26"/>
  <c r="Y279" i="26"/>
  <c r="Z279" i="26"/>
  <c r="M280" i="26"/>
  <c r="R280" i="26"/>
  <c r="X280" i="26"/>
  <c r="Y280" i="26"/>
  <c r="Z280" i="26"/>
  <c r="R281" i="26"/>
  <c r="X281" i="26"/>
  <c r="Y281" i="26"/>
  <c r="Z281" i="26"/>
  <c r="M287" i="26"/>
  <c r="R287" i="26"/>
  <c r="X287" i="26"/>
  <c r="Y287" i="26"/>
  <c r="Z287" i="26"/>
  <c r="M288" i="26"/>
  <c r="R288" i="26"/>
  <c r="X288" i="26"/>
  <c r="Y288" i="26"/>
  <c r="Z288" i="26"/>
  <c r="R289" i="26"/>
  <c r="X289" i="26"/>
  <c r="Y289" i="26"/>
  <c r="Z289" i="26"/>
  <c r="M290" i="26"/>
  <c r="X290" i="26"/>
  <c r="Y290" i="26"/>
  <c r="Z290" i="26"/>
  <c r="M291" i="26"/>
  <c r="R291" i="26"/>
  <c r="X291" i="26"/>
  <c r="Y291" i="26"/>
  <c r="Z291" i="26"/>
  <c r="M296" i="26"/>
  <c r="R296" i="26"/>
  <c r="X296" i="26"/>
  <c r="Y296" i="26"/>
  <c r="Z296" i="26"/>
  <c r="M297" i="26"/>
  <c r="X297" i="26"/>
  <c r="Y297" i="26"/>
  <c r="Z297" i="26"/>
  <c r="M298" i="26"/>
  <c r="X298" i="26"/>
  <c r="Y298" i="26"/>
  <c r="Z298" i="26"/>
  <c r="M299" i="26"/>
  <c r="X299" i="26"/>
  <c r="Y299" i="26"/>
  <c r="Z299" i="26"/>
  <c r="X303" i="26"/>
  <c r="Y303" i="26"/>
  <c r="Z303" i="26"/>
  <c r="M307" i="26"/>
  <c r="R307" i="26"/>
  <c r="X307" i="26"/>
  <c r="Y307" i="26"/>
  <c r="Z307" i="26"/>
  <c r="M308" i="26"/>
  <c r="R308" i="26"/>
  <c r="X308" i="26"/>
  <c r="Y308" i="26"/>
  <c r="Z308" i="26"/>
  <c r="M309" i="26"/>
  <c r="R309" i="26"/>
  <c r="X309" i="26"/>
  <c r="Y309" i="26"/>
  <c r="Z309" i="26"/>
  <c r="X314" i="26"/>
  <c r="Y314" i="26"/>
  <c r="Z314" i="26"/>
  <c r="M318" i="26"/>
  <c r="X318" i="26"/>
  <c r="Y318" i="26"/>
  <c r="Z318" i="26"/>
  <c r="M319" i="26"/>
  <c r="R319" i="26"/>
  <c r="X319" i="26"/>
  <c r="Y319" i="26"/>
  <c r="Z319" i="26"/>
  <c r="M320" i="26"/>
  <c r="R320" i="26"/>
  <c r="X320" i="26"/>
  <c r="Y320" i="26"/>
  <c r="Z320" i="26"/>
  <c r="M321" i="26"/>
  <c r="X321" i="26"/>
  <c r="Y321" i="26"/>
  <c r="Z321" i="26"/>
  <c r="Z324" i="26"/>
  <c r="M330" i="26"/>
  <c r="R330" i="26"/>
  <c r="X330" i="26"/>
  <c r="Y330" i="26"/>
  <c r="Z330" i="26"/>
  <c r="X331" i="26"/>
  <c r="Y331" i="26"/>
  <c r="Z331" i="26"/>
  <c r="X335" i="26"/>
  <c r="Y335" i="26"/>
  <c r="Z335" i="26"/>
  <c r="M339" i="26"/>
  <c r="R339" i="26"/>
  <c r="X339" i="26"/>
  <c r="Y339" i="26"/>
  <c r="Z339" i="26"/>
  <c r="X340" i="26"/>
  <c r="Y340" i="26"/>
  <c r="Z340" i="26"/>
  <c r="M341" i="26"/>
  <c r="X341" i="26"/>
  <c r="Y341" i="26"/>
  <c r="Z341" i="26"/>
  <c r="M342" i="26"/>
  <c r="R342" i="26"/>
  <c r="X342" i="26"/>
  <c r="Y342" i="26"/>
  <c r="Z342" i="26"/>
  <c r="M343" i="26"/>
  <c r="R343" i="26"/>
  <c r="X343" i="26"/>
  <c r="Y343" i="26"/>
  <c r="Z343" i="26"/>
  <c r="M344" i="26"/>
  <c r="X344" i="26"/>
  <c r="Y344" i="26"/>
  <c r="Z344" i="26"/>
  <c r="M345" i="26"/>
  <c r="X345" i="26"/>
  <c r="Y345" i="26"/>
  <c r="Z345" i="26"/>
  <c r="M346" i="26"/>
  <c r="R346" i="26"/>
  <c r="X346" i="26"/>
  <c r="Y346" i="26"/>
  <c r="Z346" i="26"/>
  <c r="M347" i="26"/>
  <c r="R347" i="26"/>
  <c r="X347" i="26"/>
  <c r="Y347" i="26"/>
  <c r="Z347" i="26"/>
  <c r="M348" i="26"/>
  <c r="X348" i="26"/>
  <c r="Y348" i="26"/>
  <c r="Z348" i="26"/>
  <c r="M349" i="26"/>
  <c r="R349" i="26"/>
  <c r="X349" i="26"/>
  <c r="Y349" i="26"/>
  <c r="Z349" i="26"/>
  <c r="M350" i="26"/>
  <c r="W350" i="26"/>
  <c r="R350" i="26"/>
  <c r="X350" i="26"/>
  <c r="Y350" i="26"/>
  <c r="Z350" i="26"/>
  <c r="M355" i="26"/>
  <c r="R355" i="26"/>
  <c r="X355" i="26"/>
  <c r="Y355" i="26"/>
  <c r="Z355" i="26"/>
  <c r="M356" i="26"/>
  <c r="R356" i="26"/>
  <c r="X356" i="26"/>
  <c r="Y356" i="26"/>
  <c r="Z356" i="26"/>
  <c r="M357" i="26"/>
  <c r="R357" i="26"/>
  <c r="X357" i="26"/>
  <c r="Y357" i="26"/>
  <c r="Z357" i="26"/>
  <c r="M358" i="26"/>
  <c r="R358" i="26"/>
  <c r="W358" i="26"/>
  <c r="X358" i="26"/>
  <c r="Y358" i="26"/>
  <c r="Z358" i="26"/>
  <c r="M359" i="26"/>
  <c r="R359" i="26"/>
  <c r="X359" i="26"/>
  <c r="Y359" i="26"/>
  <c r="Z359" i="26"/>
  <c r="M360" i="26"/>
  <c r="R360" i="26"/>
  <c r="V360" i="26"/>
  <c r="X360" i="26"/>
  <c r="Y360" i="26"/>
  <c r="Z360" i="26"/>
  <c r="M366" i="26"/>
  <c r="R366" i="26"/>
  <c r="X366" i="26"/>
  <c r="Y366" i="26"/>
  <c r="Z366" i="26"/>
  <c r="R367" i="26"/>
  <c r="X367" i="26"/>
  <c r="Y367" i="26"/>
  <c r="Z367" i="26"/>
  <c r="M368" i="26"/>
  <c r="R368" i="26"/>
  <c r="X368" i="26"/>
  <c r="Y368" i="26"/>
  <c r="Z368" i="26"/>
  <c r="M369" i="26"/>
  <c r="R369" i="26"/>
  <c r="X369" i="26"/>
  <c r="Y369" i="26"/>
  <c r="Z369" i="26"/>
  <c r="R370" i="26"/>
  <c r="X370" i="26"/>
  <c r="Y370" i="26"/>
  <c r="Z370" i="26"/>
  <c r="X371" i="26"/>
  <c r="Y371" i="26"/>
  <c r="Z371" i="26"/>
  <c r="M372" i="26"/>
  <c r="R372" i="26"/>
  <c r="X372" i="26"/>
  <c r="Y372" i="26"/>
  <c r="Z372" i="26"/>
  <c r="R373" i="26"/>
  <c r="X373" i="26"/>
  <c r="Y373" i="26"/>
  <c r="Z373" i="26"/>
  <c r="X374" i="26"/>
  <c r="Y374" i="26"/>
  <c r="Z374" i="26"/>
  <c r="R375" i="26"/>
  <c r="X375" i="26"/>
  <c r="Y375" i="26"/>
  <c r="Z375" i="26"/>
  <c r="R376" i="26"/>
  <c r="X376" i="26"/>
  <c r="Y376" i="26"/>
  <c r="Z376" i="26"/>
  <c r="M377" i="26"/>
  <c r="R377" i="26"/>
  <c r="W377" i="26"/>
  <c r="X377" i="26"/>
  <c r="Y377" i="26"/>
  <c r="Z377" i="26"/>
  <c r="W378" i="26"/>
  <c r="X378" i="26"/>
  <c r="Y378" i="26"/>
  <c r="Z378" i="26"/>
  <c r="M383" i="26"/>
  <c r="R383" i="26"/>
  <c r="X383" i="26"/>
  <c r="Y383" i="26"/>
  <c r="Z383" i="26"/>
  <c r="M384" i="26"/>
  <c r="X384" i="26"/>
  <c r="Y384" i="26"/>
  <c r="Z384" i="26"/>
  <c r="M385" i="26"/>
  <c r="R385" i="26"/>
  <c r="W385" i="26"/>
  <c r="X385" i="26"/>
  <c r="Y385" i="26"/>
  <c r="Z385" i="26"/>
  <c r="M386" i="26"/>
  <c r="R386" i="26"/>
  <c r="X386" i="26"/>
  <c r="Y386" i="26"/>
  <c r="Z386" i="26"/>
  <c r="M387" i="26"/>
  <c r="W387" i="26"/>
  <c r="X387" i="26"/>
  <c r="Y387" i="26"/>
  <c r="Z387" i="26"/>
  <c r="M388" i="26"/>
  <c r="R388" i="26"/>
  <c r="W388" i="26"/>
  <c r="X388" i="26"/>
  <c r="Y388" i="26"/>
  <c r="Z388" i="26"/>
  <c r="M389" i="26"/>
  <c r="R389" i="26"/>
  <c r="X389" i="26"/>
  <c r="Y389" i="26"/>
  <c r="Z389" i="26"/>
  <c r="M395" i="26"/>
  <c r="R395" i="26"/>
  <c r="X395" i="26"/>
  <c r="Y395" i="26"/>
  <c r="Z395" i="26"/>
  <c r="M396" i="26"/>
  <c r="R396" i="26"/>
  <c r="X396" i="26"/>
  <c r="Y396" i="26"/>
  <c r="Z396" i="26"/>
  <c r="M397" i="26"/>
  <c r="R397" i="26"/>
  <c r="X397" i="26"/>
  <c r="Y397" i="26"/>
  <c r="Z397" i="26"/>
  <c r="M398" i="26"/>
  <c r="R398" i="26"/>
  <c r="X398" i="26"/>
  <c r="Y398" i="26"/>
  <c r="Z398" i="26"/>
  <c r="M399" i="26"/>
  <c r="R399" i="26"/>
  <c r="X399" i="26"/>
  <c r="Y399" i="26"/>
  <c r="Z399" i="26"/>
  <c r="M400" i="26"/>
  <c r="R400" i="26"/>
  <c r="X400" i="26"/>
  <c r="Y400" i="26"/>
  <c r="Z400" i="26"/>
  <c r="M401" i="26"/>
  <c r="R401" i="26"/>
  <c r="X401" i="26"/>
  <c r="Y401" i="26"/>
  <c r="Z401" i="26"/>
  <c r="M402" i="26"/>
  <c r="R402" i="26"/>
  <c r="X402" i="26"/>
  <c r="Y402" i="26"/>
  <c r="Z402" i="26"/>
  <c r="M403" i="26"/>
  <c r="R403" i="26"/>
  <c r="X403" i="26"/>
  <c r="Y403" i="26"/>
  <c r="Z403" i="26"/>
  <c r="M404" i="26"/>
  <c r="R404" i="26"/>
  <c r="X404" i="26"/>
  <c r="Y404" i="26"/>
  <c r="Z404" i="26"/>
  <c r="M405" i="26"/>
  <c r="R405" i="26"/>
  <c r="W405" i="26"/>
  <c r="X405" i="26"/>
  <c r="Y405" i="26"/>
  <c r="Z405" i="26"/>
  <c r="M410" i="26"/>
  <c r="R410" i="26"/>
  <c r="X410" i="26"/>
  <c r="Y410" i="26"/>
  <c r="Z410" i="26"/>
  <c r="M411" i="26"/>
  <c r="R411" i="26"/>
  <c r="X411" i="26"/>
  <c r="Y411" i="26"/>
  <c r="Z411" i="26"/>
  <c r="M412" i="26"/>
  <c r="R412" i="26"/>
  <c r="X412" i="26"/>
  <c r="Y412" i="26"/>
  <c r="Z412" i="26"/>
  <c r="M413" i="26"/>
  <c r="X413" i="26"/>
  <c r="Y413" i="26"/>
  <c r="Z413" i="26"/>
  <c r="M414" i="26"/>
  <c r="R414" i="26"/>
  <c r="X414" i="26"/>
  <c r="Y414" i="26"/>
  <c r="Z414" i="26"/>
  <c r="X415" i="26"/>
  <c r="Y415" i="26"/>
  <c r="Z415" i="26"/>
  <c r="M420" i="26"/>
  <c r="R420" i="26"/>
  <c r="X420" i="26"/>
  <c r="Y420" i="26"/>
  <c r="Z420" i="26"/>
  <c r="M421" i="26"/>
  <c r="R421" i="26"/>
  <c r="X421" i="26"/>
  <c r="Y421" i="26"/>
  <c r="Z421" i="26"/>
  <c r="R422" i="26"/>
  <c r="X422" i="26"/>
  <c r="Y422" i="26"/>
  <c r="Z422" i="26"/>
  <c r="M427" i="26"/>
  <c r="R427" i="26"/>
  <c r="X427" i="26"/>
  <c r="Y427" i="26"/>
  <c r="Z427" i="26"/>
  <c r="M428" i="26"/>
  <c r="R428" i="26"/>
  <c r="X428" i="26"/>
  <c r="Y428" i="26"/>
  <c r="Z428" i="26"/>
  <c r="R429" i="26"/>
  <c r="X429" i="26"/>
  <c r="Y429" i="26"/>
  <c r="Z429" i="26"/>
  <c r="X430" i="26"/>
  <c r="Y430" i="26"/>
  <c r="Z430" i="26"/>
  <c r="M431" i="26"/>
  <c r="X431" i="26"/>
  <c r="Y431" i="26"/>
  <c r="Z431" i="26"/>
  <c r="M432" i="26"/>
  <c r="X432" i="26"/>
  <c r="Y432" i="26"/>
  <c r="Z432" i="26"/>
  <c r="M433" i="26"/>
  <c r="X433" i="26"/>
  <c r="Y433" i="26"/>
  <c r="Z433" i="26"/>
  <c r="X438" i="26"/>
  <c r="Y438" i="26"/>
  <c r="Z438" i="26"/>
  <c r="M439" i="26"/>
  <c r="X439" i="26"/>
  <c r="Y439" i="26"/>
  <c r="Z439" i="26"/>
  <c r="X440" i="26"/>
  <c r="Y440" i="26"/>
  <c r="Z440" i="26"/>
  <c r="M441" i="26"/>
  <c r="X441" i="26"/>
  <c r="Y441" i="26"/>
  <c r="Z441" i="26"/>
  <c r="M442" i="26"/>
  <c r="R442" i="26"/>
  <c r="X442" i="26"/>
  <c r="Y442" i="26"/>
  <c r="Z442" i="26"/>
  <c r="Z451" i="26"/>
  <c r="M456" i="26"/>
  <c r="R456" i="26"/>
  <c r="X456" i="26"/>
  <c r="Y456" i="26"/>
  <c r="Z456" i="26"/>
  <c r="R460" i="26"/>
  <c r="X460" i="26"/>
  <c r="Y460" i="26"/>
  <c r="Z460" i="26"/>
  <c r="M465" i="26"/>
  <c r="R465" i="26"/>
  <c r="X465" i="26"/>
  <c r="Y465" i="26"/>
  <c r="Z465" i="26"/>
  <c r="M466" i="26"/>
  <c r="R466" i="26"/>
  <c r="X466" i="26"/>
  <c r="Y466" i="26"/>
  <c r="Z466" i="26"/>
  <c r="M467" i="26"/>
  <c r="R467" i="26"/>
  <c r="X467" i="26"/>
  <c r="Y467" i="26"/>
  <c r="Z467" i="26"/>
  <c r="M468" i="26"/>
  <c r="X468" i="26"/>
  <c r="Y468" i="26"/>
  <c r="Z468" i="26"/>
  <c r="M469" i="26"/>
  <c r="R469" i="26"/>
  <c r="X469" i="26"/>
  <c r="Y469" i="26"/>
  <c r="Z469" i="26"/>
  <c r="M470" i="26"/>
  <c r="X470" i="26"/>
  <c r="Y470" i="26"/>
  <c r="Z470" i="26"/>
  <c r="M471" i="26"/>
  <c r="X471" i="26"/>
  <c r="Y471" i="26"/>
  <c r="Z471" i="26"/>
  <c r="M472" i="26"/>
  <c r="X472" i="26"/>
  <c r="Y472" i="26"/>
  <c r="Z472" i="26"/>
  <c r="M473" i="26"/>
  <c r="X473" i="26"/>
  <c r="Y473" i="26"/>
  <c r="Z473" i="26"/>
  <c r="M474" i="26"/>
  <c r="X474" i="26"/>
  <c r="Y474" i="26"/>
  <c r="Z474" i="26"/>
  <c r="M475" i="26"/>
  <c r="X475" i="26"/>
  <c r="Y475" i="26"/>
  <c r="Z475" i="26"/>
  <c r="R480" i="26"/>
  <c r="X480" i="26"/>
  <c r="Y480" i="26"/>
  <c r="Z480" i="26"/>
  <c r="M481" i="26"/>
  <c r="R481" i="26"/>
  <c r="X481" i="26"/>
  <c r="Y481" i="26"/>
  <c r="Z481" i="26"/>
  <c r="M482" i="26"/>
  <c r="R482" i="26"/>
  <c r="X482" i="26"/>
  <c r="Y482" i="26"/>
  <c r="Z482" i="26"/>
  <c r="M483" i="26"/>
  <c r="R483" i="26"/>
  <c r="X483" i="26"/>
  <c r="Y483" i="26"/>
  <c r="Z483" i="26"/>
  <c r="R484" i="26"/>
  <c r="X484" i="26"/>
  <c r="Y484" i="26"/>
  <c r="Z484" i="26"/>
  <c r="M491" i="26"/>
  <c r="X491" i="26"/>
  <c r="Y491" i="26"/>
  <c r="Z491" i="26"/>
  <c r="M492" i="26"/>
  <c r="R492" i="26"/>
  <c r="X492" i="26"/>
  <c r="Y492" i="26"/>
  <c r="Z492" i="26"/>
  <c r="M493" i="26"/>
  <c r="R493" i="26"/>
  <c r="X493" i="26"/>
  <c r="Y493" i="26"/>
  <c r="Z493" i="26"/>
  <c r="R494" i="26"/>
  <c r="X494" i="26"/>
  <c r="Y494" i="26"/>
  <c r="Z494" i="26"/>
  <c r="Z497" i="26"/>
  <c r="M504" i="26"/>
  <c r="R504" i="26"/>
  <c r="X504" i="26"/>
  <c r="Y504" i="26"/>
  <c r="Z504" i="26"/>
  <c r="X505" i="26"/>
  <c r="Y505" i="26"/>
  <c r="Z505" i="26"/>
  <c r="X506" i="26"/>
  <c r="Y506" i="26"/>
  <c r="Z506" i="26"/>
  <c r="X507" i="26"/>
  <c r="Y507" i="26"/>
  <c r="Z507" i="26"/>
  <c r="M508" i="26"/>
  <c r="X508" i="26"/>
  <c r="Y508" i="26"/>
  <c r="Z508" i="26"/>
  <c r="M518" i="26"/>
  <c r="R518" i="26"/>
  <c r="X518" i="26"/>
  <c r="Y518" i="26"/>
  <c r="Z518" i="26"/>
  <c r="M519" i="26"/>
  <c r="R519" i="26"/>
  <c r="X519" i="26"/>
  <c r="Y519" i="26"/>
  <c r="Z519" i="26"/>
  <c r="M520" i="26"/>
  <c r="X520" i="26"/>
  <c r="Y520" i="26"/>
  <c r="Z520" i="26"/>
  <c r="M521" i="26"/>
  <c r="R521" i="26"/>
  <c r="X521" i="26"/>
  <c r="Y521" i="26"/>
  <c r="Z521" i="26"/>
  <c r="M522" i="26"/>
  <c r="X522" i="26"/>
  <c r="Y522" i="26"/>
  <c r="Z522" i="26"/>
  <c r="M523" i="26"/>
  <c r="R523" i="26"/>
  <c r="X523" i="26"/>
  <c r="Y523" i="26"/>
  <c r="Z523" i="26"/>
  <c r="M524" i="26"/>
  <c r="X524" i="26"/>
  <c r="Y524" i="26"/>
  <c r="Z524" i="26"/>
  <c r="M525" i="26"/>
  <c r="R525" i="26"/>
  <c r="X525" i="26"/>
  <c r="Y525" i="26"/>
  <c r="Z525" i="26"/>
  <c r="M526" i="26"/>
  <c r="X526" i="26"/>
  <c r="Y526" i="26"/>
  <c r="Z526" i="26"/>
  <c r="M527" i="26"/>
  <c r="R527" i="26"/>
  <c r="X527" i="26"/>
  <c r="Y527" i="26"/>
  <c r="Z527" i="26"/>
  <c r="M528" i="26"/>
  <c r="R528" i="26"/>
  <c r="X528" i="26"/>
  <c r="Y528" i="26"/>
  <c r="Z528" i="26"/>
  <c r="M529" i="26"/>
  <c r="R529" i="26"/>
  <c r="X529" i="26"/>
  <c r="Y529" i="26"/>
  <c r="Z529" i="26"/>
  <c r="M530" i="26"/>
  <c r="R530" i="26"/>
  <c r="W530" i="26"/>
  <c r="X530" i="26"/>
  <c r="Y530" i="26"/>
  <c r="Z530" i="26"/>
  <c r="M531" i="26"/>
  <c r="R531" i="26"/>
  <c r="W531" i="26"/>
  <c r="X531" i="26"/>
  <c r="Y531" i="26"/>
  <c r="Z531" i="26"/>
  <c r="M532" i="26"/>
  <c r="R532" i="26"/>
  <c r="X532" i="26"/>
  <c r="Y532" i="26"/>
  <c r="Z532" i="26"/>
  <c r="M533" i="26"/>
  <c r="R533" i="26"/>
  <c r="W533" i="26"/>
  <c r="X533" i="26"/>
  <c r="Y533" i="26"/>
  <c r="Z533" i="26"/>
  <c r="M534" i="26"/>
  <c r="R534" i="26"/>
  <c r="X534" i="26"/>
  <c r="Y534" i="26"/>
  <c r="Z534" i="26"/>
  <c r="M535" i="26"/>
  <c r="R535" i="26"/>
  <c r="W535" i="26"/>
  <c r="X535" i="26"/>
  <c r="Y535" i="26"/>
  <c r="Z535" i="26"/>
  <c r="M536" i="26"/>
  <c r="R536" i="26"/>
  <c r="X536" i="26"/>
  <c r="Y536" i="26"/>
  <c r="Z536" i="26"/>
  <c r="M537" i="26"/>
  <c r="R537" i="26"/>
  <c r="X537" i="26"/>
  <c r="Y537" i="26"/>
  <c r="Z537" i="26"/>
  <c r="M538" i="26"/>
  <c r="R538" i="26"/>
  <c r="X538" i="26"/>
  <c r="Y538" i="26"/>
  <c r="Z538" i="26"/>
  <c r="M545" i="26"/>
  <c r="R545" i="26"/>
  <c r="X545" i="26"/>
  <c r="Y545" i="26"/>
  <c r="Z545" i="26"/>
  <c r="M546" i="26"/>
  <c r="R546" i="26"/>
  <c r="X546" i="26"/>
  <c r="Y546" i="26"/>
  <c r="Z546" i="26"/>
  <c r="X547" i="26"/>
  <c r="Y547" i="26"/>
  <c r="Z547" i="26"/>
  <c r="X548" i="26"/>
  <c r="Y548" i="26"/>
  <c r="Z548" i="26"/>
  <c r="R549" i="26"/>
  <c r="X549" i="26"/>
  <c r="Y549" i="26"/>
  <c r="Z549" i="26"/>
  <c r="X550" i="26"/>
  <c r="Y550" i="26"/>
  <c r="Z550" i="26"/>
  <c r="M551" i="26"/>
  <c r="R551" i="26"/>
  <c r="X551" i="26"/>
  <c r="Y551" i="26"/>
  <c r="Z551" i="26"/>
  <c r="M552" i="26"/>
  <c r="R552" i="26"/>
  <c r="X552" i="26"/>
  <c r="Y552" i="26"/>
  <c r="Z552" i="26"/>
  <c r="M553" i="26"/>
  <c r="X553" i="26"/>
  <c r="Y553" i="26"/>
  <c r="Z553" i="26"/>
  <c r="M559" i="26"/>
  <c r="R559" i="26"/>
  <c r="X559" i="26"/>
  <c r="Y559" i="26"/>
  <c r="Z559" i="26"/>
  <c r="X560" i="26"/>
  <c r="Y560" i="26"/>
  <c r="Z560" i="26"/>
  <c r="X561" i="26"/>
  <c r="Y561" i="26"/>
  <c r="Z561" i="26"/>
  <c r="R562" i="26"/>
  <c r="X562" i="26"/>
  <c r="Y562" i="26"/>
  <c r="Z562" i="26"/>
  <c r="X563" i="26"/>
  <c r="Y563" i="26"/>
  <c r="Z563" i="26"/>
  <c r="M564" i="26"/>
  <c r="R564" i="26"/>
  <c r="X564" i="26"/>
  <c r="Y564" i="26"/>
  <c r="Z564" i="26"/>
  <c r="M565" i="26"/>
  <c r="X565" i="26"/>
  <c r="Y565" i="26"/>
  <c r="Z565" i="26"/>
  <c r="M566" i="26"/>
  <c r="X566" i="26"/>
  <c r="Y566" i="26"/>
  <c r="Z566" i="26"/>
  <c r="X571" i="26"/>
  <c r="Y571" i="26"/>
  <c r="Z571" i="26"/>
  <c r="Z575" i="26"/>
  <c r="R582" i="26"/>
  <c r="X582" i="26"/>
  <c r="Y582" i="26"/>
  <c r="Z582" i="26"/>
  <c r="M583" i="26"/>
  <c r="X583" i="26"/>
  <c r="Y583" i="26"/>
  <c r="Z583" i="26"/>
  <c r="R584" i="26"/>
  <c r="X584" i="26"/>
  <c r="Y584" i="26"/>
  <c r="Z584" i="26"/>
  <c r="R585" i="26"/>
  <c r="X585" i="26"/>
  <c r="Y585" i="26"/>
  <c r="Z585" i="26"/>
  <c r="M586" i="26"/>
  <c r="X586" i="26"/>
  <c r="Y586" i="26"/>
  <c r="Z586" i="26"/>
  <c r="M592" i="26"/>
  <c r="X592" i="26"/>
  <c r="Y592" i="26"/>
  <c r="Z592" i="26"/>
  <c r="X593" i="26"/>
  <c r="Y593" i="26"/>
  <c r="Z593" i="26"/>
  <c r="M596" i="26"/>
  <c r="X596" i="26"/>
  <c r="Y596" i="26"/>
  <c r="Z596" i="26"/>
  <c r="M597" i="26"/>
  <c r="X597" i="26"/>
  <c r="Y597" i="26"/>
  <c r="Z597" i="26"/>
  <c r="X598" i="26"/>
  <c r="Y598" i="26"/>
  <c r="Z598" i="26"/>
  <c r="X599" i="26"/>
  <c r="Y599" i="26"/>
  <c r="Z599" i="26"/>
  <c r="M600" i="26"/>
  <c r="X600" i="26"/>
  <c r="Y600" i="26"/>
  <c r="Z600" i="26"/>
  <c r="M604" i="26"/>
  <c r="X604" i="26"/>
  <c r="Y604" i="26"/>
  <c r="Z604" i="26"/>
  <c r="M605" i="26"/>
  <c r="R605" i="26"/>
  <c r="X605" i="26"/>
  <c r="Y605" i="26"/>
  <c r="Z605" i="26"/>
  <c r="W606" i="26"/>
  <c r="X606" i="26"/>
  <c r="Y606" i="26"/>
  <c r="Z606" i="26"/>
  <c r="R611" i="26"/>
  <c r="X611" i="26"/>
  <c r="Y611" i="26"/>
  <c r="Z611" i="26"/>
  <c r="M612" i="26"/>
  <c r="X612" i="26"/>
  <c r="Y612" i="26"/>
  <c r="Z612" i="26"/>
  <c r="R613" i="26"/>
  <c r="X613" i="26"/>
  <c r="Y613" i="26"/>
  <c r="Z613" i="26"/>
  <c r="M614" i="26"/>
  <c r="R614" i="26"/>
  <c r="X614" i="26"/>
  <c r="Y614" i="26"/>
  <c r="Z614" i="26"/>
  <c r="M615" i="26"/>
  <c r="R615" i="26"/>
  <c r="X615" i="26"/>
  <c r="Y615" i="26"/>
  <c r="Z615" i="26"/>
  <c r="M616" i="26"/>
  <c r="X616" i="26"/>
  <c r="Y616" i="26"/>
  <c r="Z616" i="26"/>
  <c r="M617" i="26"/>
  <c r="W617" i="26"/>
  <c r="X617" i="26"/>
  <c r="Y617" i="26"/>
  <c r="Z617" i="26"/>
  <c r="M618" i="26"/>
  <c r="R618" i="26"/>
  <c r="X618" i="26"/>
  <c r="Y618" i="26"/>
  <c r="Z618" i="26"/>
  <c r="M619" i="26"/>
  <c r="R619" i="26"/>
  <c r="W619" i="26"/>
  <c r="X619" i="26"/>
  <c r="Y619" i="26"/>
  <c r="Z619" i="26"/>
  <c r="M624" i="26"/>
  <c r="R624" i="26"/>
  <c r="X624" i="26"/>
  <c r="Y624" i="26"/>
  <c r="Z624" i="26"/>
  <c r="R625" i="26"/>
  <c r="X625" i="26"/>
  <c r="Y625" i="26"/>
  <c r="Z625" i="26"/>
  <c r="R626" i="26"/>
  <c r="X626" i="26"/>
  <c r="Y626" i="26"/>
  <c r="Z626" i="26"/>
  <c r="X627" i="26"/>
  <c r="Y627" i="26"/>
  <c r="Z627" i="26"/>
  <c r="X628" i="26"/>
  <c r="Y628" i="26"/>
  <c r="Z628" i="26"/>
  <c r="R629" i="26"/>
  <c r="X629" i="26"/>
  <c r="Y629" i="26"/>
  <c r="Z629" i="26"/>
  <c r="R630" i="26"/>
  <c r="X630" i="26"/>
  <c r="Y630" i="26"/>
  <c r="Z630" i="26"/>
  <c r="M631" i="26"/>
  <c r="R631" i="26"/>
  <c r="X631" i="26"/>
  <c r="Y631" i="26"/>
  <c r="Z631" i="26"/>
  <c r="M632" i="26"/>
  <c r="X632" i="26"/>
  <c r="Y632" i="26"/>
  <c r="Z632" i="26"/>
  <c r="M633" i="26"/>
  <c r="R633" i="26"/>
  <c r="X633" i="26"/>
  <c r="Y633" i="26"/>
  <c r="Z633" i="26"/>
  <c r="M634" i="26"/>
  <c r="R634" i="26"/>
  <c r="X634" i="26"/>
  <c r="Y634" i="26"/>
  <c r="Z634" i="26"/>
  <c r="M635" i="26"/>
  <c r="R635" i="26"/>
  <c r="X635" i="26"/>
  <c r="Y635" i="26"/>
  <c r="Z635" i="26"/>
  <c r="M636" i="26"/>
  <c r="R636" i="26"/>
  <c r="X636" i="26"/>
  <c r="Y636" i="26"/>
  <c r="Z636" i="26"/>
  <c r="R637" i="26"/>
  <c r="X637" i="26"/>
  <c r="Y637" i="26"/>
  <c r="Z637" i="26"/>
  <c r="R638" i="26"/>
  <c r="X638" i="26"/>
  <c r="Y638" i="26"/>
  <c r="Z638" i="26"/>
  <c r="Z640" i="26"/>
  <c r="M646" i="26"/>
  <c r="R646" i="26"/>
  <c r="X646" i="26"/>
  <c r="Y646" i="26"/>
  <c r="Z646" i="26"/>
  <c r="M647" i="26"/>
  <c r="X647" i="26"/>
  <c r="Y647" i="26"/>
  <c r="Z647" i="26"/>
  <c r="M648" i="26"/>
  <c r="X648" i="26"/>
  <c r="Y648" i="26"/>
  <c r="Z648" i="26"/>
  <c r="M649" i="26"/>
  <c r="X649" i="26"/>
  <c r="Y649" i="26"/>
  <c r="Z649" i="26"/>
  <c r="M650" i="26"/>
  <c r="R650" i="26"/>
  <c r="X650" i="26"/>
  <c r="Y650" i="26"/>
  <c r="Z650" i="26"/>
  <c r="M651" i="26"/>
  <c r="R651" i="26"/>
  <c r="V651" i="26"/>
  <c r="X651" i="26"/>
  <c r="Y651" i="26"/>
  <c r="Z651" i="26"/>
  <c r="M652" i="26"/>
  <c r="R652" i="26"/>
  <c r="V652" i="26"/>
  <c r="X652" i="26"/>
  <c r="Y652" i="26"/>
  <c r="Z652" i="26"/>
  <c r="M653" i="26"/>
  <c r="R653" i="26"/>
  <c r="V653" i="26"/>
  <c r="X653" i="26"/>
  <c r="Y653" i="26"/>
  <c r="Z653" i="26"/>
  <c r="M654" i="26"/>
  <c r="R654" i="26"/>
  <c r="X654" i="26"/>
  <c r="Y654" i="26"/>
  <c r="Z654" i="26"/>
  <c r="Z656" i="26"/>
  <c r="Z658" i="26"/>
  <c r="M663" i="26"/>
  <c r="R663" i="26"/>
  <c r="X663" i="26"/>
  <c r="Y663" i="26"/>
  <c r="Z663" i="26"/>
  <c r="M668" i="26"/>
  <c r="X668" i="26"/>
  <c r="Y668" i="26"/>
  <c r="Z668" i="26"/>
  <c r="M669" i="26"/>
  <c r="R669" i="26"/>
  <c r="X669" i="26"/>
  <c r="Y669" i="26"/>
  <c r="Z669" i="26"/>
  <c r="X670" i="26"/>
  <c r="Y670" i="26"/>
  <c r="Z670" i="26"/>
  <c r="R671" i="26"/>
  <c r="X671" i="26"/>
  <c r="Y671" i="26"/>
  <c r="Z671" i="26"/>
  <c r="M672" i="26"/>
  <c r="X672" i="26"/>
  <c r="Y672" i="26"/>
  <c r="Z672" i="26"/>
  <c r="M673" i="26"/>
  <c r="X673" i="26"/>
  <c r="Y673" i="26"/>
  <c r="Z673" i="26"/>
  <c r="M674" i="26"/>
  <c r="X674" i="26"/>
  <c r="Y674" i="26"/>
  <c r="Z674" i="26"/>
  <c r="M675" i="26"/>
  <c r="R675" i="26"/>
  <c r="X675" i="26"/>
  <c r="Y675" i="26"/>
  <c r="Z675" i="26"/>
  <c r="M676" i="26"/>
  <c r="X676" i="26"/>
  <c r="Y676" i="26"/>
  <c r="Z676" i="26"/>
  <c r="M677" i="26"/>
  <c r="R677" i="26"/>
  <c r="X677" i="26"/>
  <c r="Y677" i="26"/>
  <c r="Z677" i="26"/>
  <c r="M678" i="26"/>
  <c r="R678" i="26"/>
  <c r="X678" i="26"/>
  <c r="Y678" i="26"/>
  <c r="Z678" i="26"/>
  <c r="M679" i="26"/>
  <c r="R679" i="26"/>
  <c r="X679" i="26"/>
  <c r="Y679" i="26"/>
  <c r="Z679" i="26"/>
  <c r="R684" i="26"/>
  <c r="X684" i="26"/>
  <c r="Y684" i="26"/>
  <c r="Z684" i="26"/>
  <c r="R685" i="26"/>
  <c r="X685" i="26"/>
  <c r="Y685" i="26"/>
  <c r="Z685" i="26"/>
  <c r="X686" i="26"/>
  <c r="Y686" i="26"/>
  <c r="Z686" i="26"/>
  <c r="X687" i="26"/>
  <c r="Y687" i="26"/>
  <c r="Z687" i="26"/>
  <c r="M688" i="26"/>
  <c r="R688" i="26"/>
  <c r="X688" i="26"/>
  <c r="Y688" i="26"/>
  <c r="Z688" i="26"/>
  <c r="R689" i="26"/>
  <c r="X689" i="26"/>
  <c r="Y689" i="26"/>
  <c r="Z689" i="26"/>
  <c r="X690" i="26"/>
  <c r="Y690" i="26"/>
  <c r="Z690" i="26"/>
  <c r="X691" i="26"/>
  <c r="Y691" i="26"/>
  <c r="Z691" i="26"/>
  <c r="R692" i="26"/>
  <c r="W692" i="26"/>
  <c r="X692" i="26"/>
  <c r="Y692" i="26"/>
  <c r="Z692" i="26"/>
  <c r="R693" i="26"/>
  <c r="X693" i="26"/>
  <c r="Y693" i="26"/>
  <c r="Z693" i="26"/>
  <c r="W694" i="26"/>
  <c r="X694" i="26"/>
  <c r="Y694" i="26"/>
  <c r="Z694" i="26"/>
  <c r="R695" i="26"/>
  <c r="W695" i="26"/>
  <c r="X695" i="26"/>
  <c r="Y695" i="26"/>
  <c r="Z695" i="26"/>
  <c r="W696" i="26"/>
  <c r="X696" i="26"/>
  <c r="Y696" i="26"/>
  <c r="Z696" i="26"/>
  <c r="M697" i="26"/>
  <c r="X697" i="26"/>
  <c r="Y697" i="26"/>
  <c r="Z697" i="26"/>
  <c r="R698" i="26"/>
  <c r="W698" i="26"/>
  <c r="X698" i="26"/>
  <c r="Y698" i="26"/>
  <c r="Z698" i="26"/>
  <c r="M703" i="26"/>
  <c r="R703" i="26"/>
  <c r="X703" i="26"/>
  <c r="Y703" i="26"/>
  <c r="Z703" i="26"/>
  <c r="M704" i="26"/>
  <c r="R704" i="26"/>
  <c r="X704" i="26"/>
  <c r="Y704" i="26"/>
  <c r="Z704" i="26"/>
  <c r="R705" i="26"/>
  <c r="X705" i="26"/>
  <c r="Y705" i="26"/>
  <c r="Z705" i="26"/>
  <c r="M706" i="26"/>
  <c r="X706" i="26"/>
  <c r="Y706" i="26"/>
  <c r="Z706" i="26"/>
  <c r="M707" i="26"/>
  <c r="R707" i="26"/>
  <c r="X707" i="26"/>
  <c r="Y707" i="26"/>
  <c r="Z707" i="26"/>
  <c r="M708" i="26"/>
  <c r="X708" i="26"/>
  <c r="Y708" i="26"/>
  <c r="Z708" i="26"/>
  <c r="M709" i="26"/>
  <c r="X709" i="26"/>
  <c r="Y709" i="26"/>
  <c r="Z709" i="26"/>
  <c r="M710" i="26"/>
  <c r="X710" i="26"/>
  <c r="Y710" i="26"/>
  <c r="Z710" i="26"/>
  <c r="M711" i="26"/>
  <c r="R711" i="26"/>
  <c r="X711" i="26"/>
  <c r="Y711" i="26"/>
  <c r="Z711" i="26"/>
  <c r="M712" i="26"/>
  <c r="W712" i="26"/>
  <c r="X712" i="26"/>
  <c r="Y712" i="26"/>
  <c r="Z712" i="26"/>
  <c r="M713" i="26"/>
  <c r="X713" i="26"/>
  <c r="Y713" i="26"/>
  <c r="Z713" i="26"/>
  <c r="M714" i="26"/>
  <c r="X714" i="26"/>
  <c r="Y714" i="26"/>
  <c r="Z714" i="26"/>
  <c r="M715" i="26"/>
  <c r="X715" i="26"/>
  <c r="Y715" i="26"/>
  <c r="Z715" i="26"/>
  <c r="M716" i="26"/>
  <c r="R716" i="26"/>
  <c r="X716" i="26"/>
  <c r="Y716" i="26"/>
  <c r="Z716" i="26"/>
  <c r="M717" i="26"/>
  <c r="X717" i="26"/>
  <c r="Y717" i="26"/>
  <c r="Z717" i="26"/>
  <c r="M718" i="26"/>
  <c r="X718" i="26"/>
  <c r="Y718" i="26"/>
  <c r="Z718" i="26"/>
  <c r="M719" i="26"/>
  <c r="X719" i="26"/>
  <c r="Y719" i="26"/>
  <c r="Z719" i="26"/>
  <c r="M720" i="26"/>
  <c r="X720" i="26"/>
  <c r="Y720" i="26"/>
  <c r="Z720" i="26"/>
  <c r="M721" i="26"/>
  <c r="X721" i="26"/>
  <c r="Y721" i="26"/>
  <c r="Z721" i="26"/>
  <c r="M722" i="26"/>
  <c r="R722" i="26"/>
  <c r="X722" i="26"/>
  <c r="Y722" i="26"/>
  <c r="Z722" i="26"/>
  <c r="M723" i="26"/>
  <c r="R723" i="26"/>
  <c r="X723" i="26"/>
  <c r="Y723" i="26"/>
  <c r="Z723" i="26"/>
  <c r="M724" i="26"/>
  <c r="R724" i="26"/>
  <c r="W724" i="26"/>
  <c r="X724" i="26"/>
  <c r="Y724" i="26"/>
  <c r="Z724" i="26"/>
  <c r="M725" i="26"/>
  <c r="R725" i="26"/>
  <c r="W725" i="26"/>
  <c r="X725" i="26"/>
  <c r="Y725" i="26"/>
  <c r="Z725" i="26"/>
  <c r="M726" i="26"/>
  <c r="X726" i="26"/>
  <c r="Y726" i="26"/>
  <c r="Z726" i="26"/>
  <c r="M727" i="26"/>
  <c r="R727" i="26"/>
  <c r="X727" i="26"/>
  <c r="Y727" i="26"/>
  <c r="Z727" i="26"/>
  <c r="M728" i="26"/>
  <c r="W728" i="26"/>
  <c r="X728" i="26"/>
  <c r="Y728" i="26"/>
  <c r="Z728" i="26"/>
  <c r="M729" i="26"/>
  <c r="W729" i="26"/>
  <c r="X729" i="26"/>
  <c r="Y729" i="26"/>
  <c r="Z729" i="26"/>
  <c r="M730" i="26"/>
  <c r="R730" i="26"/>
  <c r="X730" i="26"/>
  <c r="Y730" i="26"/>
  <c r="Z730" i="26"/>
  <c r="M731" i="26"/>
  <c r="R731" i="26"/>
  <c r="X731" i="26"/>
  <c r="Y731" i="26"/>
  <c r="Z731" i="26"/>
  <c r="M732" i="26"/>
  <c r="X732" i="26"/>
  <c r="Y732" i="26"/>
  <c r="Z732" i="26"/>
  <c r="M733" i="26"/>
  <c r="R733" i="26"/>
  <c r="X733" i="26"/>
  <c r="Y733" i="26"/>
  <c r="Z733" i="26"/>
  <c r="M734" i="26"/>
  <c r="R734" i="26"/>
  <c r="X734" i="26"/>
  <c r="Y734" i="26"/>
  <c r="Z734" i="26"/>
  <c r="M735" i="26"/>
  <c r="R735" i="26"/>
  <c r="W735" i="26"/>
  <c r="X735" i="26"/>
  <c r="Y735" i="26"/>
  <c r="Z735" i="26"/>
  <c r="R736" i="26"/>
  <c r="X736" i="26"/>
  <c r="Y736" i="26"/>
  <c r="Z736" i="26"/>
  <c r="W737" i="26"/>
  <c r="X737" i="26"/>
  <c r="Y737" i="26"/>
  <c r="Z737" i="26"/>
  <c r="M738" i="26"/>
  <c r="X738" i="26"/>
  <c r="Y738" i="26"/>
  <c r="Z738" i="26"/>
  <c r="M743" i="26"/>
  <c r="R743" i="26"/>
  <c r="X743" i="26"/>
  <c r="Y743" i="26"/>
  <c r="Z743" i="26"/>
  <c r="M744" i="26"/>
  <c r="R744" i="26"/>
  <c r="X744" i="26"/>
  <c r="Y744" i="26"/>
  <c r="Z744" i="26"/>
  <c r="M745" i="26"/>
  <c r="R745" i="26"/>
  <c r="X745" i="26"/>
  <c r="Y745" i="26"/>
  <c r="Z745" i="26"/>
  <c r="M746" i="26"/>
  <c r="R746" i="26"/>
  <c r="X746" i="26"/>
  <c r="Y746" i="26"/>
  <c r="Z746" i="26"/>
  <c r="Z749" i="26"/>
  <c r="R754" i="26"/>
  <c r="X754" i="26"/>
  <c r="Y754" i="26"/>
  <c r="Z754" i="26"/>
  <c r="M758" i="26"/>
  <c r="R758" i="26"/>
  <c r="X758" i="26"/>
  <c r="Y758" i="26"/>
  <c r="Z758" i="26"/>
  <c r="R759" i="26"/>
  <c r="X759" i="26"/>
  <c r="Y759" i="26"/>
  <c r="Z759" i="26"/>
  <c r="X760" i="26"/>
  <c r="Y760" i="26"/>
  <c r="Z760" i="26"/>
  <c r="X761" i="26"/>
  <c r="Y761" i="26"/>
  <c r="Z761" i="26"/>
  <c r="M762" i="26"/>
  <c r="X762" i="26"/>
  <c r="Y762" i="26"/>
  <c r="Z762" i="26"/>
  <c r="X766" i="26"/>
  <c r="Y766" i="26"/>
  <c r="Z766" i="26"/>
  <c r="X771" i="26"/>
  <c r="Y771" i="26"/>
  <c r="Z771" i="26"/>
  <c r="M772" i="26"/>
  <c r="R772" i="26"/>
  <c r="X772" i="26"/>
  <c r="Y772" i="26"/>
  <c r="Z772" i="26"/>
  <c r="M773" i="26"/>
  <c r="X773" i="26"/>
  <c r="Y773" i="26"/>
  <c r="Z773" i="26"/>
  <c r="M774" i="26"/>
  <c r="R774" i="26"/>
  <c r="X774" i="26"/>
  <c r="Y774" i="26"/>
  <c r="Z774" i="26"/>
  <c r="X775" i="26"/>
  <c r="Y775" i="26"/>
  <c r="Z775" i="26"/>
  <c r="X776" i="26"/>
  <c r="Y776" i="26"/>
  <c r="Z776" i="26"/>
  <c r="M777" i="26"/>
  <c r="X777" i="26"/>
  <c r="Y777" i="26"/>
  <c r="Z777" i="26"/>
  <c r="W778" i="26"/>
  <c r="X778" i="26"/>
  <c r="Y778" i="26"/>
  <c r="Z778" i="26"/>
  <c r="M781" i="26"/>
  <c r="R781" i="26"/>
  <c r="X781" i="26"/>
  <c r="Y781" i="26"/>
  <c r="Z781" i="26"/>
  <c r="M787" i="26"/>
  <c r="R787" i="26"/>
  <c r="X787" i="26"/>
  <c r="Y787" i="26"/>
  <c r="Z787" i="26"/>
  <c r="X788" i="26"/>
  <c r="Y788" i="26"/>
  <c r="Z788" i="26"/>
  <c r="M789" i="26"/>
  <c r="R789" i="26"/>
  <c r="X789" i="26"/>
  <c r="Y789" i="26"/>
  <c r="Z789" i="26"/>
  <c r="M790" i="26"/>
  <c r="R790" i="26"/>
  <c r="X790" i="26"/>
  <c r="Y790" i="26"/>
  <c r="Z790" i="26"/>
  <c r="M797" i="26"/>
  <c r="R797" i="26"/>
  <c r="X797" i="26"/>
  <c r="Y797" i="26"/>
  <c r="Z797" i="26"/>
  <c r="M798" i="26"/>
  <c r="X798" i="26"/>
  <c r="Y798" i="26"/>
  <c r="Z798" i="26"/>
  <c r="M799" i="26"/>
  <c r="R799" i="26"/>
  <c r="X799" i="26"/>
  <c r="Y799" i="26"/>
  <c r="Z799" i="26"/>
  <c r="M800" i="26"/>
  <c r="R800" i="26"/>
  <c r="X800" i="26"/>
  <c r="Y800" i="26"/>
  <c r="Z800" i="26"/>
  <c r="M801" i="26"/>
  <c r="R801" i="26"/>
  <c r="X801" i="26"/>
  <c r="Y801" i="26"/>
  <c r="Z801" i="26"/>
  <c r="M802" i="26"/>
  <c r="X802" i="26"/>
  <c r="Y802" i="26"/>
  <c r="Z802" i="26"/>
  <c r="M803" i="26"/>
  <c r="X803" i="26"/>
  <c r="Y803" i="26"/>
  <c r="Z803" i="26"/>
  <c r="M804" i="26"/>
  <c r="X804" i="26"/>
  <c r="Y804" i="26"/>
  <c r="Z804" i="26"/>
  <c r="M805" i="26"/>
  <c r="X805" i="26"/>
  <c r="Y805" i="26"/>
  <c r="Z805" i="26"/>
  <c r="M808" i="26"/>
  <c r="R808" i="26"/>
  <c r="X808" i="26"/>
  <c r="Y808" i="26"/>
  <c r="Z808" i="26"/>
  <c r="M814" i="26"/>
  <c r="R814" i="26"/>
  <c r="X814" i="26"/>
  <c r="Y814" i="26"/>
  <c r="Z814" i="26"/>
  <c r="M815" i="26"/>
  <c r="X815" i="26"/>
  <c r="Y815" i="26"/>
  <c r="Z815" i="26"/>
  <c r="R816" i="26"/>
  <c r="X816" i="26"/>
  <c r="Y816" i="26"/>
  <c r="Z816" i="26"/>
  <c r="M817" i="26"/>
  <c r="X817" i="26"/>
  <c r="Y817" i="26"/>
  <c r="Z817" i="26"/>
  <c r="M818" i="26"/>
  <c r="X818" i="26"/>
  <c r="Y818" i="26"/>
  <c r="Z818" i="26"/>
  <c r="X821" i="26"/>
  <c r="Y821" i="26"/>
  <c r="Z821" i="26"/>
  <c r="X822" i="26"/>
  <c r="Y822" i="26"/>
  <c r="Z822" i="26"/>
  <c r="X823" i="26"/>
  <c r="Y823" i="26"/>
  <c r="Z823" i="26"/>
  <c r="M829" i="26"/>
  <c r="R829" i="26"/>
  <c r="X829" i="26"/>
  <c r="Y829" i="26"/>
  <c r="Z829" i="26"/>
  <c r="M830" i="26"/>
  <c r="R830" i="26"/>
  <c r="X830" i="26"/>
  <c r="Y830" i="26"/>
  <c r="Z830" i="26"/>
  <c r="M834" i="26"/>
  <c r="R834" i="26"/>
  <c r="X834" i="26"/>
  <c r="Y834" i="26"/>
  <c r="Z834" i="26"/>
  <c r="X835" i="26"/>
  <c r="Y835" i="26"/>
  <c r="Z835" i="26"/>
  <c r="M841" i="26"/>
  <c r="R841" i="26"/>
  <c r="X841" i="26"/>
  <c r="Y841" i="26"/>
  <c r="Z841" i="26"/>
  <c r="M842" i="26"/>
  <c r="R842" i="26"/>
  <c r="X842" i="26"/>
  <c r="Y842" i="26"/>
  <c r="Z842" i="26"/>
  <c r="M843" i="26"/>
  <c r="R843" i="26"/>
  <c r="X843" i="26"/>
  <c r="Y843" i="26"/>
  <c r="Z843" i="26"/>
  <c r="M844" i="26"/>
  <c r="R844" i="26"/>
  <c r="W844" i="26"/>
  <c r="X844" i="26"/>
  <c r="Y844" i="26"/>
  <c r="Z844" i="26"/>
  <c r="Z849" i="26"/>
  <c r="M855" i="26"/>
  <c r="R855" i="26"/>
  <c r="X855" i="26"/>
  <c r="Y855" i="26"/>
  <c r="Z855" i="26"/>
  <c r="M856" i="26"/>
  <c r="X856" i="26"/>
  <c r="Y856" i="26"/>
  <c r="Z856" i="26"/>
  <c r="M862" i="26"/>
  <c r="R862" i="26"/>
  <c r="X862" i="26"/>
  <c r="Y862" i="26"/>
  <c r="Z862" i="26"/>
  <c r="M863" i="26"/>
  <c r="X863" i="26"/>
  <c r="Y863" i="26"/>
  <c r="Z863" i="26"/>
  <c r="M864" i="26"/>
  <c r="R864" i="26"/>
  <c r="X864" i="26"/>
  <c r="Y864" i="26"/>
  <c r="Z864" i="26"/>
  <c r="X865" i="26"/>
  <c r="Y865" i="26"/>
  <c r="Z865" i="26"/>
  <c r="X866" i="26"/>
  <c r="Y866" i="26"/>
  <c r="Z866" i="26"/>
  <c r="X867" i="26"/>
  <c r="Y867" i="26"/>
  <c r="Z867" i="26"/>
  <c r="X868" i="26"/>
  <c r="Y868" i="26"/>
  <c r="Z868" i="26"/>
  <c r="X869" i="26"/>
  <c r="Y869" i="26"/>
  <c r="Z869" i="26"/>
  <c r="M870" i="26"/>
  <c r="X870" i="26"/>
  <c r="Y870" i="26"/>
  <c r="Z870" i="26"/>
  <c r="M871" i="26"/>
  <c r="R871" i="26"/>
  <c r="W871" i="26"/>
  <c r="X871" i="26"/>
  <c r="Y871" i="26"/>
  <c r="Z871" i="26"/>
  <c r="M877" i="26"/>
  <c r="R877" i="26"/>
  <c r="X877" i="26"/>
  <c r="Y877" i="26"/>
  <c r="Z877" i="26"/>
  <c r="M878" i="26"/>
  <c r="R878" i="26"/>
  <c r="X878" i="26"/>
  <c r="Y878" i="26"/>
  <c r="Z878" i="26"/>
  <c r="M879" i="26"/>
  <c r="R879" i="26"/>
  <c r="X879" i="26"/>
  <c r="Y879" i="26"/>
  <c r="Z879" i="26"/>
  <c r="M880" i="26"/>
  <c r="X880" i="26"/>
  <c r="Y880" i="26"/>
  <c r="Z880" i="26"/>
  <c r="M881" i="26"/>
  <c r="R881" i="26"/>
  <c r="X881" i="26"/>
  <c r="Y881" i="26"/>
  <c r="Z881" i="26"/>
  <c r="X887" i="26"/>
  <c r="Y887" i="26"/>
  <c r="Z887" i="26"/>
  <c r="M888" i="26"/>
  <c r="R888" i="26"/>
  <c r="X888" i="26"/>
  <c r="Y888" i="26"/>
  <c r="Z888" i="26"/>
  <c r="M889" i="26"/>
  <c r="R889" i="26"/>
  <c r="X889" i="26"/>
  <c r="Y889" i="26"/>
  <c r="Z889" i="26"/>
  <c r="M894" i="26"/>
  <c r="R894" i="26"/>
  <c r="X894" i="26"/>
  <c r="Y894" i="26"/>
  <c r="Z894" i="26"/>
  <c r="R895" i="26"/>
  <c r="X895" i="26"/>
  <c r="Y895" i="26"/>
  <c r="Z895" i="26"/>
  <c r="M896" i="26"/>
  <c r="X896" i="26"/>
  <c r="Y896" i="26"/>
  <c r="Z896" i="26"/>
  <c r="M897" i="26"/>
  <c r="X897" i="26"/>
  <c r="Y897" i="26"/>
  <c r="Z897" i="26"/>
  <c r="R898" i="26"/>
  <c r="X898" i="26"/>
  <c r="Y898" i="26"/>
  <c r="Z898" i="26"/>
  <c r="M899" i="26"/>
  <c r="R899" i="26"/>
  <c r="X899" i="26"/>
  <c r="Y899" i="26"/>
  <c r="Z899" i="26"/>
  <c r="M900" i="26"/>
  <c r="R900" i="26"/>
  <c r="X900" i="26"/>
  <c r="Y900" i="26"/>
  <c r="Z900" i="26"/>
  <c r="M901" i="26"/>
  <c r="R901" i="26"/>
  <c r="X901" i="26"/>
  <c r="Y901" i="26"/>
  <c r="Z901" i="26"/>
  <c r="M902" i="26"/>
  <c r="R902" i="26"/>
  <c r="X902" i="26"/>
  <c r="Y902" i="26"/>
  <c r="Z902" i="26"/>
  <c r="M903" i="26"/>
  <c r="X903" i="26"/>
  <c r="Y903" i="26"/>
  <c r="Z903" i="26"/>
  <c r="M904" i="26"/>
  <c r="X904" i="26"/>
  <c r="Y904" i="26"/>
  <c r="Z904" i="26"/>
  <c r="M907" i="26"/>
  <c r="X907" i="26"/>
  <c r="Y907" i="26"/>
  <c r="Z907" i="26"/>
  <c r="Z913" i="26"/>
  <c r="R920" i="26"/>
  <c r="X920" i="26"/>
  <c r="Y920" i="26"/>
  <c r="Z920" i="26"/>
  <c r="M921" i="26"/>
  <c r="X921" i="26"/>
  <c r="Y921" i="26"/>
  <c r="Z921" i="26"/>
  <c r="M922" i="26"/>
  <c r="R922" i="26"/>
  <c r="X922" i="26"/>
  <c r="Y922" i="26"/>
  <c r="Z922" i="26"/>
  <c r="M923" i="26"/>
  <c r="R923" i="26"/>
  <c r="X923" i="26"/>
  <c r="Y923" i="26"/>
  <c r="Z923" i="26"/>
  <c r="M924" i="26"/>
  <c r="R924" i="26"/>
  <c r="X924" i="26"/>
  <c r="Y924" i="26"/>
  <c r="Z924" i="26"/>
  <c r="M925" i="26"/>
  <c r="R925" i="26"/>
  <c r="X925" i="26"/>
  <c r="Y925" i="26"/>
  <c r="Z925" i="26"/>
  <c r="M926" i="26"/>
  <c r="R926" i="26"/>
  <c r="X926" i="26"/>
  <c r="Y926" i="26"/>
  <c r="Z926" i="26"/>
  <c r="M927" i="26"/>
  <c r="R927" i="26"/>
  <c r="X927" i="26"/>
  <c r="Y927" i="26"/>
  <c r="Z927" i="26"/>
  <c r="R928" i="26"/>
  <c r="X928" i="26"/>
  <c r="Y928" i="26"/>
  <c r="Z928" i="26"/>
  <c r="M929" i="26"/>
  <c r="R929" i="26"/>
  <c r="X929" i="26"/>
  <c r="Y929" i="26"/>
  <c r="Z929" i="26"/>
  <c r="M930" i="26"/>
  <c r="X930" i="26"/>
  <c r="Y930" i="26"/>
  <c r="Z930" i="26"/>
  <c r="M931" i="26"/>
  <c r="R931" i="26"/>
  <c r="X931" i="26"/>
  <c r="Y931" i="26"/>
  <c r="Z931" i="26"/>
  <c r="M932" i="26"/>
  <c r="R932" i="26"/>
  <c r="X932" i="26"/>
  <c r="Y932" i="26"/>
  <c r="Z932" i="26"/>
  <c r="M933" i="26"/>
  <c r="R933" i="26"/>
  <c r="X933" i="26"/>
  <c r="Y933" i="26"/>
  <c r="Z933" i="26"/>
  <c r="M934" i="26"/>
  <c r="X934" i="26"/>
  <c r="Y934" i="26"/>
  <c r="Z934" i="26"/>
  <c r="M935" i="26"/>
  <c r="X935" i="26"/>
  <c r="Y935" i="26"/>
  <c r="Z935" i="26"/>
  <c r="X936" i="26"/>
  <c r="Y936" i="26"/>
  <c r="Z936" i="26"/>
  <c r="M940" i="26"/>
  <c r="R940" i="26"/>
  <c r="X940" i="26"/>
  <c r="Y940" i="26"/>
  <c r="Z940" i="26"/>
  <c r="Z942" i="26"/>
  <c r="Z944" i="26"/>
  <c r="X952" i="26"/>
  <c r="Y952" i="26"/>
  <c r="Z952" i="26"/>
  <c r="M958" i="26"/>
  <c r="X958" i="26"/>
  <c r="Y958" i="26"/>
  <c r="Z958" i="26"/>
  <c r="M959" i="26"/>
  <c r="X959" i="26"/>
  <c r="Y959" i="26"/>
  <c r="Z959" i="26"/>
  <c r="M960" i="26"/>
  <c r="X960" i="26"/>
  <c r="Y960" i="26"/>
  <c r="Z960" i="26"/>
  <c r="M961" i="26"/>
  <c r="X961" i="26"/>
  <c r="Y961" i="26"/>
  <c r="Z961" i="26"/>
  <c r="M962" i="26"/>
  <c r="X962" i="26"/>
  <c r="Y962" i="26"/>
  <c r="Z962" i="26"/>
  <c r="M963" i="26"/>
  <c r="X963" i="26"/>
  <c r="Y963" i="26"/>
  <c r="Z963" i="26"/>
  <c r="M964" i="26"/>
  <c r="X964" i="26"/>
  <c r="Y964" i="26"/>
  <c r="Z964" i="26"/>
  <c r="M965" i="26"/>
  <c r="X965" i="26"/>
  <c r="Y965" i="26"/>
  <c r="Z965" i="26"/>
  <c r="M966" i="26"/>
  <c r="X966" i="26"/>
  <c r="Y966" i="26"/>
  <c r="Z966" i="26"/>
  <c r="M967" i="26"/>
  <c r="X967" i="26"/>
  <c r="Y967" i="26"/>
  <c r="Z967" i="26"/>
  <c r="M970" i="26"/>
  <c r="X970" i="26"/>
  <c r="Y970" i="26"/>
  <c r="Z970" i="26"/>
  <c r="X971" i="26"/>
  <c r="Y971" i="26"/>
  <c r="Z971" i="26"/>
  <c r="M978" i="26"/>
  <c r="X978" i="26"/>
  <c r="Y978" i="26"/>
  <c r="Z978" i="26"/>
  <c r="X979" i="26"/>
  <c r="Y979" i="26"/>
  <c r="Z979" i="26"/>
  <c r="M980" i="26"/>
  <c r="X980" i="26"/>
  <c r="Y980" i="26"/>
  <c r="Z980" i="26"/>
  <c r="M985" i="26"/>
  <c r="X985" i="26"/>
  <c r="Y985" i="26"/>
  <c r="Z985" i="26"/>
  <c r="M986" i="26"/>
  <c r="X986" i="26"/>
  <c r="Y986" i="26"/>
  <c r="Z986" i="26"/>
  <c r="X987" i="26"/>
  <c r="Y987" i="26"/>
  <c r="Z987" i="26"/>
  <c r="X988" i="26"/>
  <c r="Y988" i="26"/>
  <c r="Z988" i="26"/>
  <c r="M989" i="26"/>
  <c r="X989" i="26"/>
  <c r="Y989" i="26"/>
  <c r="Z989" i="26"/>
  <c r="X990" i="26"/>
  <c r="Y990" i="26"/>
  <c r="Z990" i="26"/>
  <c r="M991" i="26"/>
  <c r="X991" i="26"/>
  <c r="Y991" i="26"/>
  <c r="Z991" i="26"/>
  <c r="X992" i="26"/>
  <c r="Y992" i="26"/>
  <c r="Z992" i="26"/>
  <c r="X993" i="26"/>
  <c r="Y993" i="26"/>
  <c r="Z993" i="26"/>
  <c r="X994" i="26"/>
  <c r="Y994" i="26"/>
  <c r="Z994" i="26"/>
  <c r="X995" i="26"/>
  <c r="Y995" i="26"/>
  <c r="Z995" i="26"/>
  <c r="X996" i="26"/>
  <c r="Y996" i="26"/>
  <c r="Z996" i="26"/>
  <c r="M997" i="26"/>
  <c r="X997" i="26"/>
  <c r="Y997" i="26"/>
  <c r="Z997" i="26"/>
  <c r="X998" i="26"/>
  <c r="Y998" i="26"/>
  <c r="Z998" i="26"/>
  <c r="M1004" i="26"/>
  <c r="X1004" i="26"/>
  <c r="Y1004" i="26"/>
  <c r="Z1004" i="26"/>
  <c r="M1006" i="26"/>
  <c r="R1006" i="26"/>
  <c r="X1006" i="26"/>
  <c r="Y1006" i="26"/>
  <c r="Z1006" i="26"/>
  <c r="M1007" i="26"/>
  <c r="X1007" i="26"/>
  <c r="Y1007" i="26"/>
  <c r="Z1007" i="26"/>
  <c r="M1008" i="26"/>
  <c r="R1008" i="26"/>
  <c r="X1008" i="26"/>
  <c r="Y1008" i="26"/>
  <c r="Z1008" i="26"/>
  <c r="M1009" i="26"/>
  <c r="X1009" i="26"/>
  <c r="Y1009" i="26"/>
  <c r="Z1009" i="26"/>
  <c r="M1010" i="26"/>
  <c r="R1010" i="26"/>
  <c r="X1010" i="26"/>
  <c r="Y1010" i="26"/>
  <c r="Z1010" i="26"/>
  <c r="M1014" i="26"/>
  <c r="R1014" i="26"/>
  <c r="X1014" i="26"/>
  <c r="Y1014" i="26"/>
  <c r="Z1014" i="26"/>
  <c r="X1015" i="26"/>
  <c r="Y1015" i="26"/>
  <c r="Z1015" i="26"/>
  <c r="X1016" i="26"/>
  <c r="Y1016" i="26"/>
  <c r="Z1016" i="26"/>
  <c r="X1017" i="26"/>
  <c r="Y1017" i="26"/>
  <c r="Z1017" i="26"/>
  <c r="X1018" i="26"/>
  <c r="Y1018" i="26"/>
  <c r="Z1018" i="26"/>
  <c r="Z1020" i="26"/>
  <c r="X1032" i="26"/>
  <c r="Y1032" i="26"/>
  <c r="Z1032" i="26"/>
  <c r="X1037" i="26"/>
  <c r="Y1037" i="26"/>
  <c r="Z1037" i="26"/>
  <c r="X1038" i="26"/>
  <c r="Y1038" i="26"/>
  <c r="Z1038" i="26"/>
  <c r="M1039" i="26"/>
  <c r="R1039" i="26"/>
  <c r="X1039" i="26"/>
  <c r="Y1039" i="26"/>
  <c r="Z1039" i="26"/>
  <c r="M1040" i="26"/>
  <c r="R1040" i="26"/>
  <c r="X1040" i="26"/>
  <c r="Y1040" i="26"/>
  <c r="Z1040" i="26"/>
  <c r="R1041" i="26"/>
  <c r="X1041" i="26"/>
  <c r="Y1041" i="26"/>
  <c r="Z1041" i="26"/>
  <c r="R1042" i="26"/>
  <c r="X1042" i="26"/>
  <c r="Y1042" i="26"/>
  <c r="Z1042" i="26"/>
  <c r="X1043" i="26"/>
  <c r="Y1043" i="26"/>
  <c r="Z1043" i="26"/>
  <c r="M1044" i="26"/>
  <c r="R1044" i="26"/>
  <c r="X1044" i="26"/>
  <c r="Y1044" i="26"/>
  <c r="Z1044" i="26"/>
  <c r="M1045" i="26"/>
  <c r="R1045" i="26"/>
  <c r="X1045" i="26"/>
  <c r="Y1045" i="26"/>
  <c r="Z1045" i="26"/>
  <c r="M1046" i="26"/>
  <c r="X1046" i="26"/>
  <c r="Y1046" i="26"/>
  <c r="Z1046" i="26"/>
  <c r="M1047" i="26"/>
  <c r="X1047" i="26"/>
  <c r="Y1047" i="26"/>
  <c r="Z1047" i="26"/>
  <c r="M1048" i="26"/>
  <c r="X1048" i="26"/>
  <c r="Y1048" i="26"/>
  <c r="Z1048" i="26"/>
  <c r="R1049" i="26"/>
  <c r="X1049" i="26"/>
  <c r="Y1049" i="26"/>
  <c r="Z1049" i="26"/>
  <c r="R1050" i="26"/>
  <c r="X1050" i="26"/>
  <c r="Y1050" i="26"/>
  <c r="Z1050" i="26"/>
  <c r="M1051" i="26"/>
  <c r="X1051" i="26"/>
  <c r="Y1051" i="26"/>
  <c r="Z1051" i="26"/>
  <c r="M1052" i="26"/>
  <c r="R1052" i="26"/>
  <c r="W1052" i="26"/>
  <c r="X1052" i="26"/>
  <c r="Y1052" i="26"/>
  <c r="Z1052" i="26"/>
  <c r="M1053" i="26"/>
  <c r="R1053" i="26"/>
  <c r="W1053" i="26"/>
  <c r="X1053" i="26"/>
  <c r="Y1053" i="26"/>
  <c r="Z1053" i="26"/>
  <c r="M1054" i="26"/>
  <c r="W1054" i="26"/>
  <c r="X1054" i="26"/>
  <c r="Y1054" i="26"/>
  <c r="Z1054" i="26"/>
  <c r="M1055" i="26"/>
  <c r="R1055" i="26"/>
  <c r="W1055" i="26"/>
  <c r="X1055" i="26"/>
  <c r="Y1055" i="26"/>
  <c r="Z1055" i="26"/>
  <c r="R1059" i="26"/>
  <c r="X1059" i="26"/>
  <c r="Y1059" i="26"/>
  <c r="Z1059" i="26"/>
  <c r="R1060" i="26"/>
  <c r="X1060" i="26"/>
  <c r="Y1060" i="26"/>
  <c r="Z1060" i="26"/>
  <c r="M1066" i="26"/>
  <c r="R1066" i="26"/>
  <c r="X1066" i="26"/>
  <c r="Y1066" i="26"/>
  <c r="Z1066" i="26"/>
  <c r="X1067" i="26"/>
  <c r="Y1067" i="26"/>
  <c r="Z1067" i="26"/>
  <c r="R1068" i="26"/>
  <c r="X1068" i="26"/>
  <c r="Y1068" i="26"/>
  <c r="Z1068" i="26"/>
  <c r="M1069" i="26"/>
  <c r="R1069" i="26"/>
  <c r="X1069" i="26"/>
  <c r="Y1069" i="26"/>
  <c r="Z1069" i="26"/>
  <c r="M1070" i="26"/>
  <c r="R1070" i="26"/>
  <c r="X1070" i="26"/>
  <c r="Y1070" i="26"/>
  <c r="Z1070" i="26"/>
  <c r="M1071" i="26"/>
  <c r="R1071" i="26"/>
  <c r="X1071" i="26"/>
  <c r="Y1071" i="26"/>
  <c r="Z1071" i="26"/>
  <c r="M1072" i="26"/>
  <c r="R1072" i="26"/>
  <c r="X1072" i="26"/>
  <c r="Y1072" i="26"/>
  <c r="Z1072" i="26"/>
  <c r="M1073" i="26"/>
  <c r="R1073" i="26"/>
  <c r="X1073" i="26"/>
  <c r="Y1073" i="26"/>
  <c r="Z1073" i="26"/>
  <c r="M1074" i="26"/>
  <c r="R1074" i="26"/>
  <c r="X1074" i="26"/>
  <c r="Y1074" i="26"/>
  <c r="Z1074" i="26"/>
  <c r="R1075" i="26"/>
  <c r="X1075" i="26"/>
  <c r="Y1075" i="26"/>
  <c r="Z1075" i="26"/>
  <c r="X1076" i="26"/>
  <c r="Y1076" i="26"/>
  <c r="Z1076" i="26"/>
  <c r="X1077" i="26"/>
  <c r="Y1077" i="26"/>
  <c r="Z1077" i="26"/>
  <c r="X1078" i="26"/>
  <c r="Y1078" i="26"/>
  <c r="Z1078" i="26"/>
  <c r="X1079" i="26"/>
  <c r="Y1079" i="26"/>
  <c r="Z1079" i="26"/>
  <c r="M1080" i="26"/>
  <c r="X1080" i="26"/>
  <c r="Y1080" i="26"/>
  <c r="Z1080" i="26"/>
  <c r="X1081" i="26"/>
  <c r="Y1081" i="26"/>
  <c r="Z1081" i="26"/>
  <c r="X1082" i="26"/>
  <c r="Y1082" i="26"/>
  <c r="Z1082" i="26"/>
  <c r="X1083" i="26"/>
  <c r="Y1083" i="26"/>
  <c r="Z1083" i="26"/>
  <c r="X1087" i="26"/>
  <c r="Y1087" i="26"/>
  <c r="Z1087" i="26"/>
  <c r="M1088" i="26"/>
  <c r="R1088" i="26"/>
  <c r="X1088" i="26"/>
  <c r="Y1088" i="26"/>
  <c r="Z1088" i="26"/>
  <c r="M1089" i="26"/>
  <c r="R1089" i="26"/>
  <c r="X1089" i="26"/>
  <c r="Y1089" i="26"/>
  <c r="Z1089" i="26"/>
  <c r="X1090" i="26"/>
  <c r="Y1090" i="26"/>
  <c r="Z1090" i="26"/>
  <c r="M1091" i="26"/>
  <c r="X1091" i="26"/>
  <c r="Y1091" i="26"/>
  <c r="Z1091" i="26"/>
  <c r="M1096" i="26"/>
  <c r="X1096" i="26"/>
  <c r="Y1096" i="26"/>
  <c r="Z1096" i="26"/>
  <c r="M1097" i="26"/>
  <c r="X1097" i="26"/>
  <c r="Y1097" i="26"/>
  <c r="Z1097" i="26"/>
  <c r="M1098" i="26"/>
  <c r="X1098" i="26"/>
  <c r="Y1098" i="26"/>
  <c r="Z1098" i="26"/>
  <c r="M1099" i="26"/>
  <c r="X1099" i="26"/>
  <c r="Y1099" i="26"/>
  <c r="Z1099" i="26"/>
  <c r="X1100" i="26"/>
  <c r="Y1100" i="26"/>
  <c r="Z1100" i="26"/>
  <c r="M1101" i="26"/>
  <c r="X1101" i="26"/>
  <c r="Y1101" i="26"/>
  <c r="Z1101" i="26"/>
  <c r="X1104" i="26"/>
  <c r="Y1104" i="26"/>
  <c r="Z1104" i="26"/>
  <c r="M1111" i="26"/>
  <c r="X1111" i="26"/>
  <c r="Y1111" i="26"/>
  <c r="Z1111" i="26"/>
  <c r="M1112" i="26"/>
  <c r="X1112" i="26"/>
  <c r="Y1112" i="26"/>
  <c r="Z1112" i="26"/>
  <c r="X1115" i="26"/>
  <c r="Y1115" i="26"/>
  <c r="Z1115" i="26"/>
  <c r="X1121" i="26"/>
  <c r="Y1121" i="26"/>
  <c r="Z1121" i="26"/>
  <c r="M1122" i="26"/>
  <c r="X1122" i="26"/>
  <c r="Y1122" i="26"/>
  <c r="Z1122" i="26"/>
  <c r="M1125" i="26"/>
  <c r="X1125" i="26"/>
  <c r="Y1125" i="26"/>
  <c r="Z1125" i="26"/>
  <c r="R1131" i="26"/>
  <c r="X1131" i="26"/>
  <c r="Y1131" i="26"/>
  <c r="Z1131" i="26"/>
  <c r="R1132" i="26"/>
  <c r="X1132" i="26"/>
  <c r="Y1132" i="26"/>
  <c r="Z1132" i="26"/>
  <c r="R1133" i="26"/>
  <c r="X1133" i="26"/>
  <c r="Y1133" i="26"/>
  <c r="Z1133" i="26"/>
  <c r="R1134" i="26"/>
  <c r="X1134" i="26"/>
  <c r="Y1134" i="26"/>
  <c r="Z1134" i="26"/>
  <c r="X1135" i="26"/>
  <c r="Y1135" i="26"/>
  <c r="Z1135" i="26"/>
  <c r="X1136" i="26"/>
  <c r="Y1136" i="26"/>
  <c r="Z1136" i="26"/>
  <c r="X1137" i="26"/>
  <c r="Y1137" i="26"/>
  <c r="Z1137" i="26"/>
  <c r="X1138" i="26"/>
  <c r="Y1138" i="26"/>
  <c r="Z1138" i="26"/>
  <c r="X1139" i="26"/>
  <c r="Y1139" i="26"/>
  <c r="Z1139" i="26"/>
  <c r="R1142" i="26"/>
  <c r="X1142" i="26"/>
  <c r="Y1142" i="26"/>
  <c r="Z1142" i="26"/>
  <c r="R1147" i="26"/>
  <c r="X1147" i="26"/>
  <c r="Y1147" i="26"/>
  <c r="Z1147" i="26"/>
  <c r="X1148" i="26"/>
  <c r="Y1148" i="26"/>
  <c r="Z1148" i="26"/>
  <c r="X1149" i="26"/>
  <c r="Y1149" i="26"/>
  <c r="Z1149" i="26"/>
  <c r="X1150" i="26"/>
  <c r="Y1150" i="26"/>
  <c r="Z1150" i="26"/>
  <c r="X1151" i="26"/>
  <c r="Y1151" i="26"/>
  <c r="Z1151" i="26"/>
  <c r="X1154" i="26"/>
  <c r="Y1154" i="26"/>
  <c r="Z1154" i="26"/>
  <c r="X1155" i="26"/>
  <c r="Y1155" i="26"/>
  <c r="Z1155" i="26"/>
  <c r="X1156" i="26"/>
  <c r="Y1156" i="26"/>
  <c r="Z1156" i="26"/>
  <c r="M1157" i="26"/>
  <c r="X1157" i="26"/>
  <c r="Y1157" i="26"/>
  <c r="Z1157" i="26"/>
  <c r="X1158" i="26"/>
  <c r="Y1158" i="26"/>
  <c r="Z1158" i="26"/>
  <c r="Z1162" i="26"/>
  <c r="M1169" i="26"/>
  <c r="R1169" i="26"/>
  <c r="X1169" i="26"/>
  <c r="Y1169" i="26"/>
  <c r="Z1169" i="26"/>
  <c r="M1170" i="26"/>
  <c r="X1170" i="26"/>
  <c r="Y1170" i="26"/>
  <c r="Z1170" i="26"/>
  <c r="M1171" i="26"/>
  <c r="X1171" i="26"/>
  <c r="Y1171" i="26"/>
  <c r="Z1171" i="26"/>
  <c r="M1176" i="26"/>
  <c r="R1176" i="26"/>
  <c r="X1176" i="26"/>
  <c r="Y1176" i="26"/>
  <c r="Z1176" i="26"/>
  <c r="R1177" i="26"/>
  <c r="X1177" i="26"/>
  <c r="Y1177" i="26"/>
  <c r="Z1177" i="26"/>
  <c r="M1182" i="26"/>
  <c r="R1182" i="26"/>
  <c r="X1182" i="26"/>
  <c r="Y1182" i="26"/>
  <c r="Z1182" i="26"/>
  <c r="M1183" i="26"/>
  <c r="R1183" i="26"/>
  <c r="X1183" i="26"/>
  <c r="Y1183" i="26"/>
  <c r="Z1183" i="26"/>
  <c r="M1184" i="26"/>
  <c r="R1184" i="26"/>
  <c r="X1184" i="26"/>
  <c r="Y1184" i="26"/>
  <c r="Z1184" i="26"/>
  <c r="R1185" i="26"/>
  <c r="X1185" i="26"/>
  <c r="Y1185" i="26"/>
  <c r="Z1185" i="26"/>
  <c r="R1186" i="26"/>
  <c r="X1186" i="26"/>
  <c r="Y1186" i="26"/>
  <c r="Z1186" i="26"/>
  <c r="X1187" i="26"/>
  <c r="Y1187" i="26"/>
  <c r="Z1187" i="26"/>
  <c r="M1188" i="26"/>
  <c r="R1188" i="26"/>
  <c r="X1188" i="26"/>
  <c r="Y1188" i="26"/>
  <c r="Z1188" i="26"/>
  <c r="M1194" i="26"/>
  <c r="R1194" i="26"/>
  <c r="X1194" i="26"/>
  <c r="Y1194" i="26"/>
  <c r="Z1194" i="26"/>
  <c r="M1195" i="26"/>
  <c r="R1195" i="26"/>
  <c r="X1195" i="26"/>
  <c r="Y1195" i="26"/>
  <c r="Z1195" i="26"/>
  <c r="W1196" i="26"/>
  <c r="X1196" i="26"/>
  <c r="Y1196" i="26"/>
  <c r="Z1196" i="26"/>
  <c r="M1206" i="26"/>
  <c r="R1206" i="26"/>
  <c r="X1206" i="26"/>
  <c r="Y1206" i="26"/>
  <c r="Z1206" i="26"/>
  <c r="M1207" i="26"/>
  <c r="X1207" i="26"/>
  <c r="Y1207" i="26"/>
  <c r="Z1207" i="26"/>
  <c r="R1208" i="26"/>
  <c r="X1208" i="26"/>
  <c r="Y1208" i="26"/>
  <c r="Z1208" i="26"/>
  <c r="M1209" i="26"/>
  <c r="R1209" i="26"/>
  <c r="X1209" i="26"/>
  <c r="Y1209" i="26"/>
  <c r="Z1209" i="26"/>
  <c r="M1210" i="26"/>
  <c r="R1210" i="26"/>
  <c r="X1210" i="26"/>
  <c r="Y1210" i="26"/>
  <c r="Z1210" i="26"/>
  <c r="M1216" i="26"/>
  <c r="R1216" i="26"/>
  <c r="X1216" i="26"/>
  <c r="Y1216" i="26"/>
  <c r="Z1216" i="26"/>
  <c r="M1217" i="26"/>
  <c r="R1217" i="26"/>
  <c r="X1217" i="26"/>
  <c r="Y1217" i="26"/>
  <c r="Z1217" i="26"/>
  <c r="X1218" i="26"/>
  <c r="Y1218" i="26"/>
  <c r="Z1218" i="26"/>
  <c r="M1219" i="26"/>
  <c r="X1219" i="26"/>
  <c r="Y1219" i="26"/>
  <c r="Z1219" i="26"/>
  <c r="M1220" i="26"/>
  <c r="R1220" i="26"/>
  <c r="X1220" i="26"/>
  <c r="Y1220" i="26"/>
  <c r="Z1220" i="26"/>
  <c r="M1221" i="26"/>
  <c r="R1221" i="26"/>
  <c r="X1221" i="26"/>
  <c r="Y1221" i="26"/>
  <c r="Z1221" i="26"/>
  <c r="M1222" i="26"/>
  <c r="R1222" i="26"/>
  <c r="X1222" i="26"/>
  <c r="Y1222" i="26"/>
  <c r="Z1222" i="26"/>
  <c r="M1223" i="26"/>
  <c r="X1223" i="26"/>
  <c r="Y1223" i="26"/>
  <c r="Z1223" i="26"/>
  <c r="M1224" i="26"/>
  <c r="X1224" i="26"/>
  <c r="Y1224" i="26"/>
  <c r="Z1224" i="26"/>
  <c r="Z1228" i="26"/>
  <c r="Z1232" i="26"/>
  <c r="M1242" i="26"/>
  <c r="X1242" i="26"/>
  <c r="Y1242" i="26"/>
  <c r="Z1242" i="26"/>
  <c r="M1243" i="26"/>
  <c r="R1243" i="26"/>
  <c r="X1243" i="26"/>
  <c r="Y1243" i="26"/>
  <c r="Z1243" i="26"/>
  <c r="M1244" i="26"/>
  <c r="X1244" i="26"/>
  <c r="Y1244" i="26"/>
  <c r="Z1244" i="26"/>
  <c r="M1249" i="26"/>
  <c r="X1249" i="26"/>
  <c r="Y1249" i="26"/>
  <c r="Z1249" i="26"/>
  <c r="M1250" i="26"/>
  <c r="R1250" i="26"/>
  <c r="X1250" i="26"/>
  <c r="Y1250" i="26"/>
  <c r="Z1250" i="26"/>
  <c r="M1251" i="26"/>
  <c r="X1251" i="26"/>
  <c r="Y1251" i="26"/>
  <c r="Z1251" i="26"/>
  <c r="M1252" i="26"/>
  <c r="X1252" i="26"/>
  <c r="Y1252" i="26"/>
  <c r="Z1252" i="26"/>
  <c r="M1253" i="26"/>
  <c r="X1253" i="26"/>
  <c r="Y1253" i="26"/>
  <c r="Z1253" i="26"/>
  <c r="M1254" i="26"/>
  <c r="X1254" i="26"/>
  <c r="Y1254" i="26"/>
  <c r="Z1254" i="26"/>
  <c r="M1255" i="26"/>
  <c r="X1255" i="26"/>
  <c r="Y1255" i="26"/>
  <c r="Z1255" i="26"/>
  <c r="M1256" i="26"/>
  <c r="X1256" i="26"/>
  <c r="Y1256" i="26"/>
  <c r="Z1256" i="26"/>
  <c r="M1257" i="26"/>
  <c r="X1257" i="26"/>
  <c r="Y1257" i="26"/>
  <c r="Z1257" i="26"/>
  <c r="M1258" i="26"/>
  <c r="X1258" i="26"/>
  <c r="Y1258" i="26"/>
  <c r="Z1258" i="26"/>
  <c r="M1259" i="26"/>
  <c r="X1259" i="26"/>
  <c r="Y1259" i="26"/>
  <c r="Z1259" i="26"/>
  <c r="M1260" i="26"/>
  <c r="R1260" i="26"/>
  <c r="V1260" i="26"/>
  <c r="W1260" i="26"/>
  <c r="X1260" i="26"/>
  <c r="Y1260" i="26"/>
  <c r="Z1260" i="26"/>
  <c r="M1263" i="26"/>
  <c r="X1263" i="26"/>
  <c r="Y1263" i="26"/>
  <c r="Z1263" i="26"/>
  <c r="M1264" i="26"/>
  <c r="X1264" i="26"/>
  <c r="Y1264" i="26"/>
  <c r="Z1264" i="26"/>
  <c r="M1270" i="26"/>
  <c r="R1270" i="26"/>
  <c r="X1270" i="26"/>
  <c r="Y1270" i="26"/>
  <c r="Z1270" i="26"/>
  <c r="X1271" i="26"/>
  <c r="Y1271" i="26"/>
  <c r="Z1271" i="26"/>
  <c r="M1272" i="26"/>
  <c r="X1272" i="26"/>
  <c r="Y1272" i="26"/>
  <c r="Z1272" i="26"/>
  <c r="R1273" i="26"/>
  <c r="X1273" i="26"/>
  <c r="Y1273" i="26"/>
  <c r="Z1273" i="26"/>
  <c r="M1274" i="26"/>
  <c r="R1274" i="26"/>
  <c r="X1274" i="26"/>
  <c r="Y1274" i="26"/>
  <c r="Z1274" i="26"/>
  <c r="M1275" i="26"/>
  <c r="X1275" i="26"/>
  <c r="Y1275" i="26"/>
  <c r="Z1275" i="26"/>
  <c r="M1276" i="26"/>
  <c r="R1276" i="26"/>
  <c r="X1276" i="26"/>
  <c r="Y1276" i="26"/>
  <c r="Z1276" i="26"/>
  <c r="M1277" i="26"/>
  <c r="R1277" i="26"/>
  <c r="X1277" i="26"/>
  <c r="Y1277" i="26"/>
  <c r="Z1277" i="26"/>
  <c r="M1278" i="26"/>
  <c r="R1278" i="26"/>
  <c r="X1278" i="26"/>
  <c r="Y1278" i="26"/>
  <c r="Z1278" i="26"/>
  <c r="M1279" i="26"/>
  <c r="R1279" i="26"/>
  <c r="X1279" i="26"/>
  <c r="Y1279" i="26"/>
  <c r="Z1279" i="26"/>
  <c r="M1280" i="26"/>
  <c r="R1280" i="26"/>
  <c r="X1280" i="26"/>
  <c r="Y1280" i="26"/>
  <c r="Z1280" i="26"/>
  <c r="M1281" i="26"/>
  <c r="X1281" i="26"/>
  <c r="Y1281" i="26"/>
  <c r="Z1281" i="26"/>
  <c r="M1282" i="26"/>
  <c r="R1282" i="26"/>
  <c r="X1282" i="26"/>
  <c r="Y1282" i="26"/>
  <c r="Z1282" i="26"/>
  <c r="M1283" i="26"/>
  <c r="X1283" i="26"/>
  <c r="Y1283" i="26"/>
  <c r="Z1283" i="26"/>
  <c r="M1284" i="26"/>
  <c r="X1284" i="26"/>
  <c r="Y1284" i="26"/>
  <c r="Z1284" i="26"/>
  <c r="M1285" i="26"/>
  <c r="R1285" i="26"/>
  <c r="X1285" i="26"/>
  <c r="Y1285" i="26"/>
  <c r="Z1285" i="26"/>
  <c r="M1286" i="26"/>
  <c r="R1286" i="26"/>
  <c r="V1286" i="26"/>
  <c r="X1286" i="26"/>
  <c r="Y1286" i="26"/>
  <c r="Z1286" i="26"/>
  <c r="M1287" i="26"/>
  <c r="R1287" i="26"/>
  <c r="V1287" i="26"/>
  <c r="W1287" i="26"/>
  <c r="X1287" i="26"/>
  <c r="Y1287" i="26"/>
  <c r="Z1287" i="26"/>
  <c r="Z1291" i="26"/>
  <c r="M1297" i="26"/>
  <c r="R1297" i="26"/>
  <c r="X1297" i="26"/>
  <c r="Y1297" i="26"/>
  <c r="Z1297" i="26"/>
  <c r="R1298" i="26"/>
  <c r="X1298" i="26"/>
  <c r="Y1298" i="26"/>
  <c r="Z1298" i="26"/>
  <c r="M1299" i="26"/>
  <c r="X1299" i="26"/>
  <c r="Y1299" i="26"/>
  <c r="Z1299" i="26"/>
  <c r="M1303" i="26"/>
  <c r="R1303" i="26"/>
  <c r="X1303" i="26"/>
  <c r="Y1303" i="26"/>
  <c r="Z1303" i="26"/>
  <c r="X1304" i="26"/>
  <c r="Y1304" i="26"/>
  <c r="Z1304" i="26"/>
  <c r="X1305" i="26"/>
  <c r="Y1305" i="26"/>
  <c r="Z1305" i="26"/>
  <c r="M1306" i="26"/>
  <c r="X1306" i="26"/>
  <c r="Y1306" i="26"/>
  <c r="Z1306" i="26"/>
  <c r="M1307" i="26"/>
  <c r="X1307" i="26"/>
  <c r="Y1307" i="26"/>
  <c r="Z1307" i="26"/>
  <c r="M1308" i="26"/>
  <c r="X1308" i="26"/>
  <c r="Y1308" i="26"/>
  <c r="Z1308" i="26"/>
  <c r="M1309" i="26"/>
  <c r="X1309" i="26"/>
  <c r="Y1309" i="26"/>
  <c r="Z1309" i="26"/>
  <c r="M1310" i="26"/>
  <c r="X1310" i="26"/>
  <c r="Y1310" i="26"/>
  <c r="Z1310" i="26"/>
  <c r="M1311" i="26"/>
  <c r="X1311" i="26"/>
  <c r="Y1311" i="26"/>
  <c r="Z1311" i="26"/>
  <c r="M1312" i="26"/>
  <c r="X1312" i="26"/>
  <c r="Y1312" i="26"/>
  <c r="Z1312" i="26"/>
  <c r="M1315" i="26"/>
  <c r="X1315" i="26"/>
  <c r="Y1315" i="26"/>
  <c r="Z1315" i="26"/>
  <c r="M1320" i="26"/>
  <c r="R1320" i="26"/>
  <c r="X1320" i="26"/>
  <c r="Y1320" i="26"/>
  <c r="Z1320" i="26"/>
  <c r="M1321" i="26"/>
  <c r="R1321" i="26"/>
  <c r="X1321" i="26"/>
  <c r="Y1321" i="26"/>
  <c r="Z1321" i="26"/>
  <c r="M1322" i="26"/>
  <c r="X1322" i="26"/>
  <c r="Y1322" i="26"/>
  <c r="Z1322" i="26"/>
  <c r="M1323" i="26"/>
  <c r="X1323" i="26"/>
  <c r="Y1323" i="26"/>
  <c r="Z1323" i="26"/>
  <c r="M1324" i="26"/>
  <c r="R1324" i="26"/>
  <c r="X1324" i="26"/>
  <c r="Y1324" i="26"/>
  <c r="Z1324" i="26"/>
  <c r="M1325" i="26"/>
  <c r="X1325" i="26"/>
  <c r="Y1325" i="26"/>
  <c r="Z1325" i="26"/>
  <c r="M1326" i="26"/>
  <c r="R1326" i="26"/>
  <c r="X1326" i="26"/>
  <c r="Y1326" i="26"/>
  <c r="Z1326" i="26"/>
  <c r="M1327" i="26"/>
  <c r="X1327" i="26"/>
  <c r="Y1327" i="26"/>
  <c r="Z1327" i="26"/>
  <c r="M1328" i="26"/>
  <c r="X1328" i="26"/>
  <c r="Y1328" i="26"/>
  <c r="Z1328" i="26"/>
  <c r="M1329" i="26"/>
  <c r="X1329" i="26"/>
  <c r="Y1329" i="26"/>
  <c r="Z1329" i="26"/>
  <c r="M1336" i="26"/>
  <c r="R1336" i="26"/>
  <c r="X1336" i="26"/>
  <c r="Y1336" i="26"/>
  <c r="Z1336" i="26"/>
  <c r="M1337" i="26"/>
  <c r="X1337" i="26"/>
  <c r="Y1337" i="26"/>
  <c r="Z1337" i="26"/>
  <c r="M1343" i="26"/>
  <c r="R1343" i="26"/>
  <c r="X1343" i="26"/>
  <c r="Y1343" i="26"/>
  <c r="Z1343" i="26"/>
  <c r="M1344" i="26"/>
  <c r="X1344" i="26"/>
  <c r="Y1344" i="26"/>
  <c r="Z1344" i="26"/>
  <c r="M1345" i="26"/>
  <c r="X1345" i="26"/>
  <c r="Y1345" i="26"/>
  <c r="Z1345" i="26"/>
  <c r="M1346" i="26"/>
  <c r="X1346" i="26"/>
  <c r="Y1346" i="26"/>
  <c r="Z1346" i="26"/>
  <c r="X1349" i="26"/>
  <c r="Y1349" i="26"/>
  <c r="Z1349" i="26"/>
  <c r="R1358" i="26"/>
  <c r="X1358" i="26"/>
  <c r="Y1358" i="26"/>
  <c r="Z1358" i="26"/>
  <c r="M1359" i="26"/>
  <c r="X1359" i="26"/>
  <c r="Y1359" i="26"/>
  <c r="Z1359" i="26"/>
  <c r="M1360" i="26"/>
  <c r="X1360" i="26"/>
  <c r="Y1360" i="26"/>
  <c r="Z1360" i="26"/>
  <c r="M1361" i="26"/>
  <c r="X1361" i="26"/>
  <c r="Y1361" i="26"/>
  <c r="Z1361" i="26"/>
  <c r="X1362" i="26"/>
  <c r="Y1362" i="26"/>
  <c r="Z1362" i="26"/>
  <c r="M1363" i="26"/>
  <c r="R1363" i="26"/>
  <c r="X1363" i="26"/>
  <c r="Y1363" i="26"/>
  <c r="Z1363" i="26"/>
  <c r="M1364" i="26"/>
  <c r="R1364" i="26"/>
  <c r="X1364" i="26"/>
  <c r="Y1364" i="26"/>
  <c r="Z1364" i="26"/>
  <c r="M1365" i="26"/>
  <c r="R1365" i="26"/>
  <c r="X1365" i="26"/>
  <c r="Y1365" i="26"/>
  <c r="Z1365" i="26"/>
  <c r="M1366" i="26"/>
  <c r="X1366" i="26"/>
  <c r="Y1366" i="26"/>
  <c r="Z1366" i="26"/>
  <c r="M1371" i="26"/>
  <c r="R1371" i="26"/>
  <c r="X1371" i="26"/>
  <c r="Y1371" i="26"/>
  <c r="Z1371" i="26"/>
  <c r="X1372" i="26"/>
  <c r="Y1372" i="26"/>
  <c r="Z1372" i="26"/>
  <c r="M1373" i="26"/>
  <c r="X1373" i="26"/>
  <c r="Y1373" i="26"/>
  <c r="Z1373" i="26"/>
  <c r="M1374" i="26"/>
  <c r="X1374" i="26"/>
  <c r="Y1374" i="26"/>
  <c r="Z1374" i="26"/>
  <c r="X1375" i="26"/>
  <c r="Y1375" i="26"/>
  <c r="Z1375" i="26"/>
  <c r="X1376" i="26"/>
  <c r="Y1376" i="26"/>
  <c r="Z1376" i="26"/>
  <c r="M1377" i="26"/>
  <c r="R1377" i="26"/>
  <c r="X1377" i="26"/>
  <c r="Y1377" i="26"/>
  <c r="Z1377" i="26"/>
  <c r="M1378" i="26"/>
  <c r="R1378" i="26"/>
  <c r="X1378" i="26"/>
  <c r="Y1378" i="26"/>
  <c r="Z1378" i="26"/>
  <c r="Z1384" i="26"/>
  <c r="M1390" i="26"/>
  <c r="R1390" i="26"/>
  <c r="X1390" i="26"/>
  <c r="Y1390" i="26"/>
  <c r="Z1390" i="26"/>
  <c r="X1391" i="26"/>
  <c r="Y1391" i="26"/>
  <c r="Z1391" i="26"/>
  <c r="M1396" i="26"/>
  <c r="X1396" i="26"/>
  <c r="Y1396" i="26"/>
  <c r="Z1396" i="26"/>
  <c r="M1397" i="26"/>
  <c r="X1397" i="26"/>
  <c r="Y1397" i="26"/>
  <c r="Z1397" i="26"/>
  <c r="X1398" i="26"/>
  <c r="Y1398" i="26"/>
  <c r="Z1398" i="26"/>
  <c r="M1399" i="26"/>
  <c r="X1399" i="26"/>
  <c r="Y1399" i="26"/>
  <c r="Z1399" i="26"/>
  <c r="M1400" i="26"/>
  <c r="X1400" i="26"/>
  <c r="Y1400" i="26"/>
  <c r="Z1400" i="26"/>
  <c r="M1401" i="26"/>
  <c r="X1401" i="26"/>
  <c r="Y1401" i="26"/>
  <c r="Z1401" i="26"/>
  <c r="M1402" i="26"/>
  <c r="X1402" i="26"/>
  <c r="Y1402" i="26"/>
  <c r="Z1402" i="26"/>
  <c r="M1403" i="26"/>
  <c r="X1403" i="26"/>
  <c r="Y1403" i="26"/>
  <c r="Z1403" i="26"/>
  <c r="M1404" i="26"/>
  <c r="X1404" i="26"/>
  <c r="Y1404" i="26"/>
  <c r="Z1404" i="26"/>
  <c r="X1408" i="26"/>
  <c r="Y1408" i="26"/>
  <c r="Z1408" i="26"/>
  <c r="X1409" i="26"/>
  <c r="Y1409" i="26"/>
  <c r="Z1409" i="26"/>
  <c r="M1410" i="26"/>
  <c r="X1410" i="26"/>
  <c r="Y1410" i="26"/>
  <c r="Z1410" i="26"/>
  <c r="M1415" i="26"/>
  <c r="X1415" i="26"/>
  <c r="Y1415" i="26"/>
  <c r="Z1415" i="26"/>
  <c r="M1416" i="26"/>
  <c r="R1416" i="26"/>
  <c r="X1416" i="26"/>
  <c r="Y1416" i="26"/>
  <c r="Z1416" i="26"/>
  <c r="M1417" i="26"/>
  <c r="R1417" i="26"/>
  <c r="X1417" i="26"/>
  <c r="Y1417" i="26"/>
  <c r="Z1417" i="26"/>
  <c r="M1418" i="26"/>
  <c r="R1418" i="26"/>
  <c r="X1418" i="26"/>
  <c r="Y1418" i="26"/>
  <c r="Z1418" i="26"/>
  <c r="M1419" i="26"/>
  <c r="X1419" i="26"/>
  <c r="Y1419" i="26"/>
  <c r="Z1419" i="26"/>
  <c r="M1420" i="26"/>
  <c r="X1420" i="26"/>
  <c r="Y1420" i="26"/>
  <c r="Z1420" i="26"/>
  <c r="M1421" i="26"/>
  <c r="R1421" i="26"/>
  <c r="X1421" i="26"/>
  <c r="Y1421" i="26"/>
  <c r="Z1421" i="26"/>
  <c r="M1422" i="26"/>
  <c r="R1422" i="26"/>
  <c r="X1422" i="26"/>
  <c r="Y1422" i="26"/>
  <c r="Z1422" i="26"/>
  <c r="M1423" i="26"/>
  <c r="X1423" i="26"/>
  <c r="Y1423" i="26"/>
  <c r="Z1423" i="26"/>
  <c r="M1424" i="26"/>
  <c r="R1424" i="26"/>
  <c r="X1424" i="26"/>
  <c r="Y1424" i="26"/>
  <c r="Z1424" i="26"/>
  <c r="M1425" i="26"/>
  <c r="R1425" i="26"/>
  <c r="X1425" i="26"/>
  <c r="Y1425" i="26"/>
  <c r="Z1425" i="26"/>
  <c r="M1426" i="26"/>
  <c r="X1426" i="26"/>
  <c r="Y1426" i="26"/>
  <c r="Z1426" i="26"/>
  <c r="R1427" i="26"/>
  <c r="X1427" i="26"/>
  <c r="Y1427" i="26"/>
  <c r="Z1427" i="26"/>
  <c r="X1428" i="26"/>
  <c r="Y1428" i="26"/>
  <c r="Z1428" i="26"/>
  <c r="Z1434" i="26"/>
  <c r="M1439" i="26"/>
  <c r="R1439" i="26"/>
  <c r="X1439" i="26"/>
  <c r="Y1439" i="26"/>
  <c r="Z1439" i="26"/>
  <c r="M1440" i="26"/>
  <c r="R1440" i="26"/>
  <c r="X1440" i="26"/>
  <c r="Y1440" i="26"/>
  <c r="Z1440" i="26"/>
  <c r="X1441" i="26"/>
  <c r="Y1441" i="26"/>
  <c r="Z1441" i="26"/>
  <c r="M1442" i="26"/>
  <c r="X1442" i="26"/>
  <c r="Y1442" i="26"/>
  <c r="Z1442" i="26"/>
  <c r="M1443" i="26"/>
  <c r="R1443" i="26"/>
  <c r="X1443" i="26"/>
  <c r="Y1443" i="26"/>
  <c r="Z1443" i="26"/>
  <c r="M1444" i="26"/>
  <c r="X1444" i="26"/>
  <c r="Y1444" i="26"/>
  <c r="Z1444" i="26"/>
  <c r="M1448" i="26"/>
  <c r="X1448" i="26"/>
  <c r="Y1448" i="26"/>
  <c r="Z1448" i="26"/>
  <c r="M1449" i="26"/>
  <c r="X1449" i="26"/>
  <c r="Y1449" i="26"/>
  <c r="Z1449" i="26"/>
  <c r="M1450" i="26"/>
  <c r="X1450" i="26"/>
  <c r="Y1450" i="26"/>
  <c r="Z1450" i="26"/>
  <c r="X1451" i="26"/>
  <c r="Y1451" i="26"/>
  <c r="Z1451" i="26"/>
  <c r="Z1453" i="26"/>
  <c r="Z1457" i="26"/>
  <c r="M1461" i="26"/>
  <c r="X1461" i="26"/>
  <c r="Y1461" i="26"/>
  <c r="Z1461" i="26"/>
  <c r="M1465" i="26"/>
  <c r="R1465" i="26"/>
  <c r="X1465" i="26"/>
  <c r="Y1465" i="26"/>
  <c r="Z1465" i="26"/>
  <c r="M1470" i="26"/>
  <c r="R1470" i="26"/>
  <c r="X1470" i="26"/>
  <c r="Y1470" i="26"/>
  <c r="Z1470" i="26"/>
  <c r="M1471" i="26"/>
  <c r="R1471" i="26"/>
  <c r="X1471" i="26"/>
  <c r="Y1471" i="26"/>
  <c r="Z1471" i="26"/>
  <c r="R1472" i="26"/>
  <c r="X1472" i="26"/>
  <c r="Y1472" i="26"/>
  <c r="Z1472" i="26"/>
  <c r="X1473" i="26"/>
  <c r="Y1473" i="26"/>
  <c r="Z1473" i="26"/>
  <c r="R1474" i="26"/>
  <c r="X1474" i="26"/>
  <c r="Y1474" i="26"/>
  <c r="Z1474" i="26"/>
  <c r="R1475" i="26"/>
  <c r="X1475" i="26"/>
  <c r="Y1475" i="26"/>
  <c r="Z1475" i="26"/>
  <c r="X1476" i="26"/>
  <c r="Y1476" i="26"/>
  <c r="Z1476" i="26"/>
  <c r="X1477" i="26"/>
  <c r="Y1477" i="26"/>
  <c r="Z1477" i="26"/>
  <c r="R1478" i="26"/>
  <c r="X1478" i="26"/>
  <c r="Y1478" i="26"/>
  <c r="Z1478" i="26"/>
  <c r="R1479" i="26"/>
  <c r="X1479" i="26"/>
  <c r="Y1479" i="26"/>
  <c r="Z1479" i="26"/>
  <c r="M1480" i="26"/>
  <c r="X1480" i="26"/>
  <c r="Y1480" i="26"/>
  <c r="Z1480" i="26"/>
  <c r="R1481" i="26"/>
  <c r="X1481" i="26"/>
  <c r="Y1481" i="26"/>
  <c r="Z1481" i="26"/>
  <c r="R1482" i="26"/>
  <c r="X1482" i="26"/>
  <c r="Y1482" i="26"/>
  <c r="Z1482" i="26"/>
  <c r="M1483" i="26"/>
  <c r="X1483" i="26"/>
  <c r="Y1483" i="26"/>
  <c r="Z1483" i="26"/>
  <c r="R1486" i="26"/>
  <c r="X1486" i="26"/>
  <c r="Y1486" i="26"/>
  <c r="Z1486" i="26"/>
  <c r="M1493" i="26"/>
  <c r="X1493" i="26"/>
  <c r="Y1493" i="26"/>
  <c r="Z1493" i="26"/>
  <c r="M1494" i="26"/>
  <c r="X1494" i="26"/>
  <c r="Y1494" i="26"/>
  <c r="Z1494" i="26"/>
  <c r="M1495" i="26"/>
  <c r="R1495" i="26"/>
  <c r="X1495" i="26"/>
  <c r="Y1495" i="26"/>
  <c r="Z1495" i="26"/>
  <c r="M1496" i="26"/>
  <c r="X1496" i="26"/>
  <c r="Y1496" i="26"/>
  <c r="Z1496" i="26"/>
  <c r="M1497" i="26"/>
  <c r="R1497" i="26"/>
  <c r="X1497" i="26"/>
  <c r="Y1497" i="26"/>
  <c r="Z1497" i="26"/>
  <c r="M1502" i="26"/>
  <c r="R1502" i="26"/>
  <c r="X1502" i="26"/>
  <c r="Y1502" i="26"/>
  <c r="Z1502" i="26"/>
  <c r="R1503" i="26"/>
  <c r="X1503" i="26"/>
  <c r="Y1503" i="26"/>
  <c r="Z1503" i="26"/>
  <c r="M1504" i="26"/>
  <c r="X1504" i="26"/>
  <c r="Y1504" i="26"/>
  <c r="Z1504" i="26"/>
  <c r="X1505" i="26"/>
  <c r="Y1505" i="26"/>
  <c r="Z1505" i="26"/>
  <c r="X1506" i="26"/>
  <c r="Y1506" i="26"/>
  <c r="Z1506" i="26"/>
  <c r="R1507" i="26"/>
  <c r="W1507" i="26"/>
  <c r="X1507" i="26"/>
  <c r="Y1507" i="26"/>
  <c r="Z1507" i="26"/>
  <c r="Z1510" i="26"/>
  <c r="R1516" i="26"/>
  <c r="X1516" i="26"/>
  <c r="Y1516" i="26"/>
  <c r="Z1516" i="26"/>
  <c r="X1519" i="26"/>
  <c r="Y1519" i="26"/>
  <c r="Z1519" i="26"/>
  <c r="R1520" i="26"/>
  <c r="X1520" i="26"/>
  <c r="Y1520" i="26"/>
  <c r="Z1520" i="26"/>
  <c r="X1521" i="26"/>
  <c r="Y1521" i="26"/>
  <c r="Z1521" i="26"/>
  <c r="X1522" i="26"/>
  <c r="Y1522" i="26"/>
  <c r="Z1522" i="26"/>
  <c r="X1523" i="26"/>
  <c r="Y1523" i="26"/>
  <c r="Z1523" i="26"/>
  <c r="X1524" i="26"/>
  <c r="Y1524" i="26"/>
  <c r="Z1524" i="26"/>
  <c r="X1525" i="26"/>
  <c r="Y1525" i="26"/>
  <c r="Z1525" i="26"/>
  <c r="R1526" i="26"/>
  <c r="X1526" i="26"/>
  <c r="Y1526" i="26"/>
  <c r="Z1526" i="26"/>
  <c r="X1527" i="26"/>
  <c r="Y1527" i="26"/>
  <c r="Z1527" i="26"/>
  <c r="X1528" i="26"/>
  <c r="Y1528" i="26"/>
  <c r="Z1528" i="26"/>
  <c r="X1529" i="26"/>
  <c r="Y1529" i="26"/>
  <c r="Z1529" i="26"/>
  <c r="X1530" i="26"/>
  <c r="Y1530" i="26"/>
  <c r="Z1530" i="26"/>
  <c r="X1531" i="26"/>
  <c r="Y1531" i="26"/>
  <c r="Z1531" i="26"/>
  <c r="X1532" i="26"/>
  <c r="Y1532" i="26"/>
  <c r="Z1532" i="26"/>
  <c r="M1533" i="26"/>
  <c r="X1533" i="26"/>
  <c r="Y1533" i="26"/>
  <c r="Z1533" i="26"/>
  <c r="X1534" i="26"/>
  <c r="Y1534" i="26"/>
  <c r="Z1534" i="26"/>
  <c r="X1535" i="26"/>
  <c r="Y1535" i="26"/>
  <c r="Z1535" i="26"/>
  <c r="X1536" i="26"/>
  <c r="Y1536" i="26"/>
  <c r="Z1536" i="26"/>
  <c r="X1537" i="26"/>
  <c r="Y1537" i="26"/>
  <c r="Z1537" i="26"/>
  <c r="R1538" i="26"/>
  <c r="X1538" i="26"/>
  <c r="Y1538" i="26"/>
  <c r="Z1538" i="26"/>
  <c r="X1539" i="26"/>
  <c r="Y1539" i="26"/>
  <c r="Z1539" i="26"/>
  <c r="R1540" i="26"/>
  <c r="X1540" i="26"/>
  <c r="Y1540" i="26"/>
  <c r="Z1540" i="26"/>
  <c r="R1541" i="26"/>
  <c r="X1541" i="26"/>
  <c r="Y1541" i="26"/>
  <c r="Z1541" i="26"/>
  <c r="X1542" i="26"/>
  <c r="Y1542" i="26"/>
  <c r="Z1542" i="26"/>
  <c r="X1543" i="26"/>
  <c r="Y1543" i="26"/>
  <c r="Z1543" i="26"/>
  <c r="X1544" i="26"/>
  <c r="Y1544" i="26"/>
  <c r="Z1544" i="26"/>
  <c r="R1545" i="26"/>
  <c r="X1545" i="26"/>
  <c r="Y1545" i="26"/>
  <c r="Z1545" i="26"/>
  <c r="X1549" i="26"/>
  <c r="Y1549" i="26"/>
  <c r="Z1549" i="26"/>
  <c r="X1550" i="26"/>
  <c r="Y1550" i="26"/>
  <c r="Z1550" i="26"/>
  <c r="M1551" i="26"/>
  <c r="R1551" i="26"/>
  <c r="X1551" i="26"/>
  <c r="Y1551" i="26"/>
  <c r="Z1551" i="26"/>
  <c r="M1552" i="26"/>
  <c r="X1552" i="26"/>
  <c r="Y1552" i="26"/>
  <c r="Z1552" i="26"/>
  <c r="X1553" i="26"/>
  <c r="Y1553" i="26"/>
  <c r="Z1553" i="26"/>
  <c r="X1554" i="26"/>
  <c r="Y1554" i="26"/>
  <c r="Z1554" i="26"/>
  <c r="M1558" i="26"/>
  <c r="R1558" i="26"/>
  <c r="X1558" i="26"/>
  <c r="Y1558" i="26"/>
  <c r="Z1558" i="26"/>
  <c r="X1559" i="26"/>
  <c r="Y1559" i="26"/>
  <c r="Z1559" i="26"/>
  <c r="X1560" i="26"/>
  <c r="Y1560" i="26"/>
  <c r="Z1560" i="26"/>
  <c r="M1561" i="26"/>
  <c r="R1561" i="26"/>
  <c r="X1561" i="26"/>
  <c r="Y1561" i="26"/>
  <c r="Z1561" i="26"/>
  <c r="M1562" i="26"/>
  <c r="R1562" i="26"/>
  <c r="X1562" i="26"/>
  <c r="Y1562" i="26"/>
  <c r="Z1562" i="26"/>
  <c r="X1563" i="26"/>
  <c r="Y1563" i="26"/>
  <c r="Z1563" i="26"/>
  <c r="M1564" i="26"/>
  <c r="R1564" i="26"/>
  <c r="X1564" i="26"/>
  <c r="Y1564" i="26"/>
  <c r="Z1564" i="26"/>
  <c r="M1565" i="26"/>
  <c r="X1565" i="26"/>
  <c r="Y1565" i="26"/>
  <c r="Z1565" i="26"/>
  <c r="M1566" i="26"/>
  <c r="R1566" i="26"/>
  <c r="X1566" i="26"/>
  <c r="Y1566" i="26"/>
  <c r="Z1566" i="26"/>
  <c r="M1567" i="26"/>
  <c r="R1567" i="26"/>
  <c r="X1567" i="26"/>
  <c r="Y1567" i="26"/>
  <c r="Z1567" i="26"/>
  <c r="M1568" i="26"/>
  <c r="X1568" i="26"/>
  <c r="Y1568" i="26"/>
  <c r="Z1568" i="26"/>
  <c r="M1569" i="26"/>
  <c r="R1569" i="26"/>
  <c r="X1569" i="26"/>
  <c r="Y1569" i="26"/>
  <c r="Z1569" i="26"/>
  <c r="M1570" i="26"/>
  <c r="X1570" i="26"/>
  <c r="Y1570" i="26"/>
  <c r="Z1570" i="26"/>
  <c r="M1575" i="26"/>
  <c r="X1575" i="26"/>
  <c r="Y1575" i="26"/>
  <c r="Z1575" i="26"/>
  <c r="X1576" i="26"/>
  <c r="Y1576" i="26"/>
  <c r="Z1576" i="26"/>
  <c r="Z1582" i="26"/>
  <c r="M1588" i="26"/>
  <c r="R1588" i="26"/>
  <c r="X1588" i="26"/>
  <c r="Y1588" i="26"/>
  <c r="Z1588" i="26"/>
  <c r="X1589" i="26"/>
  <c r="Y1589" i="26"/>
  <c r="Z1589" i="26"/>
  <c r="X1590" i="26"/>
  <c r="Y1590" i="26"/>
  <c r="Z1590" i="26"/>
  <c r="M1594" i="26"/>
  <c r="X1594" i="26"/>
  <c r="Y1594" i="26"/>
  <c r="Z1594" i="26"/>
  <c r="M1595" i="26"/>
  <c r="X1595" i="26"/>
  <c r="Y1595" i="26"/>
  <c r="Z1595" i="26"/>
  <c r="M1596" i="26"/>
  <c r="X1596" i="26"/>
  <c r="Y1596" i="26"/>
  <c r="Z1596" i="26"/>
  <c r="X1597" i="26"/>
  <c r="Y1597" i="26"/>
  <c r="Z1597" i="26"/>
  <c r="M1598" i="26"/>
  <c r="X1598" i="26"/>
  <c r="Y1598" i="26"/>
  <c r="Z1598" i="26"/>
  <c r="M1599" i="26"/>
  <c r="R1599" i="26"/>
  <c r="W1599" i="26"/>
  <c r="X1599" i="26"/>
  <c r="Y1599" i="26"/>
  <c r="Z1599" i="26"/>
  <c r="M1606" i="26"/>
  <c r="X1606" i="26"/>
  <c r="Y1606" i="26"/>
  <c r="Z1606" i="26"/>
  <c r="M1607" i="26"/>
  <c r="R1607" i="26"/>
  <c r="X1607" i="26"/>
  <c r="Y1607" i="26"/>
  <c r="Z1607" i="26"/>
  <c r="M1608" i="26"/>
  <c r="X1608" i="26"/>
  <c r="Y1608" i="26"/>
  <c r="Z1608" i="26"/>
  <c r="R1609" i="26"/>
  <c r="X1609" i="26"/>
  <c r="Y1609" i="26"/>
  <c r="Z1609" i="26"/>
  <c r="M1610" i="26"/>
  <c r="R1610" i="26"/>
  <c r="X1610" i="26"/>
  <c r="Y1610" i="26"/>
  <c r="Z1610" i="26"/>
  <c r="Z1614" i="26"/>
  <c r="M1620" i="26"/>
  <c r="X1620" i="26"/>
  <c r="Y1620" i="26"/>
  <c r="Z1620" i="26"/>
  <c r="M1621" i="26"/>
  <c r="X1621" i="26"/>
  <c r="Y1621" i="26"/>
  <c r="Z1621" i="26"/>
  <c r="M1622" i="26"/>
  <c r="X1622" i="26"/>
  <c r="Y1622" i="26"/>
  <c r="Z1622" i="26"/>
  <c r="M1623" i="26"/>
  <c r="R1623" i="26"/>
  <c r="X1623" i="26"/>
  <c r="Y1623" i="26"/>
  <c r="Z1623" i="26"/>
  <c r="M1624" i="26"/>
  <c r="R1624" i="26"/>
  <c r="X1624" i="26"/>
  <c r="Y1624" i="26"/>
  <c r="Z1624" i="26"/>
  <c r="M1625" i="26"/>
  <c r="R1625" i="26"/>
  <c r="X1625" i="26"/>
  <c r="Y1625" i="26"/>
  <c r="Z1625" i="26"/>
  <c r="M1626" i="26"/>
  <c r="W1626" i="26"/>
  <c r="X1626" i="26"/>
  <c r="Y1626" i="26"/>
  <c r="Z1626" i="26"/>
  <c r="Z1627" i="26"/>
  <c r="M1633" i="26"/>
  <c r="R1633" i="26"/>
  <c r="X1633" i="26"/>
  <c r="Y1633" i="26"/>
  <c r="Z1633" i="26"/>
  <c r="M1634" i="26"/>
  <c r="X1634" i="26"/>
  <c r="Y1634" i="26"/>
  <c r="Z1634" i="26"/>
  <c r="M1635" i="26"/>
  <c r="X1635" i="26"/>
  <c r="Y1635" i="26"/>
  <c r="Z1635" i="26"/>
  <c r="M1636" i="26"/>
  <c r="X1636" i="26"/>
  <c r="Y1636" i="26"/>
  <c r="Z1636" i="26"/>
  <c r="M1637" i="26"/>
  <c r="X1637" i="26"/>
  <c r="Y1637" i="26"/>
  <c r="Z1637" i="26"/>
  <c r="X1638" i="26"/>
  <c r="Y1638" i="26"/>
  <c r="Z1638" i="26"/>
  <c r="M1639" i="26"/>
  <c r="X1639" i="26"/>
  <c r="Y1639" i="26"/>
  <c r="Z1639" i="26"/>
  <c r="M1640" i="26"/>
  <c r="X1640" i="26"/>
  <c r="Y1640" i="26"/>
  <c r="Z1640" i="26"/>
  <c r="Z1645" i="26"/>
  <c r="M1650" i="26"/>
  <c r="X1650" i="26"/>
  <c r="Y1650" i="26"/>
  <c r="Z1650" i="26"/>
  <c r="X1651" i="26"/>
  <c r="Y1651" i="26"/>
  <c r="Z1651" i="26"/>
  <c r="M1652" i="26"/>
  <c r="X1652" i="26"/>
  <c r="Y1652" i="26"/>
  <c r="Z1652" i="26"/>
  <c r="X1653" i="26"/>
  <c r="Y1653" i="26"/>
  <c r="Z1653" i="26"/>
  <c r="M1658" i="26"/>
  <c r="X1658" i="26"/>
  <c r="Y1658" i="26"/>
  <c r="Z1658" i="26"/>
  <c r="M1659" i="26"/>
  <c r="X1659" i="26"/>
  <c r="Y1659" i="26"/>
  <c r="Z1659" i="26"/>
  <c r="M1660" i="26"/>
  <c r="X1660" i="26"/>
  <c r="Y1660" i="26"/>
  <c r="Z1660" i="26"/>
  <c r="M1661" i="26"/>
  <c r="X1661" i="26"/>
  <c r="Y1661" i="26"/>
  <c r="Z1661" i="26"/>
  <c r="Z1664" i="26"/>
  <c r="Z1667" i="26"/>
  <c r="M1674" i="26"/>
  <c r="X1674" i="26"/>
  <c r="Y1674" i="26"/>
  <c r="Z1674" i="26"/>
  <c r="M1675" i="26"/>
  <c r="R1675" i="26"/>
  <c r="X1675" i="26"/>
  <c r="Y1675" i="26"/>
  <c r="Z1675" i="26"/>
  <c r="X1676" i="26"/>
  <c r="Y1676" i="26"/>
  <c r="Z1676" i="26"/>
  <c r="M1677" i="26"/>
  <c r="X1677" i="26"/>
  <c r="Y1677" i="26"/>
  <c r="Z1677" i="26"/>
  <c r="Z1678" i="26"/>
  <c r="M1685" i="26"/>
  <c r="X1685" i="26"/>
  <c r="Y1685" i="26"/>
  <c r="Z1685" i="26"/>
  <c r="M1686" i="26"/>
  <c r="X1686" i="26"/>
  <c r="Y1686" i="26"/>
  <c r="Z1686" i="26"/>
  <c r="M1687" i="26"/>
  <c r="X1687" i="26"/>
  <c r="Y1687" i="26"/>
  <c r="Z1687" i="26"/>
  <c r="M1688" i="26"/>
  <c r="X1688" i="26"/>
  <c r="Y1688" i="26"/>
  <c r="Z1688" i="26"/>
  <c r="M1689" i="26"/>
  <c r="X1689" i="26"/>
  <c r="Y1689" i="26"/>
  <c r="Z1689" i="26"/>
  <c r="X1690" i="26"/>
  <c r="Y1690" i="26"/>
  <c r="Z1690" i="26"/>
  <c r="M1695" i="26"/>
  <c r="X1695" i="26"/>
  <c r="Y1695" i="26"/>
  <c r="Z1695" i="26"/>
  <c r="M1696" i="26"/>
  <c r="R1696" i="26"/>
  <c r="X1696" i="26"/>
  <c r="Y1696" i="26"/>
  <c r="Z1696" i="26"/>
  <c r="M1697" i="26"/>
  <c r="X1697" i="26"/>
  <c r="Y1697" i="26"/>
  <c r="Z1697" i="26"/>
  <c r="M1698" i="26"/>
  <c r="X1698" i="26"/>
  <c r="Y1698" i="26"/>
  <c r="Z1698" i="26"/>
  <c r="M1699" i="26"/>
  <c r="X1699" i="26"/>
  <c r="Y1699" i="26"/>
  <c r="Z1699" i="26"/>
  <c r="M1700" i="26"/>
  <c r="X1700" i="26"/>
  <c r="Y1700" i="26"/>
  <c r="Z1700" i="26"/>
  <c r="M1701" i="26"/>
  <c r="X1701" i="26"/>
  <c r="Y1701" i="26"/>
  <c r="Z1701" i="26"/>
  <c r="M1702" i="26"/>
  <c r="X1702" i="26"/>
  <c r="Y1702" i="26"/>
  <c r="Z1702" i="26"/>
  <c r="M1703" i="26"/>
  <c r="X1703" i="26"/>
  <c r="Y1703" i="26"/>
  <c r="Z1703" i="26"/>
  <c r="M1710" i="26"/>
  <c r="X1710" i="26"/>
  <c r="Y1710" i="26"/>
  <c r="Z1710" i="26"/>
  <c r="M1711" i="26"/>
  <c r="X1711" i="26"/>
  <c r="Y1711" i="26"/>
  <c r="Z1711" i="26"/>
  <c r="X1712" i="26"/>
  <c r="Y1712" i="26"/>
  <c r="Z1712" i="26"/>
  <c r="M1713" i="26"/>
  <c r="X1713" i="26"/>
  <c r="Y1713" i="26"/>
  <c r="Z1713" i="26"/>
  <c r="M1714" i="26"/>
  <c r="X1714" i="26"/>
  <c r="Y1714" i="26"/>
  <c r="Z1714" i="26"/>
  <c r="M1715" i="26"/>
  <c r="X1715" i="26"/>
  <c r="Y1715" i="26"/>
  <c r="Z1715" i="26"/>
  <c r="M1716" i="26"/>
  <c r="X1716" i="26"/>
  <c r="Y1716" i="26"/>
  <c r="Z1716" i="26"/>
  <c r="M1717" i="26"/>
  <c r="X1717" i="26"/>
  <c r="Y1717" i="26"/>
  <c r="Z1717" i="26"/>
  <c r="M1718" i="26"/>
  <c r="X1718" i="26"/>
  <c r="Y1718" i="26"/>
  <c r="Z1718" i="26"/>
  <c r="M1719" i="26"/>
  <c r="X1719" i="26"/>
  <c r="Y1719" i="26"/>
  <c r="Z1719" i="26"/>
  <c r="M1720" i="26"/>
  <c r="X1720" i="26"/>
  <c r="Y1720" i="26"/>
  <c r="Z1720" i="26"/>
  <c r="M1721" i="26"/>
  <c r="R1721" i="26"/>
  <c r="X1721" i="26"/>
  <c r="Y1721" i="26"/>
  <c r="Z1721" i="26"/>
  <c r="Z2471" i="26"/>
  <c r="AD28" i="26"/>
  <c r="AD31" i="26"/>
  <c r="AD55" i="26"/>
  <c r="AD153" i="26"/>
  <c r="AD161" i="26"/>
  <c r="AD268" i="26"/>
  <c r="AD303" i="26"/>
  <c r="AD314" i="26"/>
  <c r="AD335" i="26"/>
  <c r="AD456" i="26"/>
  <c r="AD460" i="26"/>
  <c r="AD508" i="26"/>
  <c r="AD571" i="26"/>
  <c r="AD638" i="26"/>
  <c r="AD663" i="26"/>
  <c r="AD754" i="26"/>
  <c r="AD766" i="26"/>
  <c r="AD781" i="26"/>
  <c r="AD808" i="26"/>
  <c r="AD864" i="26"/>
  <c r="AD894" i="26"/>
  <c r="AD895" i="26"/>
  <c r="AD907" i="26"/>
  <c r="AD940" i="26"/>
  <c r="AD952" i="26"/>
  <c r="AD1004" i="26"/>
  <c r="AD1104" i="26"/>
  <c r="AD1115" i="26"/>
  <c r="AD1125" i="26"/>
  <c r="AD1138" i="26"/>
  <c r="AD1142" i="26"/>
  <c r="AD1158" i="26"/>
  <c r="AD1315" i="26"/>
  <c r="AD1349" i="26"/>
  <c r="AD1419" i="26"/>
  <c r="AD1451" i="26"/>
  <c r="AD1461" i="26"/>
  <c r="AD1465" i="26"/>
  <c r="AD1486" i="26"/>
  <c r="AD1506" i="26"/>
  <c r="AD1507" i="26"/>
  <c r="AD1516" i="26"/>
  <c r="AD1519" i="26"/>
  <c r="AD8" i="26"/>
  <c r="AD2470" i="26"/>
  <c r="AE2470" i="26"/>
  <c r="AA1685" i="26"/>
  <c r="AA1686" i="26"/>
  <c r="AA1687" i="26"/>
  <c r="AA1688" i="26"/>
  <c r="AA1689" i="26"/>
  <c r="AA1690" i="26"/>
  <c r="AA1695" i="26"/>
  <c r="AA1696" i="26"/>
  <c r="AA1697" i="26"/>
  <c r="AA1698" i="26"/>
  <c r="AA1699" i="26"/>
  <c r="AA1700" i="26"/>
  <c r="AA1701" i="26"/>
  <c r="AA1702" i="26"/>
  <c r="AA1703" i="26"/>
  <c r="AA1710" i="26"/>
  <c r="AA1711" i="26"/>
  <c r="AA1712" i="26"/>
  <c r="AA1713" i="26"/>
  <c r="AA1714" i="26"/>
  <c r="AA1715" i="26"/>
  <c r="AA1716" i="26"/>
  <c r="AA1717" i="26"/>
  <c r="AA1718" i="26"/>
  <c r="AA1719" i="26"/>
  <c r="AA1720" i="26"/>
  <c r="AA1721" i="26"/>
  <c r="AA1724" i="26"/>
  <c r="G33" i="26"/>
  <c r="G42" i="26"/>
  <c r="G56" i="26"/>
  <c r="G156" i="26"/>
  <c r="G189" i="26"/>
  <c r="G236" i="26"/>
  <c r="G324" i="26"/>
  <c r="G451" i="26"/>
  <c r="G497" i="26"/>
  <c r="G575" i="26"/>
  <c r="G640" i="26"/>
  <c r="G656" i="26"/>
  <c r="G658" i="26"/>
  <c r="G749" i="26"/>
  <c r="G849" i="26"/>
  <c r="G913" i="26"/>
  <c r="G942" i="26"/>
  <c r="G944" i="26"/>
  <c r="G1020" i="26"/>
  <c r="G1162" i="26"/>
  <c r="G1228" i="26"/>
  <c r="G1232" i="26"/>
  <c r="G1291" i="26"/>
  <c r="G1384" i="26"/>
  <c r="G1434" i="26"/>
  <c r="G1453" i="26"/>
  <c r="G1457" i="26"/>
  <c r="G1510" i="26"/>
  <c r="G1582" i="26"/>
  <c r="G1614" i="26"/>
  <c r="G1627" i="26"/>
  <c r="G1645" i="26"/>
  <c r="G1664" i="26"/>
  <c r="G1667" i="26"/>
  <c r="G1678" i="26"/>
  <c r="G1724" i="26"/>
  <c r="G1824" i="26"/>
  <c r="G1827" i="26"/>
  <c r="G1865" i="26"/>
  <c r="G1901" i="26"/>
  <c r="G1975" i="26"/>
  <c r="G1980" i="26"/>
  <c r="L1678" i="26"/>
  <c r="L1706" i="26"/>
  <c r="L1723" i="26"/>
  <c r="L1724" i="26"/>
  <c r="L1734" i="26"/>
  <c r="L1743" i="26"/>
  <c r="L1756" i="26"/>
  <c r="L1782" i="26"/>
  <c r="L1801" i="26"/>
  <c r="L1811" i="26"/>
  <c r="L1823" i="26"/>
  <c r="L1824" i="26"/>
  <c r="L1827" i="26"/>
  <c r="M56" i="26"/>
  <c r="M69" i="26"/>
  <c r="M81" i="26"/>
  <c r="M105" i="26"/>
  <c r="M121" i="26"/>
  <c r="M140" i="26"/>
  <c r="K156" i="26"/>
  <c r="M154" i="26"/>
  <c r="M89" i="26"/>
  <c r="M156" i="26"/>
  <c r="L162" i="26"/>
  <c r="M162" i="26"/>
  <c r="M173" i="26"/>
  <c r="M180" i="26"/>
  <c r="M186" i="26"/>
  <c r="M187" i="26"/>
  <c r="M189" i="26"/>
  <c r="M197" i="26"/>
  <c r="M206" i="26"/>
  <c r="M215" i="26"/>
  <c r="M216" i="26"/>
  <c r="M225" i="26"/>
  <c r="M233" i="26"/>
  <c r="M235" i="26"/>
  <c r="M236" i="26"/>
  <c r="M243" i="26"/>
  <c r="M265" i="26"/>
  <c r="M274" i="26"/>
  <c r="M275" i="26"/>
  <c r="M282" i="26"/>
  <c r="M292" i="26"/>
  <c r="M300" i="26"/>
  <c r="M310" i="26"/>
  <c r="M311" i="26"/>
  <c r="M322" i="26"/>
  <c r="M324" i="26"/>
  <c r="M332" i="26"/>
  <c r="M351" i="26"/>
  <c r="M361" i="26"/>
  <c r="K351" i="26"/>
  <c r="K361" i="26"/>
  <c r="K362" i="26"/>
  <c r="M362" i="26"/>
  <c r="M379" i="26"/>
  <c r="M390" i="26"/>
  <c r="M391" i="26"/>
  <c r="M406" i="26"/>
  <c r="M416" i="26"/>
  <c r="M423" i="26"/>
  <c r="M434" i="26"/>
  <c r="M444" i="26"/>
  <c r="M447" i="26"/>
  <c r="M451" i="26"/>
  <c r="M485" i="26"/>
  <c r="M495" i="26"/>
  <c r="M497" i="26"/>
  <c r="M509" i="26"/>
  <c r="M540" i="26"/>
  <c r="M554" i="26"/>
  <c r="M567" i="26"/>
  <c r="M568" i="26"/>
  <c r="M575" i="26"/>
  <c r="M588" i="26"/>
  <c r="M607" i="26"/>
  <c r="M620" i="26"/>
  <c r="M639" i="26"/>
  <c r="M640" i="26"/>
  <c r="M656" i="26"/>
  <c r="M658" i="26"/>
  <c r="M1654" i="26"/>
  <c r="M1663" i="26"/>
  <c r="M1664" i="26"/>
  <c r="E25" i="30"/>
  <c r="D25" i="30"/>
  <c r="M1546" i="26"/>
  <c r="M1578" i="26"/>
  <c r="M1555" i="26"/>
  <c r="M1582" i="26"/>
  <c r="E24" i="30"/>
  <c r="D24" i="30"/>
  <c r="M1641" i="26"/>
  <c r="M1645" i="26"/>
  <c r="E23" i="30"/>
  <c r="D23" i="30"/>
  <c r="M1627" i="26"/>
  <c r="E22" i="30"/>
  <c r="D22" i="30"/>
  <c r="M1600" i="26"/>
  <c r="M1612" i="26"/>
  <c r="M1591" i="26"/>
  <c r="M1614" i="26"/>
  <c r="E21" i="30"/>
  <c r="D21" i="30"/>
  <c r="M1466" i="26"/>
  <c r="M1488" i="26"/>
  <c r="M1498" i="26"/>
  <c r="M1509" i="26"/>
  <c r="M1510" i="26"/>
  <c r="E20" i="30"/>
  <c r="D20" i="30"/>
  <c r="M1392" i="26"/>
  <c r="M1411" i="26"/>
  <c r="M1431" i="26"/>
  <c r="M1434" i="26"/>
  <c r="E17" i="30"/>
  <c r="D17" i="30"/>
  <c r="M1300" i="26"/>
  <c r="M1317" i="26"/>
  <c r="M1331" i="26"/>
  <c r="M1338" i="26"/>
  <c r="M1351" i="26"/>
  <c r="M1367" i="26"/>
  <c r="M1379" i="26"/>
  <c r="M1382" i="26"/>
  <c r="M1384" i="26"/>
  <c r="E16" i="30"/>
  <c r="D16" i="30"/>
  <c r="M1245" i="26"/>
  <c r="M1266" i="26"/>
  <c r="M1288" i="26"/>
  <c r="M1291" i="26"/>
  <c r="E15" i="30"/>
  <c r="D15" i="30"/>
  <c r="M1172" i="26"/>
  <c r="M1178" i="26"/>
  <c r="M1190" i="26"/>
  <c r="M1197" i="26"/>
  <c r="M1199" i="26"/>
  <c r="M1211" i="26"/>
  <c r="M1225" i="26"/>
  <c r="M1226" i="26"/>
  <c r="M1228" i="26"/>
  <c r="E13" i="30"/>
  <c r="D13" i="30"/>
  <c r="M974" i="26"/>
  <c r="M981" i="26"/>
  <c r="M999" i="26"/>
  <c r="M1011" i="26"/>
  <c r="M1020" i="26"/>
  <c r="E12" i="30"/>
  <c r="D12" i="30"/>
  <c r="M1033" i="26"/>
  <c r="M1056" i="26"/>
  <c r="M1061" i="26"/>
  <c r="M1084" i="26"/>
  <c r="M1092" i="26"/>
  <c r="M1106" i="26"/>
  <c r="M1117" i="26"/>
  <c r="M1127" i="26"/>
  <c r="M1144" i="26"/>
  <c r="M1160" i="26"/>
  <c r="M1162" i="26"/>
  <c r="E11" i="30"/>
  <c r="D11" i="30"/>
  <c r="M937" i="26"/>
  <c r="M942" i="26"/>
  <c r="E9" i="30"/>
  <c r="D9" i="30"/>
  <c r="M857" i="26"/>
  <c r="M872" i="26"/>
  <c r="M882" i="26"/>
  <c r="M890" i="26"/>
  <c r="M891" i="26"/>
  <c r="M909" i="26"/>
  <c r="M913" i="26"/>
  <c r="E8" i="30"/>
  <c r="D8" i="30"/>
  <c r="M763" i="26"/>
  <c r="M783" i="26"/>
  <c r="M791" i="26"/>
  <c r="M810" i="26"/>
  <c r="M825" i="26"/>
  <c r="M837" i="26"/>
  <c r="M845" i="26"/>
  <c r="M847" i="26"/>
  <c r="M849" i="26"/>
  <c r="E7" i="30"/>
  <c r="D7" i="30"/>
  <c r="D18" i="30"/>
  <c r="AA758" i="26"/>
  <c r="AA759" i="26"/>
  <c r="AA760" i="26"/>
  <c r="AA761" i="26"/>
  <c r="AA762" i="26"/>
  <c r="AE766" i="26"/>
  <c r="AF766" i="26"/>
  <c r="AG766" i="26"/>
  <c r="AH766" i="26"/>
  <c r="AI766" i="26"/>
  <c r="AJ766" i="26"/>
  <c r="AK766" i="26"/>
  <c r="AL766" i="26"/>
  <c r="AM766" i="26"/>
  <c r="AN766" i="26"/>
  <c r="AO766" i="26"/>
  <c r="AP766" i="26"/>
  <c r="AQ766" i="26"/>
  <c r="AR766" i="26"/>
  <c r="AS766" i="26"/>
  <c r="AA766" i="26"/>
  <c r="AA771" i="26"/>
  <c r="AA772" i="26"/>
  <c r="AA773" i="26"/>
  <c r="AA774" i="26"/>
  <c r="AA775" i="26"/>
  <c r="AA776" i="26"/>
  <c r="AA777" i="26"/>
  <c r="AA778" i="26"/>
  <c r="AE781" i="26"/>
  <c r="AF781" i="26"/>
  <c r="AG781" i="26"/>
  <c r="AH781" i="26"/>
  <c r="AI781" i="26"/>
  <c r="AJ781" i="26"/>
  <c r="AK781" i="26"/>
  <c r="AL781" i="26"/>
  <c r="AM781" i="26"/>
  <c r="AN781" i="26"/>
  <c r="AO781" i="26"/>
  <c r="AP781" i="26"/>
  <c r="AQ781" i="26"/>
  <c r="AR781" i="26"/>
  <c r="AS781" i="26"/>
  <c r="AA781" i="26"/>
  <c r="AA787" i="26"/>
  <c r="AA788" i="26"/>
  <c r="AA789" i="26"/>
  <c r="AA790" i="26"/>
  <c r="AA797" i="26"/>
  <c r="AA798" i="26"/>
  <c r="AA799" i="26"/>
  <c r="AA800" i="26"/>
  <c r="AA801" i="26"/>
  <c r="AA802" i="26"/>
  <c r="AA803" i="26"/>
  <c r="AA804" i="26"/>
  <c r="AA805" i="26"/>
  <c r="AE808" i="26"/>
  <c r="AF808" i="26"/>
  <c r="AG808" i="26"/>
  <c r="AH808" i="26"/>
  <c r="AI808" i="26"/>
  <c r="AJ808" i="26"/>
  <c r="AK808" i="26"/>
  <c r="AL808" i="26"/>
  <c r="AM808" i="26"/>
  <c r="AN808" i="26"/>
  <c r="AO808" i="26"/>
  <c r="AP808" i="26"/>
  <c r="AQ808" i="26"/>
  <c r="AR808" i="26"/>
  <c r="AS808" i="26"/>
  <c r="AA808" i="26"/>
  <c r="AA814" i="26"/>
  <c r="AA815" i="26"/>
  <c r="AA816" i="26"/>
  <c r="AA817" i="26"/>
  <c r="AA818" i="26"/>
  <c r="AA821" i="26"/>
  <c r="AA822" i="26"/>
  <c r="AA823" i="26"/>
  <c r="AA829" i="26"/>
  <c r="AA830" i="26"/>
  <c r="AA834" i="26"/>
  <c r="AA835" i="26"/>
  <c r="AA841" i="26"/>
  <c r="AA842" i="26"/>
  <c r="AA843" i="26"/>
  <c r="AA844" i="26"/>
  <c r="AA849" i="26"/>
  <c r="AA958" i="26"/>
  <c r="AA959" i="26"/>
  <c r="AA960" i="26"/>
  <c r="AA961" i="26"/>
  <c r="AA962" i="26"/>
  <c r="AA963" i="26"/>
  <c r="AA964" i="26"/>
  <c r="AA965" i="26"/>
  <c r="AA966" i="26"/>
  <c r="AA967" i="26"/>
  <c r="AA970" i="26"/>
  <c r="AA971" i="26"/>
  <c r="AA978" i="26"/>
  <c r="AA979" i="26"/>
  <c r="AA980" i="26"/>
  <c r="AA985" i="26"/>
  <c r="AA986" i="26"/>
  <c r="AA987" i="26"/>
  <c r="AA988" i="26"/>
  <c r="AA989" i="26"/>
  <c r="AA990" i="26"/>
  <c r="AA991" i="26"/>
  <c r="AA992" i="26"/>
  <c r="AA993" i="26"/>
  <c r="AA994" i="26"/>
  <c r="AA995" i="26"/>
  <c r="AA996" i="26"/>
  <c r="AA997" i="26"/>
  <c r="AA998" i="26"/>
  <c r="AE1004" i="26"/>
  <c r="AF1004" i="26"/>
  <c r="AG1004" i="26"/>
  <c r="AH1004" i="26"/>
  <c r="AI1004" i="26"/>
  <c r="AJ1004" i="26"/>
  <c r="AK1004" i="26"/>
  <c r="AL1004" i="26"/>
  <c r="AM1004" i="26"/>
  <c r="AN1004" i="26"/>
  <c r="AO1004" i="26"/>
  <c r="AP1004" i="26"/>
  <c r="AQ1004" i="26"/>
  <c r="AR1004" i="26"/>
  <c r="AS1004" i="26"/>
  <c r="AA1004" i="26"/>
  <c r="AA1006" i="26"/>
  <c r="AA1007" i="26"/>
  <c r="AA1008" i="26"/>
  <c r="AA1009" i="26"/>
  <c r="AA1010" i="26"/>
  <c r="AA1014" i="26"/>
  <c r="AA1015" i="26"/>
  <c r="AA1016" i="26"/>
  <c r="AA1017" i="26"/>
  <c r="AA1018" i="26"/>
  <c r="AA1020" i="26"/>
  <c r="AE1461" i="26"/>
  <c r="AF1461" i="26"/>
  <c r="AG1461" i="26"/>
  <c r="AH1461" i="26"/>
  <c r="AI1461" i="26"/>
  <c r="AJ1461" i="26"/>
  <c r="AK1461" i="26"/>
  <c r="AL1461" i="26"/>
  <c r="AM1461" i="26"/>
  <c r="AN1461" i="26"/>
  <c r="AO1461" i="26"/>
  <c r="AP1461" i="26"/>
  <c r="AQ1461" i="26"/>
  <c r="AR1461" i="26"/>
  <c r="AS1461" i="26"/>
  <c r="AA1461" i="26"/>
  <c r="AE1465" i="26"/>
  <c r="AF1465" i="26"/>
  <c r="AG1465" i="26"/>
  <c r="AH1465" i="26"/>
  <c r="AI1465" i="26"/>
  <c r="AJ1465" i="26"/>
  <c r="AK1465" i="26"/>
  <c r="AL1465" i="26"/>
  <c r="AM1465" i="26"/>
  <c r="AN1465" i="26"/>
  <c r="AO1465" i="26"/>
  <c r="AP1465" i="26"/>
  <c r="AQ1465" i="26"/>
  <c r="AR1465" i="26"/>
  <c r="AS1465" i="26"/>
  <c r="AA1465" i="26"/>
  <c r="AA1470" i="26"/>
  <c r="AA1471" i="26"/>
  <c r="AA1472" i="26"/>
  <c r="AA1473" i="26"/>
  <c r="AA1474" i="26"/>
  <c r="AA1475" i="26"/>
  <c r="AA1476" i="26"/>
  <c r="AA1477" i="26"/>
  <c r="AA1478" i="26"/>
  <c r="AA1479" i="26"/>
  <c r="AA1480" i="26"/>
  <c r="AA1481" i="26"/>
  <c r="AA1482" i="26"/>
  <c r="AA1483" i="26"/>
  <c r="AE1486" i="26"/>
  <c r="AF1486" i="26"/>
  <c r="AG1486" i="26"/>
  <c r="AH1486" i="26"/>
  <c r="AI1486" i="26"/>
  <c r="AJ1486" i="26"/>
  <c r="AK1486" i="26"/>
  <c r="AL1486" i="26"/>
  <c r="AM1486" i="26"/>
  <c r="AN1486" i="26"/>
  <c r="AO1486" i="26"/>
  <c r="AP1486" i="26"/>
  <c r="AQ1486" i="26"/>
  <c r="AR1486" i="26"/>
  <c r="AS1486" i="26"/>
  <c r="AA1486" i="26"/>
  <c r="AA1493" i="26"/>
  <c r="AA1494" i="26"/>
  <c r="AA1495" i="26"/>
  <c r="AA1496" i="26"/>
  <c r="AA1497" i="26"/>
  <c r="AA1502" i="26"/>
  <c r="AA1503" i="26"/>
  <c r="AA1504" i="26"/>
  <c r="AA1505" i="26"/>
  <c r="AE1506" i="26"/>
  <c r="AF1506" i="26"/>
  <c r="AG1506" i="26"/>
  <c r="AH1506" i="26"/>
  <c r="AI1506" i="26"/>
  <c r="AJ1506" i="26"/>
  <c r="AK1506" i="26"/>
  <c r="AL1506" i="26"/>
  <c r="AM1506" i="26"/>
  <c r="AN1506" i="26"/>
  <c r="AO1506" i="26"/>
  <c r="AP1506" i="26"/>
  <c r="AQ1506" i="26"/>
  <c r="AR1506" i="26"/>
  <c r="AS1506" i="26"/>
  <c r="AA1506" i="26"/>
  <c r="AE1507" i="26"/>
  <c r="AF1507" i="26"/>
  <c r="AG1507" i="26"/>
  <c r="AH1507" i="26"/>
  <c r="AI1507" i="26"/>
  <c r="AJ1507" i="26"/>
  <c r="AK1507" i="26"/>
  <c r="AL1507" i="26"/>
  <c r="AM1507" i="26"/>
  <c r="AN1507" i="26"/>
  <c r="AO1507" i="26"/>
  <c r="AP1507" i="26"/>
  <c r="AQ1507" i="26"/>
  <c r="AR1507" i="26"/>
  <c r="AS1507" i="26"/>
  <c r="AA1507" i="26"/>
  <c r="AA1510" i="26"/>
  <c r="AE1516" i="26"/>
  <c r="AF1516" i="26"/>
  <c r="AG1516" i="26"/>
  <c r="AH1516" i="26"/>
  <c r="AI1516" i="26"/>
  <c r="AJ1516" i="26"/>
  <c r="AK1516" i="26"/>
  <c r="AL1516" i="26"/>
  <c r="AM1516" i="26"/>
  <c r="AN1516" i="26"/>
  <c r="AO1516" i="26"/>
  <c r="AP1516" i="26"/>
  <c r="AQ1516" i="26"/>
  <c r="AR1516" i="26"/>
  <c r="AS1516" i="26"/>
  <c r="AA1516" i="26"/>
  <c r="AA1519" i="26"/>
  <c r="AA1520" i="26"/>
  <c r="AA1521" i="26"/>
  <c r="AA1522" i="26"/>
  <c r="AA1523" i="26"/>
  <c r="AA1524" i="26"/>
  <c r="AA1525" i="26"/>
  <c r="AA1526" i="26"/>
  <c r="AA1527" i="26"/>
  <c r="AA1528" i="26"/>
  <c r="AA1529" i="26"/>
  <c r="AA1530" i="26"/>
  <c r="AA1531" i="26"/>
  <c r="AA1532" i="26"/>
  <c r="AA1533" i="26"/>
  <c r="AA1534" i="26"/>
  <c r="AA1535" i="26"/>
  <c r="AA1536" i="26"/>
  <c r="AA1537" i="26"/>
  <c r="AA1538" i="26"/>
  <c r="AA1539" i="26"/>
  <c r="AA1540" i="26"/>
  <c r="AA1541" i="26"/>
  <c r="AA1542" i="26"/>
  <c r="AA1543" i="26"/>
  <c r="AA1544" i="26"/>
  <c r="AA1545" i="26"/>
  <c r="AA1549" i="26"/>
  <c r="AA1550" i="26"/>
  <c r="AA1551" i="26"/>
  <c r="AA1552" i="26"/>
  <c r="AA1553" i="26"/>
  <c r="AA1554" i="26"/>
  <c r="AA1558" i="26"/>
  <c r="AA1559" i="26"/>
  <c r="AA1560" i="26"/>
  <c r="AA1561" i="26"/>
  <c r="AA1562" i="26"/>
  <c r="AA1563" i="26"/>
  <c r="AA1564" i="26"/>
  <c r="AA1565" i="26"/>
  <c r="AA1566" i="26"/>
  <c r="AA1567" i="26"/>
  <c r="AA1568" i="26"/>
  <c r="AA1569" i="26"/>
  <c r="AA1570" i="26"/>
  <c r="AA1575" i="26"/>
  <c r="AA1576" i="26"/>
  <c r="AA1582" i="26"/>
  <c r="AA1588" i="26"/>
  <c r="AA1589" i="26"/>
  <c r="AA1590" i="26"/>
  <c r="AA1594" i="26"/>
  <c r="AA1595" i="26"/>
  <c r="AA1596" i="26"/>
  <c r="AA1597" i="26"/>
  <c r="AA1598" i="26"/>
  <c r="AA1599" i="26"/>
  <c r="AA1606" i="26"/>
  <c r="AA1607" i="26"/>
  <c r="AA1608" i="26"/>
  <c r="AA1609" i="26"/>
  <c r="AA1610" i="26"/>
  <c r="AA1614" i="26"/>
  <c r="AA1620" i="26"/>
  <c r="AA1621" i="26"/>
  <c r="AA1622" i="26"/>
  <c r="AA1623" i="26"/>
  <c r="AA1624" i="26"/>
  <c r="AA1625" i="26"/>
  <c r="AA1626" i="26"/>
  <c r="AA1627" i="26"/>
  <c r="AA1633" i="26"/>
  <c r="AA1634" i="26"/>
  <c r="AA1635" i="26"/>
  <c r="AA1636" i="26"/>
  <c r="AA1637" i="26"/>
  <c r="AA1638" i="26"/>
  <c r="AA1639" i="26"/>
  <c r="AA1640" i="26"/>
  <c r="AA1645" i="26"/>
  <c r="AA1650" i="26"/>
  <c r="AA1651" i="26"/>
  <c r="AA1652" i="26"/>
  <c r="AA1653" i="26"/>
  <c r="AA1658" i="26"/>
  <c r="AA1659" i="26"/>
  <c r="AA1660" i="26"/>
  <c r="AA1661" i="26"/>
  <c r="AA1664" i="26"/>
  <c r="AA1667" i="26"/>
  <c r="AA1242" i="26"/>
  <c r="AA1243" i="26"/>
  <c r="AA1244" i="26"/>
  <c r="AA1249" i="26"/>
  <c r="AA1250" i="26"/>
  <c r="AA1251" i="26"/>
  <c r="AA1252" i="26"/>
  <c r="AA1253" i="26"/>
  <c r="AA1254" i="26"/>
  <c r="AA1255" i="26"/>
  <c r="AA1256" i="26"/>
  <c r="AA1257" i="26"/>
  <c r="AA1258" i="26"/>
  <c r="AA1259" i="26"/>
  <c r="AA1260" i="26"/>
  <c r="AA1263" i="26"/>
  <c r="AA1264" i="26"/>
  <c r="AA1270" i="26"/>
  <c r="AA1271" i="26"/>
  <c r="AA1272" i="26"/>
  <c r="AA1273" i="26"/>
  <c r="AA1274" i="26"/>
  <c r="AA1275" i="26"/>
  <c r="AA1276" i="26"/>
  <c r="AA1277" i="26"/>
  <c r="AA1278" i="26"/>
  <c r="AA1279" i="26"/>
  <c r="AA1280" i="26"/>
  <c r="AA1281" i="26"/>
  <c r="AA1282" i="26"/>
  <c r="AA1283" i="26"/>
  <c r="AA1284" i="26"/>
  <c r="AA1285" i="26"/>
  <c r="AA1286" i="26"/>
  <c r="AA1287" i="26"/>
  <c r="AA1291" i="26"/>
  <c r="AA1297" i="26"/>
  <c r="AA1298" i="26"/>
  <c r="AA1299" i="26"/>
  <c r="AA1303" i="26"/>
  <c r="AA1304" i="26"/>
  <c r="AA1305" i="26"/>
  <c r="AA1306" i="26"/>
  <c r="AA1307" i="26"/>
  <c r="AA1308" i="26"/>
  <c r="AA1309" i="26"/>
  <c r="AA1310" i="26"/>
  <c r="AA1311" i="26"/>
  <c r="AA1312" i="26"/>
  <c r="AE1315" i="26"/>
  <c r="AF1315" i="26"/>
  <c r="AG1315" i="26"/>
  <c r="AH1315" i="26"/>
  <c r="AI1315" i="26"/>
  <c r="AJ1315" i="26"/>
  <c r="AK1315" i="26"/>
  <c r="AL1315" i="26"/>
  <c r="AM1315" i="26"/>
  <c r="AN1315" i="26"/>
  <c r="AO1315" i="26"/>
  <c r="AP1315" i="26"/>
  <c r="AQ1315" i="26"/>
  <c r="AR1315" i="26"/>
  <c r="AS1315" i="26"/>
  <c r="AA1315" i="26"/>
  <c r="AA1320" i="26"/>
  <c r="AA1321" i="26"/>
  <c r="AA1322" i="26"/>
  <c r="AA1323" i="26"/>
  <c r="AA1324" i="26"/>
  <c r="AA1325" i="26"/>
  <c r="AA1326" i="26"/>
  <c r="AA1327" i="26"/>
  <c r="AA1328" i="26"/>
  <c r="AA1329" i="26"/>
  <c r="AA1336" i="26"/>
  <c r="AA1337" i="26"/>
  <c r="AA1343" i="26"/>
  <c r="AA1344" i="26"/>
  <c r="AA1345" i="26"/>
  <c r="AA1346" i="26"/>
  <c r="AE1349" i="26"/>
  <c r="AF1349" i="26"/>
  <c r="AG1349" i="26"/>
  <c r="AH1349" i="26"/>
  <c r="AI1349" i="26"/>
  <c r="AJ1349" i="26"/>
  <c r="AK1349" i="26"/>
  <c r="AL1349" i="26"/>
  <c r="AM1349" i="26"/>
  <c r="AN1349" i="26"/>
  <c r="AO1349" i="26"/>
  <c r="AP1349" i="26"/>
  <c r="AQ1349" i="26"/>
  <c r="AR1349" i="26"/>
  <c r="AS1349" i="26"/>
  <c r="AA1349" i="26"/>
  <c r="AA1358" i="26"/>
  <c r="AA1359" i="26"/>
  <c r="AA1360" i="26"/>
  <c r="AA1361" i="26"/>
  <c r="AA1362" i="26"/>
  <c r="AA1363" i="26"/>
  <c r="AA1364" i="26"/>
  <c r="AA1365" i="26"/>
  <c r="AA1366" i="26"/>
  <c r="AA1371" i="26"/>
  <c r="AA1372" i="26"/>
  <c r="AA1373" i="26"/>
  <c r="AA1374" i="26"/>
  <c r="AA1375" i="26"/>
  <c r="AA1376" i="26"/>
  <c r="AA1377" i="26"/>
  <c r="AA1378" i="26"/>
  <c r="AA1384" i="26"/>
  <c r="AA1390" i="26"/>
  <c r="AA1391" i="26"/>
  <c r="AA1396" i="26"/>
  <c r="AA1397" i="26"/>
  <c r="AA1398" i="26"/>
  <c r="AA1399" i="26"/>
  <c r="AA1400" i="26"/>
  <c r="AA1401" i="26"/>
  <c r="AA1402" i="26"/>
  <c r="AA1403" i="26"/>
  <c r="AA1404" i="26"/>
  <c r="AA1408" i="26"/>
  <c r="AA1409" i="26"/>
  <c r="AA1410" i="26"/>
  <c r="AA1415" i="26"/>
  <c r="AA1416" i="26"/>
  <c r="AA1417" i="26"/>
  <c r="AA1418" i="26"/>
  <c r="AE1419" i="26"/>
  <c r="AF1419" i="26"/>
  <c r="AG1419" i="26"/>
  <c r="AH1419" i="26"/>
  <c r="AI1419" i="26"/>
  <c r="AJ1419" i="26"/>
  <c r="AK1419" i="26"/>
  <c r="AL1419" i="26"/>
  <c r="AM1419" i="26"/>
  <c r="AN1419" i="26"/>
  <c r="AO1419" i="26"/>
  <c r="AP1419" i="26"/>
  <c r="AQ1419" i="26"/>
  <c r="AR1419" i="26"/>
  <c r="AS1419" i="26"/>
  <c r="AA1419" i="26"/>
  <c r="AA1420" i="26"/>
  <c r="AA1421" i="26"/>
  <c r="AA1422" i="26"/>
  <c r="AA1423" i="26"/>
  <c r="AA1424" i="26"/>
  <c r="AA1425" i="26"/>
  <c r="AA1426" i="26"/>
  <c r="AA1427" i="26"/>
  <c r="AA1428" i="26"/>
  <c r="AA1434" i="26"/>
  <c r="AA1439" i="26"/>
  <c r="AA1440" i="26"/>
  <c r="AA1441" i="26"/>
  <c r="AA1442" i="26"/>
  <c r="AA1443" i="26"/>
  <c r="AA1444" i="26"/>
  <c r="AA1448" i="26"/>
  <c r="AA1449" i="26"/>
  <c r="AA1450" i="26"/>
  <c r="AE1451" i="26"/>
  <c r="AF1451" i="26"/>
  <c r="AG1451" i="26"/>
  <c r="AH1451" i="26"/>
  <c r="AI1451" i="26"/>
  <c r="AJ1451" i="26"/>
  <c r="AK1451" i="26"/>
  <c r="AL1451" i="26"/>
  <c r="AM1451" i="26"/>
  <c r="AN1451" i="26"/>
  <c r="AO1451" i="26"/>
  <c r="AP1451" i="26"/>
  <c r="AQ1451" i="26"/>
  <c r="AR1451" i="26"/>
  <c r="AS1451" i="26"/>
  <c r="AA1451" i="26"/>
  <c r="AA1453" i="26"/>
  <c r="AA1457" i="26"/>
  <c r="AA48" i="26"/>
  <c r="AB48" i="26"/>
  <c r="AA53" i="26"/>
  <c r="AB53" i="26"/>
  <c r="AA54" i="26"/>
  <c r="AB54" i="26"/>
  <c r="AA114" i="26"/>
  <c r="AB114" i="26"/>
  <c r="AA115" i="26"/>
  <c r="AB115" i="26"/>
  <c r="AA116" i="26"/>
  <c r="AB116" i="26"/>
  <c r="AA348" i="26"/>
  <c r="AB348" i="26"/>
  <c r="AA472" i="26"/>
  <c r="AB472" i="26"/>
  <c r="AA473" i="26"/>
  <c r="AB473" i="26"/>
  <c r="AA507" i="26"/>
  <c r="AB507" i="26"/>
  <c r="AS571" i="26"/>
  <c r="AR571" i="26"/>
  <c r="AQ571" i="26"/>
  <c r="AP571" i="26"/>
  <c r="AO571" i="26"/>
  <c r="AN571" i="26"/>
  <c r="AM571" i="26"/>
  <c r="AL571" i="26"/>
  <c r="AK571" i="26"/>
  <c r="AJ571" i="26"/>
  <c r="AI571" i="26"/>
  <c r="AH571" i="26"/>
  <c r="AG571" i="26"/>
  <c r="AF571" i="26"/>
  <c r="AE571" i="26"/>
  <c r="AA571" i="26"/>
  <c r="AB571" i="26"/>
  <c r="AA595" i="26"/>
  <c r="AB595" i="26"/>
  <c r="AB1015" i="26"/>
  <c r="AB1016" i="26"/>
  <c r="AB1017" i="26"/>
  <c r="AB1018" i="26"/>
  <c r="AA1097" i="26"/>
  <c r="AB1097" i="26"/>
  <c r="AA1098" i="26"/>
  <c r="AB1098" i="26"/>
  <c r="AA1099" i="26"/>
  <c r="AB1099" i="26"/>
  <c r="AA1135" i="26"/>
  <c r="AA1136" i="26"/>
  <c r="AA1137" i="26"/>
  <c r="AE1138" i="26"/>
  <c r="AF1138" i="26"/>
  <c r="AG1138" i="26"/>
  <c r="AH1138" i="26"/>
  <c r="AI1138" i="26"/>
  <c r="AJ1138" i="26"/>
  <c r="AK1138" i="26"/>
  <c r="AL1138" i="26"/>
  <c r="AM1138" i="26"/>
  <c r="AN1138" i="26"/>
  <c r="AO1138" i="26"/>
  <c r="AP1138" i="26"/>
  <c r="AQ1138" i="26"/>
  <c r="AR1138" i="26"/>
  <c r="AS1138" i="26"/>
  <c r="AA1138" i="26"/>
  <c r="AA1139" i="26"/>
  <c r="AB1477" i="26"/>
  <c r="AE28" i="26"/>
  <c r="AF28" i="26"/>
  <c r="AG28" i="26"/>
  <c r="AH28" i="26"/>
  <c r="AI28" i="26"/>
  <c r="AJ28" i="26"/>
  <c r="AK28" i="26"/>
  <c r="AL28" i="26"/>
  <c r="AM28" i="26"/>
  <c r="AN28" i="26"/>
  <c r="AO28" i="26"/>
  <c r="AP28" i="26"/>
  <c r="AQ28" i="26"/>
  <c r="AR28" i="26"/>
  <c r="AS28" i="26"/>
  <c r="AE31" i="26"/>
  <c r="AF31" i="26"/>
  <c r="AG31" i="26"/>
  <c r="AH31" i="26"/>
  <c r="AI31" i="26"/>
  <c r="AJ31" i="26"/>
  <c r="AK31" i="26"/>
  <c r="AL31" i="26"/>
  <c r="AM31" i="26"/>
  <c r="AN31" i="26"/>
  <c r="AO31" i="26"/>
  <c r="AP31" i="26"/>
  <c r="AQ31" i="26"/>
  <c r="AR31" i="26"/>
  <c r="AS31" i="26"/>
  <c r="AE55" i="26"/>
  <c r="AF55" i="26"/>
  <c r="AG55" i="26"/>
  <c r="AH55" i="26"/>
  <c r="AI55" i="26"/>
  <c r="AJ55" i="26"/>
  <c r="AK55" i="26"/>
  <c r="AL55" i="26"/>
  <c r="AM55" i="26"/>
  <c r="AN55" i="26"/>
  <c r="AO55" i="26"/>
  <c r="AP55" i="26"/>
  <c r="AQ55" i="26"/>
  <c r="AR55" i="26"/>
  <c r="AS55" i="26"/>
  <c r="AE153" i="26"/>
  <c r="AF153" i="26"/>
  <c r="AG153" i="26"/>
  <c r="AH153" i="26"/>
  <c r="AI153" i="26"/>
  <c r="AJ153" i="26"/>
  <c r="AK153" i="26"/>
  <c r="AL153" i="26"/>
  <c r="AM153" i="26"/>
  <c r="AN153" i="26"/>
  <c r="AO153" i="26"/>
  <c r="AP153" i="26"/>
  <c r="AQ153" i="26"/>
  <c r="AR153" i="26"/>
  <c r="AS153" i="26"/>
  <c r="AE161" i="26"/>
  <c r="AF161" i="26"/>
  <c r="AG161" i="26"/>
  <c r="AH161" i="26"/>
  <c r="AI161" i="26"/>
  <c r="AJ161" i="26"/>
  <c r="AK161" i="26"/>
  <c r="AL161" i="26"/>
  <c r="AM161" i="26"/>
  <c r="AN161" i="26"/>
  <c r="AO161" i="26"/>
  <c r="AP161" i="26"/>
  <c r="AQ161" i="26"/>
  <c r="AR161" i="26"/>
  <c r="AS161" i="26"/>
  <c r="AE268" i="26"/>
  <c r="AF268" i="26"/>
  <c r="AG268" i="26"/>
  <c r="AH268" i="26"/>
  <c r="AI268" i="26"/>
  <c r="AJ268" i="26"/>
  <c r="AK268" i="26"/>
  <c r="AL268" i="26"/>
  <c r="AM268" i="26"/>
  <c r="AN268" i="26"/>
  <c r="AO268" i="26"/>
  <c r="AP268" i="26"/>
  <c r="AQ268" i="26"/>
  <c r="AR268" i="26"/>
  <c r="AS268" i="26"/>
  <c r="AH288" i="26"/>
  <c r="AH289" i="26"/>
  <c r="AH290" i="26"/>
  <c r="AH291" i="26"/>
  <c r="AE303" i="26"/>
  <c r="AF303" i="26"/>
  <c r="AG303" i="26"/>
  <c r="AH303" i="26"/>
  <c r="AI303" i="26"/>
  <c r="AJ303" i="26"/>
  <c r="AK303" i="26"/>
  <c r="AL303" i="26"/>
  <c r="AM303" i="26"/>
  <c r="AN303" i="26"/>
  <c r="AO303" i="26"/>
  <c r="AP303" i="26"/>
  <c r="AQ303" i="26"/>
  <c r="AR303" i="26"/>
  <c r="AS303" i="26"/>
  <c r="AE314" i="26"/>
  <c r="AF314" i="26"/>
  <c r="AG314" i="26"/>
  <c r="AH314" i="26"/>
  <c r="AI314" i="26"/>
  <c r="AJ314" i="26"/>
  <c r="AK314" i="26"/>
  <c r="AL314" i="26"/>
  <c r="AM314" i="26"/>
  <c r="AN314" i="26"/>
  <c r="AO314" i="26"/>
  <c r="AP314" i="26"/>
  <c r="AQ314" i="26"/>
  <c r="AR314" i="26"/>
  <c r="AS314" i="26"/>
  <c r="AE335" i="26"/>
  <c r="AF335" i="26"/>
  <c r="AG335" i="26"/>
  <c r="AH335" i="26"/>
  <c r="AI335" i="26"/>
  <c r="AJ335" i="26"/>
  <c r="AK335" i="26"/>
  <c r="AL335" i="26"/>
  <c r="AM335" i="26"/>
  <c r="AN335" i="26"/>
  <c r="AO335" i="26"/>
  <c r="AP335" i="26"/>
  <c r="AQ335" i="26"/>
  <c r="AR335" i="26"/>
  <c r="AS335" i="26"/>
  <c r="AE456" i="26"/>
  <c r="AF456" i="26"/>
  <c r="AG456" i="26"/>
  <c r="AH456" i="26"/>
  <c r="AI456" i="26"/>
  <c r="AJ456" i="26"/>
  <c r="AK456" i="26"/>
  <c r="AL456" i="26"/>
  <c r="AM456" i="26"/>
  <c r="AN456" i="26"/>
  <c r="AO456" i="26"/>
  <c r="AP456" i="26"/>
  <c r="AQ456" i="26"/>
  <c r="AR456" i="26"/>
  <c r="AS456" i="26"/>
  <c r="AE460" i="26"/>
  <c r="AF460" i="26"/>
  <c r="AG460" i="26"/>
  <c r="AH460" i="26"/>
  <c r="AI460" i="26"/>
  <c r="AJ460" i="26"/>
  <c r="AK460" i="26"/>
  <c r="AL460" i="26"/>
  <c r="AM460" i="26"/>
  <c r="AN460" i="26"/>
  <c r="AO460" i="26"/>
  <c r="AP460" i="26"/>
  <c r="AQ460" i="26"/>
  <c r="AR460" i="26"/>
  <c r="AS460" i="26"/>
  <c r="AE508" i="26"/>
  <c r="AF508" i="26"/>
  <c r="AG508" i="26"/>
  <c r="AH508" i="26"/>
  <c r="AI508" i="26"/>
  <c r="AJ508" i="26"/>
  <c r="AK508" i="26"/>
  <c r="AL508" i="26"/>
  <c r="AM508" i="26"/>
  <c r="AN508" i="26"/>
  <c r="AO508" i="26"/>
  <c r="AP508" i="26"/>
  <c r="AQ508" i="26"/>
  <c r="AR508" i="26"/>
  <c r="AS508" i="26"/>
  <c r="AE638" i="26"/>
  <c r="AF638" i="26"/>
  <c r="AG638" i="26"/>
  <c r="AH638" i="26"/>
  <c r="AI638" i="26"/>
  <c r="AJ638" i="26"/>
  <c r="AK638" i="26"/>
  <c r="AL638" i="26"/>
  <c r="AM638" i="26"/>
  <c r="AN638" i="26"/>
  <c r="AO638" i="26"/>
  <c r="AP638" i="26"/>
  <c r="AQ638" i="26"/>
  <c r="AR638" i="26"/>
  <c r="AS638" i="26"/>
  <c r="AE663" i="26"/>
  <c r="AF663" i="26"/>
  <c r="AG663" i="26"/>
  <c r="AH663" i="26"/>
  <c r="AI663" i="26"/>
  <c r="AJ663" i="26"/>
  <c r="AK663" i="26"/>
  <c r="AL663" i="26"/>
  <c r="AM663" i="26"/>
  <c r="AN663" i="26"/>
  <c r="AO663" i="26"/>
  <c r="AP663" i="26"/>
  <c r="AQ663" i="26"/>
  <c r="AR663" i="26"/>
  <c r="AS663" i="26"/>
  <c r="AE754" i="26"/>
  <c r="AF754" i="26"/>
  <c r="AG754" i="26"/>
  <c r="AH754" i="26"/>
  <c r="AI754" i="26"/>
  <c r="AJ754" i="26"/>
  <c r="AK754" i="26"/>
  <c r="AL754" i="26"/>
  <c r="AM754" i="26"/>
  <c r="AN754" i="26"/>
  <c r="AO754" i="26"/>
  <c r="AP754" i="26"/>
  <c r="AQ754" i="26"/>
  <c r="AR754" i="26"/>
  <c r="AS754" i="26"/>
  <c r="AE894" i="26"/>
  <c r="AF894" i="26"/>
  <c r="AG894" i="26"/>
  <c r="AH894" i="26"/>
  <c r="AI894" i="26"/>
  <c r="AJ894" i="26"/>
  <c r="AK894" i="26"/>
  <c r="AL894" i="26"/>
  <c r="AM894" i="26"/>
  <c r="AN894" i="26"/>
  <c r="AO894" i="26"/>
  <c r="AP894" i="26"/>
  <c r="AQ894" i="26"/>
  <c r="AR894" i="26"/>
  <c r="AS894" i="26"/>
  <c r="AE907" i="26"/>
  <c r="AF907" i="26"/>
  <c r="AG907" i="26"/>
  <c r="AH907" i="26"/>
  <c r="AI907" i="26"/>
  <c r="AJ907" i="26"/>
  <c r="AK907" i="26"/>
  <c r="AL907" i="26"/>
  <c r="AM907" i="26"/>
  <c r="AN907" i="26"/>
  <c r="AO907" i="26"/>
  <c r="AP907" i="26"/>
  <c r="AQ907" i="26"/>
  <c r="AR907" i="26"/>
  <c r="AS907" i="26"/>
  <c r="AE940" i="26"/>
  <c r="AF940" i="26"/>
  <c r="AG940" i="26"/>
  <c r="AH940" i="26"/>
  <c r="AI940" i="26"/>
  <c r="AJ940" i="26"/>
  <c r="AK940" i="26"/>
  <c r="AL940" i="26"/>
  <c r="AM940" i="26"/>
  <c r="AN940" i="26"/>
  <c r="AO940" i="26"/>
  <c r="AP940" i="26"/>
  <c r="AQ940" i="26"/>
  <c r="AR940" i="26"/>
  <c r="AS940" i="26"/>
  <c r="AE952" i="26"/>
  <c r="AF952" i="26"/>
  <c r="AG952" i="26"/>
  <c r="AH952" i="26"/>
  <c r="AI952" i="26"/>
  <c r="AJ952" i="26"/>
  <c r="AK952" i="26"/>
  <c r="AL952" i="26"/>
  <c r="AM952" i="26"/>
  <c r="AN952" i="26"/>
  <c r="AO952" i="26"/>
  <c r="AP952" i="26"/>
  <c r="AQ952" i="26"/>
  <c r="AR952" i="26"/>
  <c r="AS952" i="26"/>
  <c r="AE1104" i="26"/>
  <c r="AF1104" i="26"/>
  <c r="AG1104" i="26"/>
  <c r="AH1104" i="26"/>
  <c r="AI1104" i="26"/>
  <c r="AJ1104" i="26"/>
  <c r="AK1104" i="26"/>
  <c r="AL1104" i="26"/>
  <c r="AM1104" i="26"/>
  <c r="AN1104" i="26"/>
  <c r="AO1104" i="26"/>
  <c r="AP1104" i="26"/>
  <c r="AQ1104" i="26"/>
  <c r="AR1104" i="26"/>
  <c r="AS1104" i="26"/>
  <c r="AE1115" i="26"/>
  <c r="AF1115" i="26"/>
  <c r="AG1115" i="26"/>
  <c r="AH1115" i="26"/>
  <c r="AI1115" i="26"/>
  <c r="AJ1115" i="26"/>
  <c r="AK1115" i="26"/>
  <c r="AL1115" i="26"/>
  <c r="AM1115" i="26"/>
  <c r="AN1115" i="26"/>
  <c r="AO1115" i="26"/>
  <c r="AP1115" i="26"/>
  <c r="AQ1115" i="26"/>
  <c r="AR1115" i="26"/>
  <c r="AS1115" i="26"/>
  <c r="AE1125" i="26"/>
  <c r="AF1125" i="26"/>
  <c r="AG1125" i="26"/>
  <c r="AH1125" i="26"/>
  <c r="AI1125" i="26"/>
  <c r="AJ1125" i="26"/>
  <c r="AK1125" i="26"/>
  <c r="AL1125" i="26"/>
  <c r="AM1125" i="26"/>
  <c r="AN1125" i="26"/>
  <c r="AO1125" i="26"/>
  <c r="AP1125" i="26"/>
  <c r="AQ1125" i="26"/>
  <c r="AR1125" i="26"/>
  <c r="AS1125" i="26"/>
  <c r="AE1142" i="26"/>
  <c r="AF1142" i="26"/>
  <c r="AG1142" i="26"/>
  <c r="AH1142" i="26"/>
  <c r="AI1142" i="26"/>
  <c r="AJ1142" i="26"/>
  <c r="AK1142" i="26"/>
  <c r="AL1142" i="26"/>
  <c r="AM1142" i="26"/>
  <c r="AN1142" i="26"/>
  <c r="AO1142" i="26"/>
  <c r="AP1142" i="26"/>
  <c r="AQ1142" i="26"/>
  <c r="AR1142" i="26"/>
  <c r="AS1142" i="26"/>
  <c r="AE1158" i="26"/>
  <c r="AF1158" i="26"/>
  <c r="AG1158" i="26"/>
  <c r="AH1158" i="26"/>
  <c r="AI1158" i="26"/>
  <c r="AJ1158" i="26"/>
  <c r="AK1158" i="26"/>
  <c r="AL1158" i="26"/>
  <c r="AM1158" i="26"/>
  <c r="AN1158" i="26"/>
  <c r="AO1158" i="26"/>
  <c r="AP1158" i="26"/>
  <c r="AQ1158" i="26"/>
  <c r="AR1158" i="26"/>
  <c r="AS1158" i="26"/>
  <c r="AA9" i="26"/>
  <c r="X1582" i="26"/>
  <c r="X1614" i="26"/>
  <c r="X1627" i="26"/>
  <c r="X1645" i="26"/>
  <c r="X1664" i="26"/>
  <c r="X1667" i="26"/>
  <c r="X640" i="26"/>
  <c r="X849" i="26"/>
  <c r="Q937" i="26"/>
  <c r="Q1980" i="26"/>
  <c r="M33" i="26"/>
  <c r="M42" i="26"/>
  <c r="M664" i="26"/>
  <c r="M680" i="26"/>
  <c r="M699" i="26"/>
  <c r="M739" i="26"/>
  <c r="M747" i="26"/>
  <c r="M749" i="26"/>
  <c r="M944" i="26"/>
  <c r="M1232" i="26"/>
  <c r="M1453" i="26"/>
  <c r="M1457" i="26"/>
  <c r="M1667" i="26"/>
  <c r="M1678" i="26"/>
  <c r="M1706" i="26"/>
  <c r="M1723" i="26"/>
  <c r="M1724" i="26"/>
  <c r="M1730" i="26"/>
  <c r="M1731" i="26"/>
  <c r="M1733" i="26"/>
  <c r="M1734" i="26"/>
  <c r="M1739" i="26"/>
  <c r="M1740" i="26"/>
  <c r="M1742" i="26"/>
  <c r="M1743" i="26"/>
  <c r="M1747" i="26"/>
  <c r="M1749" i="26"/>
  <c r="M1750" i="26"/>
  <c r="M1751" i="26"/>
  <c r="M1752" i="26"/>
  <c r="M1753" i="26"/>
  <c r="M1754" i="26"/>
  <c r="M1755" i="26"/>
  <c r="M1756" i="26"/>
  <c r="M1761" i="26"/>
  <c r="M1762" i="26"/>
  <c r="M1763" i="26"/>
  <c r="M1764" i="26"/>
  <c r="M1765" i="26"/>
  <c r="M1766" i="26"/>
  <c r="M1767" i="26"/>
  <c r="M1768" i="26"/>
  <c r="M1769" i="26"/>
  <c r="M1770" i="26"/>
  <c r="M1771" i="26"/>
  <c r="M1772" i="26"/>
  <c r="M1773" i="26"/>
  <c r="M1774" i="26"/>
  <c r="M1775" i="26"/>
  <c r="M1776" i="26"/>
  <c r="M1777" i="26"/>
  <c r="M1778" i="26"/>
  <c r="M1779" i="26"/>
  <c r="M1780" i="26"/>
  <c r="M1781" i="26"/>
  <c r="M1782" i="26"/>
  <c r="M1789" i="26"/>
  <c r="M1790" i="26"/>
  <c r="M1791" i="26"/>
  <c r="M1792" i="26"/>
  <c r="M1793" i="26"/>
  <c r="M1794" i="26"/>
  <c r="M1795" i="26"/>
  <c r="M1796" i="26"/>
  <c r="M1797" i="26"/>
  <c r="M1798" i="26"/>
  <c r="M1799" i="26"/>
  <c r="M1801" i="26"/>
  <c r="M1806" i="26"/>
  <c r="M1807" i="26"/>
  <c r="M1808" i="26"/>
  <c r="M1810" i="26"/>
  <c r="M1811" i="26"/>
  <c r="M1816" i="26"/>
  <c r="M1818" i="26"/>
  <c r="M1819" i="26"/>
  <c r="M1823" i="26"/>
  <c r="M1824" i="26"/>
  <c r="M1827" i="26"/>
  <c r="M1856" i="26"/>
  <c r="M1857" i="26"/>
  <c r="M1858" i="26"/>
  <c r="M1859" i="26"/>
  <c r="M1864" i="26"/>
  <c r="M1848" i="26"/>
  <c r="M1849" i="26"/>
  <c r="M1851" i="26"/>
  <c r="M1837" i="26"/>
  <c r="M1838" i="26"/>
  <c r="M1839" i="26"/>
  <c r="M1840" i="26"/>
  <c r="M1841" i="26"/>
  <c r="M1842" i="26"/>
  <c r="M1843" i="26"/>
  <c r="M1844" i="26"/>
  <c r="M1865" i="26"/>
  <c r="M1877" i="26"/>
  <c r="M1879" i="26"/>
  <c r="M1880" i="26"/>
  <c r="M1881" i="26"/>
  <c r="M1887" i="26"/>
  <c r="M1888" i="26"/>
  <c r="M1894" i="26"/>
  <c r="M1897" i="26"/>
  <c r="M1898" i="26"/>
  <c r="M1901" i="26"/>
  <c r="M1935" i="26"/>
  <c r="M1939" i="26"/>
  <c r="M1940" i="26"/>
  <c r="M1941" i="26"/>
  <c r="M1942" i="26"/>
  <c r="M1944" i="26"/>
  <c r="M1945" i="26"/>
  <c r="M1946" i="26"/>
  <c r="M1947" i="26"/>
  <c r="M1951" i="26"/>
  <c r="M1952" i="26"/>
  <c r="M1954" i="26"/>
  <c r="M1956" i="26"/>
  <c r="M1958" i="26"/>
  <c r="M1959" i="26"/>
  <c r="M1960" i="26"/>
  <c r="M1961" i="26"/>
  <c r="M1962" i="26"/>
  <c r="M1963" i="26"/>
  <c r="M1964" i="26"/>
  <c r="M1968" i="26"/>
  <c r="M1972" i="26"/>
  <c r="M1973" i="26"/>
  <c r="M1915" i="26"/>
  <c r="M1918" i="26"/>
  <c r="M1919" i="26"/>
  <c r="M1921" i="26"/>
  <c r="M1929" i="26"/>
  <c r="M1906" i="26"/>
  <c r="M1907" i="26"/>
  <c r="M1908" i="26"/>
  <c r="M1910" i="26"/>
  <c r="M1975" i="26"/>
  <c r="M1980" i="26"/>
  <c r="AA1975" i="26"/>
  <c r="AA1865" i="26"/>
  <c r="AA1901" i="26"/>
  <c r="AA1824" i="26"/>
  <c r="AA1083" i="26"/>
  <c r="L140" i="26"/>
  <c r="K42" i="26"/>
  <c r="L620" i="26"/>
  <c r="L588" i="26"/>
  <c r="X1862" i="26"/>
  <c r="Y1862" i="26"/>
  <c r="Z1862" i="26"/>
  <c r="X1855" i="26"/>
  <c r="Y1855" i="26"/>
  <c r="Z1855" i="26"/>
  <c r="X1850" i="26"/>
  <c r="Y1850" i="26"/>
  <c r="Z1850" i="26"/>
  <c r="X1847" i="26"/>
  <c r="Y1847" i="26"/>
  <c r="Z1847" i="26"/>
  <c r="X1836" i="26"/>
  <c r="Y1836" i="26"/>
  <c r="Z1836" i="26"/>
  <c r="X1835" i="26"/>
  <c r="Y1835" i="26"/>
  <c r="Z1835" i="26"/>
  <c r="AA637" i="26"/>
  <c r="AA582" i="26"/>
  <c r="AA583" i="26"/>
  <c r="AA584" i="26"/>
  <c r="AA585" i="26"/>
  <c r="AA586" i="26"/>
  <c r="AA592" i="26"/>
  <c r="AA593" i="26"/>
  <c r="AA596" i="26"/>
  <c r="AA597" i="26"/>
  <c r="AA598" i="26"/>
  <c r="AA599" i="26"/>
  <c r="AA600" i="26"/>
  <c r="AA604" i="26"/>
  <c r="AA605" i="26"/>
  <c r="AA606" i="26"/>
  <c r="AA611" i="26"/>
  <c r="AA612" i="26"/>
  <c r="AA613" i="26"/>
  <c r="AA614" i="26"/>
  <c r="AA615" i="26"/>
  <c r="AA616" i="26"/>
  <c r="AA617" i="26"/>
  <c r="AA618" i="26"/>
  <c r="AA619" i="26"/>
  <c r="AA624" i="26"/>
  <c r="AA625" i="26"/>
  <c r="AA626" i="26"/>
  <c r="AA627" i="26"/>
  <c r="AA628" i="26"/>
  <c r="AA629" i="26"/>
  <c r="AA630" i="26"/>
  <c r="AA631" i="26"/>
  <c r="AA632" i="26"/>
  <c r="AA633" i="26"/>
  <c r="AA634" i="26"/>
  <c r="AA635" i="26"/>
  <c r="AA636" i="26"/>
  <c r="AA638" i="26"/>
  <c r="AA640" i="26"/>
  <c r="AA548" i="26"/>
  <c r="BT1029" i="26"/>
  <c r="AB1537" i="26"/>
  <c r="AB1530" i="26"/>
  <c r="AB548" i="26"/>
  <c r="AB1083" i="26"/>
  <c r="AA1029" i="26"/>
  <c r="X1885" i="26"/>
  <c r="Y1885" i="26"/>
  <c r="Z1885" i="26"/>
  <c r="AA146" i="26"/>
  <c r="AA135" i="26"/>
  <c r="AA130" i="26"/>
  <c r="AA78" i="26"/>
  <c r="AA152" i="26"/>
  <c r="AB146" i="26"/>
  <c r="AB135" i="26"/>
  <c r="AB130" i="26"/>
  <c r="AB152" i="26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K845" i="26"/>
  <c r="L845" i="26"/>
  <c r="K825" i="26"/>
  <c r="L825" i="26"/>
  <c r="K810" i="26"/>
  <c r="L810" i="26"/>
  <c r="K783" i="26"/>
  <c r="L783" i="26"/>
  <c r="AB1553" i="26"/>
  <c r="AB1554" i="26"/>
  <c r="K1578" i="26"/>
  <c r="L1578" i="26"/>
  <c r="K1546" i="26"/>
  <c r="L1546" i="26"/>
  <c r="L1555" i="26"/>
  <c r="K1555" i="26"/>
  <c r="K1488" i="26"/>
  <c r="L1488" i="26"/>
  <c r="K1453" i="26"/>
  <c r="L1453" i="26"/>
  <c r="K1411" i="26"/>
  <c r="L1411" i="26"/>
  <c r="AB1408" i="26"/>
  <c r="K1379" i="26"/>
  <c r="L1379" i="26"/>
  <c r="K1367" i="26"/>
  <c r="L1367" i="26"/>
  <c r="K1351" i="26"/>
  <c r="L1351" i="26"/>
  <c r="K1331" i="26"/>
  <c r="K1317" i="26"/>
  <c r="L1317" i="26"/>
  <c r="K1288" i="26"/>
  <c r="L1288" i="26"/>
  <c r="K1266" i="26"/>
  <c r="L1266" i="26"/>
  <c r="AB1135" i="26"/>
  <c r="AB1136" i="26"/>
  <c r="AB1137" i="26"/>
  <c r="AB1139" i="26"/>
  <c r="K1160" i="26"/>
  <c r="L1160" i="26"/>
  <c r="K1144" i="26"/>
  <c r="L1144" i="26"/>
  <c r="K1127" i="26"/>
  <c r="L1127" i="26"/>
  <c r="K1117" i="26"/>
  <c r="L1117" i="26"/>
  <c r="L1106" i="26"/>
  <c r="K1084" i="26"/>
  <c r="L1084" i="26"/>
  <c r="K1011" i="26"/>
  <c r="L1011" i="26"/>
  <c r="K974" i="26"/>
  <c r="L937" i="26"/>
  <c r="K909" i="26"/>
  <c r="L909" i="26"/>
  <c r="K837" i="26"/>
  <c r="K154" i="26"/>
  <c r="D27" i="30"/>
  <c r="K1582" i="26"/>
  <c r="L1582" i="26"/>
  <c r="K1020" i="26"/>
  <c r="X1842" i="26"/>
  <c r="Y1842" i="26"/>
  <c r="Z1842" i="26"/>
  <c r="X1841" i="26"/>
  <c r="L1056" i="26"/>
  <c r="Y1841" i="26"/>
  <c r="Z1841" i="26"/>
  <c r="AB1029" i="26"/>
  <c r="B1877" i="26"/>
  <c r="L1864" i="26"/>
  <c r="K1864" i="26"/>
  <c r="P1862" i="26"/>
  <c r="B1862" i="26"/>
  <c r="P1859" i="26"/>
  <c r="X1859" i="26"/>
  <c r="Y1859" i="26"/>
  <c r="Z1859" i="26"/>
  <c r="P1858" i="26"/>
  <c r="X1858" i="26"/>
  <c r="Y1858" i="26"/>
  <c r="Z1858" i="26"/>
  <c r="P1857" i="26"/>
  <c r="X1857" i="26"/>
  <c r="Y1857" i="26"/>
  <c r="Z1857" i="26"/>
  <c r="P1856" i="26"/>
  <c r="P1855" i="26"/>
  <c r="B1855" i="26"/>
  <c r="B1856" i="26"/>
  <c r="B1857" i="26"/>
  <c r="B1858" i="26"/>
  <c r="B1859" i="26"/>
  <c r="L1851" i="26"/>
  <c r="P1850" i="26"/>
  <c r="P1849" i="26"/>
  <c r="X1849" i="26"/>
  <c r="Y1849" i="26"/>
  <c r="Z1849" i="26"/>
  <c r="P1848" i="26"/>
  <c r="X1848" i="26"/>
  <c r="Y1848" i="26"/>
  <c r="Z1848" i="26"/>
  <c r="P1847" i="26"/>
  <c r="B1847" i="26"/>
  <c r="B1848" i="26"/>
  <c r="B1849" i="26"/>
  <c r="B1850" i="26"/>
  <c r="L1844" i="26"/>
  <c r="L1865" i="26"/>
  <c r="K1844" i="26"/>
  <c r="K1851" i="26"/>
  <c r="P1843" i="26"/>
  <c r="X1843" i="26"/>
  <c r="Y1843" i="26"/>
  <c r="Z1843" i="26"/>
  <c r="P1842" i="26"/>
  <c r="P1841" i="26"/>
  <c r="P1840" i="26"/>
  <c r="X1840" i="26"/>
  <c r="Y1840" i="26"/>
  <c r="Z1840" i="26"/>
  <c r="P1839" i="26"/>
  <c r="X1839" i="26"/>
  <c r="Y1839" i="26"/>
  <c r="Z1839" i="26"/>
  <c r="P1838" i="26"/>
  <c r="X1838" i="26"/>
  <c r="Y1838" i="26"/>
  <c r="Z1838" i="26"/>
  <c r="P1837" i="26"/>
  <c r="P1836" i="26"/>
  <c r="P1835" i="26"/>
  <c r="B1835" i="26"/>
  <c r="B1836" i="26"/>
  <c r="B1837" i="26"/>
  <c r="B1838" i="26"/>
  <c r="B1839" i="26"/>
  <c r="B1840" i="26"/>
  <c r="B1841" i="26"/>
  <c r="B1842" i="26"/>
  <c r="B1843" i="26"/>
  <c r="R1787" i="26"/>
  <c r="X1787" i="26"/>
  <c r="Y1787" i="26"/>
  <c r="P1787" i="26"/>
  <c r="B1787" i="26"/>
  <c r="B1788" i="26"/>
  <c r="B1588" i="26"/>
  <c r="B1589" i="26"/>
  <c r="X1837" i="26"/>
  <c r="Y1837" i="26"/>
  <c r="Z1837" i="26"/>
  <c r="X1856" i="26"/>
  <c r="Y1856" i="26"/>
  <c r="Z1856" i="26"/>
  <c r="P1169" i="26"/>
  <c r="Z1865" i="26"/>
  <c r="AB1865" i="26"/>
  <c r="X1865" i="26"/>
  <c r="P1554" i="26"/>
  <c r="P1553" i="26"/>
  <c r="P1533" i="26"/>
  <c r="P1537" i="26"/>
  <c r="P1530" i="26"/>
  <c r="P1450" i="26"/>
  <c r="P1408" i="26"/>
  <c r="B1408" i="26"/>
  <c r="P1404" i="26"/>
  <c r="P1403" i="26"/>
  <c r="AA1157" i="26"/>
  <c r="BT1157" i="26"/>
  <c r="AB1404" i="26"/>
  <c r="AB1403" i="26"/>
  <c r="P1157" i="26"/>
  <c r="B1142" i="26"/>
  <c r="BT1138" i="26"/>
  <c r="P1138" i="26"/>
  <c r="P1139" i="26"/>
  <c r="P1137" i="26"/>
  <c r="P1136" i="26"/>
  <c r="P1135" i="26"/>
  <c r="P1099" i="26"/>
  <c r="P1097" i="26"/>
  <c r="P1083" i="26"/>
  <c r="P1018" i="26"/>
  <c r="P1017" i="26"/>
  <c r="P1016" i="26"/>
  <c r="B663" i="26"/>
  <c r="AB637" i="26"/>
  <c r="P637" i="26"/>
  <c r="P571" i="26"/>
  <c r="B571" i="26"/>
  <c r="P548" i="26"/>
  <c r="P507" i="26"/>
  <c r="P473" i="26"/>
  <c r="P472" i="26"/>
  <c r="P348" i="26"/>
  <c r="P152" i="26"/>
  <c r="P146" i="26"/>
  <c r="P135" i="26"/>
  <c r="P130" i="26"/>
  <c r="P116" i="26"/>
  <c r="P114" i="26"/>
  <c r="P78" i="26"/>
  <c r="P54" i="26"/>
  <c r="P53" i="26"/>
  <c r="AB1533" i="26"/>
  <c r="AB78" i="26"/>
  <c r="AB1157" i="26"/>
  <c r="AB1138" i="26"/>
  <c r="AW8" i="26"/>
  <c r="E64" i="30"/>
  <c r="AX8" i="26"/>
  <c r="E65" i="30"/>
  <c r="AY8" i="26"/>
  <c r="E66" i="30"/>
  <c r="AZ8" i="26"/>
  <c r="E67" i="30"/>
  <c r="BA8" i="26"/>
  <c r="E68" i="30"/>
  <c r="BB8" i="26"/>
  <c r="E69" i="30"/>
  <c r="BC8" i="26"/>
  <c r="E70" i="30"/>
  <c r="BD8" i="26"/>
  <c r="E71" i="30"/>
  <c r="BE8" i="26"/>
  <c r="E72" i="30"/>
  <c r="BF8" i="26"/>
  <c r="E73" i="30"/>
  <c r="BG8" i="26"/>
  <c r="E74" i="30"/>
  <c r="BH8" i="26"/>
  <c r="E75" i="30"/>
  <c r="BI8" i="26"/>
  <c r="E76" i="30"/>
  <c r="BJ8" i="26"/>
  <c r="E77" i="30"/>
  <c r="BK8" i="26"/>
  <c r="BL8" i="26"/>
  <c r="E78" i="30"/>
  <c r="BM8" i="26"/>
  <c r="E79" i="30"/>
  <c r="BN8" i="26"/>
  <c r="E80" i="30"/>
  <c r="BO8" i="26"/>
  <c r="E81" i="30"/>
  <c r="BP8" i="26"/>
  <c r="E82" i="30"/>
  <c r="BQ8" i="26"/>
  <c r="E83" i="30"/>
  <c r="BR8" i="26"/>
  <c r="E84" i="30"/>
  <c r="BS8" i="26"/>
  <c r="E85" i="30"/>
  <c r="AV8" i="26"/>
  <c r="E63" i="30"/>
  <c r="K1706" i="26"/>
  <c r="L1705" i="26"/>
  <c r="K1705" i="26"/>
  <c r="B1695" i="26"/>
  <c r="B1696" i="26"/>
  <c r="B1697" i="26"/>
  <c r="B1698" i="26"/>
  <c r="B1699" i="26"/>
  <c r="B1700" i="26"/>
  <c r="B1701" i="26"/>
  <c r="B1702" i="26"/>
  <c r="B1703" i="26"/>
  <c r="BT1690" i="26"/>
  <c r="P1690" i="26"/>
  <c r="BT1689" i="26"/>
  <c r="P1689" i="26"/>
  <c r="BT1688" i="26"/>
  <c r="P1688" i="26"/>
  <c r="BT1687" i="26"/>
  <c r="P1687" i="26"/>
  <c r="BT1686" i="26"/>
  <c r="P1686" i="26"/>
  <c r="B1933" i="26"/>
  <c r="B1934" i="26"/>
  <c r="B1935" i="26"/>
  <c r="B1936" i="26"/>
  <c r="B1937" i="26"/>
  <c r="B1915" i="26"/>
  <c r="B1916" i="26"/>
  <c r="B1917" i="26"/>
  <c r="B1918" i="26"/>
  <c r="B1919" i="26"/>
  <c r="B1920" i="26"/>
  <c r="B1921" i="26"/>
  <c r="B1922" i="26"/>
  <c r="B1923" i="26"/>
  <c r="B1924" i="26"/>
  <c r="B1925" i="26"/>
  <c r="B1926" i="26"/>
  <c r="B1927" i="26"/>
  <c r="B1928" i="26"/>
  <c r="B1894" i="26"/>
  <c r="B1895" i="26"/>
  <c r="B1896" i="26"/>
  <c r="B1897" i="26"/>
  <c r="B1878" i="26"/>
  <c r="B1879" i="26"/>
  <c r="B1880" i="26"/>
  <c r="B1881" i="26"/>
  <c r="B1882" i="26"/>
  <c r="B1883" i="26"/>
  <c r="B1884" i="26"/>
  <c r="B1885" i="26"/>
  <c r="B1886" i="26"/>
  <c r="B1887" i="26"/>
  <c r="B1789" i="26"/>
  <c r="B1790" i="26"/>
  <c r="B1791" i="26"/>
  <c r="B1792" i="26"/>
  <c r="B1793" i="26"/>
  <c r="B1794" i="26"/>
  <c r="B1795" i="26"/>
  <c r="B1796" i="26"/>
  <c r="B1797" i="26"/>
  <c r="B1798" i="26"/>
  <c r="B1799" i="26"/>
  <c r="B1761" i="26"/>
  <c r="B1762" i="26"/>
  <c r="B1763" i="26"/>
  <c r="B1764" i="26"/>
  <c r="B1765" i="26"/>
  <c r="B1766" i="26"/>
  <c r="B1767" i="26"/>
  <c r="B1768" i="26"/>
  <c r="B1769" i="26"/>
  <c r="B1770" i="26"/>
  <c r="B1771" i="26"/>
  <c r="B1772" i="26"/>
  <c r="B1773" i="26"/>
  <c r="B1774" i="26"/>
  <c r="B1775" i="26"/>
  <c r="B1776" i="26"/>
  <c r="B1777" i="26"/>
  <c r="B1778" i="26"/>
  <c r="B1779" i="26"/>
  <c r="B1780" i="26"/>
  <c r="B1781" i="26"/>
  <c r="B1747" i="26"/>
  <c r="B1748" i="26"/>
  <c r="B1749" i="26"/>
  <c r="B1750" i="26"/>
  <c r="B1751" i="26"/>
  <c r="B1752" i="26"/>
  <c r="B1753" i="26"/>
  <c r="B1754" i="26"/>
  <c r="B1755" i="26"/>
  <c r="B1739" i="26"/>
  <c r="B1740" i="26"/>
  <c r="B1741" i="26"/>
  <c r="B1742" i="26"/>
  <c r="B1710" i="26"/>
  <c r="B1711" i="26"/>
  <c r="B1712" i="26"/>
  <c r="B1713" i="26"/>
  <c r="B1714" i="26"/>
  <c r="B1715" i="26"/>
  <c r="B1716" i="26"/>
  <c r="B1717" i="26"/>
  <c r="B1718" i="26"/>
  <c r="B1719" i="26"/>
  <c r="B1720" i="26"/>
  <c r="B1721" i="26"/>
  <c r="B1685" i="26"/>
  <c r="B1686" i="26"/>
  <c r="B1687" i="26"/>
  <c r="B1688" i="26"/>
  <c r="B1689" i="26"/>
  <c r="B1690" i="26"/>
  <c r="B1620" i="26"/>
  <c r="B1621" i="26"/>
  <c r="B1622" i="26"/>
  <c r="B1623" i="26"/>
  <c r="B1624" i="26"/>
  <c r="B1625" i="26"/>
  <c r="B1626" i="26"/>
  <c r="B1575" i="26"/>
  <c r="B1576" i="26"/>
  <c r="B1558" i="26"/>
  <c r="B1559" i="26"/>
  <c r="B1560" i="26"/>
  <c r="B1561" i="26"/>
  <c r="B1562" i="26"/>
  <c r="B1563" i="26"/>
  <c r="B1564" i="26"/>
  <c r="B1565" i="26"/>
  <c r="B1566" i="26"/>
  <c r="B1567" i="26"/>
  <c r="B1568" i="26"/>
  <c r="B1569" i="26"/>
  <c r="B1570" i="26"/>
  <c r="B1549" i="26"/>
  <c r="B1550" i="26"/>
  <c r="B1551" i="26"/>
  <c r="B1552" i="26"/>
  <c r="B1553" i="26"/>
  <c r="B1554" i="26"/>
  <c r="B1519" i="26"/>
  <c r="B1520" i="26"/>
  <c r="B1521" i="26"/>
  <c r="B1522" i="26"/>
  <c r="B1523" i="26"/>
  <c r="B1524" i="26"/>
  <c r="B1525" i="26"/>
  <c r="B1526" i="26"/>
  <c r="B1527" i="26"/>
  <c r="B1528" i="26"/>
  <c r="B1529" i="26"/>
  <c r="B1516" i="26"/>
  <c r="B1502" i="26"/>
  <c r="B1503" i="26"/>
  <c r="B1504" i="26"/>
  <c r="B1505" i="26"/>
  <c r="B1507" i="26"/>
  <c r="B1506" i="26"/>
  <c r="B1493" i="26"/>
  <c r="B1494" i="26"/>
  <c r="B1495" i="26"/>
  <c r="B1496" i="26"/>
  <c r="B1497" i="26"/>
  <c r="B1470" i="26"/>
  <c r="B1471" i="26"/>
  <c r="B1472" i="26"/>
  <c r="B1473" i="26"/>
  <c r="B1474" i="26"/>
  <c r="B1475" i="26"/>
  <c r="B1476" i="26"/>
  <c r="B1477" i="26"/>
  <c r="B1478" i="26"/>
  <c r="B1479" i="26"/>
  <c r="B1480" i="26"/>
  <c r="B1481" i="26"/>
  <c r="B1482" i="26"/>
  <c r="B1483" i="26"/>
  <c r="B1461" i="26"/>
  <c r="B1409" i="26"/>
  <c r="B1410" i="26"/>
  <c r="B1390" i="26"/>
  <c r="B1391" i="26"/>
  <c r="B1371" i="26"/>
  <c r="B1372" i="26"/>
  <c r="B1373" i="26"/>
  <c r="B1374" i="26"/>
  <c r="B1375" i="26"/>
  <c r="B1376" i="26"/>
  <c r="B1377" i="26"/>
  <c r="B1378" i="26"/>
  <c r="B1358" i="26"/>
  <c r="B1359" i="26"/>
  <c r="B1360" i="26"/>
  <c r="B1361" i="26"/>
  <c r="B1362" i="26"/>
  <c r="B1363" i="26"/>
  <c r="B1364" i="26"/>
  <c r="B1365" i="26"/>
  <c r="B1366" i="26"/>
  <c r="B1349" i="26"/>
  <c r="B1343" i="26"/>
  <c r="B1344" i="26"/>
  <c r="B1345" i="26"/>
  <c r="B1346" i="26"/>
  <c r="B1336" i="26"/>
  <c r="B1337" i="26"/>
  <c r="B1303" i="26"/>
  <c r="B1304" i="26"/>
  <c r="B1305" i="26"/>
  <c r="B1306" i="26"/>
  <c r="B1307" i="26"/>
  <c r="B1308" i="26"/>
  <c r="B1309" i="26"/>
  <c r="B1310" i="26"/>
  <c r="B1311" i="26"/>
  <c r="B1312" i="26"/>
  <c r="B1297" i="26"/>
  <c r="B1298" i="26"/>
  <c r="B1299" i="26"/>
  <c r="B1270" i="26"/>
  <c r="B1271" i="26"/>
  <c r="B1272" i="26"/>
  <c r="B1273" i="26"/>
  <c r="B1274" i="26"/>
  <c r="B1275" i="26"/>
  <c r="B1276" i="26"/>
  <c r="B1277" i="26"/>
  <c r="B1278" i="26"/>
  <c r="B1279" i="26"/>
  <c r="B1280" i="26"/>
  <c r="B1281" i="26"/>
  <c r="B1282" i="26"/>
  <c r="B1283" i="26"/>
  <c r="B1284" i="26"/>
  <c r="B1285" i="26"/>
  <c r="B1286" i="26"/>
  <c r="B1287" i="26"/>
  <c r="B1263" i="26"/>
  <c r="B1264" i="26"/>
  <c r="B1249" i="26"/>
  <c r="B1250" i="26"/>
  <c r="B1251" i="26"/>
  <c r="B1252" i="26"/>
  <c r="B1253" i="26"/>
  <c r="B1254" i="26"/>
  <c r="B1255" i="26"/>
  <c r="B1256" i="26"/>
  <c r="B1257" i="26"/>
  <c r="B1258" i="26"/>
  <c r="B1259" i="26"/>
  <c r="B1260" i="26"/>
  <c r="B1216" i="26"/>
  <c r="B1217" i="26"/>
  <c r="B1218" i="26"/>
  <c r="B1219" i="26"/>
  <c r="B1220" i="26"/>
  <c r="B1221" i="26"/>
  <c r="B1222" i="26"/>
  <c r="B1223" i="26"/>
  <c r="B1224" i="26"/>
  <c r="B1206" i="26"/>
  <c r="B1207" i="26"/>
  <c r="B1208" i="26"/>
  <c r="B1209" i="26"/>
  <c r="B1210" i="26"/>
  <c r="B1194" i="26"/>
  <c r="B1195" i="26"/>
  <c r="B1196" i="26"/>
  <c r="B1182" i="26"/>
  <c r="B1183" i="26"/>
  <c r="B1184" i="26"/>
  <c r="B1185" i="26"/>
  <c r="B1186" i="26"/>
  <c r="B1187" i="26"/>
  <c r="B1188" i="26"/>
  <c r="B1176" i="26"/>
  <c r="B1177" i="26"/>
  <c r="B1169" i="26"/>
  <c r="B1170" i="26"/>
  <c r="B1171" i="26"/>
  <c r="B1154" i="26"/>
  <c r="B1155" i="26"/>
  <c r="B1156" i="26"/>
  <c r="B1157" i="26"/>
  <c r="B1158" i="26"/>
  <c r="B1147" i="26"/>
  <c r="B1148" i="26"/>
  <c r="B1149" i="26"/>
  <c r="B1150" i="26"/>
  <c r="B1151" i="26"/>
  <c r="B1131" i="26"/>
  <c r="B1132" i="26"/>
  <c r="B1125" i="26"/>
  <c r="B1121" i="26"/>
  <c r="B1122" i="26"/>
  <c r="B1115" i="26"/>
  <c r="B1111" i="26"/>
  <c r="B1112" i="26"/>
  <c r="B1104" i="26"/>
  <c r="B1096" i="26"/>
  <c r="B1097" i="26"/>
  <c r="B1098" i="26"/>
  <c r="B1099" i="26"/>
  <c r="B1100" i="26"/>
  <c r="B1101" i="26"/>
  <c r="B1087" i="26"/>
  <c r="B1088" i="26"/>
  <c r="B1066" i="26"/>
  <c r="B1067" i="26"/>
  <c r="B1068" i="26"/>
  <c r="B1069" i="26"/>
  <c r="B1070" i="26"/>
  <c r="B1071" i="26"/>
  <c r="B1072" i="26"/>
  <c r="B1073" i="26"/>
  <c r="B1074" i="26"/>
  <c r="B1075" i="26"/>
  <c r="B1076" i="26"/>
  <c r="B1077" i="26"/>
  <c r="B1078" i="26"/>
  <c r="B1079" i="26"/>
  <c r="B1080" i="26"/>
  <c r="B1081" i="26"/>
  <c r="B1082" i="26"/>
  <c r="B1083" i="26"/>
  <c r="B1059" i="26"/>
  <c r="B1060" i="26"/>
  <c r="B1037" i="26"/>
  <c r="B1038" i="26"/>
  <c r="B1039" i="26"/>
  <c r="B1040" i="26"/>
  <c r="B1041" i="26"/>
  <c r="B1042" i="26"/>
  <c r="B1043" i="26"/>
  <c r="B1044" i="26"/>
  <c r="B1045" i="26"/>
  <c r="B1046" i="26"/>
  <c r="B1047" i="26"/>
  <c r="B1048" i="26"/>
  <c r="B1049" i="26"/>
  <c r="B1050" i="26"/>
  <c r="B1051" i="26"/>
  <c r="B1052" i="26"/>
  <c r="B1053" i="26"/>
  <c r="B1054" i="26"/>
  <c r="B1055" i="26"/>
  <c r="B1028" i="26"/>
  <c r="B1029" i="26"/>
  <c r="B1030" i="26"/>
  <c r="B1031" i="26"/>
  <c r="B1032" i="26"/>
  <c r="P1959" i="26"/>
  <c r="P1029" i="26"/>
  <c r="BT1972" i="26"/>
  <c r="BT1971" i="26"/>
  <c r="BT1970" i="26"/>
  <c r="BT1969" i="26"/>
  <c r="BT1968" i="26"/>
  <c r="BT1967" i="26"/>
  <c r="BT1966" i="26"/>
  <c r="BT1965" i="26"/>
  <c r="BT1964" i="26"/>
  <c r="BT1963" i="26"/>
  <c r="BT1962" i="26"/>
  <c r="BT1961" i="26"/>
  <c r="BT1960" i="26"/>
  <c r="BT1958" i="26"/>
  <c r="BT1957" i="26"/>
  <c r="BT1956" i="26"/>
  <c r="BT1955" i="26"/>
  <c r="BT1954" i="26"/>
  <c r="BT1953" i="26"/>
  <c r="BT1952" i="26"/>
  <c r="BT1951" i="26"/>
  <c r="BT1950" i="26"/>
  <c r="BT1949" i="26"/>
  <c r="BT1948" i="26"/>
  <c r="BT1947" i="26"/>
  <c r="BT1946" i="26"/>
  <c r="BT1945" i="26"/>
  <c r="BT1944" i="26"/>
  <c r="BT1943" i="26"/>
  <c r="BT1942" i="26"/>
  <c r="BT1941" i="26"/>
  <c r="BT1940" i="26"/>
  <c r="BT1939" i="26"/>
  <c r="BT1938" i="26"/>
  <c r="BT1937" i="26"/>
  <c r="BT1936" i="26"/>
  <c r="BT1935" i="26"/>
  <c r="BT1934" i="26"/>
  <c r="BT1933" i="26"/>
  <c r="BT1928" i="26"/>
  <c r="BT1927" i="26"/>
  <c r="BT1926" i="26"/>
  <c r="BT1925" i="26"/>
  <c r="BT1924" i="26"/>
  <c r="BT1923" i="26"/>
  <c r="BT1922" i="26"/>
  <c r="BT1921" i="26"/>
  <c r="BT1920" i="26"/>
  <c r="BT1919" i="26"/>
  <c r="BT1918" i="26"/>
  <c r="BT1917" i="26"/>
  <c r="BT1916" i="26"/>
  <c r="BT1915" i="26"/>
  <c r="BT1909" i="26"/>
  <c r="BT1908" i="26"/>
  <c r="BT1907" i="26"/>
  <c r="BT1906" i="26"/>
  <c r="BT1897" i="26"/>
  <c r="BT1896" i="26"/>
  <c r="BT1895" i="26"/>
  <c r="BT1894" i="26"/>
  <c r="BT1887" i="26"/>
  <c r="BT1886" i="26"/>
  <c r="BT1884" i="26"/>
  <c r="BT1883" i="26"/>
  <c r="BT1882" i="26"/>
  <c r="BT1881" i="26"/>
  <c r="BT1880" i="26"/>
  <c r="BT1879" i="26"/>
  <c r="BT1878" i="26"/>
  <c r="BT1877" i="26"/>
  <c r="BT1822" i="26"/>
  <c r="BT1821" i="26"/>
  <c r="BT1820" i="26"/>
  <c r="BT1819" i="26"/>
  <c r="BT1818" i="26"/>
  <c r="BT1817" i="26"/>
  <c r="BT1816" i="26"/>
  <c r="BT1810" i="26"/>
  <c r="BT1809" i="26"/>
  <c r="BT1808" i="26"/>
  <c r="BT1807" i="26"/>
  <c r="BT1806" i="26"/>
  <c r="BT1799" i="26"/>
  <c r="BT1798" i="26"/>
  <c r="BT1797" i="26"/>
  <c r="BT1796" i="26"/>
  <c r="BT1795" i="26"/>
  <c r="BT1794" i="26"/>
  <c r="BT1793" i="26"/>
  <c r="BT1792" i="26"/>
  <c r="BT1791" i="26"/>
  <c r="BT1790" i="26"/>
  <c r="BT1789" i="26"/>
  <c r="BT1788" i="26"/>
  <c r="BT1781" i="26"/>
  <c r="BT1780" i="26"/>
  <c r="BT1779" i="26"/>
  <c r="BT1778" i="26"/>
  <c r="BT1777" i="26"/>
  <c r="BT1776" i="26"/>
  <c r="BT1775" i="26"/>
  <c r="BT1774" i="26"/>
  <c r="BT1773" i="26"/>
  <c r="BT1772" i="26"/>
  <c r="BT1771" i="26"/>
  <c r="BT1770" i="26"/>
  <c r="BT1769" i="26"/>
  <c r="BT1768" i="26"/>
  <c r="BT1767" i="26"/>
  <c r="BT1766" i="26"/>
  <c r="BT1765" i="26"/>
  <c r="BT1764" i="26"/>
  <c r="BT1763" i="26"/>
  <c r="BT1762" i="26"/>
  <c r="BT1761" i="26"/>
  <c r="BT1755" i="26"/>
  <c r="BT1754" i="26"/>
  <c r="BT1753" i="26"/>
  <c r="BT1752" i="26"/>
  <c r="BT1751" i="26"/>
  <c r="BT1750" i="26"/>
  <c r="BT1749" i="26"/>
  <c r="BT1748" i="26"/>
  <c r="BT1747" i="26"/>
  <c r="BT1742" i="26"/>
  <c r="BT1741" i="26"/>
  <c r="BT1740" i="26"/>
  <c r="BT1739" i="26"/>
  <c r="BT1733" i="26"/>
  <c r="BT1732" i="26"/>
  <c r="BT1731" i="26"/>
  <c r="BT1730" i="26"/>
  <c r="BT1721" i="26"/>
  <c r="BT1720" i="26"/>
  <c r="BT1719" i="26"/>
  <c r="BT1718" i="26"/>
  <c r="BT1700" i="26"/>
  <c r="BT1717" i="26"/>
  <c r="BT1716" i="26"/>
  <c r="BT1715" i="26"/>
  <c r="BT1714" i="26"/>
  <c r="BT1713" i="26"/>
  <c r="BT1712" i="26"/>
  <c r="BT1711" i="26"/>
  <c r="BT1695" i="26"/>
  <c r="BT1710" i="26"/>
  <c r="BT1703" i="26"/>
  <c r="BT1702" i="26"/>
  <c r="BT1701" i="26"/>
  <c r="BT1699" i="26"/>
  <c r="BT1698" i="26"/>
  <c r="BT1697" i="26"/>
  <c r="BT1696" i="26"/>
  <c r="BT1685" i="26"/>
  <c r="BT1677" i="26"/>
  <c r="BT1676" i="26"/>
  <c r="BT1675" i="26"/>
  <c r="BT1674" i="26"/>
  <c r="BT1661" i="26"/>
  <c r="BT1660" i="26"/>
  <c r="BT1659" i="26"/>
  <c r="BT1658" i="26"/>
  <c r="BT1653" i="26"/>
  <c r="BT1652" i="26"/>
  <c r="BT1651" i="26"/>
  <c r="BT1650" i="26"/>
  <c r="BT1640" i="26"/>
  <c r="BT1639" i="26"/>
  <c r="BT1638" i="26"/>
  <c r="BT1637" i="26"/>
  <c r="BT1636" i="26"/>
  <c r="BT1635" i="26"/>
  <c r="BT1634" i="26"/>
  <c r="BT1633" i="26"/>
  <c r="BT1626" i="26"/>
  <c r="BT1625" i="26"/>
  <c r="BT1624" i="26"/>
  <c r="BT1623" i="26"/>
  <c r="BT1622" i="26"/>
  <c r="BT1621" i="26"/>
  <c r="BT1620" i="26"/>
  <c r="BT1610" i="26"/>
  <c r="BT1609" i="26"/>
  <c r="BT1608" i="26"/>
  <c r="BT1607" i="26"/>
  <c r="BT1606" i="26"/>
  <c r="BT1599" i="26"/>
  <c r="BT1598" i="26"/>
  <c r="BT1597" i="26"/>
  <c r="BT1596" i="26"/>
  <c r="BT1595" i="26"/>
  <c r="BT1594" i="26"/>
  <c r="BT1590" i="26"/>
  <c r="BT1589" i="26"/>
  <c r="BT1588" i="26"/>
  <c r="BT1576" i="26"/>
  <c r="BT1575" i="26"/>
  <c r="BT1570" i="26"/>
  <c r="BT1569" i="26"/>
  <c r="BT1568" i="26"/>
  <c r="BT1567" i="26"/>
  <c r="BT1566" i="26"/>
  <c r="BT1565" i="26"/>
  <c r="BT1564" i="26"/>
  <c r="BT1563" i="26"/>
  <c r="BT1562" i="26"/>
  <c r="BT1561" i="26"/>
  <c r="BT1560" i="26"/>
  <c r="BT1559" i="26"/>
  <c r="BT1558" i="26"/>
  <c r="BT1531" i="26"/>
  <c r="BT1552" i="26"/>
  <c r="BT1551" i="26"/>
  <c r="BT1550" i="26"/>
  <c r="BT1549" i="26"/>
  <c r="BT1545" i="26"/>
  <c r="BT1544" i="26"/>
  <c r="BT1543" i="26"/>
  <c r="BT1542" i="26"/>
  <c r="BT1541" i="26"/>
  <c r="BT1540" i="26"/>
  <c r="BT1539" i="26"/>
  <c r="BT1538" i="26"/>
  <c r="BT1536" i="26"/>
  <c r="BT1535" i="26"/>
  <c r="BT1534" i="26"/>
  <c r="BT1532" i="26"/>
  <c r="BT1529" i="26"/>
  <c r="BT1528" i="26"/>
  <c r="BT1527" i="26"/>
  <c r="BT1526" i="26"/>
  <c r="BT1525" i="26"/>
  <c r="BT1524" i="26"/>
  <c r="BT1523" i="26"/>
  <c r="BT1522" i="26"/>
  <c r="BT1521" i="26"/>
  <c r="BT1520" i="26"/>
  <c r="BT1519" i="26"/>
  <c r="BT1516" i="26"/>
  <c r="BT1506" i="26"/>
  <c r="BT1507" i="26"/>
  <c r="BT1505" i="26"/>
  <c r="BT1504" i="26"/>
  <c r="BT1503" i="26"/>
  <c r="BT1502" i="26"/>
  <c r="BT1497" i="26"/>
  <c r="BT1496" i="26"/>
  <c r="BT1495" i="26"/>
  <c r="BT1494" i="26"/>
  <c r="BT1493" i="26"/>
  <c r="BT1486" i="26"/>
  <c r="BT1483" i="26"/>
  <c r="BT1482" i="26"/>
  <c r="BT1481" i="26"/>
  <c r="BT1480" i="26"/>
  <c r="BT1479" i="26"/>
  <c r="BT1478" i="26"/>
  <c r="BT1476" i="26"/>
  <c r="BT1475" i="26"/>
  <c r="BT1474" i="26"/>
  <c r="BT1473" i="26"/>
  <c r="BT1472" i="26"/>
  <c r="BT1471" i="26"/>
  <c r="BT1470" i="26"/>
  <c r="BT1465" i="26"/>
  <c r="BT1461" i="26"/>
  <c r="BT1451" i="26"/>
  <c r="BT1449" i="26"/>
  <c r="BT1448" i="26"/>
  <c r="BT1444" i="26"/>
  <c r="BT1443" i="26"/>
  <c r="BT1442" i="26"/>
  <c r="BT1441" i="26"/>
  <c r="BT1440" i="26"/>
  <c r="BT1439" i="26"/>
  <c r="BT1419" i="26"/>
  <c r="BT1428" i="26"/>
  <c r="BT1427" i="26"/>
  <c r="BT1426" i="26"/>
  <c r="BT1425" i="26"/>
  <c r="BT1424" i="26"/>
  <c r="BT1423" i="26"/>
  <c r="BT1422" i="26"/>
  <c r="BT1421" i="26"/>
  <c r="BT1420" i="26"/>
  <c r="BT1418" i="26"/>
  <c r="BT1417" i="26"/>
  <c r="BT1416" i="26"/>
  <c r="BT1415" i="26"/>
  <c r="BT1410" i="26"/>
  <c r="BT1409" i="26"/>
  <c r="BT1402" i="26"/>
  <c r="BT1401" i="26"/>
  <c r="BT1400" i="26"/>
  <c r="BT1399" i="26"/>
  <c r="BT1398" i="26"/>
  <c r="BT1397" i="26"/>
  <c r="BT1396" i="26"/>
  <c r="BT1391" i="26"/>
  <c r="BT1390" i="26"/>
  <c r="BT1378" i="26"/>
  <c r="BT1377" i="26"/>
  <c r="BT1376" i="26"/>
  <c r="BT1375" i="26"/>
  <c r="BT1374" i="26"/>
  <c r="BT1373" i="26"/>
  <c r="BT1372" i="26"/>
  <c r="BT1371" i="26"/>
  <c r="BT1366" i="26"/>
  <c r="BT1365" i="26"/>
  <c r="BT1364" i="26"/>
  <c r="BT1363" i="26"/>
  <c r="BT1362" i="26"/>
  <c r="BT1361" i="26"/>
  <c r="BT1360" i="26"/>
  <c r="BT1359" i="26"/>
  <c r="BT1358" i="26"/>
  <c r="BT1349" i="26"/>
  <c r="BT1346" i="26"/>
  <c r="BT1345" i="26"/>
  <c r="BT1344" i="26"/>
  <c r="BT1343" i="26"/>
  <c r="BT1337" i="26"/>
  <c r="BT1336" i="26"/>
  <c r="BT1329" i="26"/>
  <c r="BT1328" i="26"/>
  <c r="BT1327" i="26"/>
  <c r="BT1326" i="26"/>
  <c r="BT1325" i="26"/>
  <c r="BT1324" i="26"/>
  <c r="BT1323" i="26"/>
  <c r="BT1322" i="26"/>
  <c r="BT1321" i="26"/>
  <c r="BT1320" i="26"/>
  <c r="BT1315" i="26"/>
  <c r="BT1312" i="26"/>
  <c r="BT1311" i="26"/>
  <c r="BT1310" i="26"/>
  <c r="BT1309" i="26"/>
  <c r="BT1308" i="26"/>
  <c r="BT1307" i="26"/>
  <c r="BT1306" i="26"/>
  <c r="BT1305" i="26"/>
  <c r="BT1304" i="26"/>
  <c r="BT1303" i="26"/>
  <c r="BT1299" i="26"/>
  <c r="BT1298" i="26"/>
  <c r="BT1297" i="26"/>
  <c r="BT1287" i="26"/>
  <c r="BT1286" i="26"/>
  <c r="BT1285" i="26"/>
  <c r="BT1284" i="26"/>
  <c r="BT1283" i="26"/>
  <c r="BT1282" i="26"/>
  <c r="BT1281" i="26"/>
  <c r="BT1280" i="26"/>
  <c r="BT1279" i="26"/>
  <c r="BT1278" i="26"/>
  <c r="BT1277" i="26"/>
  <c r="BT1276" i="26"/>
  <c r="BT1275" i="26"/>
  <c r="BT1274" i="26"/>
  <c r="BT1273" i="26"/>
  <c r="BT1272" i="26"/>
  <c r="BT1271" i="26"/>
  <c r="BT1270" i="26"/>
  <c r="BT1264" i="26"/>
  <c r="BT1263" i="26"/>
  <c r="BT1260" i="26"/>
  <c r="BT1259" i="26"/>
  <c r="BT1258" i="26"/>
  <c r="BT1257" i="26"/>
  <c r="BT1256" i="26"/>
  <c r="BT1255" i="26"/>
  <c r="BT1254" i="26"/>
  <c r="BT1253" i="26"/>
  <c r="BT1252" i="26"/>
  <c r="BT1251" i="26"/>
  <c r="BT1250" i="26"/>
  <c r="BT1249" i="26"/>
  <c r="BT1244" i="26"/>
  <c r="BT1243" i="26"/>
  <c r="BT1242" i="26"/>
  <c r="BT1224" i="26"/>
  <c r="BT1223" i="26"/>
  <c r="BT1222" i="26"/>
  <c r="BT1221" i="26"/>
  <c r="BT1220" i="26"/>
  <c r="BT1219" i="26"/>
  <c r="BT1218" i="26"/>
  <c r="BT1217" i="26"/>
  <c r="BT1216" i="26"/>
  <c r="BT1210" i="26"/>
  <c r="BT1209" i="26"/>
  <c r="BT1208" i="26"/>
  <c r="BT1207" i="26"/>
  <c r="BT1206" i="26"/>
  <c r="BT1196" i="26"/>
  <c r="BT1195" i="26"/>
  <c r="BT1194" i="26"/>
  <c r="BT1188" i="26"/>
  <c r="BT1187" i="26"/>
  <c r="BT1186" i="26"/>
  <c r="BT1185" i="26"/>
  <c r="BT1184" i="26"/>
  <c r="BT1183" i="26"/>
  <c r="BT1182" i="26"/>
  <c r="BT1177" i="26"/>
  <c r="BT1176" i="26"/>
  <c r="BT1171" i="26"/>
  <c r="BT1170" i="26"/>
  <c r="BT1169" i="26"/>
  <c r="BT1158" i="26"/>
  <c r="BT1156" i="26"/>
  <c r="BT1155" i="26"/>
  <c r="BT1154" i="26"/>
  <c r="BT1151" i="26"/>
  <c r="BT1150" i="26"/>
  <c r="BT1149" i="26"/>
  <c r="BT1148" i="26"/>
  <c r="BT1147" i="26"/>
  <c r="BT1142" i="26"/>
  <c r="BT1134" i="26"/>
  <c r="BT1133" i="26"/>
  <c r="BT1132" i="26"/>
  <c r="BT1131" i="26"/>
  <c r="BT1125" i="26"/>
  <c r="BT1122" i="26"/>
  <c r="BT1121" i="26"/>
  <c r="BT1115" i="26"/>
  <c r="BT1112" i="26"/>
  <c r="BT1111" i="26"/>
  <c r="BT1104" i="26"/>
  <c r="BT1101" i="26"/>
  <c r="BT1100" i="26"/>
  <c r="BT1098" i="26"/>
  <c r="BT1096" i="26"/>
  <c r="BT1091" i="26"/>
  <c r="BT1090" i="26"/>
  <c r="BT1089" i="26"/>
  <c r="BT1088" i="26"/>
  <c r="BT1087" i="26"/>
  <c r="BT1082" i="26"/>
  <c r="BT1081" i="26"/>
  <c r="BT1080" i="26"/>
  <c r="BT1079" i="26"/>
  <c r="BT1078" i="26"/>
  <c r="BT1077" i="26"/>
  <c r="BT1076" i="26"/>
  <c r="BT1075" i="26"/>
  <c r="BT1074" i="26"/>
  <c r="BT1073" i="26"/>
  <c r="BT1072" i="26"/>
  <c r="BT1071" i="26"/>
  <c r="BT1070" i="26"/>
  <c r="BT1069" i="26"/>
  <c r="BT1068" i="26"/>
  <c r="BT1067" i="26"/>
  <c r="BT1066" i="26"/>
  <c r="BT1060" i="26"/>
  <c r="BT1059" i="26"/>
  <c r="BT1055" i="26"/>
  <c r="BT1054" i="26"/>
  <c r="BT1053" i="26"/>
  <c r="BT1052" i="26"/>
  <c r="BT1051" i="26"/>
  <c r="BT1050" i="26"/>
  <c r="BT1049" i="26"/>
  <c r="BT1048" i="26"/>
  <c r="BT1047" i="26"/>
  <c r="BT1046" i="26"/>
  <c r="BT1045" i="26"/>
  <c r="BT1044" i="26"/>
  <c r="BT1043" i="26"/>
  <c r="BT1042" i="26"/>
  <c r="BT1041" i="26"/>
  <c r="BT1040" i="26"/>
  <c r="BT1039" i="26"/>
  <c r="BT1038" i="26"/>
  <c r="BT1037" i="26"/>
  <c r="BT1032" i="26"/>
  <c r="BT1031" i="26"/>
  <c r="BT1030" i="26"/>
  <c r="BT1028" i="26"/>
  <c r="BT1015" i="26"/>
  <c r="BT1014" i="26"/>
  <c r="BT1010" i="26"/>
  <c r="BT1009" i="26"/>
  <c r="BT1008" i="26"/>
  <c r="BT1007" i="26"/>
  <c r="BT1006" i="26"/>
  <c r="BT1004" i="26"/>
  <c r="BT998" i="26"/>
  <c r="BT997" i="26"/>
  <c r="BT996" i="26"/>
  <c r="BT995" i="26"/>
  <c r="BT994" i="26"/>
  <c r="BT993" i="26"/>
  <c r="BT992" i="26"/>
  <c r="BT991" i="26"/>
  <c r="BT990" i="26"/>
  <c r="BT989" i="26"/>
  <c r="BT988" i="26"/>
  <c r="BT987" i="26"/>
  <c r="BT986" i="26"/>
  <c r="BT985" i="26"/>
  <c r="BT980" i="26"/>
  <c r="BT979" i="26"/>
  <c r="BT978" i="26"/>
  <c r="BT971" i="26"/>
  <c r="BT970" i="26"/>
  <c r="BT967" i="26"/>
  <c r="BT966" i="26"/>
  <c r="BT965" i="26"/>
  <c r="BT964" i="26"/>
  <c r="BT963" i="26"/>
  <c r="BT962" i="26"/>
  <c r="BT961" i="26"/>
  <c r="BT960" i="26"/>
  <c r="BT959" i="26"/>
  <c r="BT958" i="26"/>
  <c r="BT952" i="26"/>
  <c r="BT940" i="26"/>
  <c r="BT936" i="26"/>
  <c r="BT935" i="26"/>
  <c r="BT934" i="26"/>
  <c r="BT933" i="26"/>
  <c r="BT932" i="26"/>
  <c r="BT931" i="26"/>
  <c r="BT930" i="26"/>
  <c r="BT929" i="26"/>
  <c r="BT928" i="26"/>
  <c r="BT927" i="26"/>
  <c r="BT926" i="26"/>
  <c r="BT925" i="26"/>
  <c r="BT924" i="26"/>
  <c r="BT923" i="26"/>
  <c r="BT922" i="26"/>
  <c r="BT921" i="26"/>
  <c r="BT920" i="26"/>
  <c r="BT907" i="26"/>
  <c r="BT904" i="26"/>
  <c r="BT903" i="26"/>
  <c r="BT902" i="26"/>
  <c r="BT901" i="26"/>
  <c r="BT900" i="26"/>
  <c r="BT899" i="26"/>
  <c r="BT898" i="26"/>
  <c r="BT897" i="26"/>
  <c r="BT896" i="26"/>
  <c r="BT895" i="26"/>
  <c r="BT894" i="26"/>
  <c r="BT889" i="26"/>
  <c r="BT888" i="26"/>
  <c r="BT887" i="26"/>
  <c r="BT881" i="26"/>
  <c r="BT880" i="26"/>
  <c r="BT879" i="26"/>
  <c r="BT878" i="26"/>
  <c r="BT877" i="26"/>
  <c r="BT871" i="26"/>
  <c r="BT870" i="26"/>
  <c r="BT869" i="26"/>
  <c r="BT868" i="26"/>
  <c r="BT867" i="26"/>
  <c r="BT866" i="26"/>
  <c r="BT865" i="26"/>
  <c r="BT864" i="26"/>
  <c r="BT863" i="26"/>
  <c r="BT862" i="26"/>
  <c r="BT856" i="26"/>
  <c r="BT855" i="26"/>
  <c r="BT844" i="26"/>
  <c r="BT843" i="26"/>
  <c r="BT842" i="26"/>
  <c r="BT841" i="26"/>
  <c r="BT835" i="26"/>
  <c r="BT834" i="26"/>
  <c r="BT830" i="26"/>
  <c r="BT829" i="26"/>
  <c r="BT823" i="26"/>
  <c r="BT822" i="26"/>
  <c r="BT821" i="26"/>
  <c r="BT818" i="26"/>
  <c r="BT817" i="26"/>
  <c r="BT816" i="26"/>
  <c r="BT815" i="26"/>
  <c r="BT814" i="26"/>
  <c r="BT808" i="26"/>
  <c r="BT805" i="26"/>
  <c r="BT804" i="26"/>
  <c r="BT803" i="26"/>
  <c r="BT802" i="26"/>
  <c r="BT801" i="26"/>
  <c r="BT800" i="26"/>
  <c r="BT799" i="26"/>
  <c r="BT798" i="26"/>
  <c r="BT797" i="26"/>
  <c r="BT790" i="26"/>
  <c r="BT789" i="26"/>
  <c r="BT788" i="26"/>
  <c r="BT787" i="26"/>
  <c r="BT781" i="26"/>
  <c r="BT778" i="26"/>
  <c r="BT777" i="26"/>
  <c r="BT776" i="26"/>
  <c r="BT775" i="26"/>
  <c r="BT774" i="26"/>
  <c r="BT773" i="26"/>
  <c r="BT772" i="26"/>
  <c r="BT771" i="26"/>
  <c r="BT766" i="26"/>
  <c r="BT762" i="26"/>
  <c r="BT761" i="26"/>
  <c r="BT760" i="26"/>
  <c r="BT759" i="26"/>
  <c r="BT758" i="26"/>
  <c r="BT754" i="26"/>
  <c r="BT746" i="26"/>
  <c r="BT745" i="26"/>
  <c r="BT744" i="26"/>
  <c r="BT743" i="26"/>
  <c r="BT738" i="26"/>
  <c r="BT737" i="26"/>
  <c r="BT736" i="26"/>
  <c r="BT735" i="26"/>
  <c r="BT734" i="26"/>
  <c r="BT733" i="26"/>
  <c r="BT732" i="26"/>
  <c r="BT731" i="26"/>
  <c r="BT730" i="26"/>
  <c r="BT729" i="26"/>
  <c r="BT728" i="26"/>
  <c r="BT727" i="26"/>
  <c r="BT726" i="26"/>
  <c r="BT725" i="26"/>
  <c r="BT724" i="26"/>
  <c r="BT723" i="26"/>
  <c r="BT722" i="26"/>
  <c r="BT721" i="26"/>
  <c r="BT720" i="26"/>
  <c r="BT719" i="26"/>
  <c r="BT718" i="26"/>
  <c r="BT717" i="26"/>
  <c r="BT716" i="26"/>
  <c r="BT715" i="26"/>
  <c r="BT714" i="26"/>
  <c r="BT713" i="26"/>
  <c r="BT712" i="26"/>
  <c r="BT711" i="26"/>
  <c r="BT710" i="26"/>
  <c r="BT709" i="26"/>
  <c r="BT708" i="26"/>
  <c r="BT707" i="26"/>
  <c r="BT706" i="26"/>
  <c r="BT705" i="26"/>
  <c r="BT704" i="26"/>
  <c r="BT703" i="26"/>
  <c r="BT698" i="26"/>
  <c r="BT697" i="26"/>
  <c r="BT696" i="26"/>
  <c r="BT695" i="26"/>
  <c r="BT694" i="26"/>
  <c r="BT693" i="26"/>
  <c r="BT692" i="26"/>
  <c r="BT691" i="26"/>
  <c r="BT690" i="26"/>
  <c r="BT689" i="26"/>
  <c r="BT688" i="26"/>
  <c r="BT687" i="26"/>
  <c r="BT686" i="26"/>
  <c r="BT685" i="26"/>
  <c r="BT684" i="26"/>
  <c r="BT679" i="26"/>
  <c r="BT678" i="26"/>
  <c r="BT677" i="26"/>
  <c r="BT676" i="26"/>
  <c r="BT675" i="26"/>
  <c r="BT674" i="26"/>
  <c r="BT673" i="26"/>
  <c r="BT672" i="26"/>
  <c r="BT671" i="26"/>
  <c r="BT670" i="26"/>
  <c r="BT669" i="26"/>
  <c r="BT668" i="26"/>
  <c r="BT663" i="26"/>
  <c r="BT654" i="26"/>
  <c r="BT653" i="26"/>
  <c r="BT652" i="26"/>
  <c r="BT651" i="26"/>
  <c r="BT650" i="26"/>
  <c r="BT649" i="26"/>
  <c r="BT648" i="26"/>
  <c r="BT647" i="26"/>
  <c r="BT646" i="26"/>
  <c r="BT638" i="26"/>
  <c r="BT636" i="26"/>
  <c r="BT635" i="26"/>
  <c r="BT634" i="26"/>
  <c r="BT633" i="26"/>
  <c r="BT632" i="26"/>
  <c r="BT631" i="26"/>
  <c r="BT630" i="26"/>
  <c r="BT629" i="26"/>
  <c r="BT628" i="26"/>
  <c r="BT627" i="26"/>
  <c r="BT626" i="26"/>
  <c r="BT625" i="26"/>
  <c r="BT624" i="26"/>
  <c r="BT619" i="26"/>
  <c r="BT618" i="26"/>
  <c r="BT617" i="26"/>
  <c r="BT616" i="26"/>
  <c r="BT615" i="26"/>
  <c r="BT614" i="26"/>
  <c r="BT613" i="26"/>
  <c r="BT612" i="26"/>
  <c r="BT611" i="26"/>
  <c r="BT606" i="26"/>
  <c r="BT605" i="26"/>
  <c r="BT604" i="26"/>
  <c r="BT600" i="26"/>
  <c r="BT599" i="26"/>
  <c r="BT598" i="26"/>
  <c r="BT597" i="26"/>
  <c r="BT596" i="26"/>
  <c r="BT593" i="26"/>
  <c r="BT592" i="26"/>
  <c r="BT586" i="26"/>
  <c r="BT585" i="26"/>
  <c r="BT584" i="26"/>
  <c r="BT583" i="26"/>
  <c r="BT582" i="26"/>
  <c r="BT566" i="26"/>
  <c r="BT565" i="26"/>
  <c r="BT564" i="26"/>
  <c r="BT563" i="26"/>
  <c r="BT562" i="26"/>
  <c r="BT561" i="26"/>
  <c r="BT560" i="26"/>
  <c r="BT559" i="26"/>
  <c r="BT553" i="26"/>
  <c r="BT552" i="26"/>
  <c r="BT551" i="26"/>
  <c r="BT550" i="26"/>
  <c r="BT549" i="26"/>
  <c r="BT547" i="26"/>
  <c r="BT546" i="26"/>
  <c r="BT545" i="26"/>
  <c r="BT538" i="26"/>
  <c r="BT537" i="26"/>
  <c r="BT536" i="26"/>
  <c r="BT535" i="26"/>
  <c r="BT534" i="26"/>
  <c r="BT533" i="26"/>
  <c r="BT532" i="26"/>
  <c r="BT531" i="26"/>
  <c r="BT530" i="26"/>
  <c r="BT529" i="26"/>
  <c r="BT528" i="26"/>
  <c r="BT527" i="26"/>
  <c r="BT526" i="26"/>
  <c r="BT525" i="26"/>
  <c r="BT524" i="26"/>
  <c r="BT523" i="26"/>
  <c r="BT522" i="26"/>
  <c r="BT521" i="26"/>
  <c r="BT520" i="26"/>
  <c r="BT519" i="26"/>
  <c r="BT518" i="26"/>
  <c r="BT508" i="26"/>
  <c r="BT506" i="26"/>
  <c r="BT505" i="26"/>
  <c r="BT504" i="26"/>
  <c r="BT494" i="26"/>
  <c r="BT493" i="26"/>
  <c r="BT492" i="26"/>
  <c r="BT491" i="26"/>
  <c r="BT484" i="26"/>
  <c r="BT483" i="26"/>
  <c r="BT482" i="26"/>
  <c r="BT481" i="26"/>
  <c r="BT480" i="26"/>
  <c r="BT475" i="26"/>
  <c r="BT474" i="26"/>
  <c r="BT471" i="26"/>
  <c r="BT470" i="26"/>
  <c r="BT469" i="26"/>
  <c r="BT468" i="26"/>
  <c r="BT467" i="26"/>
  <c r="BT466" i="26"/>
  <c r="BT465" i="26"/>
  <c r="BT460" i="26"/>
  <c r="BT456" i="26"/>
  <c r="BT442" i="26"/>
  <c r="BT441" i="26"/>
  <c r="BT440" i="26"/>
  <c r="BT439" i="26"/>
  <c r="BT438" i="26"/>
  <c r="BT433" i="26"/>
  <c r="BT432" i="26"/>
  <c r="BT431" i="26"/>
  <c r="BT430" i="26"/>
  <c r="BT429" i="26"/>
  <c r="BT428" i="26"/>
  <c r="BT427" i="26"/>
  <c r="BT422" i="26"/>
  <c r="BT421" i="26"/>
  <c r="BT420" i="26"/>
  <c r="BT415" i="26"/>
  <c r="BT414" i="26"/>
  <c r="BT413" i="26"/>
  <c r="BT412" i="26"/>
  <c r="BT411" i="26"/>
  <c r="BT410" i="26"/>
  <c r="BT405" i="26"/>
  <c r="BT404" i="26"/>
  <c r="BT403" i="26"/>
  <c r="BT402" i="26"/>
  <c r="BT401" i="26"/>
  <c r="BT400" i="26"/>
  <c r="BT399" i="26"/>
  <c r="BT398" i="26"/>
  <c r="BT397" i="26"/>
  <c r="BT396" i="26"/>
  <c r="BT395" i="26"/>
  <c r="BT389" i="26"/>
  <c r="BT388" i="26"/>
  <c r="BT387" i="26"/>
  <c r="BT386" i="26"/>
  <c r="BT385" i="26"/>
  <c r="BT384" i="26"/>
  <c r="BT383" i="26"/>
  <c r="BT378" i="26"/>
  <c r="BT377" i="26"/>
  <c r="BT376" i="26"/>
  <c r="BT375" i="26"/>
  <c r="BT374" i="26"/>
  <c r="BT373" i="26"/>
  <c r="BT372" i="26"/>
  <c r="BT371" i="26"/>
  <c r="BT370" i="26"/>
  <c r="BT369" i="26"/>
  <c r="BT368" i="26"/>
  <c r="BT367" i="26"/>
  <c r="BT366" i="26"/>
  <c r="BT360" i="26"/>
  <c r="BT359" i="26"/>
  <c r="BT358" i="26"/>
  <c r="BT357" i="26"/>
  <c r="BT356" i="26"/>
  <c r="BT355" i="26"/>
  <c r="BT350" i="26"/>
  <c r="BT349" i="26"/>
  <c r="BT347" i="26"/>
  <c r="BT346" i="26"/>
  <c r="BT345" i="26"/>
  <c r="BT344" i="26"/>
  <c r="BT343" i="26"/>
  <c r="BT342" i="26"/>
  <c r="BT341" i="26"/>
  <c r="BT340" i="26"/>
  <c r="BT339" i="26"/>
  <c r="BT335" i="26"/>
  <c r="BT331" i="26"/>
  <c r="BT330" i="26"/>
  <c r="BT321" i="26"/>
  <c r="BT320" i="26"/>
  <c r="BT319" i="26"/>
  <c r="BT318" i="26"/>
  <c r="BT314" i="26"/>
  <c r="BT309" i="26"/>
  <c r="BT308" i="26"/>
  <c r="BT307" i="26"/>
  <c r="BT303" i="26"/>
  <c r="BT299" i="26"/>
  <c r="BT298" i="26"/>
  <c r="BT297" i="26"/>
  <c r="BT296" i="26"/>
  <c r="BT291" i="26"/>
  <c r="BT290" i="26"/>
  <c r="BT289" i="26"/>
  <c r="BT288" i="26"/>
  <c r="BT287" i="26"/>
  <c r="BT281" i="26"/>
  <c r="BT280" i="26"/>
  <c r="BT279" i="26"/>
  <c r="BT273" i="26"/>
  <c r="BT272" i="26"/>
  <c r="BT268" i="26"/>
  <c r="BT264" i="26"/>
  <c r="BT263" i="26"/>
  <c r="BT262" i="26"/>
  <c r="BT261" i="26"/>
  <c r="BT260" i="26"/>
  <c r="BT259" i="26"/>
  <c r="BT258" i="26"/>
  <c r="BT257" i="26"/>
  <c r="BT256" i="26"/>
  <c r="BT255" i="26"/>
  <c r="BT254" i="26"/>
  <c r="BT253" i="26"/>
  <c r="BT252" i="26"/>
  <c r="BT251" i="26"/>
  <c r="BT250" i="26"/>
  <c r="BT249" i="26"/>
  <c r="BT248" i="26"/>
  <c r="BT247" i="26"/>
  <c r="BT242" i="26"/>
  <c r="BT241" i="26"/>
  <c r="BT232" i="26"/>
  <c r="BT231" i="26"/>
  <c r="BT230" i="26"/>
  <c r="BT224" i="26"/>
  <c r="BT223" i="26"/>
  <c r="BT222" i="26"/>
  <c r="BT221" i="26"/>
  <c r="BT220" i="26"/>
  <c r="BT214" i="26"/>
  <c r="BT213" i="26"/>
  <c r="BT212" i="26"/>
  <c r="BT211" i="26"/>
  <c r="BT210" i="26"/>
  <c r="BT205" i="26"/>
  <c r="BT204" i="26"/>
  <c r="BT203" i="26"/>
  <c r="BT202" i="26"/>
  <c r="BT201" i="26"/>
  <c r="BT196" i="26"/>
  <c r="BT195" i="26"/>
  <c r="BT185" i="26"/>
  <c r="BT184" i="26"/>
  <c r="BT179" i="26"/>
  <c r="BT178" i="26"/>
  <c r="BT177" i="26"/>
  <c r="BT172" i="26"/>
  <c r="BT171" i="26"/>
  <c r="BT170" i="26"/>
  <c r="BT169" i="26"/>
  <c r="BT168" i="26"/>
  <c r="BT167" i="26"/>
  <c r="BT161" i="26"/>
  <c r="BT153" i="26"/>
  <c r="BT151" i="26"/>
  <c r="BT150" i="26"/>
  <c r="BT149" i="26"/>
  <c r="BT148" i="26"/>
  <c r="BT147" i="26"/>
  <c r="BT145" i="26"/>
  <c r="BT144" i="26"/>
  <c r="BT139" i="26"/>
  <c r="BT138" i="26"/>
  <c r="BT137" i="26"/>
  <c r="BT136" i="26"/>
  <c r="BT134" i="26"/>
  <c r="BT133" i="26"/>
  <c r="BT132" i="26"/>
  <c r="BT131" i="26"/>
  <c r="BT129" i="26"/>
  <c r="BT125" i="26"/>
  <c r="BT124" i="26"/>
  <c r="BT119" i="26"/>
  <c r="BT118" i="26"/>
  <c r="BT117" i="26"/>
  <c r="BT115" i="26"/>
  <c r="BT113" i="26"/>
  <c r="BT112" i="26"/>
  <c r="BT111" i="26"/>
  <c r="BT110" i="26"/>
  <c r="BT109" i="26"/>
  <c r="BT104" i="26"/>
  <c r="BT103" i="26"/>
  <c r="BT102" i="26"/>
  <c r="BT101" i="26"/>
  <c r="BT100" i="26"/>
  <c r="BT99" i="26"/>
  <c r="BT98" i="26"/>
  <c r="BT97" i="26"/>
  <c r="BT96" i="26"/>
  <c r="BT95" i="26"/>
  <c r="BT94" i="26"/>
  <c r="BT93" i="26"/>
  <c r="BT88" i="26"/>
  <c r="BT87" i="26"/>
  <c r="BT86" i="26"/>
  <c r="BT85" i="26"/>
  <c r="BT80" i="26"/>
  <c r="BT79" i="26"/>
  <c r="BT77" i="26"/>
  <c r="BT76" i="26"/>
  <c r="BT75" i="26"/>
  <c r="BT74" i="26"/>
  <c r="BT73" i="26"/>
  <c r="BT68" i="26"/>
  <c r="BT67" i="26"/>
  <c r="BT66" i="26"/>
  <c r="BT65" i="26"/>
  <c r="BT64" i="26"/>
  <c r="BT55" i="26"/>
  <c r="BT52" i="26"/>
  <c r="BT51" i="26"/>
  <c r="BT50" i="26"/>
  <c r="BT49" i="26"/>
  <c r="BT47" i="26"/>
  <c r="BT41" i="26"/>
  <c r="BT40" i="26"/>
  <c r="BT39" i="26"/>
  <c r="BT38" i="26"/>
  <c r="BT37" i="26"/>
  <c r="BT31" i="26"/>
  <c r="BT28" i="26"/>
  <c r="BT27" i="26"/>
  <c r="BT26" i="26"/>
  <c r="BT25" i="26"/>
  <c r="BT24" i="26"/>
  <c r="BT23" i="26"/>
  <c r="BT22" i="26"/>
  <c r="BT21" i="26"/>
  <c r="BT20" i="26"/>
  <c r="BT19" i="26"/>
  <c r="BT18" i="26"/>
  <c r="BT17" i="26"/>
  <c r="BT16" i="26"/>
  <c r="BT15" i="26"/>
  <c r="BT14" i="26"/>
  <c r="BT13" i="26"/>
  <c r="X1971" i="26"/>
  <c r="Y1971" i="26"/>
  <c r="Z1971" i="26"/>
  <c r="AB1971" i="26"/>
  <c r="X1969" i="26"/>
  <c r="Y1969" i="26"/>
  <c r="Z1969" i="26"/>
  <c r="AB1969" i="26"/>
  <c r="X1967" i="26"/>
  <c r="Y1967" i="26"/>
  <c r="Z1967" i="26"/>
  <c r="AB1967" i="26"/>
  <c r="X1966" i="26"/>
  <c r="Y1966" i="26"/>
  <c r="Z1966" i="26"/>
  <c r="AB1966" i="26"/>
  <c r="X1965" i="26"/>
  <c r="Y1965" i="26"/>
  <c r="Z1965" i="26"/>
  <c r="AB1965" i="26"/>
  <c r="X1957" i="26"/>
  <c r="Y1957" i="26"/>
  <c r="Z1957" i="26"/>
  <c r="AB1957" i="26"/>
  <c r="X1955" i="26"/>
  <c r="Y1955" i="26"/>
  <c r="Z1955" i="26"/>
  <c r="AB1955" i="26"/>
  <c r="X1953" i="26"/>
  <c r="Y1953" i="26"/>
  <c r="Z1953" i="26"/>
  <c r="AB1953" i="26"/>
  <c r="X1950" i="26"/>
  <c r="Y1950" i="26"/>
  <c r="Z1950" i="26"/>
  <c r="AB1950" i="26"/>
  <c r="X1949" i="26"/>
  <c r="Y1949" i="26"/>
  <c r="Z1949" i="26"/>
  <c r="AB1949" i="26"/>
  <c r="X1948" i="26"/>
  <c r="Y1948" i="26"/>
  <c r="Z1948" i="26"/>
  <c r="AB1948" i="26"/>
  <c r="X1943" i="26"/>
  <c r="Y1943" i="26"/>
  <c r="Z1943" i="26"/>
  <c r="AB1943" i="26"/>
  <c r="X1937" i="26"/>
  <c r="Y1937" i="26"/>
  <c r="Z1937" i="26"/>
  <c r="AB1937" i="26"/>
  <c r="X1936" i="26"/>
  <c r="Y1936" i="26"/>
  <c r="Z1936" i="26"/>
  <c r="AB1936" i="26"/>
  <c r="X1934" i="26"/>
  <c r="Y1934" i="26"/>
  <c r="Z1934" i="26"/>
  <c r="AB1934" i="26"/>
  <c r="X1933" i="26"/>
  <c r="Y1933" i="26"/>
  <c r="Z1933" i="26"/>
  <c r="AB1933" i="26"/>
  <c r="X1928" i="26"/>
  <c r="Y1928" i="26"/>
  <c r="Z1928" i="26"/>
  <c r="AB1928" i="26"/>
  <c r="X1927" i="26"/>
  <c r="Y1927" i="26"/>
  <c r="Z1927" i="26"/>
  <c r="AB1927" i="26"/>
  <c r="X1926" i="26"/>
  <c r="Y1926" i="26"/>
  <c r="Z1926" i="26"/>
  <c r="AB1926" i="26"/>
  <c r="X1925" i="26"/>
  <c r="Y1925" i="26"/>
  <c r="Z1925" i="26"/>
  <c r="AB1925" i="26"/>
  <c r="X1922" i="26"/>
  <c r="Y1922" i="26"/>
  <c r="Z1922" i="26"/>
  <c r="AB1922" i="26"/>
  <c r="X1920" i="26"/>
  <c r="Y1920" i="26"/>
  <c r="Z1920" i="26"/>
  <c r="AB1920" i="26"/>
  <c r="X1917" i="26"/>
  <c r="Y1917" i="26"/>
  <c r="Z1917" i="26"/>
  <c r="AB1917" i="26"/>
  <c r="X1916" i="26"/>
  <c r="X1909" i="26"/>
  <c r="Y1909" i="26"/>
  <c r="Z1909" i="26"/>
  <c r="AB1909" i="26"/>
  <c r="X1896" i="26"/>
  <c r="Y1896" i="26"/>
  <c r="Z1896" i="26"/>
  <c r="AB1896" i="26"/>
  <c r="X1895" i="26"/>
  <c r="Y1895" i="26"/>
  <c r="Z1895" i="26"/>
  <c r="AB1895" i="26"/>
  <c r="X1886" i="26"/>
  <c r="Y1886" i="26"/>
  <c r="Z1886" i="26"/>
  <c r="AB1886" i="26"/>
  <c r="X1884" i="26"/>
  <c r="Y1884" i="26"/>
  <c r="Z1884" i="26"/>
  <c r="AB1884" i="26"/>
  <c r="X1883" i="26"/>
  <c r="Y1883" i="26"/>
  <c r="Z1883" i="26"/>
  <c r="AB1883" i="26"/>
  <c r="X1882" i="26"/>
  <c r="Y1882" i="26"/>
  <c r="Z1882" i="26"/>
  <c r="AB1882" i="26"/>
  <c r="X1878" i="26"/>
  <c r="Y1878" i="26"/>
  <c r="Z1878" i="26"/>
  <c r="AB1878" i="26"/>
  <c r="X1741" i="26"/>
  <c r="Y1741" i="26"/>
  <c r="Z1741" i="26"/>
  <c r="AB1741" i="26"/>
  <c r="P1015" i="26"/>
  <c r="B1014" i="26"/>
  <c r="B1015" i="26"/>
  <c r="B1016" i="26"/>
  <c r="B1017" i="26"/>
  <c r="B1018" i="26"/>
  <c r="B985" i="26"/>
  <c r="B986" i="26"/>
  <c r="B987" i="26"/>
  <c r="B988" i="26"/>
  <c r="B989" i="26"/>
  <c r="B990" i="26"/>
  <c r="B991" i="26"/>
  <c r="B992" i="26"/>
  <c r="B993" i="26"/>
  <c r="B994" i="26"/>
  <c r="B995" i="26"/>
  <c r="B996" i="26"/>
  <c r="B997" i="26"/>
  <c r="B998" i="26"/>
  <c r="B1004" i="26"/>
  <c r="B1006" i="26"/>
  <c r="B1007" i="26"/>
  <c r="B1008" i="26"/>
  <c r="B1009" i="26"/>
  <c r="B1010" i="26"/>
  <c r="P971" i="26"/>
  <c r="B940" i="26"/>
  <c r="B907" i="26"/>
  <c r="P903" i="26"/>
  <c r="P101" i="26"/>
  <c r="P868" i="26"/>
  <c r="B862" i="26"/>
  <c r="B863" i="26"/>
  <c r="B864" i="26"/>
  <c r="B865" i="26"/>
  <c r="B866" i="26"/>
  <c r="B867" i="26"/>
  <c r="B868" i="26"/>
  <c r="B869" i="26"/>
  <c r="B870" i="26"/>
  <c r="B871" i="26"/>
  <c r="B877" i="26"/>
  <c r="B878" i="26"/>
  <c r="B879" i="26"/>
  <c r="B880" i="26"/>
  <c r="B881" i="26"/>
  <c r="B887" i="26"/>
  <c r="B888" i="26"/>
  <c r="B889" i="26"/>
  <c r="B894" i="26"/>
  <c r="B895" i="26"/>
  <c r="B896" i="26"/>
  <c r="B897" i="26"/>
  <c r="B898" i="26"/>
  <c r="B899" i="26"/>
  <c r="B900" i="26"/>
  <c r="B901" i="26"/>
  <c r="B902" i="26"/>
  <c r="B903" i="26"/>
  <c r="B904" i="26"/>
  <c r="B920" i="26"/>
  <c r="B921" i="26"/>
  <c r="B922" i="26"/>
  <c r="B923" i="26"/>
  <c r="B924" i="26"/>
  <c r="B925" i="26"/>
  <c r="B926" i="26"/>
  <c r="B927" i="26"/>
  <c r="B928" i="26"/>
  <c r="B929" i="26"/>
  <c r="B930" i="26"/>
  <c r="B931" i="26"/>
  <c r="B932" i="26"/>
  <c r="B933" i="26"/>
  <c r="B934" i="26"/>
  <c r="B935" i="26"/>
  <c r="B936" i="26"/>
  <c r="B855" i="26"/>
  <c r="B856" i="26"/>
  <c r="B814" i="26"/>
  <c r="B815" i="26"/>
  <c r="B816" i="26"/>
  <c r="B817" i="26"/>
  <c r="B818" i="26"/>
  <c r="B766" i="26"/>
  <c r="P689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4" i="26"/>
  <c r="B685" i="26"/>
  <c r="B686" i="26"/>
  <c r="B687" i="26"/>
  <c r="B703" i="26"/>
  <c r="B704" i="26"/>
  <c r="B705" i="26"/>
  <c r="B706" i="26"/>
  <c r="B707" i="26"/>
  <c r="B708" i="26"/>
  <c r="B709" i="26"/>
  <c r="B710" i="26"/>
  <c r="B711" i="26"/>
  <c r="B712" i="26"/>
  <c r="B713" i="26"/>
  <c r="B714" i="26"/>
  <c r="B715" i="26"/>
  <c r="B716" i="26"/>
  <c r="B717" i="26"/>
  <c r="B718" i="26"/>
  <c r="B719" i="26"/>
  <c r="B720" i="26"/>
  <c r="B721" i="26"/>
  <c r="B722" i="26"/>
  <c r="B723" i="26"/>
  <c r="B724" i="26"/>
  <c r="B725" i="26"/>
  <c r="B726" i="26"/>
  <c r="B727" i="26"/>
  <c r="B728" i="26"/>
  <c r="B729" i="26"/>
  <c r="B730" i="26"/>
  <c r="B731" i="26"/>
  <c r="B732" i="26"/>
  <c r="B733" i="26"/>
  <c r="B734" i="26"/>
  <c r="B735" i="26"/>
  <c r="B736" i="26"/>
  <c r="B737" i="26"/>
  <c r="B738" i="26"/>
  <c r="P638" i="26"/>
  <c r="P630" i="26"/>
  <c r="P611" i="26"/>
  <c r="B611" i="26"/>
  <c r="B612" i="26"/>
  <c r="B613" i="26"/>
  <c r="B614" i="26"/>
  <c r="B615" i="26"/>
  <c r="B616" i="26"/>
  <c r="B617" i="26"/>
  <c r="B618" i="26"/>
  <c r="B619" i="26"/>
  <c r="P598" i="26"/>
  <c r="P599" i="26"/>
  <c r="B596" i="26"/>
  <c r="B597" i="26"/>
  <c r="B598" i="26"/>
  <c r="B599" i="26"/>
  <c r="B600" i="26"/>
  <c r="B604" i="26"/>
  <c r="B605" i="26"/>
  <c r="B606" i="26"/>
  <c r="B582" i="26"/>
  <c r="B583" i="26"/>
  <c r="B584" i="26"/>
  <c r="B585" i="26"/>
  <c r="B586" i="26"/>
  <c r="B592" i="26"/>
  <c r="B593" i="26"/>
  <c r="B518" i="26"/>
  <c r="B519" i="26"/>
  <c r="B520" i="26"/>
  <c r="B521" i="26"/>
  <c r="B522" i="26"/>
  <c r="B523" i="26"/>
  <c r="B524" i="26"/>
  <c r="B525" i="26"/>
  <c r="B526" i="26"/>
  <c r="B527" i="26"/>
  <c r="B528" i="26"/>
  <c r="B529" i="26"/>
  <c r="B530" i="26"/>
  <c r="B531" i="26"/>
  <c r="B532" i="26"/>
  <c r="B533" i="26"/>
  <c r="B534" i="26"/>
  <c r="B535" i="26"/>
  <c r="B536" i="26"/>
  <c r="B537" i="26"/>
  <c r="B538" i="26"/>
  <c r="B504" i="26"/>
  <c r="B505" i="26"/>
  <c r="B506" i="26"/>
  <c r="B507" i="26"/>
  <c r="B508" i="26"/>
  <c r="P475" i="26"/>
  <c r="B460" i="26"/>
  <c r="B465" i="26"/>
  <c r="B466" i="26"/>
  <c r="B467" i="26"/>
  <c r="B468" i="26"/>
  <c r="B469" i="26"/>
  <c r="B470" i="26"/>
  <c r="B471" i="26"/>
  <c r="B472" i="26"/>
  <c r="B473" i="26"/>
  <c r="B474" i="26"/>
  <c r="B475" i="26"/>
  <c r="B420" i="26"/>
  <c r="B421" i="26"/>
  <c r="B422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L361" i="26"/>
  <c r="L351" i="26"/>
  <c r="P350" i="26"/>
  <c r="P138" i="26"/>
  <c r="B339" i="26"/>
  <c r="B340" i="26"/>
  <c r="B341" i="26"/>
  <c r="B342" i="26"/>
  <c r="B343" i="26"/>
  <c r="B344" i="26"/>
  <c r="B345" i="26"/>
  <c r="B335" i="26"/>
  <c r="B272" i="26"/>
  <c r="B273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41" i="26"/>
  <c r="B242" i="26"/>
  <c r="B771" i="26"/>
  <c r="B624" i="26"/>
  <c r="B625" i="26"/>
  <c r="B626" i="26"/>
  <c r="B627" i="26"/>
  <c r="B628" i="26"/>
  <c r="B629" i="26"/>
  <c r="B630" i="26"/>
  <c r="B631" i="26"/>
  <c r="B632" i="26"/>
  <c r="B633" i="26"/>
  <c r="B634" i="26"/>
  <c r="B635" i="26"/>
  <c r="B636" i="26"/>
  <c r="B637" i="26"/>
  <c r="B638" i="26"/>
  <c r="B545" i="26"/>
  <c r="B546" i="26"/>
  <c r="B547" i="26"/>
  <c r="B548" i="26"/>
  <c r="B549" i="26"/>
  <c r="B550" i="26"/>
  <c r="B551" i="26"/>
  <c r="B552" i="26"/>
  <c r="B553" i="26"/>
  <c r="B230" i="26"/>
  <c r="B231" i="26"/>
  <c r="B232" i="26"/>
  <c r="K225" i="26"/>
  <c r="K235" i="26"/>
  <c r="B220" i="26"/>
  <c r="B221" i="26"/>
  <c r="B222" i="26"/>
  <c r="B223" i="26"/>
  <c r="B224" i="26"/>
  <c r="B210" i="26"/>
  <c r="B211" i="26"/>
  <c r="B212" i="26"/>
  <c r="B213" i="26"/>
  <c r="B214" i="26"/>
  <c r="B201" i="26"/>
  <c r="B202" i="26"/>
  <c r="B203" i="26"/>
  <c r="B204" i="26"/>
  <c r="B205" i="26"/>
  <c r="B184" i="26"/>
  <c r="B185" i="26"/>
  <c r="B167" i="26"/>
  <c r="B168" i="26"/>
  <c r="B169" i="26"/>
  <c r="B170" i="26"/>
  <c r="B171" i="26"/>
  <c r="B172" i="26"/>
  <c r="B144" i="26"/>
  <c r="B145" i="26"/>
  <c r="B146" i="26"/>
  <c r="B147" i="26"/>
  <c r="P150" i="26"/>
  <c r="P151" i="26"/>
  <c r="P153" i="26"/>
  <c r="P147" i="26"/>
  <c r="P148" i="26"/>
  <c r="L154" i="26"/>
  <c r="B129" i="26"/>
  <c r="B130" i="26"/>
  <c r="B131" i="26"/>
  <c r="B132" i="26"/>
  <c r="B133" i="26"/>
  <c r="B134" i="26"/>
  <c r="B135" i="26"/>
  <c r="B136" i="26"/>
  <c r="B137" i="26"/>
  <c r="B138" i="26"/>
  <c r="B139" i="26"/>
  <c r="B124" i="26"/>
  <c r="B125" i="26"/>
  <c r="B109" i="26"/>
  <c r="B110" i="26"/>
  <c r="B111" i="26"/>
  <c r="B112" i="26"/>
  <c r="B113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85" i="26"/>
  <c r="B86" i="26"/>
  <c r="B87" i="26"/>
  <c r="B88" i="26"/>
  <c r="B73" i="26"/>
  <c r="B74" i="26"/>
  <c r="B75" i="26"/>
  <c r="B76" i="26"/>
  <c r="B77" i="26"/>
  <c r="B78" i="26"/>
  <c r="B79" i="26"/>
  <c r="B80" i="26"/>
  <c r="P136" i="26"/>
  <c r="P125" i="26"/>
  <c r="P94" i="26"/>
  <c r="P95" i="26"/>
  <c r="P96" i="26"/>
  <c r="P93" i="26"/>
  <c r="P115" i="26"/>
  <c r="P117" i="26"/>
  <c r="P113" i="26"/>
  <c r="L105" i="26"/>
  <c r="P100" i="26"/>
  <c r="L89" i="26"/>
  <c r="P88" i="26"/>
  <c r="P87" i="26"/>
  <c r="P86" i="26"/>
  <c r="P85" i="26"/>
  <c r="L69" i="26"/>
  <c r="L81" i="26"/>
  <c r="P80" i="26"/>
  <c r="B64" i="26"/>
  <c r="B65" i="26"/>
  <c r="B66" i="26"/>
  <c r="B67" i="26"/>
  <c r="B68" i="26"/>
  <c r="B47" i="26"/>
  <c r="B48" i="26"/>
  <c r="B49" i="26"/>
  <c r="B50" i="26"/>
  <c r="B51" i="26"/>
  <c r="B52" i="26"/>
  <c r="B53" i="26"/>
  <c r="B54" i="26"/>
  <c r="B55" i="26"/>
  <c r="P76" i="26"/>
  <c r="P21" i="26"/>
  <c r="P20" i="26"/>
  <c r="B480" i="26"/>
  <c r="B481" i="26"/>
  <c r="B482" i="26"/>
  <c r="B483" i="26"/>
  <c r="B484" i="26"/>
  <c r="B646" i="26"/>
  <c r="B647" i="26"/>
  <c r="B648" i="26"/>
  <c r="B649" i="26"/>
  <c r="B650" i="26"/>
  <c r="B651" i="26"/>
  <c r="B652" i="26"/>
  <c r="B653" i="26"/>
  <c r="B654" i="26"/>
  <c r="X659" i="26"/>
  <c r="K33" i="26"/>
  <c r="K56" i="26"/>
  <c r="K162" i="26"/>
  <c r="K173" i="26"/>
  <c r="K180" i="26"/>
  <c r="K187" i="26"/>
  <c r="K197" i="26"/>
  <c r="K206" i="26"/>
  <c r="K215" i="26"/>
  <c r="K243" i="26"/>
  <c r="K274" i="26"/>
  <c r="K275" i="26"/>
  <c r="K282" i="26"/>
  <c r="K292" i="26"/>
  <c r="K300" i="26"/>
  <c r="K310" i="26"/>
  <c r="K322" i="26"/>
  <c r="K332" i="26"/>
  <c r="K379" i="26"/>
  <c r="K390" i="26"/>
  <c r="K406" i="26"/>
  <c r="K416" i="26"/>
  <c r="K423" i="26"/>
  <c r="K434" i="26"/>
  <c r="K444" i="26"/>
  <c r="K485" i="26"/>
  <c r="K495" i="26"/>
  <c r="K509" i="26"/>
  <c r="K540" i="26"/>
  <c r="K554" i="26"/>
  <c r="K567" i="26"/>
  <c r="K588" i="26"/>
  <c r="K607" i="26"/>
  <c r="K620" i="26"/>
  <c r="K639" i="26"/>
  <c r="K664" i="26"/>
  <c r="K680" i="26"/>
  <c r="K699" i="26"/>
  <c r="K739" i="26"/>
  <c r="K747" i="26"/>
  <c r="K763" i="26"/>
  <c r="K791" i="26"/>
  <c r="K882" i="26"/>
  <c r="K890" i="26"/>
  <c r="K937" i="26"/>
  <c r="K942" i="26"/>
  <c r="K1033" i="26"/>
  <c r="K1056" i="26"/>
  <c r="K1061" i="26"/>
  <c r="K1092" i="26"/>
  <c r="K1106" i="26"/>
  <c r="K1172" i="26"/>
  <c r="K1178" i="26"/>
  <c r="K1190" i="26"/>
  <c r="K1211" i="26"/>
  <c r="K1225" i="26"/>
  <c r="K1245" i="26"/>
  <c r="K1300" i="26"/>
  <c r="K1338" i="26"/>
  <c r="K1431" i="26"/>
  <c r="K1466" i="26"/>
  <c r="K1498" i="26"/>
  <c r="K1509" i="26"/>
  <c r="K1591" i="26"/>
  <c r="K1614" i="26"/>
  <c r="K1641" i="26"/>
  <c r="K1645" i="26"/>
  <c r="K1654" i="26"/>
  <c r="K1663" i="26"/>
  <c r="K1678" i="26"/>
  <c r="K1723" i="26"/>
  <c r="K1734" i="26"/>
  <c r="K1743" i="26"/>
  <c r="K1756" i="26"/>
  <c r="K1782" i="26"/>
  <c r="K1801" i="26"/>
  <c r="K1811" i="26"/>
  <c r="K1865" i="26"/>
  <c r="K1823" i="26"/>
  <c r="K1888" i="26"/>
  <c r="K1898" i="26"/>
  <c r="K1910" i="26"/>
  <c r="K1929" i="26"/>
  <c r="K1973" i="26"/>
  <c r="L656" i="26"/>
  <c r="L56" i="26"/>
  <c r="L121" i="26"/>
  <c r="L173" i="26"/>
  <c r="L180" i="26"/>
  <c r="L186" i="26"/>
  <c r="L197" i="26"/>
  <c r="L206" i="26"/>
  <c r="L215" i="26"/>
  <c r="L225" i="26"/>
  <c r="L233" i="26"/>
  <c r="L243" i="26"/>
  <c r="L265" i="26"/>
  <c r="L274" i="26"/>
  <c r="L282" i="26"/>
  <c r="L292" i="26"/>
  <c r="L300" i="26"/>
  <c r="L310" i="26"/>
  <c r="L322" i="26"/>
  <c r="L332" i="26"/>
  <c r="L379" i="26"/>
  <c r="L390" i="26"/>
  <c r="L406" i="26"/>
  <c r="L416" i="26"/>
  <c r="L423" i="26"/>
  <c r="L434" i="26"/>
  <c r="L444" i="26"/>
  <c r="L485" i="26"/>
  <c r="L495" i="26"/>
  <c r="L509" i="26"/>
  <c r="L540" i="26"/>
  <c r="L554" i="26"/>
  <c r="L567" i="26"/>
  <c r="L607" i="26"/>
  <c r="L639" i="26"/>
  <c r="B754" i="26"/>
  <c r="B758" i="26"/>
  <c r="B759" i="26"/>
  <c r="B760" i="26"/>
  <c r="B761" i="26"/>
  <c r="B762" i="26"/>
  <c r="B13" i="26"/>
  <c r="B14" i="26"/>
  <c r="B15" i="26"/>
  <c r="B16" i="26"/>
  <c r="B17" i="26"/>
  <c r="B1590" i="26"/>
  <c r="B952" i="26"/>
  <c r="B958" i="26"/>
  <c r="B959" i="26"/>
  <c r="B960" i="26"/>
  <c r="B961" i="26"/>
  <c r="B962" i="26"/>
  <c r="B963" i="26"/>
  <c r="B964" i="26"/>
  <c r="B965" i="26"/>
  <c r="B966" i="26"/>
  <c r="B967" i="26"/>
  <c r="B456" i="26"/>
  <c r="X1972" i="26"/>
  <c r="Y1972" i="26"/>
  <c r="Z1972" i="26"/>
  <c r="AB1972" i="26"/>
  <c r="L1466" i="26"/>
  <c r="L1392" i="26"/>
  <c r="L1431" i="26"/>
  <c r="L1245" i="26"/>
  <c r="L1197" i="26"/>
  <c r="L1211" i="26"/>
  <c r="L1225" i="26"/>
  <c r="L1172" i="26"/>
  <c r="L1178" i="26"/>
  <c r="L1190" i="26"/>
  <c r="L974" i="26"/>
  <c r="L981" i="26"/>
  <c r="L1033" i="26"/>
  <c r="L1061" i="26"/>
  <c r="L1092" i="26"/>
  <c r="L1300" i="26"/>
  <c r="L1331" i="26"/>
  <c r="L1338" i="26"/>
  <c r="L1498" i="26"/>
  <c r="L1509" i="26"/>
  <c r="X1730" i="26"/>
  <c r="X1731" i="26"/>
  <c r="Y1731" i="26"/>
  <c r="Z1731" i="26"/>
  <c r="AB1731" i="26"/>
  <c r="X1739" i="26"/>
  <c r="Y1739" i="26"/>
  <c r="Z1739" i="26"/>
  <c r="AB1739" i="26"/>
  <c r="X1742" i="26"/>
  <c r="Y1742" i="26"/>
  <c r="X1747" i="26"/>
  <c r="X1765" i="26"/>
  <c r="Y1765" i="26"/>
  <c r="Z1765" i="26"/>
  <c r="AB1765" i="26"/>
  <c r="X1877" i="26"/>
  <c r="X1880" i="26"/>
  <c r="Y1880" i="26"/>
  <c r="Z1880" i="26"/>
  <c r="AB1880" i="26"/>
  <c r="X1881" i="26"/>
  <c r="X1897" i="26"/>
  <c r="X1906" i="26"/>
  <c r="X1907" i="26"/>
  <c r="X1915" i="26"/>
  <c r="X1919" i="26"/>
  <c r="Y1919" i="26"/>
  <c r="Z1919" i="26"/>
  <c r="AB1919" i="26"/>
  <c r="X1921" i="26"/>
  <c r="Y1921" i="26"/>
  <c r="Z1921" i="26"/>
  <c r="AB1921" i="26"/>
  <c r="X1935" i="26"/>
  <c r="Y1935" i="26"/>
  <c r="X1939" i="26"/>
  <c r="X1940" i="26"/>
  <c r="Y1940" i="26"/>
  <c r="Z1940" i="26"/>
  <c r="AB1940" i="26"/>
  <c r="X1942" i="26"/>
  <c r="Y1942" i="26"/>
  <c r="Z1942" i="26"/>
  <c r="AB1942" i="26"/>
  <c r="X1945" i="26"/>
  <c r="X1946" i="26"/>
  <c r="Y1946" i="26"/>
  <c r="Z1946" i="26"/>
  <c r="AB1946" i="26"/>
  <c r="X1947" i="26"/>
  <c r="Y1947" i="26"/>
  <c r="Z1947" i="26"/>
  <c r="AB1947" i="26"/>
  <c r="X1951" i="26"/>
  <c r="Y1951" i="26"/>
  <c r="Z1951" i="26"/>
  <c r="AB1951" i="26"/>
  <c r="X1952" i="26"/>
  <c r="X1954" i="26"/>
  <c r="Y1954" i="26"/>
  <c r="Z1954" i="26"/>
  <c r="AB1954" i="26"/>
  <c r="X1958" i="26"/>
  <c r="Y1958" i="26"/>
  <c r="Z1958" i="26"/>
  <c r="AB1958" i="26"/>
  <c r="X1960" i="26"/>
  <c r="X1962" i="26"/>
  <c r="Y1962" i="26"/>
  <c r="X1968" i="26"/>
  <c r="Y1968" i="26"/>
  <c r="B37" i="26"/>
  <c r="B38" i="26"/>
  <c r="B39" i="26"/>
  <c r="B40" i="26"/>
  <c r="B41" i="26"/>
  <c r="B42" i="26"/>
  <c r="B177" i="26"/>
  <c r="B178" i="26"/>
  <c r="B179" i="26"/>
  <c r="B383" i="26"/>
  <c r="B384" i="26"/>
  <c r="B385" i="26"/>
  <c r="B386" i="26"/>
  <c r="B387" i="26"/>
  <c r="B388" i="26"/>
  <c r="B389" i="26"/>
  <c r="B1674" i="26"/>
  <c r="B1675" i="26"/>
  <c r="B1676" i="26"/>
  <c r="B1677" i="26"/>
  <c r="B1730" i="26"/>
  <c r="B1731" i="26"/>
  <c r="B1732" i="26"/>
  <c r="B1733" i="26"/>
  <c r="B195" i="26"/>
  <c r="B196" i="26"/>
  <c r="B427" i="26"/>
  <c r="B428" i="26"/>
  <c r="B429" i="26"/>
  <c r="B430" i="26"/>
  <c r="B431" i="26"/>
  <c r="B432" i="26"/>
  <c r="B433" i="26"/>
  <c r="P1972" i="26"/>
  <c r="P1971" i="26"/>
  <c r="P1970" i="26"/>
  <c r="P1969" i="26"/>
  <c r="P1968" i="26"/>
  <c r="P1967" i="26"/>
  <c r="P1966" i="26"/>
  <c r="P1965" i="26"/>
  <c r="P1964" i="26"/>
  <c r="P1963" i="26"/>
  <c r="P1962" i="26"/>
  <c r="P1961" i="26"/>
  <c r="P1960" i="26"/>
  <c r="P1958" i="26"/>
  <c r="P1957" i="26"/>
  <c r="P1956" i="26"/>
  <c r="P1955" i="26"/>
  <c r="P1954" i="26"/>
  <c r="P1953" i="26"/>
  <c r="P1952" i="26"/>
  <c r="P1951" i="26"/>
  <c r="P1950" i="26"/>
  <c r="P1949" i="26"/>
  <c r="P1948" i="26"/>
  <c r="P1947" i="26"/>
  <c r="P1946" i="26"/>
  <c r="P1945" i="26"/>
  <c r="P1944" i="26"/>
  <c r="P1943" i="26"/>
  <c r="P1942" i="26"/>
  <c r="P1941" i="26"/>
  <c r="P1940" i="26"/>
  <c r="P1939" i="26"/>
  <c r="P1938" i="26"/>
  <c r="P1937" i="26"/>
  <c r="P1936" i="26"/>
  <c r="P1935" i="26"/>
  <c r="P1934" i="26"/>
  <c r="P1933" i="26"/>
  <c r="P1928" i="26"/>
  <c r="P1927" i="26"/>
  <c r="P1926" i="26"/>
  <c r="P1925" i="26"/>
  <c r="P1924" i="26"/>
  <c r="P1923" i="26"/>
  <c r="P1922" i="26"/>
  <c r="P1921" i="26"/>
  <c r="P1920" i="26"/>
  <c r="P1919" i="26"/>
  <c r="P1918" i="26"/>
  <c r="P1917" i="26"/>
  <c r="P1916" i="26"/>
  <c r="P1915" i="26"/>
  <c r="P1909" i="26"/>
  <c r="P1908" i="26"/>
  <c r="P1907" i="26"/>
  <c r="P1906" i="26"/>
  <c r="P1897" i="26"/>
  <c r="P1896" i="26"/>
  <c r="P1895" i="26"/>
  <c r="P1894" i="26"/>
  <c r="P1887" i="26"/>
  <c r="P1886" i="26"/>
  <c r="P1885" i="26"/>
  <c r="P1884" i="26"/>
  <c r="P1883" i="26"/>
  <c r="P1882" i="26"/>
  <c r="P1881" i="26"/>
  <c r="P1880" i="26"/>
  <c r="P1879" i="26"/>
  <c r="P1878" i="26"/>
  <c r="P1877" i="26"/>
  <c r="P1822" i="26"/>
  <c r="P1821" i="26"/>
  <c r="P1820" i="26"/>
  <c r="P1819" i="26"/>
  <c r="P1818" i="26"/>
  <c r="P1817" i="26"/>
  <c r="P1816" i="26"/>
  <c r="P1810" i="26"/>
  <c r="P1809" i="26"/>
  <c r="P1808" i="26"/>
  <c r="P1807" i="26"/>
  <c r="P1806" i="26"/>
  <c r="P1799" i="26"/>
  <c r="P1798" i="26"/>
  <c r="P1797" i="26"/>
  <c r="P1796" i="26"/>
  <c r="P1795" i="26"/>
  <c r="P1794" i="26"/>
  <c r="P1793" i="26"/>
  <c r="P1792" i="26"/>
  <c r="P1791" i="26"/>
  <c r="P1790" i="26"/>
  <c r="P1789" i="26"/>
  <c r="P1788" i="26"/>
  <c r="P1781" i="26"/>
  <c r="P1780" i="26"/>
  <c r="P1779" i="26"/>
  <c r="P1778" i="26"/>
  <c r="P1777" i="26"/>
  <c r="P1776" i="26"/>
  <c r="P1775" i="26"/>
  <c r="P1774" i="26"/>
  <c r="P1773" i="26"/>
  <c r="P1772" i="26"/>
  <c r="P1771" i="26"/>
  <c r="P1770" i="26"/>
  <c r="P1769" i="26"/>
  <c r="P1768" i="26"/>
  <c r="P1767" i="26"/>
  <c r="P1766" i="26"/>
  <c r="P1765" i="26"/>
  <c r="P1764" i="26"/>
  <c r="P1763" i="26"/>
  <c r="P1762" i="26"/>
  <c r="P1761" i="26"/>
  <c r="P1755" i="26"/>
  <c r="P1754" i="26"/>
  <c r="P1753" i="26"/>
  <c r="P1752" i="26"/>
  <c r="P1751" i="26"/>
  <c r="P1750" i="26"/>
  <c r="P1749" i="26"/>
  <c r="P1748" i="26"/>
  <c r="P1747" i="26"/>
  <c r="P1742" i="26"/>
  <c r="P1741" i="26"/>
  <c r="P1740" i="26"/>
  <c r="P1739" i="26"/>
  <c r="P1733" i="26"/>
  <c r="P1732" i="26"/>
  <c r="P1731" i="26"/>
  <c r="P1730" i="26"/>
  <c r="P1721" i="26"/>
  <c r="P1720" i="26"/>
  <c r="P1719" i="26"/>
  <c r="P1718" i="26"/>
  <c r="P1700" i="26"/>
  <c r="P1717" i="26"/>
  <c r="P1716" i="26"/>
  <c r="P1715" i="26"/>
  <c r="P1714" i="26"/>
  <c r="P1713" i="26"/>
  <c r="P1712" i="26"/>
  <c r="P1711" i="26"/>
  <c r="P1695" i="26"/>
  <c r="P1710" i="26"/>
  <c r="P1703" i="26"/>
  <c r="P1702" i="26"/>
  <c r="P1701" i="26"/>
  <c r="P1699" i="26"/>
  <c r="P1698" i="26"/>
  <c r="P1697" i="26"/>
  <c r="P1696" i="26"/>
  <c r="P1685" i="26"/>
  <c r="P1677" i="26"/>
  <c r="P1676" i="26"/>
  <c r="P1675" i="26"/>
  <c r="P1674" i="26"/>
  <c r="P1661" i="26"/>
  <c r="P1660" i="26"/>
  <c r="P1659" i="26"/>
  <c r="P1658" i="26"/>
  <c r="P1653" i="26"/>
  <c r="P1652" i="26"/>
  <c r="P1651" i="26"/>
  <c r="P1650" i="26"/>
  <c r="P1640" i="26"/>
  <c r="P1639" i="26"/>
  <c r="P1638" i="26"/>
  <c r="P1637" i="26"/>
  <c r="P1636" i="26"/>
  <c r="P1635" i="26"/>
  <c r="P1634" i="26"/>
  <c r="P1633" i="26"/>
  <c r="P1626" i="26"/>
  <c r="P1625" i="26"/>
  <c r="P1624" i="26"/>
  <c r="P1623" i="26"/>
  <c r="P1622" i="26"/>
  <c r="P1621" i="26"/>
  <c r="P1620" i="26"/>
  <c r="P1610" i="26"/>
  <c r="P1609" i="26"/>
  <c r="P1608" i="26"/>
  <c r="P1607" i="26"/>
  <c r="P1606" i="26"/>
  <c r="P1599" i="26"/>
  <c r="P1598" i="26"/>
  <c r="P1597" i="26"/>
  <c r="P1596" i="26"/>
  <c r="P1595" i="26"/>
  <c r="P1594" i="26"/>
  <c r="P1590" i="26"/>
  <c r="P1589" i="26"/>
  <c r="P1588" i="26"/>
  <c r="P1576" i="26"/>
  <c r="P1575" i="26"/>
  <c r="P1570" i="26"/>
  <c r="P1569" i="26"/>
  <c r="P1568" i="26"/>
  <c r="P1567" i="26"/>
  <c r="P1566" i="26"/>
  <c r="P1565" i="26"/>
  <c r="P1564" i="26"/>
  <c r="P1563" i="26"/>
  <c r="P1562" i="26"/>
  <c r="P1561" i="26"/>
  <c r="P1560" i="26"/>
  <c r="P1559" i="26"/>
  <c r="P1558" i="26"/>
  <c r="P1531" i="26"/>
  <c r="P1552" i="26"/>
  <c r="P1551" i="26"/>
  <c r="P1550" i="26"/>
  <c r="P1549" i="26"/>
  <c r="P1545" i="26"/>
  <c r="P1544" i="26"/>
  <c r="P1543" i="26"/>
  <c r="P1542" i="26"/>
  <c r="P1541" i="26"/>
  <c r="P1540" i="26"/>
  <c r="P1539" i="26"/>
  <c r="P1538" i="26"/>
  <c r="P1536" i="26"/>
  <c r="P1535" i="26"/>
  <c r="P1534" i="26"/>
  <c r="P1532" i="26"/>
  <c r="P1529" i="26"/>
  <c r="P1528" i="26"/>
  <c r="P1527" i="26"/>
  <c r="P1526" i="26"/>
  <c r="P1525" i="26"/>
  <c r="P1524" i="26"/>
  <c r="P1523" i="26"/>
  <c r="P1522" i="26"/>
  <c r="P1521" i="26"/>
  <c r="P1520" i="26"/>
  <c r="P1519" i="26"/>
  <c r="P1516" i="26"/>
  <c r="P1506" i="26"/>
  <c r="P1507" i="26"/>
  <c r="P1505" i="26"/>
  <c r="P1504" i="26"/>
  <c r="P1503" i="26"/>
  <c r="P1502" i="26"/>
  <c r="P1497" i="26"/>
  <c r="P1496" i="26"/>
  <c r="P1495" i="26"/>
  <c r="P1494" i="26"/>
  <c r="P1493" i="26"/>
  <c r="P1486" i="26"/>
  <c r="P1483" i="26"/>
  <c r="P1482" i="26"/>
  <c r="P1481" i="26"/>
  <c r="P1480" i="26"/>
  <c r="P1479" i="26"/>
  <c r="P1478" i="26"/>
  <c r="P1477" i="26"/>
  <c r="P1476" i="26"/>
  <c r="P1475" i="26"/>
  <c r="P1474" i="26"/>
  <c r="P1473" i="26"/>
  <c r="P1472" i="26"/>
  <c r="P1471" i="26"/>
  <c r="P1470" i="26"/>
  <c r="P1465" i="26"/>
  <c r="P1461" i="26"/>
  <c r="P1451" i="26"/>
  <c r="P1449" i="26"/>
  <c r="P1448" i="26"/>
  <c r="P1444" i="26"/>
  <c r="P1443" i="26"/>
  <c r="P1442" i="26"/>
  <c r="P1441" i="26"/>
  <c r="P1440" i="26"/>
  <c r="P1439" i="26"/>
  <c r="P1419" i="26"/>
  <c r="P1428" i="26"/>
  <c r="P1427" i="26"/>
  <c r="P1426" i="26"/>
  <c r="P1425" i="26"/>
  <c r="P1424" i="26"/>
  <c r="P1423" i="26"/>
  <c r="P1422" i="26"/>
  <c r="P1421" i="26"/>
  <c r="P1420" i="26"/>
  <c r="P1418" i="26"/>
  <c r="P1417" i="26"/>
  <c r="P1416" i="26"/>
  <c r="P1415" i="26"/>
  <c r="P1410" i="26"/>
  <c r="P1409" i="26"/>
  <c r="P1402" i="26"/>
  <c r="P1401" i="26"/>
  <c r="P1400" i="26"/>
  <c r="P1399" i="26"/>
  <c r="P1398" i="26"/>
  <c r="P1397" i="26"/>
  <c r="P1396" i="26"/>
  <c r="P1391" i="26"/>
  <c r="P1390" i="26"/>
  <c r="P1378" i="26"/>
  <c r="P1377" i="26"/>
  <c r="P1376" i="26"/>
  <c r="P1375" i="26"/>
  <c r="P1374" i="26"/>
  <c r="P1373" i="26"/>
  <c r="P1372" i="26"/>
  <c r="P1371" i="26"/>
  <c r="P1366" i="26"/>
  <c r="P1365" i="26"/>
  <c r="P1364" i="26"/>
  <c r="P1363" i="26"/>
  <c r="P1362" i="26"/>
  <c r="P1361" i="26"/>
  <c r="P1360" i="26"/>
  <c r="P1359" i="26"/>
  <c r="P1349" i="26"/>
  <c r="P1346" i="26"/>
  <c r="P1345" i="26"/>
  <c r="P1344" i="26"/>
  <c r="P1343" i="26"/>
  <c r="P1337" i="26"/>
  <c r="P1336" i="26"/>
  <c r="P1329" i="26"/>
  <c r="P1328" i="26"/>
  <c r="P1327" i="26"/>
  <c r="P1326" i="26"/>
  <c r="P1325" i="26"/>
  <c r="P1324" i="26"/>
  <c r="P1323" i="26"/>
  <c r="P1322" i="26"/>
  <c r="P1321" i="26"/>
  <c r="P1320" i="26"/>
  <c r="P1315" i="26"/>
  <c r="P1312" i="26"/>
  <c r="P1311" i="26"/>
  <c r="P1310" i="26"/>
  <c r="P1309" i="26"/>
  <c r="P1308" i="26"/>
  <c r="P1307" i="26"/>
  <c r="P1306" i="26"/>
  <c r="P1305" i="26"/>
  <c r="P1304" i="26"/>
  <c r="P1303" i="26"/>
  <c r="P1299" i="26"/>
  <c r="P1298" i="26"/>
  <c r="P1297" i="26"/>
  <c r="P1287" i="26"/>
  <c r="P1286" i="26"/>
  <c r="P1285" i="26"/>
  <c r="P1284" i="26"/>
  <c r="P1283" i="26"/>
  <c r="P1282" i="26"/>
  <c r="P1281" i="26"/>
  <c r="P1280" i="26"/>
  <c r="P1279" i="26"/>
  <c r="P1278" i="26"/>
  <c r="P1277" i="26"/>
  <c r="P1276" i="26"/>
  <c r="P1275" i="26"/>
  <c r="P1274" i="26"/>
  <c r="P1273" i="26"/>
  <c r="P1272" i="26"/>
  <c r="P1271" i="26"/>
  <c r="P1270" i="26"/>
  <c r="P1264" i="26"/>
  <c r="P1263" i="26"/>
  <c r="P1260" i="26"/>
  <c r="P1259" i="26"/>
  <c r="P1258" i="26"/>
  <c r="P1257" i="26"/>
  <c r="P1256" i="26"/>
  <c r="P1255" i="26"/>
  <c r="P1254" i="26"/>
  <c r="P1253" i="26"/>
  <c r="P1252" i="26"/>
  <c r="P1251" i="26"/>
  <c r="P1250" i="26"/>
  <c r="P1249" i="26"/>
  <c r="P1244" i="26"/>
  <c r="P1243" i="26"/>
  <c r="P1242" i="26"/>
  <c r="P1224" i="26"/>
  <c r="P1223" i="26"/>
  <c r="P1222" i="26"/>
  <c r="P1221" i="26"/>
  <c r="P1220" i="26"/>
  <c r="P1219" i="26"/>
  <c r="P1218" i="26"/>
  <c r="P1217" i="26"/>
  <c r="P1216" i="26"/>
  <c r="P1210" i="26"/>
  <c r="P1209" i="26"/>
  <c r="P1208" i="26"/>
  <c r="P1207" i="26"/>
  <c r="P1206" i="26"/>
  <c r="P1196" i="26"/>
  <c r="P1195" i="26"/>
  <c r="P1194" i="26"/>
  <c r="P1188" i="26"/>
  <c r="P1187" i="26"/>
  <c r="P1186" i="26"/>
  <c r="P1185" i="26"/>
  <c r="P1184" i="26"/>
  <c r="P1183" i="26"/>
  <c r="P1182" i="26"/>
  <c r="P1177" i="26"/>
  <c r="P1176" i="26"/>
  <c r="P1171" i="26"/>
  <c r="P1170" i="26"/>
  <c r="P1158" i="26"/>
  <c r="P1156" i="26"/>
  <c r="P1155" i="26"/>
  <c r="P1154" i="26"/>
  <c r="P1151" i="26"/>
  <c r="P1150" i="26"/>
  <c r="P1149" i="26"/>
  <c r="P1148" i="26"/>
  <c r="P1147" i="26"/>
  <c r="P1142" i="26"/>
  <c r="P1134" i="26"/>
  <c r="P1133" i="26"/>
  <c r="P1132" i="26"/>
  <c r="P1131" i="26"/>
  <c r="P1125" i="26"/>
  <c r="P1122" i="26"/>
  <c r="P1121" i="26"/>
  <c r="P1115" i="26"/>
  <c r="P1112" i="26"/>
  <c r="P1111" i="26"/>
  <c r="P1104" i="26"/>
  <c r="P1101" i="26"/>
  <c r="P1100" i="26"/>
  <c r="P1098" i="26"/>
  <c r="P1096" i="26"/>
  <c r="P1091" i="26"/>
  <c r="P1090" i="26"/>
  <c r="P1089" i="26"/>
  <c r="P1088" i="26"/>
  <c r="P1087" i="26"/>
  <c r="P1082" i="26"/>
  <c r="P1081" i="26"/>
  <c r="P1080" i="26"/>
  <c r="P1079" i="26"/>
  <c r="P1078" i="26"/>
  <c r="P1077" i="26"/>
  <c r="P1076" i="26"/>
  <c r="P1075" i="26"/>
  <c r="P1074" i="26"/>
  <c r="P1073" i="26"/>
  <c r="P1072" i="26"/>
  <c r="P1071" i="26"/>
  <c r="P1070" i="26"/>
  <c r="P1069" i="26"/>
  <c r="P1068" i="26"/>
  <c r="P1067" i="26"/>
  <c r="P1066" i="26"/>
  <c r="P1060" i="26"/>
  <c r="P1059" i="26"/>
  <c r="P1054" i="26"/>
  <c r="P1053" i="26"/>
  <c r="P1052" i="26"/>
  <c r="P1051" i="26"/>
  <c r="P1050" i="26"/>
  <c r="P1049" i="26"/>
  <c r="P1048" i="26"/>
  <c r="P1047" i="26"/>
  <c r="P1046" i="26"/>
  <c r="P1045" i="26"/>
  <c r="P1044" i="26"/>
  <c r="P1043" i="26"/>
  <c r="P1042" i="26"/>
  <c r="P1041" i="26"/>
  <c r="P1040" i="26"/>
  <c r="P1039" i="26"/>
  <c r="P1038" i="26"/>
  <c r="P1037" i="26"/>
  <c r="P1032" i="26"/>
  <c r="P1031" i="26"/>
  <c r="P1030" i="26"/>
  <c r="P1028" i="26"/>
  <c r="P1014" i="26"/>
  <c r="P1010" i="26"/>
  <c r="P1009" i="26"/>
  <c r="P1008" i="26"/>
  <c r="P1007" i="26"/>
  <c r="P1006" i="26"/>
  <c r="P1004" i="26"/>
  <c r="P998" i="26"/>
  <c r="P997" i="26"/>
  <c r="P996" i="26"/>
  <c r="P995" i="26"/>
  <c r="P994" i="26"/>
  <c r="P993" i="26"/>
  <c r="P992" i="26"/>
  <c r="P991" i="26"/>
  <c r="P990" i="26"/>
  <c r="P989" i="26"/>
  <c r="P988" i="26"/>
  <c r="P987" i="26"/>
  <c r="P986" i="26"/>
  <c r="P985" i="26"/>
  <c r="P980" i="26"/>
  <c r="P979" i="26"/>
  <c r="P978" i="26"/>
  <c r="P970" i="26"/>
  <c r="P967" i="26"/>
  <c r="P966" i="26"/>
  <c r="P965" i="26"/>
  <c r="P964" i="26"/>
  <c r="P963" i="26"/>
  <c r="P962" i="26"/>
  <c r="P961" i="26"/>
  <c r="P960" i="26"/>
  <c r="P959" i="26"/>
  <c r="P958" i="26"/>
  <c r="P952" i="26"/>
  <c r="P940" i="26"/>
  <c r="P936" i="26"/>
  <c r="P935" i="26"/>
  <c r="P934" i="26"/>
  <c r="P933" i="26"/>
  <c r="P932" i="26"/>
  <c r="P931" i="26"/>
  <c r="P930" i="26"/>
  <c r="P929" i="26"/>
  <c r="P928" i="26"/>
  <c r="P927" i="26"/>
  <c r="P926" i="26"/>
  <c r="P925" i="26"/>
  <c r="P924" i="26"/>
  <c r="P923" i="26"/>
  <c r="P922" i="26"/>
  <c r="P921" i="26"/>
  <c r="P907" i="26"/>
  <c r="P904" i="26"/>
  <c r="P902" i="26"/>
  <c r="P901" i="26"/>
  <c r="P900" i="26"/>
  <c r="P899" i="26"/>
  <c r="P898" i="26"/>
  <c r="P897" i="26"/>
  <c r="P896" i="26"/>
  <c r="P895" i="26"/>
  <c r="P894" i="26"/>
  <c r="P889" i="26"/>
  <c r="P888" i="26"/>
  <c r="P887" i="26"/>
  <c r="P881" i="26"/>
  <c r="P880" i="26"/>
  <c r="P879" i="26"/>
  <c r="P878" i="26"/>
  <c r="P877" i="26"/>
  <c r="P871" i="26"/>
  <c r="P870" i="26"/>
  <c r="P869" i="26"/>
  <c r="P867" i="26"/>
  <c r="P866" i="26"/>
  <c r="P865" i="26"/>
  <c r="P864" i="26"/>
  <c r="P863" i="26"/>
  <c r="P862" i="26"/>
  <c r="P856" i="26"/>
  <c r="P855" i="26"/>
  <c r="P844" i="26"/>
  <c r="P843" i="26"/>
  <c r="P842" i="26"/>
  <c r="P841" i="26"/>
  <c r="P834" i="26"/>
  <c r="P830" i="26"/>
  <c r="P829" i="26"/>
  <c r="P823" i="26"/>
  <c r="P821" i="26"/>
  <c r="P818" i="26"/>
  <c r="P817" i="26"/>
  <c r="P816" i="26"/>
  <c r="P815" i="26"/>
  <c r="P814" i="26"/>
  <c r="P822" i="26"/>
  <c r="P808" i="26"/>
  <c r="P805" i="26"/>
  <c r="P804" i="26"/>
  <c r="P803" i="26"/>
  <c r="P802" i="26"/>
  <c r="P801" i="26"/>
  <c r="P800" i="26"/>
  <c r="P799" i="26"/>
  <c r="P798" i="26"/>
  <c r="P797" i="26"/>
  <c r="P790" i="26"/>
  <c r="P789" i="26"/>
  <c r="P788" i="26"/>
  <c r="P787" i="26"/>
  <c r="P781" i="26"/>
  <c r="P778" i="26"/>
  <c r="P777" i="26"/>
  <c r="P775" i="26"/>
  <c r="P774" i="26"/>
  <c r="P773" i="26"/>
  <c r="P772" i="26"/>
  <c r="P776" i="26"/>
  <c r="P771" i="26"/>
  <c r="P762" i="26"/>
  <c r="P761" i="26"/>
  <c r="P760" i="26"/>
  <c r="P759" i="26"/>
  <c r="P758" i="26"/>
  <c r="P754" i="26"/>
  <c r="G1979" i="26"/>
  <c r="P746" i="26"/>
  <c r="P745" i="26"/>
  <c r="P744" i="26"/>
  <c r="P743" i="26"/>
  <c r="P738" i="26"/>
  <c r="P737" i="26"/>
  <c r="P736" i="26"/>
  <c r="P735" i="26"/>
  <c r="P734" i="26"/>
  <c r="P733" i="26"/>
  <c r="P732" i="26"/>
  <c r="P731" i="26"/>
  <c r="P730" i="26"/>
  <c r="P729" i="26"/>
  <c r="P728" i="26"/>
  <c r="P727" i="26"/>
  <c r="P726" i="26"/>
  <c r="P725" i="26"/>
  <c r="P724" i="26"/>
  <c r="P723" i="26"/>
  <c r="P722" i="26"/>
  <c r="P721" i="26"/>
  <c r="P720" i="26"/>
  <c r="P719" i="26"/>
  <c r="P718" i="26"/>
  <c r="P717" i="26"/>
  <c r="P716" i="26"/>
  <c r="P715" i="26"/>
  <c r="P714" i="26"/>
  <c r="P713" i="26"/>
  <c r="P712" i="26"/>
  <c r="P711" i="26"/>
  <c r="P710" i="26"/>
  <c r="P709" i="26"/>
  <c r="P708" i="26"/>
  <c r="P707" i="26"/>
  <c r="P706" i="26"/>
  <c r="P705" i="26"/>
  <c r="P704" i="26"/>
  <c r="P703" i="26"/>
  <c r="P698" i="26"/>
  <c r="P697" i="26"/>
  <c r="P696" i="26"/>
  <c r="P695" i="26"/>
  <c r="P694" i="26"/>
  <c r="P693" i="26"/>
  <c r="P692" i="26"/>
  <c r="P691" i="26"/>
  <c r="P690" i="26"/>
  <c r="P688" i="26"/>
  <c r="P687" i="26"/>
  <c r="P686" i="26"/>
  <c r="P685" i="26"/>
  <c r="P684" i="26"/>
  <c r="P679" i="26"/>
  <c r="P678" i="26"/>
  <c r="P677" i="26"/>
  <c r="P676" i="26"/>
  <c r="P675" i="26"/>
  <c r="P674" i="26"/>
  <c r="P673" i="26"/>
  <c r="P672" i="26"/>
  <c r="P671" i="26"/>
  <c r="P670" i="26"/>
  <c r="P669" i="26"/>
  <c r="P668" i="26"/>
  <c r="P663" i="26"/>
  <c r="P654" i="26"/>
  <c r="P653" i="26"/>
  <c r="P652" i="26"/>
  <c r="P651" i="26"/>
  <c r="P650" i="26"/>
  <c r="P649" i="26"/>
  <c r="P648" i="26"/>
  <c r="P647" i="26"/>
  <c r="P646" i="26"/>
  <c r="P636" i="26"/>
  <c r="P635" i="26"/>
  <c r="P634" i="26"/>
  <c r="P633" i="26"/>
  <c r="P632" i="26"/>
  <c r="P631" i="26"/>
  <c r="P625" i="26"/>
  <c r="P629" i="26"/>
  <c r="P628" i="26"/>
  <c r="P584" i="26"/>
  <c r="P627" i="26"/>
  <c r="P626" i="26"/>
  <c r="P624" i="26"/>
  <c r="P619" i="26"/>
  <c r="P618" i="26"/>
  <c r="P617" i="26"/>
  <c r="P616" i="26"/>
  <c r="P615" i="26"/>
  <c r="P614" i="26"/>
  <c r="P613" i="26"/>
  <c r="P612" i="26"/>
  <c r="P606" i="26"/>
  <c r="P605" i="26"/>
  <c r="P604" i="26"/>
  <c r="P600" i="26"/>
  <c r="P597" i="26"/>
  <c r="P596" i="26"/>
  <c r="P593" i="26"/>
  <c r="P592" i="26"/>
  <c r="P586" i="26"/>
  <c r="P585" i="26"/>
  <c r="P582" i="26"/>
  <c r="P583" i="26"/>
  <c r="P566" i="26"/>
  <c r="P565" i="26"/>
  <c r="P564" i="26"/>
  <c r="P563" i="26"/>
  <c r="P562" i="26"/>
  <c r="P561" i="26"/>
  <c r="P560" i="26"/>
  <c r="P559" i="26"/>
  <c r="P553" i="26"/>
  <c r="P552" i="26"/>
  <c r="P551" i="26"/>
  <c r="P550" i="26"/>
  <c r="P549" i="26"/>
  <c r="P547" i="26"/>
  <c r="P546" i="26"/>
  <c r="P545" i="26"/>
  <c r="P538" i="26"/>
  <c r="P537" i="26"/>
  <c r="P536" i="26"/>
  <c r="P535" i="26"/>
  <c r="P534" i="26"/>
  <c r="P533" i="26"/>
  <c r="P532" i="26"/>
  <c r="P531" i="26"/>
  <c r="P530" i="26"/>
  <c r="P522" i="26"/>
  <c r="P529" i="26"/>
  <c r="P528" i="26"/>
  <c r="P527" i="26"/>
  <c r="P526" i="26"/>
  <c r="P525" i="26"/>
  <c r="P524" i="26"/>
  <c r="P523" i="26"/>
  <c r="P521" i="26"/>
  <c r="P520" i="26"/>
  <c r="P519" i="26"/>
  <c r="P518" i="26"/>
  <c r="P508" i="26"/>
  <c r="P506" i="26"/>
  <c r="P505" i="26"/>
  <c r="P504" i="26"/>
  <c r="P494" i="26"/>
  <c r="P493" i="26"/>
  <c r="P492" i="26"/>
  <c r="P491" i="26"/>
  <c r="P484" i="26"/>
  <c r="P483" i="26"/>
  <c r="P482" i="26"/>
  <c r="P481" i="26"/>
  <c r="P480" i="26"/>
  <c r="P474" i="26"/>
  <c r="P471" i="26"/>
  <c r="P466" i="26"/>
  <c r="P470" i="26"/>
  <c r="P469" i="26"/>
  <c r="P468" i="26"/>
  <c r="P467" i="26"/>
  <c r="P465" i="26"/>
  <c r="P460" i="26"/>
  <c r="P456" i="26"/>
  <c r="P442" i="26"/>
  <c r="P440" i="26"/>
  <c r="P441" i="26"/>
  <c r="P439" i="26"/>
  <c r="P438" i="26"/>
  <c r="P433" i="26"/>
  <c r="P432" i="26"/>
  <c r="P431" i="26"/>
  <c r="P430" i="26"/>
  <c r="P428" i="26"/>
  <c r="P427" i="26"/>
  <c r="P422" i="26"/>
  <c r="P421" i="26"/>
  <c r="P420" i="26"/>
  <c r="P415" i="26"/>
  <c r="P414" i="26"/>
  <c r="P413" i="26"/>
  <c r="P411" i="26"/>
  <c r="P412" i="26"/>
  <c r="P410" i="26"/>
  <c r="P405" i="26"/>
  <c r="P404" i="26"/>
  <c r="P403" i="26"/>
  <c r="P402" i="26"/>
  <c r="P401" i="26"/>
  <c r="P400" i="26"/>
  <c r="P399" i="26"/>
  <c r="P398" i="26"/>
  <c r="P397" i="26"/>
  <c r="P396" i="26"/>
  <c r="P395" i="26"/>
  <c r="P389" i="26"/>
  <c r="P388" i="26"/>
  <c r="P387" i="26"/>
  <c r="P386" i="26"/>
  <c r="P385" i="26"/>
  <c r="P384" i="26"/>
  <c r="P383" i="26"/>
  <c r="P378" i="26"/>
  <c r="P377" i="26"/>
  <c r="P376" i="26"/>
  <c r="P375" i="26"/>
  <c r="P374" i="26"/>
  <c r="P373" i="26"/>
  <c r="P372" i="26"/>
  <c r="P371" i="26"/>
  <c r="P370" i="26"/>
  <c r="P369" i="26"/>
  <c r="P368" i="26"/>
  <c r="P367" i="26"/>
  <c r="P366" i="26"/>
  <c r="P360" i="26"/>
  <c r="P359" i="26"/>
  <c r="P358" i="26"/>
  <c r="P357" i="26"/>
  <c r="P429" i="26"/>
  <c r="P356" i="26"/>
  <c r="P355" i="26"/>
  <c r="P349" i="26"/>
  <c r="P347" i="26"/>
  <c r="P346" i="26"/>
  <c r="P345" i="26"/>
  <c r="P344" i="26"/>
  <c r="P343" i="26"/>
  <c r="P342" i="26"/>
  <c r="P341" i="26"/>
  <c r="P340" i="26"/>
  <c r="P339" i="26"/>
  <c r="P331" i="26"/>
  <c r="P330" i="26"/>
  <c r="P321" i="26"/>
  <c r="P320" i="26"/>
  <c r="P319" i="26"/>
  <c r="P318" i="26"/>
  <c r="P308" i="26"/>
  <c r="P307" i="26"/>
  <c r="P299" i="26"/>
  <c r="P298" i="26"/>
  <c r="P297" i="26"/>
  <c r="P296" i="26"/>
  <c r="P291" i="26"/>
  <c r="P290" i="26"/>
  <c r="P289" i="26"/>
  <c r="P288" i="26"/>
  <c r="P287" i="26"/>
  <c r="P280" i="26"/>
  <c r="P279" i="26"/>
  <c r="P273" i="26"/>
  <c r="P272" i="26"/>
  <c r="P264" i="26"/>
  <c r="P263" i="26"/>
  <c r="P262" i="26"/>
  <c r="P261" i="26"/>
  <c r="P260" i="26"/>
  <c r="P259" i="26"/>
  <c r="P258" i="26"/>
  <c r="P257" i="26"/>
  <c r="P256" i="26"/>
  <c r="P251" i="26"/>
  <c r="P252" i="26"/>
  <c r="P255" i="26"/>
  <c r="P250" i="26"/>
  <c r="P254" i="26"/>
  <c r="P253" i="26"/>
  <c r="P249" i="26"/>
  <c r="P248" i="26"/>
  <c r="P247" i="26"/>
  <c r="P242" i="26"/>
  <c r="P241" i="26"/>
  <c r="P232" i="26"/>
  <c r="P231" i="26"/>
  <c r="P230" i="26"/>
  <c r="P224" i="26"/>
  <c r="P223" i="26"/>
  <c r="P222" i="26"/>
  <c r="P221" i="26"/>
  <c r="P220" i="26"/>
  <c r="P214" i="26"/>
  <c r="P213" i="26"/>
  <c r="P212" i="26"/>
  <c r="P211" i="26"/>
  <c r="P210" i="26"/>
  <c r="P205" i="26"/>
  <c r="P204" i="26"/>
  <c r="P203" i="26"/>
  <c r="P202" i="26"/>
  <c r="P201" i="26"/>
  <c r="P196" i="26"/>
  <c r="P195" i="26"/>
  <c r="P185" i="26"/>
  <c r="P184" i="26"/>
  <c r="P179" i="26"/>
  <c r="P178" i="26"/>
  <c r="P177" i="26"/>
  <c r="P172" i="26"/>
  <c r="P171" i="26"/>
  <c r="P170" i="26"/>
  <c r="P169" i="26"/>
  <c r="P168" i="26"/>
  <c r="P167" i="26"/>
  <c r="P161" i="26"/>
  <c r="P149" i="26"/>
  <c r="P145" i="26"/>
  <c r="P139" i="26"/>
  <c r="P131" i="26"/>
  <c r="P137" i="26"/>
  <c r="P134" i="26"/>
  <c r="P133" i="26"/>
  <c r="P132" i="26"/>
  <c r="P129" i="26"/>
  <c r="P124" i="26"/>
  <c r="P119" i="26"/>
  <c r="P110" i="26"/>
  <c r="P118" i="26"/>
  <c r="P111" i="26"/>
  <c r="P112" i="26"/>
  <c r="P144" i="26"/>
  <c r="P109" i="26"/>
  <c r="P104" i="26"/>
  <c r="P103" i="26"/>
  <c r="P102" i="26"/>
  <c r="P99" i="26"/>
  <c r="P98" i="26"/>
  <c r="P97" i="26"/>
  <c r="P79" i="26"/>
  <c r="P77" i="26"/>
  <c r="P75" i="26"/>
  <c r="P74" i="26"/>
  <c r="P73" i="26"/>
  <c r="P68" i="26"/>
  <c r="P67" i="26"/>
  <c r="P66" i="26"/>
  <c r="P65" i="26"/>
  <c r="P64" i="26"/>
  <c r="P55" i="26"/>
  <c r="P52" i="26"/>
  <c r="P51" i="26"/>
  <c r="P50" i="26"/>
  <c r="P49" i="26"/>
  <c r="P48" i="26"/>
  <c r="P47" i="26"/>
  <c r="P41" i="26"/>
  <c r="P40" i="26"/>
  <c r="P39" i="26"/>
  <c r="P38" i="26"/>
  <c r="P37" i="26"/>
  <c r="P31" i="26"/>
  <c r="P28" i="26"/>
  <c r="P27" i="26"/>
  <c r="P26" i="26"/>
  <c r="P25" i="26"/>
  <c r="P24" i="26"/>
  <c r="P23" i="26"/>
  <c r="P22" i="26"/>
  <c r="P19" i="26"/>
  <c r="P18" i="26"/>
  <c r="A18" i="22"/>
  <c r="P17" i="26"/>
  <c r="D17" i="22"/>
  <c r="P16" i="26"/>
  <c r="P15" i="26"/>
  <c r="P14" i="26"/>
  <c r="P13" i="26"/>
  <c r="B1415" i="26"/>
  <c r="B1416" i="26"/>
  <c r="B1417" i="26"/>
  <c r="B1418" i="26"/>
  <c r="B1420" i="26"/>
  <c r="B1421" i="26"/>
  <c r="B1422" i="26"/>
  <c r="B1423" i="26"/>
  <c r="B1424" i="26"/>
  <c r="B1425" i="26"/>
  <c r="B1426" i="26"/>
  <c r="B1427" i="26"/>
  <c r="B1428" i="26"/>
  <c r="B1419" i="26"/>
  <c r="R1796" i="26"/>
  <c r="W1796" i="26"/>
  <c r="R1748" i="26"/>
  <c r="X1748" i="26"/>
  <c r="Y1748" i="26"/>
  <c r="Z1748" i="26"/>
  <c r="AB1748" i="26"/>
  <c r="R1732" i="26"/>
  <c r="X1732" i="26"/>
  <c r="Y1732" i="26"/>
  <c r="Z1732" i="26"/>
  <c r="AB1732" i="26"/>
  <c r="L999" i="26"/>
  <c r="L1898" i="26"/>
  <c r="L1888" i="26"/>
  <c r="L1910" i="26"/>
  <c r="L1929" i="26"/>
  <c r="L1591" i="26"/>
  <c r="L857" i="26"/>
  <c r="L872" i="26"/>
  <c r="L882" i="26"/>
  <c r="L890" i="26"/>
  <c r="L763" i="26"/>
  <c r="R1818" i="26"/>
  <c r="W1818" i="26"/>
  <c r="R1799" i="26"/>
  <c r="W1799" i="26"/>
  <c r="D729" i="26"/>
  <c r="D1451" i="26"/>
  <c r="W1923" i="26"/>
  <c r="X1923" i="26"/>
  <c r="Y1923" i="26"/>
  <c r="Z1923" i="26"/>
  <c r="AB1923" i="26"/>
  <c r="X2079" i="26"/>
  <c r="T2076" i="26"/>
  <c r="X2004" i="26"/>
  <c r="X2002" i="26"/>
  <c r="X1995" i="26"/>
  <c r="X2013" i="26"/>
  <c r="X2074" i="26"/>
  <c r="R1970" i="26"/>
  <c r="X1970" i="26"/>
  <c r="Y1970" i="26"/>
  <c r="Z1970" i="26"/>
  <c r="AB1970" i="26"/>
  <c r="R1963" i="26"/>
  <c r="R1938" i="26"/>
  <c r="X1938" i="26"/>
  <c r="Y1938" i="26"/>
  <c r="Z1938" i="26"/>
  <c r="AB1938" i="26"/>
  <c r="W1924" i="26"/>
  <c r="X1924" i="26"/>
  <c r="Y1924" i="26"/>
  <c r="Z1924" i="26"/>
  <c r="AB1924" i="26"/>
  <c r="R1918" i="26"/>
  <c r="W1918" i="26"/>
  <c r="X1828" i="26"/>
  <c r="R1822" i="26"/>
  <c r="R1821" i="26"/>
  <c r="W1821" i="26"/>
  <c r="X1821" i="26"/>
  <c r="R1820" i="26"/>
  <c r="X1820" i="26"/>
  <c r="R1819" i="26"/>
  <c r="W1819" i="26"/>
  <c r="R1817" i="26"/>
  <c r="W1817" i="26"/>
  <c r="X1817" i="26"/>
  <c r="R1816" i="26"/>
  <c r="R1810" i="26"/>
  <c r="R1809" i="26"/>
  <c r="W1809" i="26"/>
  <c r="R1808" i="26"/>
  <c r="W1808" i="26"/>
  <c r="R1807" i="26"/>
  <c r="W1807" i="26"/>
  <c r="R1806" i="26"/>
  <c r="R1798" i="26"/>
  <c r="R1797" i="26"/>
  <c r="R1795" i="26"/>
  <c r="R1793" i="26"/>
  <c r="R1790" i="26"/>
  <c r="R1789" i="26"/>
  <c r="R1788" i="26"/>
  <c r="X1788" i="26"/>
  <c r="R1781" i="26"/>
  <c r="W1781" i="26"/>
  <c r="R1779" i="26"/>
  <c r="R1778" i="26"/>
  <c r="R1777" i="26"/>
  <c r="R1775" i="26"/>
  <c r="R1774" i="26"/>
  <c r="W1774" i="26"/>
  <c r="R1773" i="26"/>
  <c r="W1771" i="26"/>
  <c r="R1770" i="26"/>
  <c r="W1770" i="26"/>
  <c r="W1767" i="26"/>
  <c r="R1766" i="26"/>
  <c r="R1764" i="26"/>
  <c r="R1763" i="26"/>
  <c r="R1762" i="26"/>
  <c r="R1761" i="26"/>
  <c r="R1755" i="26"/>
  <c r="R1754" i="26"/>
  <c r="R1753" i="26"/>
  <c r="W1753" i="26"/>
  <c r="R1752" i="26"/>
  <c r="W1751" i="26"/>
  <c r="R1750" i="26"/>
  <c r="W1750" i="26"/>
  <c r="R1749" i="26"/>
  <c r="W1749" i="26"/>
  <c r="X1668" i="26"/>
  <c r="X1459" i="26"/>
  <c r="X1458" i="26"/>
  <c r="X1233" i="26"/>
  <c r="X946" i="26"/>
  <c r="X945" i="26"/>
  <c r="Q2072" i="26"/>
  <c r="A13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8" i="25"/>
  <c r="A29" i="25"/>
  <c r="A30" i="25"/>
  <c r="A31" i="25"/>
  <c r="A32" i="25"/>
  <c r="A33" i="25"/>
  <c r="A34" i="25"/>
  <c r="A35" i="25"/>
  <c r="L664" i="26"/>
  <c r="L680" i="26"/>
  <c r="L699" i="26"/>
  <c r="L791" i="26"/>
  <c r="L33" i="26"/>
  <c r="L42" i="26"/>
  <c r="L739" i="26"/>
  <c r="L747" i="26"/>
  <c r="C39" i="24"/>
  <c r="C40" i="24"/>
  <c r="D38" i="24" a="1"/>
  <c r="D38" i="24"/>
  <c r="L1612" i="26"/>
  <c r="L1600" i="26"/>
  <c r="L1627" i="26"/>
  <c r="J4" i="6"/>
  <c r="J5" i="6"/>
  <c r="J6" i="6"/>
  <c r="J7" i="6"/>
  <c r="K4" i="6"/>
  <c r="K5" i="6"/>
  <c r="K6" i="6"/>
  <c r="E7" i="6"/>
  <c r="F7" i="6"/>
  <c r="G7" i="6"/>
  <c r="I7" i="6"/>
  <c r="J10" i="6"/>
  <c r="L10" i="6"/>
  <c r="L16" i="6"/>
  <c r="L18" i="6"/>
  <c r="L21" i="6"/>
  <c r="L23" i="6"/>
  <c r="L25" i="6"/>
  <c r="J18" i="6"/>
  <c r="J23" i="6"/>
  <c r="F38" i="6"/>
  <c r="F47" i="6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D2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H11" i="5"/>
  <c r="K14" i="5"/>
  <c r="K17" i="5"/>
  <c r="K22" i="5"/>
  <c r="K23" i="5"/>
  <c r="K26" i="5"/>
  <c r="K27" i="5"/>
  <c r="K28" i="5"/>
  <c r="K29" i="5"/>
  <c r="K30" i="5"/>
  <c r="K31" i="5"/>
  <c r="K32" i="5"/>
  <c r="K34" i="5"/>
  <c r="K35" i="5"/>
  <c r="K36" i="5"/>
  <c r="K37" i="5"/>
  <c r="K38" i="5"/>
  <c r="K39" i="5"/>
  <c r="K49" i="5"/>
  <c r="K50" i="5"/>
  <c r="K51" i="5"/>
  <c r="K52" i="5"/>
  <c r="K53" i="5"/>
  <c r="K54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3" i="5"/>
  <c r="K74" i="5"/>
  <c r="J96" i="5"/>
  <c r="K96" i="5"/>
  <c r="K97" i="5"/>
  <c r="F5" i="2"/>
  <c r="F6" i="2"/>
  <c r="D8" i="2"/>
  <c r="E8" i="2"/>
  <c r="F8" i="2"/>
  <c r="F9" i="2"/>
  <c r="F10" i="2"/>
  <c r="F11" i="2"/>
  <c r="F12" i="2"/>
  <c r="F14" i="2"/>
  <c r="F15" i="2"/>
  <c r="F16" i="2"/>
  <c r="F17" i="2"/>
  <c r="F18" i="2"/>
  <c r="F19" i="2"/>
  <c r="D20" i="2"/>
  <c r="E20" i="2"/>
  <c r="F22" i="2"/>
  <c r="F23" i="2"/>
  <c r="F24" i="2"/>
  <c r="D25" i="2"/>
  <c r="E25" i="2"/>
  <c r="F25" i="2"/>
  <c r="F26" i="2"/>
  <c r="F27" i="2"/>
  <c r="F28" i="2"/>
  <c r="F29" i="2"/>
  <c r="D30" i="2"/>
  <c r="F31" i="2"/>
  <c r="E32" i="2"/>
  <c r="E30" i="2"/>
  <c r="E33" i="2"/>
  <c r="F34" i="2"/>
  <c r="F35" i="2"/>
  <c r="F36" i="2"/>
  <c r="F37" i="2"/>
  <c r="F38" i="2"/>
  <c r="D39" i="2"/>
  <c r="D33" i="2"/>
  <c r="F40" i="2"/>
  <c r="F41" i="2"/>
  <c r="D43" i="2"/>
  <c r="E43" i="2"/>
  <c r="F43" i="2"/>
  <c r="F44" i="2"/>
  <c r="F46" i="2"/>
  <c r="F47" i="2"/>
  <c r="F48" i="2"/>
  <c r="D49" i="2"/>
  <c r="E49" i="2"/>
  <c r="F50" i="2"/>
  <c r="F51" i="2"/>
  <c r="G4" i="22"/>
  <c r="I4" i="22"/>
  <c r="H6" i="22"/>
  <c r="H7" i="22"/>
  <c r="I8" i="22"/>
  <c r="P17" i="22"/>
  <c r="A19" i="22"/>
  <c r="B161" i="26"/>
  <c r="B1650" i="26"/>
  <c r="B1651" i="26"/>
  <c r="B1652" i="26"/>
  <c r="B1653" i="26"/>
  <c r="B1658" i="26"/>
  <c r="B1659" i="26"/>
  <c r="B1660" i="26"/>
  <c r="B1661" i="26"/>
  <c r="B287" i="26"/>
  <c r="B288" i="26"/>
  <c r="B289" i="26"/>
  <c r="B290" i="26"/>
  <c r="B291" i="26"/>
  <c r="B296" i="26"/>
  <c r="B297" i="26"/>
  <c r="B298" i="26"/>
  <c r="B299" i="26"/>
  <c r="B303" i="26"/>
  <c r="B307" i="26"/>
  <c r="B308" i="26"/>
  <c r="B309" i="26"/>
  <c r="B279" i="26"/>
  <c r="B280" i="26"/>
  <c r="B281" i="26"/>
  <c r="B268" i="26"/>
  <c r="B821" i="26"/>
  <c r="B822" i="26"/>
  <c r="B823" i="26"/>
  <c r="B829" i="26"/>
  <c r="B830" i="26"/>
  <c r="B834" i="26"/>
  <c r="B835" i="26"/>
  <c r="B841" i="26"/>
  <c r="B842" i="26"/>
  <c r="B843" i="26"/>
  <c r="B844" i="26"/>
  <c r="B1486" i="26"/>
  <c r="B1465" i="26"/>
  <c r="B314" i="26"/>
  <c r="B318" i="26"/>
  <c r="B319" i="26"/>
  <c r="B320" i="26"/>
  <c r="B321" i="26"/>
  <c r="B355" i="26"/>
  <c r="B356" i="26"/>
  <c r="B357" i="26"/>
  <c r="B358" i="26"/>
  <c r="B359" i="26"/>
  <c r="B360" i="26"/>
  <c r="B410" i="26"/>
  <c r="B412" i="26"/>
  <c r="B411" i="26"/>
  <c r="B413" i="26"/>
  <c r="B414" i="26"/>
  <c r="B415" i="26"/>
  <c r="B1806" i="26"/>
  <c r="B1807" i="26"/>
  <c r="B1808" i="26"/>
  <c r="B1809" i="26"/>
  <c r="B1810" i="26"/>
  <c r="B491" i="26"/>
  <c r="B492" i="26"/>
  <c r="B493" i="26"/>
  <c r="B494" i="26"/>
  <c r="B559" i="26"/>
  <c r="B560" i="26"/>
  <c r="B561" i="26"/>
  <c r="B562" i="26"/>
  <c r="B563" i="26"/>
  <c r="B564" i="26"/>
  <c r="B565" i="26"/>
  <c r="B566" i="26"/>
  <c r="B743" i="26"/>
  <c r="B744" i="26"/>
  <c r="B745" i="26"/>
  <c r="B746" i="26"/>
  <c r="B1906" i="26"/>
  <c r="B1907" i="26"/>
  <c r="B1908" i="26"/>
  <c r="B1909" i="26"/>
  <c r="L837" i="26"/>
  <c r="L942" i="26"/>
  <c r="B1242" i="26"/>
  <c r="B1243" i="26"/>
  <c r="B1244" i="26"/>
  <c r="B1448" i="26"/>
  <c r="B1449" i="26"/>
  <c r="B1450" i="26"/>
  <c r="B1451" i="26"/>
  <c r="B1594" i="26"/>
  <c r="B1595" i="26"/>
  <c r="B1596" i="26"/>
  <c r="B1597" i="26"/>
  <c r="B1598" i="26"/>
  <c r="B1599" i="26"/>
  <c r="B1606" i="26"/>
  <c r="B1607" i="26"/>
  <c r="B1608" i="26"/>
  <c r="B1609" i="26"/>
  <c r="B1610" i="26"/>
  <c r="B1633" i="26"/>
  <c r="B1634" i="26"/>
  <c r="B1635" i="26"/>
  <c r="B1636" i="26"/>
  <c r="B1637" i="26"/>
  <c r="B1638" i="26"/>
  <c r="B1639" i="26"/>
  <c r="B1640" i="26"/>
  <c r="L1641" i="26"/>
  <c r="L1645" i="26"/>
  <c r="L1654" i="26"/>
  <c r="L1663" i="26"/>
  <c r="B1816" i="26"/>
  <c r="B1817" i="26"/>
  <c r="B1818" i="26"/>
  <c r="B1819" i="26"/>
  <c r="B1820" i="26"/>
  <c r="B1821" i="26"/>
  <c r="B1822" i="26"/>
  <c r="D1918" i="26"/>
  <c r="L1973" i="26"/>
  <c r="D1985" i="26"/>
  <c r="J1985" i="26"/>
  <c r="G10" i="25"/>
  <c r="H12" i="25"/>
  <c r="H13" i="25"/>
  <c r="H14" i="25"/>
  <c r="G15" i="25"/>
  <c r="H15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G65" i="25"/>
  <c r="K65" i="25"/>
  <c r="L96" i="5"/>
  <c r="L97" i="5"/>
  <c r="F39" i="2"/>
  <c r="J97" i="5"/>
  <c r="P18" i="22"/>
  <c r="B970" i="26"/>
  <c r="B971" i="26"/>
  <c r="B1439" i="26"/>
  <c r="B1440" i="26"/>
  <c r="B1441" i="26"/>
  <c r="B1442" i="26"/>
  <c r="B1443" i="26"/>
  <c r="B1444" i="26"/>
  <c r="B1396" i="26"/>
  <c r="B1397" i="26"/>
  <c r="B1398" i="26"/>
  <c r="B1399" i="26"/>
  <c r="B1400" i="26"/>
  <c r="B1401" i="26"/>
  <c r="B1402" i="26"/>
  <c r="B1403" i="26"/>
  <c r="B1404" i="26"/>
  <c r="B1320" i="26"/>
  <c r="B1321" i="26"/>
  <c r="B1322" i="26"/>
  <c r="B1323" i="26"/>
  <c r="B1324" i="26"/>
  <c r="B1325" i="26"/>
  <c r="B1326" i="26"/>
  <c r="B1327" i="26"/>
  <c r="B1328" i="26"/>
  <c r="B1329" i="26"/>
  <c r="B1315" i="26"/>
  <c r="F33" i="2"/>
  <c r="K7" i="6"/>
  <c r="F49" i="2"/>
  <c r="C41" i="24"/>
  <c r="C42" i="24"/>
  <c r="C43" i="24"/>
  <c r="D42" i="24" a="1"/>
  <c r="D42" i="24"/>
  <c r="D39" i="24" a="1"/>
  <c r="D39" i="24"/>
  <c r="A20" i="22"/>
  <c r="P19" i="22"/>
  <c r="F32" i="2"/>
  <c r="E52" i="2"/>
  <c r="H17" i="25"/>
  <c r="H4" i="22"/>
  <c r="J21" i="6"/>
  <c r="J25" i="6"/>
  <c r="F20" i="2"/>
  <c r="D40" i="24" a="1"/>
  <c r="D40" i="24"/>
  <c r="K95" i="5"/>
  <c r="F30" i="2"/>
  <c r="F52" i="2"/>
  <c r="D52" i="2"/>
  <c r="H19" i="25"/>
  <c r="B978" i="26"/>
  <c r="B979" i="26"/>
  <c r="B980" i="26"/>
  <c r="B781" i="26"/>
  <c r="B787" i="26"/>
  <c r="B788" i="26"/>
  <c r="B789" i="26"/>
  <c r="B790" i="26"/>
  <c r="B797" i="26"/>
  <c r="B798" i="26"/>
  <c r="B799" i="26"/>
  <c r="B800" i="26"/>
  <c r="B801" i="26"/>
  <c r="B802" i="26"/>
  <c r="B803" i="26"/>
  <c r="B804" i="26"/>
  <c r="B805" i="26"/>
  <c r="B808" i="26"/>
  <c r="B438" i="26"/>
  <c r="B439" i="26"/>
  <c r="B441" i="26"/>
  <c r="B440" i="26"/>
  <c r="B442" i="26"/>
  <c r="B395" i="26"/>
  <c r="B396" i="26"/>
  <c r="B397" i="26"/>
  <c r="B398" i="26"/>
  <c r="B399" i="26"/>
  <c r="B400" i="26"/>
  <c r="B401" i="26"/>
  <c r="B402" i="26"/>
  <c r="B403" i="26"/>
  <c r="B404" i="26"/>
  <c r="B405" i="26"/>
  <c r="B330" i="26"/>
  <c r="B331" i="26"/>
  <c r="D41" i="24" a="1"/>
  <c r="D41" i="24"/>
  <c r="P20" i="22"/>
  <c r="A21" i="22"/>
  <c r="H59" i="25"/>
  <c r="H51" i="25"/>
  <c r="H43" i="25"/>
  <c r="H35" i="25"/>
  <c r="H27" i="25"/>
  <c r="I11" i="25"/>
  <c r="H60" i="25"/>
  <c r="H52" i="25"/>
  <c r="H44" i="25"/>
  <c r="H36" i="25"/>
  <c r="H28" i="25"/>
  <c r="H57" i="25"/>
  <c r="H49" i="25"/>
  <c r="H41" i="25"/>
  <c r="H33" i="25"/>
  <c r="H25" i="25"/>
  <c r="H21" i="25"/>
  <c r="H58" i="25"/>
  <c r="H50" i="25"/>
  <c r="H42" i="25"/>
  <c r="H34" i="25"/>
  <c r="H26" i="25"/>
  <c r="H63" i="25"/>
  <c r="H55" i="25"/>
  <c r="H47" i="25"/>
  <c r="H39" i="25"/>
  <c r="H31" i="25"/>
  <c r="H23" i="25"/>
  <c r="H64" i="25"/>
  <c r="H56" i="25"/>
  <c r="H48" i="25"/>
  <c r="H40" i="25"/>
  <c r="H32" i="25"/>
  <c r="H24" i="25"/>
  <c r="H53" i="25"/>
  <c r="L19" i="25"/>
  <c r="H38" i="25"/>
  <c r="H45" i="25"/>
  <c r="H62" i="25"/>
  <c r="H30" i="25"/>
  <c r="H37" i="25"/>
  <c r="H54" i="25"/>
  <c r="H22" i="25"/>
  <c r="H61" i="25"/>
  <c r="H29" i="25"/>
  <c r="H46" i="25"/>
  <c r="C44" i="24"/>
  <c r="D43" i="24" a="1"/>
  <c r="D43" i="24"/>
  <c r="A22" i="22"/>
  <c r="P21" i="22"/>
  <c r="H65" i="25"/>
  <c r="I65" i="25"/>
  <c r="C45" i="24"/>
  <c r="D44" i="24" a="1"/>
  <c r="D44" i="24"/>
  <c r="L62" i="25"/>
  <c r="L54" i="25"/>
  <c r="L46" i="25"/>
  <c r="L38" i="25"/>
  <c r="L30" i="25"/>
  <c r="L22" i="25"/>
  <c r="L61" i="25"/>
  <c r="L53" i="25"/>
  <c r="L45" i="25"/>
  <c r="L37" i="25"/>
  <c r="L29" i="25"/>
  <c r="L60" i="25"/>
  <c r="L52" i="25"/>
  <c r="L44" i="25"/>
  <c r="L36" i="25"/>
  <c r="L28" i="25"/>
  <c r="L21" i="25"/>
  <c r="L59" i="25"/>
  <c r="L51" i="25"/>
  <c r="L43" i="25"/>
  <c r="L35" i="25"/>
  <c r="L27" i="25"/>
  <c r="L58" i="25"/>
  <c r="L50" i="25"/>
  <c r="L42" i="25"/>
  <c r="L34" i="25"/>
  <c r="L26" i="25"/>
  <c r="L20" i="25"/>
  <c r="L57" i="25"/>
  <c r="L49" i="25"/>
  <c r="L41" i="25"/>
  <c r="L33" i="25"/>
  <c r="L25" i="25"/>
  <c r="L64" i="25"/>
  <c r="L56" i="25"/>
  <c r="L48" i="25"/>
  <c r="L40" i="25"/>
  <c r="L32" i="25"/>
  <c r="L24" i="25"/>
  <c r="L63" i="25"/>
  <c r="L55" i="25"/>
  <c r="L47" i="25"/>
  <c r="L39" i="25"/>
  <c r="L31" i="25"/>
  <c r="L23" i="25"/>
  <c r="M23" i="25"/>
  <c r="A23" i="22"/>
  <c r="P22" i="22"/>
  <c r="C46" i="24"/>
  <c r="D45" i="24" a="1"/>
  <c r="D45" i="24"/>
  <c r="M20" i="25"/>
  <c r="M14" i="25"/>
  <c r="L65" i="25"/>
  <c r="M65" i="25"/>
  <c r="A24" i="22"/>
  <c r="P23" i="22"/>
  <c r="C47" i="24"/>
  <c r="D46" i="24" a="1"/>
  <c r="D46" i="24"/>
  <c r="A25" i="22"/>
  <c r="P24" i="22"/>
  <c r="C48" i="24"/>
  <c r="D47" i="24" a="1"/>
  <c r="D47" i="24"/>
  <c r="A26" i="22"/>
  <c r="P25" i="22"/>
  <c r="C49" i="24"/>
  <c r="D48" i="24" a="1"/>
  <c r="D48" i="24"/>
  <c r="A27" i="22"/>
  <c r="P26" i="22"/>
  <c r="C50" i="24"/>
  <c r="D49" i="24" a="1"/>
  <c r="D49" i="24"/>
  <c r="A28" i="22"/>
  <c r="P27" i="22"/>
  <c r="C51" i="24"/>
  <c r="D50" i="24" a="1"/>
  <c r="D50" i="24"/>
  <c r="A29" i="22"/>
  <c r="P28" i="22"/>
  <c r="C52" i="24"/>
  <c r="D51" i="24" a="1"/>
  <c r="D51" i="24"/>
  <c r="A30" i="22"/>
  <c r="P29" i="22"/>
  <c r="C53" i="24"/>
  <c r="D52" i="24" a="1"/>
  <c r="D52" i="24"/>
  <c r="A31" i="22"/>
  <c r="P31" i="22"/>
  <c r="Q31" i="22"/>
  <c r="P30" i="22"/>
  <c r="C54" i="24"/>
  <c r="D53" i="24" a="1"/>
  <c r="D53" i="24"/>
  <c r="C55" i="24"/>
  <c r="D54" i="24" a="1"/>
  <c r="D54" i="24"/>
  <c r="C56" i="24"/>
  <c r="D55" i="24" a="1"/>
  <c r="D55" i="24"/>
  <c r="C57" i="24"/>
  <c r="D56" i="24" a="1"/>
  <c r="D56" i="24"/>
  <c r="C58" i="24"/>
  <c r="D57" i="24" a="1"/>
  <c r="D57" i="24"/>
  <c r="C59" i="24"/>
  <c r="D58" i="24" a="1"/>
  <c r="D58" i="24"/>
  <c r="C60" i="24"/>
  <c r="D59" i="24" a="1"/>
  <c r="D59" i="24"/>
  <c r="C61" i="24"/>
  <c r="D60" i="24" a="1"/>
  <c r="D60" i="24"/>
  <c r="C62" i="24"/>
  <c r="D61" i="24" a="1"/>
  <c r="D61" i="24"/>
  <c r="C63" i="24"/>
  <c r="D62" i="24" a="1"/>
  <c r="D62" i="24"/>
  <c r="C64" i="24"/>
  <c r="D63" i="24" a="1"/>
  <c r="D63" i="24"/>
  <c r="C65" i="24"/>
  <c r="D64" i="24" a="1"/>
  <c r="D64" i="24"/>
  <c r="C66" i="24"/>
  <c r="D65" i="24" a="1"/>
  <c r="D65" i="24"/>
  <c r="C67" i="24"/>
  <c r="D66" i="24" a="1"/>
  <c r="D66" i="24"/>
  <c r="C68" i="24"/>
  <c r="D67" i="24" a="1"/>
  <c r="D67" i="24"/>
  <c r="C69" i="24"/>
  <c r="D68" i="24" a="1"/>
  <c r="D68" i="24"/>
  <c r="C70" i="24"/>
  <c r="D69" i="24" a="1"/>
  <c r="D69" i="24"/>
  <c r="C71" i="24"/>
  <c r="D70" i="24" a="1"/>
  <c r="D70" i="24"/>
  <c r="C72" i="24"/>
  <c r="D71" i="24" a="1"/>
  <c r="D71" i="24"/>
  <c r="C73" i="24"/>
  <c r="D72" i="24" a="1"/>
  <c r="D72" i="24"/>
  <c r="C74" i="24"/>
  <c r="D73" i="24" a="1"/>
  <c r="D73" i="24"/>
  <c r="C75" i="24"/>
  <c r="D74" i="24" a="1"/>
  <c r="D74" i="24"/>
  <c r="C76" i="24"/>
  <c r="D75" i="24" a="1"/>
  <c r="D75" i="24"/>
  <c r="C77" i="24"/>
  <c r="D77" i="24" a="1"/>
  <c r="D77" i="24"/>
  <c r="D76" i="24" a="1"/>
  <c r="D76" i="24"/>
  <c r="AA153" i="26"/>
  <c r="AA456" i="26"/>
  <c r="AA460" i="26"/>
  <c r="AA151" i="26"/>
  <c r="AA307" i="26"/>
  <c r="X1780" i="26"/>
  <c r="Y1780" i="26"/>
  <c r="X1772" i="26"/>
  <c r="X1776" i="26"/>
  <c r="Y1776" i="26"/>
  <c r="X1768" i="26"/>
  <c r="Y1768" i="26"/>
  <c r="Y1820" i="26"/>
  <c r="Z1820" i="26"/>
  <c r="AB1820" i="26"/>
  <c r="X1794" i="26"/>
  <c r="Y1788" i="26"/>
  <c r="Z1788" i="26"/>
  <c r="AB1788" i="26"/>
  <c r="Y1821" i="26"/>
  <c r="Z1821" i="26"/>
  <c r="AB1821" i="26"/>
  <c r="X1791" i="26"/>
  <c r="Y1791" i="26"/>
  <c r="Y1817" i="26"/>
  <c r="Z1817" i="26"/>
  <c r="AB1817" i="26"/>
  <c r="X1769" i="26"/>
  <c r="Y1769" i="26"/>
  <c r="AA161" i="26"/>
  <c r="AB161" i="26"/>
  <c r="E87" i="30"/>
  <c r="L1614" i="26"/>
  <c r="E18" i="30"/>
  <c r="K1162" i="26"/>
  <c r="L1162" i="26"/>
  <c r="L1020" i="26"/>
  <c r="AA1676" i="26"/>
  <c r="AB1676" i="26"/>
  <c r="L311" i="26"/>
  <c r="B17" i="22"/>
  <c r="B32" i="22"/>
  <c r="AB1596" i="26"/>
  <c r="X1959" i="26"/>
  <c r="Y1959" i="26"/>
  <c r="Z1959" i="26"/>
  <c r="AB1959" i="26"/>
  <c r="AB1486" i="26"/>
  <c r="B1938" i="26"/>
  <c r="B1939" i="26"/>
  <c r="B1940" i="26"/>
  <c r="B1941" i="26"/>
  <c r="B1942" i="26"/>
  <c r="B1943" i="26"/>
  <c r="B1944" i="26"/>
  <c r="B1945" i="26"/>
  <c r="B1946" i="26"/>
  <c r="B1947" i="26"/>
  <c r="B1948" i="26"/>
  <c r="B1949" i="26"/>
  <c r="B1950" i="26"/>
  <c r="B1951" i="26"/>
  <c r="B1952" i="26"/>
  <c r="B1953" i="26"/>
  <c r="B1954" i="26"/>
  <c r="B1955" i="26"/>
  <c r="B1956" i="26"/>
  <c r="B1957" i="26"/>
  <c r="B1958" i="26"/>
  <c r="B1959" i="26"/>
  <c r="B1960" i="26"/>
  <c r="B1961" i="26"/>
  <c r="B1962" i="26"/>
  <c r="B1963" i="26"/>
  <c r="B1964" i="26"/>
  <c r="B1965" i="26"/>
  <c r="B1966" i="26"/>
  <c r="B1967" i="26"/>
  <c r="B1968" i="26"/>
  <c r="B1969" i="26"/>
  <c r="B1970" i="26"/>
  <c r="B1971" i="26"/>
  <c r="B1972" i="26"/>
  <c r="B1530" i="26"/>
  <c r="B1531" i="26"/>
  <c r="B1532" i="26"/>
  <c r="AB1402" i="26"/>
  <c r="AB1474" i="26"/>
  <c r="AB1522" i="26"/>
  <c r="AB1531" i="26"/>
  <c r="AB1549" i="26"/>
  <c r="AB1651" i="26"/>
  <c r="B1133" i="26"/>
  <c r="B1134" i="26"/>
  <c r="B1135" i="26"/>
  <c r="B1136" i="26"/>
  <c r="B1137" i="26"/>
  <c r="B1139" i="26"/>
  <c r="B1138" i="26"/>
  <c r="B1089" i="26"/>
  <c r="B1090" i="26"/>
  <c r="B1091" i="26"/>
  <c r="B688" i="26"/>
  <c r="B689" i="26"/>
  <c r="B690" i="26"/>
  <c r="B691" i="26"/>
  <c r="B692" i="26"/>
  <c r="B693" i="26"/>
  <c r="B694" i="26"/>
  <c r="B695" i="26"/>
  <c r="B696" i="26"/>
  <c r="B697" i="26"/>
  <c r="B698" i="26"/>
  <c r="X1754" i="26"/>
  <c r="Y1897" i="26"/>
  <c r="Z1897" i="26"/>
  <c r="AB1897" i="26"/>
  <c r="X1918" i="26"/>
  <c r="Y1918" i="26"/>
  <c r="Z1918" i="26"/>
  <c r="AB1918" i="26"/>
  <c r="L362" i="26"/>
  <c r="L235" i="26"/>
  <c r="AB307" i="26"/>
  <c r="X1796" i="26"/>
  <c r="Y1796" i="26"/>
  <c r="Z1962" i="26"/>
  <c r="AB1962" i="26"/>
  <c r="AB1349" i="26"/>
  <c r="AB1516" i="26"/>
  <c r="Y1906" i="26"/>
  <c r="Z1906" i="26"/>
  <c r="AB1906" i="26"/>
  <c r="AH2064" i="26"/>
  <c r="AS8" i="26"/>
  <c r="AK2064" i="26"/>
  <c r="B346" i="26"/>
  <c r="B347" i="26"/>
  <c r="B348" i="26"/>
  <c r="B349" i="26"/>
  <c r="B350" i="26"/>
  <c r="AB1358" i="26"/>
  <c r="AB1361" i="26"/>
  <c r="AB1362" i="26"/>
  <c r="AB1366" i="26"/>
  <c r="AB1372" i="26"/>
  <c r="AB1373" i="26"/>
  <c r="AB1375" i="26"/>
  <c r="AB1376" i="26"/>
  <c r="AB1391" i="26"/>
  <c r="AB1398" i="26"/>
  <c r="AB1409" i="26"/>
  <c r="AB1410" i="26"/>
  <c r="AB1420" i="26"/>
  <c r="AB1423" i="26"/>
  <c r="AB1427" i="26"/>
  <c r="AB1428" i="26"/>
  <c r="AB1441" i="26"/>
  <c r="AB1451" i="26"/>
  <c r="AB1472" i="26"/>
  <c r="AB1473" i="26"/>
  <c r="AB1475" i="26"/>
  <c r="AB1476" i="26"/>
  <c r="AB1478" i="26"/>
  <c r="AB1479" i="26"/>
  <c r="AB1481" i="26"/>
  <c r="AB1482" i="26"/>
  <c r="AB1483" i="26"/>
  <c r="AB1503" i="26"/>
  <c r="AB1505" i="26"/>
  <c r="AB1506" i="26"/>
  <c r="AB1520" i="26"/>
  <c r="AB1521" i="26"/>
  <c r="AB1523" i="26"/>
  <c r="AB1524" i="26"/>
  <c r="AB1525" i="26"/>
  <c r="AB1526" i="26"/>
  <c r="AB1527" i="26"/>
  <c r="AB1528" i="26"/>
  <c r="AB1529" i="26"/>
  <c r="AB1532" i="26"/>
  <c r="AB1534" i="26"/>
  <c r="AB1535" i="26"/>
  <c r="AB1536" i="26"/>
  <c r="AB1538" i="26"/>
  <c r="AB1539" i="26"/>
  <c r="AB1540" i="26"/>
  <c r="AB1541" i="26"/>
  <c r="AB1542" i="26"/>
  <c r="AB1543" i="26"/>
  <c r="AB1544" i="26"/>
  <c r="AB1545" i="26"/>
  <c r="AB1550" i="26"/>
  <c r="AB1559" i="26"/>
  <c r="AB1560" i="26"/>
  <c r="AB1563" i="26"/>
  <c r="AB1565" i="26"/>
  <c r="AB1568" i="26"/>
  <c r="AB1575" i="26"/>
  <c r="AB1576" i="26"/>
  <c r="AB1589" i="26"/>
  <c r="AB1590" i="26"/>
  <c r="AB1597" i="26"/>
  <c r="AB1609" i="26"/>
  <c r="AB1621" i="26"/>
  <c r="AB1635" i="26"/>
  <c r="AB1637" i="26"/>
  <c r="AB1638" i="26"/>
  <c r="AB1653" i="26"/>
  <c r="AB1658" i="26"/>
  <c r="AB1659" i="26"/>
  <c r="AA1674" i="26"/>
  <c r="AA1675" i="26"/>
  <c r="AA1677" i="26"/>
  <c r="AB1686" i="26"/>
  <c r="AB1690" i="26"/>
  <c r="AB1695" i="26"/>
  <c r="AB1697" i="26"/>
  <c r="AB1702" i="26"/>
  <c r="AB1712" i="26"/>
  <c r="AB1714" i="26"/>
  <c r="AB1717" i="26"/>
  <c r="AB1719" i="26"/>
  <c r="AB1720" i="26"/>
  <c r="Y1907" i="26"/>
  <c r="Z1907" i="26"/>
  <c r="AB1907" i="26"/>
  <c r="X1799" i="26"/>
  <c r="X1944" i="26"/>
  <c r="Y1944" i="26"/>
  <c r="Z1944" i="26"/>
  <c r="AB1944" i="26"/>
  <c r="X1751" i="26"/>
  <c r="X1764" i="26"/>
  <c r="Y1764" i="26"/>
  <c r="Z1764" i="26"/>
  <c r="AB1764" i="26"/>
  <c r="Y1939" i="26"/>
  <c r="Z1939" i="26"/>
  <c r="AB1939" i="26"/>
  <c r="X1755" i="26"/>
  <c r="X1810" i="26"/>
  <c r="Y1810" i="26"/>
  <c r="Z1810" i="26"/>
  <c r="AB1810" i="26"/>
  <c r="AB980" i="26"/>
  <c r="X1887" i="26"/>
  <c r="Y1887" i="26"/>
  <c r="Z1887" i="26"/>
  <c r="AB1887" i="26"/>
  <c r="X1795" i="26"/>
  <c r="Y1795" i="26"/>
  <c r="L447" i="26"/>
  <c r="K1664" i="26"/>
  <c r="K1510" i="26"/>
  <c r="K1199" i="26"/>
  <c r="B148" i="26"/>
  <c r="B149" i="26"/>
  <c r="B150" i="26"/>
  <c r="B151" i="26"/>
  <c r="B152" i="26"/>
  <c r="B153" i="26"/>
  <c r="Z1742" i="26"/>
  <c r="AB1742" i="26"/>
  <c r="Y1877" i="26"/>
  <c r="Z1877" i="26"/>
  <c r="X1793" i="26"/>
  <c r="X1762" i="26"/>
  <c r="Y1762" i="26"/>
  <c r="Z1762" i="26"/>
  <c r="AB1762" i="26"/>
  <c r="X1963" i="26"/>
  <c r="Y1963" i="26"/>
  <c r="Z1963" i="26"/>
  <c r="AB1963" i="26"/>
  <c r="AN8" i="26"/>
  <c r="AJ8" i="26"/>
  <c r="X1819" i="26"/>
  <c r="L1199" i="26"/>
  <c r="L640" i="26"/>
  <c r="L216" i="26"/>
  <c r="K1824" i="26"/>
  <c r="X1809" i="26"/>
  <c r="Y1809" i="26"/>
  <c r="Z1809" i="26"/>
  <c r="AB1809" i="26"/>
  <c r="Y1915" i="26"/>
  <c r="Z1915" i="26"/>
  <c r="X1775" i="26"/>
  <c r="Y1775" i="26"/>
  <c r="L1226" i="26"/>
  <c r="K749" i="26"/>
  <c r="X1753" i="26"/>
  <c r="X1767" i="26"/>
  <c r="Y1767" i="26"/>
  <c r="K1226" i="26"/>
  <c r="AA28" i="26"/>
  <c r="AB28" i="26"/>
  <c r="AA31" i="26"/>
  <c r="AB31" i="26"/>
  <c r="AA47" i="26"/>
  <c r="AA109" i="26"/>
  <c r="AA303" i="26"/>
  <c r="AB303" i="26"/>
  <c r="AA387" i="26"/>
  <c r="AB460" i="26"/>
  <c r="AA467" i="26"/>
  <c r="AA538" i="26"/>
  <c r="AA677" i="26"/>
  <c r="AA754" i="26"/>
  <c r="AB766" i="26"/>
  <c r="AA907" i="26"/>
  <c r="AA940" i="26"/>
  <c r="AA952" i="26"/>
  <c r="AB952" i="26"/>
  <c r="AA1028" i="26"/>
  <c r="AA1059" i="26"/>
  <c r="AB1059" i="26"/>
  <c r="AA1070" i="26"/>
  <c r="AA1080" i="26"/>
  <c r="AA1115" i="26"/>
  <c r="AB1115" i="26"/>
  <c r="AA1125" i="26"/>
  <c r="AA1150" i="26"/>
  <c r="AB1150" i="26"/>
  <c r="AA1187" i="26"/>
  <c r="AB1187" i="26"/>
  <c r="AA1220" i="26"/>
  <c r="AB1264" i="26"/>
  <c r="AB1315" i="26"/>
  <c r="AG8" i="26"/>
  <c r="B114" i="26"/>
  <c r="B115" i="26"/>
  <c r="B116" i="26"/>
  <c r="B117" i="26"/>
  <c r="B118" i="26"/>
  <c r="B119" i="26"/>
  <c r="Y1952" i="26"/>
  <c r="Z1952" i="26"/>
  <c r="AB1952" i="26"/>
  <c r="X1964" i="26"/>
  <c r="Y1964" i="26"/>
  <c r="Z1964" i="26"/>
  <c r="AB1964" i="26"/>
  <c r="X1908" i="26"/>
  <c r="Y1908" i="26"/>
  <c r="Z1908" i="26"/>
  <c r="AB1908" i="26"/>
  <c r="Y1960" i="26"/>
  <c r="Z1960" i="26"/>
  <c r="AB1960" i="26"/>
  <c r="X1749" i="26"/>
  <c r="Y1749" i="26"/>
  <c r="X1792" i="26"/>
  <c r="Y1945" i="26"/>
  <c r="Z1945" i="26"/>
  <c r="AB1945" i="26"/>
  <c r="K847" i="26"/>
  <c r="K849" i="26"/>
  <c r="L1434" i="26"/>
  <c r="Y1747" i="26"/>
  <c r="Z1747" i="26"/>
  <c r="X1777" i="26"/>
  <c r="Y1777" i="26"/>
  <c r="K1724" i="26"/>
  <c r="X1740" i="26"/>
  <c r="Y1740" i="26"/>
  <c r="Z1740" i="26"/>
  <c r="AB1740" i="26"/>
  <c r="X1816" i="26"/>
  <c r="Y1816" i="26"/>
  <c r="Z1816" i="26"/>
  <c r="AB1816" i="26"/>
  <c r="L891" i="26"/>
  <c r="L913" i="26"/>
  <c r="X1808" i="26"/>
  <c r="Y1808" i="26"/>
  <c r="Z1808" i="26"/>
  <c r="AB1808" i="26"/>
  <c r="L1664" i="26"/>
  <c r="X1790" i="26"/>
  <c r="X1798" i="26"/>
  <c r="L156" i="26"/>
  <c r="K1901" i="26"/>
  <c r="K1291" i="26"/>
  <c r="K640" i="26"/>
  <c r="X1750" i="26"/>
  <c r="Y1750" i="26"/>
  <c r="X1781" i="26"/>
  <c r="X1752" i="26"/>
  <c r="X1761" i="26"/>
  <c r="Y1761" i="26"/>
  <c r="X1773" i="26"/>
  <c r="Y1773" i="26"/>
  <c r="X1806" i="26"/>
  <c r="Y1806" i="26"/>
  <c r="Z1806" i="26"/>
  <c r="AB1806" i="26"/>
  <c r="K1975" i="26"/>
  <c r="K1434" i="26"/>
  <c r="K891" i="26"/>
  <c r="K913" i="26"/>
  <c r="K391" i="26"/>
  <c r="X1797" i="26"/>
  <c r="X1789" i="26"/>
  <c r="L1510" i="26"/>
  <c r="X1766" i="26"/>
  <c r="Y1766" i="26"/>
  <c r="Z1766" i="26"/>
  <c r="AB1766" i="26"/>
  <c r="X1778" i="26"/>
  <c r="Y1778" i="26"/>
  <c r="Z1968" i="26"/>
  <c r="AB1968" i="26"/>
  <c r="X1961" i="26"/>
  <c r="Y1961" i="26"/>
  <c r="Z1961" i="26"/>
  <c r="AB1961" i="26"/>
  <c r="X1941" i="26"/>
  <c r="Y1941" i="26"/>
  <c r="Z1941" i="26"/>
  <c r="AB1941" i="26"/>
  <c r="Z1935" i="26"/>
  <c r="AB1935" i="26"/>
  <c r="X1770" i="26"/>
  <c r="Y1770" i="26"/>
  <c r="X1774" i="26"/>
  <c r="X1894" i="26"/>
  <c r="Y1894" i="26"/>
  <c r="Z1894" i="26"/>
  <c r="AB1894" i="26"/>
  <c r="Y1881" i="26"/>
  <c r="Z1881" i="26"/>
  <c r="AB1881" i="26"/>
  <c r="X1733" i="26"/>
  <c r="Y1733" i="26"/>
  <c r="Z1733" i="26"/>
  <c r="AB1733" i="26"/>
  <c r="K447" i="26"/>
  <c r="X1807" i="26"/>
  <c r="Y1807" i="26"/>
  <c r="Z1807" i="26"/>
  <c r="AB1807" i="26"/>
  <c r="X1779" i="26"/>
  <c r="X1771" i="26"/>
  <c r="M1705" i="26"/>
  <c r="L1382" i="26"/>
  <c r="L1384" i="26"/>
  <c r="L1291" i="26"/>
  <c r="K311" i="26"/>
  <c r="K324" i="26"/>
  <c r="K189" i="26"/>
  <c r="L847" i="26"/>
  <c r="L849" i="26"/>
  <c r="X1763" i="26"/>
  <c r="Y1763" i="26"/>
  <c r="Z1763" i="26"/>
  <c r="AB1763" i="26"/>
  <c r="L1901" i="26"/>
  <c r="L391" i="26"/>
  <c r="L275" i="26"/>
  <c r="L187" i="26"/>
  <c r="L189" i="26"/>
  <c r="K568" i="26"/>
  <c r="K575" i="26"/>
  <c r="K497" i="26"/>
  <c r="K216" i="26"/>
  <c r="K236" i="26"/>
  <c r="AI8" i="26"/>
  <c r="AA693" i="26"/>
  <c r="AA743" i="26"/>
  <c r="AB776" i="26"/>
  <c r="AA881" i="26"/>
  <c r="AA895" i="26"/>
  <c r="AB895" i="26"/>
  <c r="AA924" i="26"/>
  <c r="AA929" i="26"/>
  <c r="AB961" i="26"/>
  <c r="AB995" i="26"/>
  <c r="AA1052" i="26"/>
  <c r="AA1073" i="26"/>
  <c r="AA1078" i="26"/>
  <c r="AB1078" i="26"/>
  <c r="AA1088" i="26"/>
  <c r="AA1096" i="26"/>
  <c r="AA1112" i="26"/>
  <c r="AA1131" i="26"/>
  <c r="AB1131" i="26"/>
  <c r="AA1148" i="26"/>
  <c r="AB1148" i="26"/>
  <c r="AA1156" i="26"/>
  <c r="AB1156" i="26"/>
  <c r="AA1158" i="26"/>
  <c r="AB1158" i="26"/>
  <c r="AA1176" i="26"/>
  <c r="AA1177" i="26"/>
  <c r="AB1177" i="26"/>
  <c r="AA1185" i="26"/>
  <c r="AB1185" i="26"/>
  <c r="AA1196" i="26"/>
  <c r="AA1206" i="26"/>
  <c r="AA1210" i="26"/>
  <c r="AA1216" i="26"/>
  <c r="AA1222" i="26"/>
  <c r="AB1252" i="26"/>
  <c r="AB1273" i="26"/>
  <c r="AB1283" i="26"/>
  <c r="AB1298" i="26"/>
  <c r="AA230" i="26"/>
  <c r="AI2064" i="26"/>
  <c r="AG2064" i="26"/>
  <c r="Y1916" i="26"/>
  <c r="Z1916" i="26"/>
  <c r="AB1916" i="26"/>
  <c r="AA222" i="26"/>
  <c r="AA268" i="26"/>
  <c r="AB268" i="26"/>
  <c r="AA287" i="26"/>
  <c r="AA297" i="26"/>
  <c r="AA314" i="26"/>
  <c r="AB314" i="26"/>
  <c r="AA335" i="26"/>
  <c r="AB335" i="26"/>
  <c r="AA346" i="26"/>
  <c r="L749" i="26"/>
  <c r="AO8" i="26"/>
  <c r="AO2064" i="26"/>
  <c r="AA401" i="26"/>
  <c r="AA529" i="26"/>
  <c r="AB611" i="26"/>
  <c r="AA651" i="26"/>
  <c r="AE8" i="26"/>
  <c r="X1818" i="26"/>
  <c r="B772" i="26"/>
  <c r="B773" i="26"/>
  <c r="B774" i="26"/>
  <c r="B775" i="26"/>
  <c r="B776" i="26"/>
  <c r="B777" i="26"/>
  <c r="B778" i="26"/>
  <c r="AA79" i="26"/>
  <c r="AA144" i="26"/>
  <c r="W1822" i="26"/>
  <c r="X1822" i="26"/>
  <c r="Y1822" i="26"/>
  <c r="L1975" i="26"/>
  <c r="AA712" i="26"/>
  <c r="AA726" i="26"/>
  <c r="AB761" i="26"/>
  <c r="AA865" i="26"/>
  <c r="AB865" i="26"/>
  <c r="AA900" i="26"/>
  <c r="AA934" i="26"/>
  <c r="AB967" i="26"/>
  <c r="AA1041" i="26"/>
  <c r="AB1041" i="26"/>
  <c r="AA1060" i="26"/>
  <c r="AB1060" i="26"/>
  <c r="AA1074" i="26"/>
  <c r="AB1074" i="26"/>
  <c r="AA1081" i="26"/>
  <c r="AB1081" i="26"/>
  <c r="AA1089" i="26"/>
  <c r="AA1101" i="26"/>
  <c r="AB1101" i="26"/>
  <c r="AA1132" i="26"/>
  <c r="AB1132" i="26"/>
  <c r="AA1151" i="26"/>
  <c r="AB1151" i="26"/>
  <c r="AA1169" i="26"/>
  <c r="AA1183" i="26"/>
  <c r="AA1188" i="26"/>
  <c r="AA1207" i="26"/>
  <c r="AB1207" i="26"/>
  <c r="AA1218" i="26"/>
  <c r="AB1218" i="26"/>
  <c r="AA1223" i="26"/>
  <c r="AB1281" i="26"/>
  <c r="AB1303" i="26"/>
  <c r="AB1337" i="26"/>
  <c r="AM8" i="26"/>
  <c r="AM2064" i="26"/>
  <c r="AA22" i="26"/>
  <c r="AA38" i="26"/>
  <c r="AB38" i="26"/>
  <c r="AA49" i="26"/>
  <c r="AA55" i="26"/>
  <c r="AB55" i="26"/>
  <c r="AA64" i="26"/>
  <c r="AA73" i="26"/>
  <c r="AB73" i="26"/>
  <c r="AA74" i="26"/>
  <c r="AA75" i="26"/>
  <c r="AB75" i="26"/>
  <c r="AA94" i="26"/>
  <c r="AA96" i="26"/>
  <c r="AB96" i="26"/>
  <c r="AA97" i="26"/>
  <c r="AB97" i="26"/>
  <c r="AA102" i="26"/>
  <c r="AA104" i="26"/>
  <c r="AA119" i="26"/>
  <c r="AA124" i="26"/>
  <c r="AB124" i="26"/>
  <c r="AA131" i="26"/>
  <c r="AA132" i="26"/>
  <c r="AB153" i="26"/>
  <c r="AA168" i="26"/>
  <c r="AA169" i="26"/>
  <c r="AA179" i="26"/>
  <c r="AB179" i="26"/>
  <c r="AA195" i="26"/>
  <c r="AA204" i="26"/>
  <c r="AB204" i="26"/>
  <c r="AA211" i="26"/>
  <c r="AA212" i="26"/>
  <c r="AA220" i="26"/>
  <c r="AA223" i="26"/>
  <c r="AA247" i="26"/>
  <c r="AA249" i="26"/>
  <c r="AA250" i="26"/>
  <c r="AA254" i="26"/>
  <c r="AA255" i="26"/>
  <c r="AB255" i="26"/>
  <c r="AA256" i="26"/>
  <c r="AB256" i="26"/>
  <c r="AA261" i="26"/>
  <c r="AA263" i="26"/>
  <c r="AB263" i="26"/>
  <c r="AA264" i="26"/>
  <c r="AA279" i="26"/>
  <c r="AA289" i="26"/>
  <c r="AB289" i="26"/>
  <c r="AA291" i="26"/>
  <c r="AA308" i="26"/>
  <c r="AA318" i="26"/>
  <c r="AB318" i="26"/>
  <c r="AA340" i="26"/>
  <c r="AB340" i="26"/>
  <c r="AA341" i="26"/>
  <c r="AA347" i="26"/>
  <c r="AA349" i="26"/>
  <c r="AA350" i="26"/>
  <c r="AA366" i="26"/>
  <c r="AA367" i="26"/>
  <c r="AB367" i="26"/>
  <c r="AA368" i="26"/>
  <c r="AA369" i="26"/>
  <c r="AA372" i="26"/>
  <c r="AA373" i="26"/>
  <c r="AB373" i="26"/>
  <c r="AA384" i="26"/>
  <c r="AA385" i="26"/>
  <c r="AA386" i="26"/>
  <c r="AA397" i="26"/>
  <c r="AB397" i="26"/>
  <c r="AA398" i="26"/>
  <c r="AA402" i="26"/>
  <c r="AA411" i="26"/>
  <c r="AA412" i="26"/>
  <c r="AA413" i="26"/>
  <c r="AB413" i="26"/>
  <c r="AA414" i="26"/>
  <c r="AA429" i="26"/>
  <c r="AB429" i="26"/>
  <c r="AA430" i="26"/>
  <c r="AB430" i="26"/>
  <c r="AA433" i="26"/>
  <c r="AB433" i="26"/>
  <c r="AA438" i="26"/>
  <c r="AB438" i="26"/>
  <c r="AA439" i="26"/>
  <c r="AB439" i="26"/>
  <c r="AA440" i="26"/>
  <c r="AB440" i="26"/>
  <c r="AA465" i="26"/>
  <c r="AA466" i="26"/>
  <c r="AA468" i="26"/>
  <c r="AA475" i="26"/>
  <c r="AB475" i="26"/>
  <c r="AA480" i="26"/>
  <c r="AB480" i="26"/>
  <c r="AA483" i="26"/>
  <c r="AA484" i="26"/>
  <c r="AB484" i="26"/>
  <c r="AA504" i="26"/>
  <c r="AA505" i="26"/>
  <c r="AB505" i="26"/>
  <c r="AA506" i="26"/>
  <c r="AA508" i="26"/>
  <c r="AA524" i="26"/>
  <c r="AA525" i="26"/>
  <c r="AA528" i="26"/>
  <c r="AA530" i="26"/>
  <c r="AA531" i="26"/>
  <c r="AA545" i="26"/>
  <c r="AA546" i="26"/>
  <c r="AA547" i="26"/>
  <c r="AB547" i="26"/>
  <c r="AA553" i="26"/>
  <c r="AB553" i="26"/>
  <c r="AA559" i="26"/>
  <c r="AA564" i="26"/>
  <c r="AA565" i="26"/>
  <c r="AB584" i="26"/>
  <c r="AB593" i="26"/>
  <c r="AB626" i="26"/>
  <c r="AB627" i="26"/>
  <c r="AB630" i="26"/>
  <c r="AB638" i="26"/>
  <c r="AA646" i="26"/>
  <c r="AA650" i="26"/>
  <c r="AA652" i="26"/>
  <c r="AA663" i="26"/>
  <c r="AA669" i="26"/>
  <c r="AA671" i="26"/>
  <c r="AB671" i="26"/>
  <c r="AA673" i="26"/>
  <c r="AA674" i="26"/>
  <c r="AA678" i="26"/>
  <c r="AA679" i="26"/>
  <c r="AA686" i="26"/>
  <c r="AB686" i="26"/>
  <c r="AA687" i="26"/>
  <c r="AB687" i="26"/>
  <c r="AA688" i="26"/>
  <c r="AA690" i="26"/>
  <c r="AB690" i="26"/>
  <c r="AA692" i="26"/>
  <c r="AA696" i="26"/>
  <c r="AA697" i="26"/>
  <c r="AA698" i="26"/>
  <c r="AA705" i="26"/>
  <c r="AB705" i="26"/>
  <c r="AA706" i="26"/>
  <c r="AA708" i="26"/>
  <c r="AA710" i="26"/>
  <c r="AB710" i="26"/>
  <c r="X1956" i="26"/>
  <c r="X1879" i="26"/>
  <c r="Y1879" i="26"/>
  <c r="Z1879" i="26"/>
  <c r="AB1879" i="26"/>
  <c r="Y1730" i="26"/>
  <c r="Z1730" i="26"/>
  <c r="AB1730" i="26"/>
  <c r="L568" i="26"/>
  <c r="L575" i="26"/>
  <c r="L497" i="26"/>
  <c r="AA713" i="26"/>
  <c r="AA716" i="26"/>
  <c r="AA717" i="26"/>
  <c r="AA718" i="26"/>
  <c r="AA721" i="26"/>
  <c r="AA722" i="26"/>
  <c r="AA724" i="26"/>
  <c r="AA728" i="26"/>
  <c r="AA729" i="26"/>
  <c r="AA730" i="26"/>
  <c r="AA732" i="26"/>
  <c r="AA733" i="26"/>
  <c r="AA734" i="26"/>
  <c r="AA736" i="26"/>
  <c r="AA737" i="26"/>
  <c r="AA738" i="26"/>
  <c r="AA744" i="26"/>
  <c r="AA745" i="26"/>
  <c r="AA746" i="26"/>
  <c r="AB759" i="26"/>
  <c r="AB760" i="26"/>
  <c r="AB771" i="26"/>
  <c r="AB775" i="26"/>
  <c r="AB788" i="26"/>
  <c r="AB789" i="26"/>
  <c r="AB799" i="26"/>
  <c r="AB804" i="26"/>
  <c r="AB805" i="26"/>
  <c r="AB816" i="26"/>
  <c r="AB821" i="26"/>
  <c r="AB822" i="26"/>
  <c r="AB823" i="26"/>
  <c r="AB835" i="26"/>
  <c r="AA855" i="26"/>
  <c r="AA856" i="26"/>
  <c r="AA862" i="26"/>
  <c r="AA863" i="26"/>
  <c r="AA864" i="26"/>
  <c r="AA866" i="26"/>
  <c r="AB866" i="26"/>
  <c r="AA867" i="26"/>
  <c r="AB867" i="26"/>
  <c r="AA868" i="26"/>
  <c r="AB868" i="26"/>
  <c r="AA869" i="26"/>
  <c r="AB869" i="26"/>
  <c r="AA870" i="26"/>
  <c r="AA871" i="26"/>
  <c r="AA877" i="26"/>
  <c r="AA878" i="26"/>
  <c r="AA879" i="26"/>
  <c r="AA880" i="26"/>
  <c r="AA887" i="26"/>
  <c r="AB887" i="26"/>
  <c r="AA888" i="26"/>
  <c r="AA889" i="26"/>
  <c r="AA894" i="26"/>
  <c r="AA896" i="26"/>
  <c r="AB896" i="26"/>
  <c r="AA897" i="26"/>
  <c r="AA898" i="26"/>
  <c r="AB898" i="26"/>
  <c r="AA899" i="26"/>
  <c r="AA901" i="26"/>
  <c r="AA902" i="26"/>
  <c r="AA903" i="26"/>
  <c r="AA904" i="26"/>
  <c r="AB904" i="26"/>
  <c r="AA920" i="26"/>
  <c r="AA921" i="26"/>
  <c r="AA922" i="26"/>
  <c r="AA923" i="26"/>
  <c r="AA925" i="26"/>
  <c r="AA926" i="26"/>
  <c r="AA927" i="26"/>
  <c r="AA928" i="26"/>
  <c r="AB928" i="26"/>
  <c r="AA930" i="26"/>
  <c r="AA931" i="26"/>
  <c r="AB931" i="26"/>
  <c r="AA932" i="26"/>
  <c r="AA933" i="26"/>
  <c r="AA935" i="26"/>
  <c r="AA936" i="26"/>
  <c r="AB936" i="26"/>
  <c r="AB959" i="26"/>
  <c r="AB962" i="26"/>
  <c r="AB965" i="26"/>
  <c r="AB966" i="26"/>
  <c r="AB971" i="26"/>
  <c r="AB979" i="26"/>
  <c r="AB985" i="26"/>
  <c r="AB987" i="26"/>
  <c r="AB988" i="26"/>
  <c r="AB990" i="26"/>
  <c r="AB992" i="26"/>
  <c r="AB993" i="26"/>
  <c r="AB994" i="26"/>
  <c r="AB996" i="26"/>
  <c r="AB998" i="26"/>
  <c r="AB1007" i="26"/>
  <c r="AA1030" i="26"/>
  <c r="AA1031" i="26"/>
  <c r="AA1032" i="26"/>
  <c r="AB1032" i="26"/>
  <c r="AA1037" i="26"/>
  <c r="AB1037" i="26"/>
  <c r="AA1038" i="26"/>
  <c r="AB1038" i="26"/>
  <c r="AA1039" i="26"/>
  <c r="AA1040" i="26"/>
  <c r="AA1042" i="26"/>
  <c r="AB1042" i="26"/>
  <c r="AA1043" i="26"/>
  <c r="AB1043" i="26"/>
  <c r="AA1044" i="26"/>
  <c r="AA1045" i="26"/>
  <c r="AA1046" i="26"/>
  <c r="AA1047" i="26"/>
  <c r="AA1048" i="26"/>
  <c r="AA1049" i="26"/>
  <c r="AB1049" i="26"/>
  <c r="AA1050" i="26"/>
  <c r="AB1050" i="26"/>
  <c r="AA1051" i="26"/>
  <c r="AA1053" i="26"/>
  <c r="AA1054" i="26"/>
  <c r="AA1055" i="26"/>
  <c r="AA1066" i="26"/>
  <c r="AA1067" i="26"/>
  <c r="AB1067" i="26"/>
  <c r="AA1068" i="26"/>
  <c r="AB1068" i="26"/>
  <c r="AA1069" i="26"/>
  <c r="AA1071" i="26"/>
  <c r="AA1072" i="26"/>
  <c r="AA1075" i="26"/>
  <c r="AB1075" i="26"/>
  <c r="AA1076" i="26"/>
  <c r="AB1076" i="26"/>
  <c r="AA1077" i="26"/>
  <c r="AB1077" i="26"/>
  <c r="AA1079" i="26"/>
  <c r="AB1079" i="26"/>
  <c r="AA1082" i="26"/>
  <c r="AB1082" i="26"/>
  <c r="AA1087" i="26"/>
  <c r="AB1087" i="26"/>
  <c r="AA1090" i="26"/>
  <c r="AB1090" i="26"/>
  <c r="AA1091" i="26"/>
  <c r="AA1100" i="26"/>
  <c r="AB1100" i="26"/>
  <c r="AA1104" i="26"/>
  <c r="AB1104" i="26"/>
  <c r="AA1111" i="26"/>
  <c r="AA1121" i="26"/>
  <c r="AB1121" i="26"/>
  <c r="AA1122" i="26"/>
  <c r="AA1133" i="26"/>
  <c r="AB1133" i="26"/>
  <c r="AA1134" i="26"/>
  <c r="AB1134" i="26"/>
  <c r="AA1142" i="26"/>
  <c r="AB1142" i="26"/>
  <c r="AA1147" i="26"/>
  <c r="AB1147" i="26"/>
  <c r="AA1149" i="26"/>
  <c r="AB1149" i="26"/>
  <c r="AA1154" i="26"/>
  <c r="AB1154" i="26"/>
  <c r="AA1155" i="26"/>
  <c r="AB1155" i="26"/>
  <c r="AA1170" i="26"/>
  <c r="AB1170" i="26"/>
  <c r="AA1171" i="26"/>
  <c r="AA1182" i="26"/>
  <c r="AA1184" i="26"/>
  <c r="AA1186" i="26"/>
  <c r="AB1186" i="26"/>
  <c r="AA1194" i="26"/>
  <c r="AA1195" i="26"/>
  <c r="AB1195" i="26"/>
  <c r="AA1208" i="26"/>
  <c r="AB1208" i="26"/>
  <c r="AA1209" i="26"/>
  <c r="AA1217" i="26"/>
  <c r="AA1219" i="26"/>
  <c r="AA1221" i="26"/>
  <c r="AA1224" i="26"/>
  <c r="AB1224" i="26"/>
  <c r="AB1251" i="26"/>
  <c r="AB1254" i="26"/>
  <c r="AB1271" i="26"/>
  <c r="AB1272" i="26"/>
  <c r="AB1276" i="26"/>
  <c r="AB1277" i="26"/>
  <c r="AB1304" i="26"/>
  <c r="AB1305" i="26"/>
  <c r="AB1310" i="26"/>
  <c r="AB1327" i="26"/>
  <c r="AB1343" i="26"/>
  <c r="AQ8" i="26"/>
  <c r="AK8" i="26"/>
  <c r="AA27" i="26"/>
  <c r="AB27" i="26"/>
  <c r="AA15" i="26"/>
  <c r="AS2064" i="26"/>
  <c r="B18" i="26"/>
  <c r="B19" i="26"/>
  <c r="B20" i="26"/>
  <c r="B21" i="26"/>
  <c r="B22" i="26"/>
  <c r="B23" i="26"/>
  <c r="B24" i="26"/>
  <c r="B25" i="26"/>
  <c r="B26" i="26"/>
  <c r="B27" i="26"/>
  <c r="B28" i="26"/>
  <c r="B31" i="26"/>
  <c r="AN2064" i="26"/>
  <c r="O2064" i="26"/>
  <c r="AL8" i="26"/>
  <c r="AL2064" i="26"/>
  <c r="AA26" i="26"/>
  <c r="AB26" i="26"/>
  <c r="AA25" i="26"/>
  <c r="AA24" i="26"/>
  <c r="AA23" i="26"/>
  <c r="AB23" i="26"/>
  <c r="AA21" i="26"/>
  <c r="AB21" i="26"/>
  <c r="AA20" i="26"/>
  <c r="AA19" i="26"/>
  <c r="AA18" i="26"/>
  <c r="AA17" i="26"/>
  <c r="AA16" i="26"/>
  <c r="AA14" i="26"/>
  <c r="AA51" i="26"/>
  <c r="AA87" i="26"/>
  <c r="AB87" i="26"/>
  <c r="AA88" i="26"/>
  <c r="AB88" i="26"/>
  <c r="AA111" i="26"/>
  <c r="AA118" i="26"/>
  <c r="AA139" i="26"/>
  <c r="AB139" i="26"/>
  <c r="AA147" i="26"/>
  <c r="AB147" i="26"/>
  <c r="AA184" i="26"/>
  <c r="AA185" i="26"/>
  <c r="AB185" i="26"/>
  <c r="AF8" i="26"/>
  <c r="AR8" i="26"/>
  <c r="P2016" i="26"/>
  <c r="P2056" i="26"/>
  <c r="AA13" i="26"/>
  <c r="AH8" i="26"/>
  <c r="AF2064" i="26"/>
  <c r="AJ2064" i="26"/>
  <c r="BT8" i="26"/>
  <c r="AA37" i="26"/>
  <c r="AA39" i="26"/>
  <c r="AB39" i="26"/>
  <c r="AA40" i="26"/>
  <c r="AB40" i="26"/>
  <c r="AA41" i="26"/>
  <c r="AB41" i="26"/>
  <c r="AA50" i="26"/>
  <c r="AA52" i="26"/>
  <c r="AB52" i="26"/>
  <c r="AA65" i="26"/>
  <c r="AA66" i="26"/>
  <c r="AB66" i="26"/>
  <c r="AA67" i="26"/>
  <c r="AA68" i="26"/>
  <c r="AA76" i="26"/>
  <c r="AB76" i="26"/>
  <c r="AA77" i="26"/>
  <c r="AA80" i="26"/>
  <c r="AA85" i="26"/>
  <c r="AB85" i="26"/>
  <c r="AA86" i="26"/>
  <c r="AB86" i="26"/>
  <c r="AA93" i="26"/>
  <c r="AA95" i="26"/>
  <c r="AB95" i="26"/>
  <c r="AA98" i="26"/>
  <c r="AB98" i="26"/>
  <c r="AA99" i="26"/>
  <c r="AA100" i="26"/>
  <c r="AA101" i="26"/>
  <c r="AA103" i="26"/>
  <c r="AA110" i="26"/>
  <c r="AB110" i="26"/>
  <c r="AA112" i="26"/>
  <c r="AA113" i="26"/>
  <c r="AA117" i="26"/>
  <c r="AB117" i="26"/>
  <c r="AA125" i="26"/>
  <c r="AB125" i="26"/>
  <c r="AA129" i="26"/>
  <c r="AA133" i="26"/>
  <c r="AB133" i="26"/>
  <c r="AA134" i="26"/>
  <c r="AB134" i="26"/>
  <c r="AA136" i="26"/>
  <c r="AB136" i="26"/>
  <c r="AA137" i="26"/>
  <c r="AA138" i="26"/>
  <c r="AB138" i="26"/>
  <c r="AA145" i="26"/>
  <c r="AB145" i="26"/>
  <c r="AA148" i="26"/>
  <c r="AB148" i="26"/>
  <c r="AA149" i="26"/>
  <c r="AB149" i="26"/>
  <c r="AA150" i="26"/>
  <c r="AB150" i="26"/>
  <c r="AB151" i="26"/>
  <c r="AA167" i="26"/>
  <c r="AA170" i="26"/>
  <c r="AB170" i="26"/>
  <c r="AA171" i="26"/>
  <c r="AA172" i="26"/>
  <c r="AA177" i="26"/>
  <c r="AA178" i="26"/>
  <c r="AA196" i="26"/>
  <c r="AB196" i="26"/>
  <c r="AA201" i="26"/>
  <c r="AA202" i="26"/>
  <c r="AB202" i="26"/>
  <c r="AA203" i="26"/>
  <c r="AB203" i="26"/>
  <c r="AA205" i="26"/>
  <c r="AB205" i="26"/>
  <c r="AA210" i="26"/>
  <c r="AA213" i="26"/>
  <c r="AB213" i="26"/>
  <c r="AA214" i="26"/>
  <c r="AA221" i="26"/>
  <c r="AB221" i="26"/>
  <c r="AA224" i="26"/>
  <c r="AA231" i="26"/>
  <c r="AB231" i="26"/>
  <c r="AA232" i="26"/>
  <c r="AA241" i="26"/>
  <c r="AA242" i="26"/>
  <c r="AB242" i="26"/>
  <c r="AA248" i="26"/>
  <c r="AA257" i="26"/>
  <c r="AA262" i="26"/>
  <c r="AB262" i="26"/>
  <c r="AA281" i="26"/>
  <c r="AB281" i="26"/>
  <c r="AA299" i="26"/>
  <c r="AB299" i="26"/>
  <c r="AA330" i="26"/>
  <c r="AA339" i="26"/>
  <c r="AB339" i="26"/>
  <c r="AA355" i="26"/>
  <c r="AA356" i="26"/>
  <c r="AA376" i="26"/>
  <c r="AB376" i="26"/>
  <c r="AA377" i="26"/>
  <c r="AA399" i="26"/>
  <c r="AA400" i="26"/>
  <c r="AA421" i="26"/>
  <c r="AA422" i="26"/>
  <c r="AB422" i="26"/>
  <c r="AA481" i="26"/>
  <c r="AB481" i="26"/>
  <c r="AA482" i="26"/>
  <c r="AA520" i="26"/>
  <c r="AA521" i="26"/>
  <c r="AA536" i="26"/>
  <c r="AA537" i="26"/>
  <c r="AA560" i="26"/>
  <c r="AB560" i="26"/>
  <c r="AA561" i="26"/>
  <c r="AB561" i="26"/>
  <c r="AB597" i="26"/>
  <c r="AA647" i="26"/>
  <c r="AA654" i="26"/>
  <c r="AA670" i="26"/>
  <c r="AB670" i="26"/>
  <c r="AA675" i="26"/>
  <c r="AA685" i="26"/>
  <c r="AB685" i="26"/>
  <c r="AA689" i="26"/>
  <c r="AB689" i="26"/>
  <c r="AA694" i="26"/>
  <c r="AA704" i="26"/>
  <c r="AA709" i="26"/>
  <c r="AA714" i="26"/>
  <c r="AA720" i="26"/>
  <c r="AA725" i="26"/>
  <c r="AA251" i="26"/>
  <c r="AB251" i="26"/>
  <c r="AA252" i="26"/>
  <c r="AA253" i="26"/>
  <c r="AA258" i="26"/>
  <c r="AA259" i="26"/>
  <c r="AB259" i="26"/>
  <c r="AA260" i="26"/>
  <c r="AB260" i="26"/>
  <c r="AA272" i="26"/>
  <c r="AB272" i="26"/>
  <c r="AA273" i="26"/>
  <c r="AA280" i="26"/>
  <c r="AA288" i="26"/>
  <c r="AA290" i="26"/>
  <c r="AA296" i="26"/>
  <c r="AB296" i="26"/>
  <c r="AA298" i="26"/>
  <c r="AA309" i="26"/>
  <c r="AA319" i="26"/>
  <c r="AA320" i="26"/>
  <c r="AA321" i="26"/>
  <c r="AA331" i="26"/>
  <c r="AB331" i="26"/>
  <c r="AA342" i="26"/>
  <c r="AA343" i="26"/>
  <c r="AA344" i="26"/>
  <c r="AA345" i="26"/>
  <c r="AA357" i="26"/>
  <c r="AA358" i="26"/>
  <c r="AA359" i="26"/>
  <c r="AA360" i="26"/>
  <c r="AA370" i="26"/>
  <c r="AB370" i="26"/>
  <c r="AA371" i="26"/>
  <c r="AB371" i="26"/>
  <c r="AA374" i="26"/>
  <c r="AB374" i="26"/>
  <c r="AA375" i="26"/>
  <c r="AB375" i="26"/>
  <c r="AA378" i="26"/>
  <c r="AA383" i="26"/>
  <c r="AA388" i="26"/>
  <c r="AA389" i="26"/>
  <c r="AB389" i="26"/>
  <c r="AA395" i="26"/>
  <c r="AA396" i="26"/>
  <c r="AA403" i="26"/>
  <c r="AA404" i="26"/>
  <c r="AB404" i="26"/>
  <c r="AA405" i="26"/>
  <c r="AA410" i="26"/>
  <c r="AA415" i="26"/>
  <c r="AB415" i="26"/>
  <c r="AA420" i="26"/>
  <c r="AB420" i="26"/>
  <c r="AA427" i="26"/>
  <c r="AA428" i="26"/>
  <c r="AA431" i="26"/>
  <c r="AB431" i="26"/>
  <c r="AA432" i="26"/>
  <c r="AB432" i="26"/>
  <c r="AA441" i="26"/>
  <c r="AA442" i="26"/>
  <c r="AA469" i="26"/>
  <c r="AA470" i="26"/>
  <c r="AA471" i="26"/>
  <c r="AA474" i="26"/>
  <c r="AA491" i="26"/>
  <c r="AB491" i="26"/>
  <c r="AA492" i="26"/>
  <c r="AB492" i="26"/>
  <c r="AA493" i="26"/>
  <c r="AB493" i="26"/>
  <c r="AA494" i="26"/>
  <c r="AB494" i="26"/>
  <c r="AA518" i="26"/>
  <c r="AA519" i="26"/>
  <c r="AA522" i="26"/>
  <c r="AB522" i="26"/>
  <c r="AA523" i="26"/>
  <c r="AA526" i="26"/>
  <c r="AB526" i="26"/>
  <c r="AA527" i="26"/>
  <c r="AA532" i="26"/>
  <c r="AA533" i="26"/>
  <c r="AA534" i="26"/>
  <c r="AA535" i="26"/>
  <c r="AA549" i="26"/>
  <c r="AB549" i="26"/>
  <c r="AA550" i="26"/>
  <c r="AB550" i="26"/>
  <c r="AA551" i="26"/>
  <c r="AA552" i="26"/>
  <c r="AB552" i="26"/>
  <c r="AA562" i="26"/>
  <c r="AB562" i="26"/>
  <c r="AA563" i="26"/>
  <c r="AB563" i="26"/>
  <c r="AA566" i="26"/>
  <c r="AB582" i="26"/>
  <c r="AB585" i="26"/>
  <c r="AB586" i="26"/>
  <c r="AB598" i="26"/>
  <c r="AB599" i="26"/>
  <c r="AB613" i="26"/>
  <c r="AB625" i="26"/>
  <c r="AB628" i="26"/>
  <c r="AB629" i="26"/>
  <c r="AB632" i="26"/>
  <c r="AA648" i="26"/>
  <c r="AA649" i="26"/>
  <c r="AB649" i="26"/>
  <c r="AA653" i="26"/>
  <c r="AA668" i="26"/>
  <c r="AA672" i="26"/>
  <c r="AA676" i="26"/>
  <c r="AA684" i="26"/>
  <c r="AB684" i="26"/>
  <c r="AA691" i="26"/>
  <c r="AB691" i="26"/>
  <c r="AA695" i="26"/>
  <c r="AA703" i="26"/>
  <c r="AA707" i="26"/>
  <c r="AA711" i="26"/>
  <c r="AA715" i="26"/>
  <c r="AA719" i="26"/>
  <c r="AA723" i="26"/>
  <c r="AA727" i="26"/>
  <c r="AA731" i="26"/>
  <c r="AA735" i="26"/>
  <c r="AE2064" i="26"/>
  <c r="P2057" i="26"/>
  <c r="P2015" i="26"/>
  <c r="AB508" i="26"/>
  <c r="AB1282" i="26"/>
  <c r="AB506" i="26"/>
  <c r="AB287" i="26"/>
  <c r="AB177" i="26"/>
  <c r="AB1008" i="26"/>
  <c r="Y944" i="26"/>
  <c r="AB1221" i="26"/>
  <c r="AB350" i="26"/>
  <c r="AB606" i="26"/>
  <c r="AB844" i="26"/>
  <c r="AA1678" i="26"/>
  <c r="AB428" i="26"/>
  <c r="AB902" i="26"/>
  <c r="AB778" i="26"/>
  <c r="AB693" i="26"/>
  <c r="AB1184" i="26"/>
  <c r="AB697" i="26"/>
  <c r="AA942" i="26"/>
  <c r="AA913" i="26"/>
  <c r="AA656" i="26"/>
  <c r="AB692" i="26"/>
  <c r="AB1747" i="26"/>
  <c r="AB1028" i="26"/>
  <c r="AA1162" i="26"/>
  <c r="G11" i="30"/>
  <c r="AB1915" i="26"/>
  <c r="AB1055" i="26"/>
  <c r="AB713" i="26"/>
  <c r="AB378" i="26"/>
  <c r="AB694" i="26"/>
  <c r="AA324" i="26"/>
  <c r="AB738" i="26"/>
  <c r="AB696" i="26"/>
  <c r="AB49" i="26"/>
  <c r="AA56" i="26"/>
  <c r="AA1228" i="26"/>
  <c r="Z1778" i="26"/>
  <c r="AB1778" i="26"/>
  <c r="X656" i="26"/>
  <c r="Z1775" i="26"/>
  <c r="AB1775" i="26"/>
  <c r="F22" i="30"/>
  <c r="AB871" i="26"/>
  <c r="AB1054" i="26"/>
  <c r="AB719" i="26"/>
  <c r="AB732" i="26"/>
  <c r="Y1752" i="26"/>
  <c r="Z1752" i="26"/>
  <c r="AB1752" i="26"/>
  <c r="AB716" i="26"/>
  <c r="Y1753" i="26"/>
  <c r="Z1753" i="26"/>
  <c r="AB1753" i="26"/>
  <c r="Y1789" i="26"/>
  <c r="Z1789" i="26"/>
  <c r="AB1789" i="26"/>
  <c r="AB537" i="26"/>
  <c r="AB717" i="26"/>
  <c r="AB730" i="26"/>
  <c r="Y1754" i="26"/>
  <c r="Z1754" i="26"/>
  <c r="AB1754" i="26"/>
  <c r="Y1779" i="26"/>
  <c r="Z1779" i="26"/>
  <c r="AB1779" i="26"/>
  <c r="Y1798" i="26"/>
  <c r="Z1798" i="26"/>
  <c r="AB1798" i="26"/>
  <c r="AB535" i="26"/>
  <c r="AB726" i="26"/>
  <c r="Y1751" i="26"/>
  <c r="Z1751" i="26"/>
  <c r="AB1751" i="26"/>
  <c r="Z1776" i="26"/>
  <c r="AB1776" i="26"/>
  <c r="AA749" i="26"/>
  <c r="AB330" i="26"/>
  <c r="AA451" i="26"/>
  <c r="AB37" i="26"/>
  <c r="AA42" i="26"/>
  <c r="AB42" i="26"/>
  <c r="AA33" i="26"/>
  <c r="AA1232" i="26"/>
  <c r="AB737" i="26"/>
  <c r="AA497" i="26"/>
  <c r="AB497" i="26"/>
  <c r="AA236" i="26"/>
  <c r="Y1818" i="26"/>
  <c r="Z1818" i="26"/>
  <c r="AB1818" i="26"/>
  <c r="AB1599" i="26"/>
  <c r="Z1773" i="26"/>
  <c r="AB1773" i="26"/>
  <c r="Z1750" i="26"/>
  <c r="AB1750" i="26"/>
  <c r="AB530" i="26"/>
  <c r="Z1777" i="26"/>
  <c r="AB1777" i="26"/>
  <c r="AB698" i="26"/>
  <c r="AB1507" i="26"/>
  <c r="AB1877" i="26"/>
  <c r="Z1901" i="26"/>
  <c r="AB1901" i="26"/>
  <c r="G21" i="30"/>
  <c r="Z1796" i="26"/>
  <c r="AB1796" i="26"/>
  <c r="Y324" i="26"/>
  <c r="AA189" i="26"/>
  <c r="AB189" i="26"/>
  <c r="AB723" i="26"/>
  <c r="Y1781" i="26"/>
  <c r="Z1781" i="26"/>
  <c r="AB1781" i="26"/>
  <c r="Z1791" i="26"/>
  <c r="AB1791" i="26"/>
  <c r="AB733" i="26"/>
  <c r="Y1793" i="26"/>
  <c r="Z1793" i="26"/>
  <c r="AB1793" i="26"/>
  <c r="AB619" i="26"/>
  <c r="AB734" i="26"/>
  <c r="Y1790" i="26"/>
  <c r="Z1790" i="26"/>
  <c r="AB1790" i="26"/>
  <c r="AB731" i="26"/>
  <c r="Y1755" i="26"/>
  <c r="Z1755" i="26"/>
  <c r="AB1755" i="26"/>
  <c r="Z1780" i="26"/>
  <c r="AB1780" i="26"/>
  <c r="AB736" i="26"/>
  <c r="AA575" i="26"/>
  <c r="AA156" i="26"/>
  <c r="Z1724" i="26"/>
  <c r="Z1770" i="26"/>
  <c r="AB1770" i="26"/>
  <c r="AB377" i="26"/>
  <c r="AB1052" i="26"/>
  <c r="Z1749" i="26"/>
  <c r="AB1749" i="26"/>
  <c r="Z1767" i="26"/>
  <c r="AB1767" i="26"/>
  <c r="AB724" i="26"/>
  <c r="Y1819" i="26"/>
  <c r="Z1819" i="26"/>
  <c r="AB1819" i="26"/>
  <c r="X56" i="26"/>
  <c r="Z1795" i="26"/>
  <c r="AB1795" i="26"/>
  <c r="AA1827" i="26"/>
  <c r="G23" i="30"/>
  <c r="AB712" i="26"/>
  <c r="AB1053" i="26"/>
  <c r="AB715" i="26"/>
  <c r="AB727" i="26"/>
  <c r="Z1769" i="26"/>
  <c r="AB1769" i="26"/>
  <c r="Y1792" i="26"/>
  <c r="Z1792" i="26"/>
  <c r="AB1792" i="26"/>
  <c r="AB533" i="26"/>
  <c r="AB534" i="26"/>
  <c r="AB722" i="26"/>
  <c r="AB387" i="26"/>
  <c r="AB618" i="26"/>
  <c r="AB720" i="26"/>
  <c r="X1724" i="26"/>
  <c r="Y1774" i="26"/>
  <c r="Z1774" i="26"/>
  <c r="AB1774" i="26"/>
  <c r="Y1797" i="26"/>
  <c r="Z1797" i="26"/>
  <c r="AB1797" i="26"/>
  <c r="AB729" i="26"/>
  <c r="AB1286" i="26"/>
  <c r="Y1771" i="26"/>
  <c r="Z1771" i="26"/>
  <c r="AB1771" i="26"/>
  <c r="Y1794" i="26"/>
  <c r="Z1794" i="26"/>
  <c r="AB1794" i="26"/>
  <c r="AB1260" i="26"/>
  <c r="Z1768" i="26"/>
  <c r="AB1768" i="26"/>
  <c r="AB531" i="26"/>
  <c r="Y1772" i="26"/>
  <c r="Z1772" i="26"/>
  <c r="AB1772" i="26"/>
  <c r="Y1799" i="26"/>
  <c r="Z1799" i="26"/>
  <c r="AB1799" i="26"/>
  <c r="D64" i="30"/>
  <c r="D68" i="30"/>
  <c r="D72" i="30"/>
  <c r="D76" i="30"/>
  <c r="D80" i="30"/>
  <c r="D84" i="30"/>
  <c r="D71" i="30"/>
  <c r="D83" i="30"/>
  <c r="D65" i="30"/>
  <c r="D69" i="30"/>
  <c r="D73" i="30"/>
  <c r="D77" i="30"/>
  <c r="D81" i="30"/>
  <c r="D85" i="30"/>
  <c r="D75" i="30"/>
  <c r="D66" i="30"/>
  <c r="D70" i="30"/>
  <c r="D74" i="30"/>
  <c r="D78" i="30"/>
  <c r="D63" i="30"/>
  <c r="D67" i="30"/>
  <c r="D79" i="30"/>
  <c r="D82" i="30"/>
  <c r="AB636" i="26"/>
  <c r="AB321" i="26"/>
  <c r="AB280" i="26"/>
  <c r="AB841" i="26"/>
  <c r="AB707" i="26"/>
  <c r="AB877" i="26"/>
  <c r="AB483" i="26"/>
  <c r="AB320" i="26"/>
  <c r="AB482" i="26"/>
  <c r="AB400" i="26"/>
  <c r="F25" i="30"/>
  <c r="AB403" i="26"/>
  <c r="AB137" i="26"/>
  <c r="AB13" i="26"/>
  <c r="AB410" i="26"/>
  <c r="AB358" i="26"/>
  <c r="AB167" i="26"/>
  <c r="AB258" i="26"/>
  <c r="AB248" i="26"/>
  <c r="AB559" i="26"/>
  <c r="F24" i="30"/>
  <c r="F23" i="30"/>
  <c r="AB1030" i="26"/>
  <c r="G7" i="30"/>
  <c r="AB1519" i="26"/>
  <c r="G17" i="30"/>
  <c r="G12" i="30"/>
  <c r="G13" i="30"/>
  <c r="G16" i="30"/>
  <c r="G20" i="30"/>
  <c r="AB920" i="26"/>
  <c r="G9" i="30"/>
  <c r="AB1359" i="26"/>
  <c r="AB319" i="26"/>
  <c r="AB224" i="26"/>
  <c r="AB65" i="26"/>
  <c r="AB1256" i="26"/>
  <c r="AB288" i="26"/>
  <c r="AB521" i="26"/>
  <c r="AB1122" i="26"/>
  <c r="AB818" i="26"/>
  <c r="AB212" i="26"/>
  <c r="AB1287" i="26"/>
  <c r="AB817" i="26"/>
  <c r="AB366" i="26"/>
  <c r="K1228" i="26"/>
  <c r="F16" i="30"/>
  <c r="AB703" i="26"/>
  <c r="AB675" i="26"/>
  <c r="AB802" i="26"/>
  <c r="AB1072" i="26"/>
  <c r="AB1044" i="26"/>
  <c r="AB647" i="26"/>
  <c r="AB964" i="26"/>
  <c r="AB1073" i="26"/>
  <c r="L1228" i="26"/>
  <c r="AB25" i="26"/>
  <c r="AB1322" i="26"/>
  <c r="AB744" i="26"/>
  <c r="AB249" i="26"/>
  <c r="AB714" i="26"/>
  <c r="AB1039" i="26"/>
  <c r="AB427" i="26"/>
  <c r="AB357" i="26"/>
  <c r="AB932" i="26"/>
  <c r="AB1040" i="26"/>
  <c r="AB564" i="26"/>
  <c r="AB414" i="26"/>
  <c r="AB254" i="26"/>
  <c r="AB74" i="26"/>
  <c r="AB527" i="26"/>
  <c r="AB519" i="26"/>
  <c r="AB470" i="26"/>
  <c r="AB360" i="26"/>
  <c r="AB252" i="26"/>
  <c r="AB16" i="26"/>
  <c r="AB523" i="26"/>
  <c r="AB399" i="26"/>
  <c r="AB77" i="26"/>
  <c r="AB467" i="26"/>
  <c r="AB1250" i="26"/>
  <c r="AB1071" i="26"/>
  <c r="AB1010" i="26"/>
  <c r="AB1006" i="26"/>
  <c r="AB728" i="26"/>
  <c r="AB471" i="26"/>
  <c r="AB253" i="26"/>
  <c r="AB704" i="26"/>
  <c r="AB596" i="26"/>
  <c r="AB536" i="26"/>
  <c r="AB1217" i="26"/>
  <c r="AB211" i="26"/>
  <c r="AB309" i="26"/>
  <c r="AB1326" i="26"/>
  <c r="AB879" i="26"/>
  <c r="AB829" i="26"/>
  <c r="AB1270" i="26"/>
  <c r="AB921" i="26"/>
  <c r="AB801" i="26"/>
  <c r="AB551" i="26"/>
  <c r="AB1048" i="26"/>
  <c r="AB650" i="26"/>
  <c r="AB412" i="26"/>
  <c r="AB1210" i="26"/>
  <c r="AB1703" i="26"/>
  <c r="AB1363" i="26"/>
  <c r="AB386" i="26"/>
  <c r="AB1306" i="26"/>
  <c r="AB1112" i="26"/>
  <c r="AB1274" i="26"/>
  <c r="AB616" i="26"/>
  <c r="AB20" i="26"/>
  <c r="AB1045" i="26"/>
  <c r="AB870" i="26"/>
  <c r="AB842" i="26"/>
  <c r="AB1209" i="26"/>
  <c r="AB997" i="26"/>
  <c r="AB223" i="26"/>
  <c r="AB171" i="26"/>
  <c r="AB615" i="26"/>
  <c r="AB298" i="26"/>
  <c r="AB113" i="26"/>
  <c r="AB67" i="26"/>
  <c r="AB50" i="26"/>
  <c r="AB855" i="26"/>
  <c r="AB1258" i="26"/>
  <c r="AB933" i="26"/>
  <c r="AB679" i="26"/>
  <c r="AB631" i="26"/>
  <c r="AB279" i="26"/>
  <c r="AB94" i="26"/>
  <c r="AB518" i="26"/>
  <c r="AB421" i="26"/>
  <c r="AB232" i="26"/>
  <c r="AB80" i="26"/>
  <c r="AB1014" i="26"/>
  <c r="AB930" i="26"/>
  <c r="AB1169" i="26"/>
  <c r="AB1182" i="26"/>
  <c r="AB1066" i="26"/>
  <c r="AB923" i="26"/>
  <c r="AB308" i="26"/>
  <c r="AB1397" i="26"/>
  <c r="AB184" i="26"/>
  <c r="AB1069" i="26"/>
  <c r="AB614" i="26"/>
  <c r="AB247" i="26"/>
  <c r="AB144" i="26"/>
  <c r="AB222" i="26"/>
  <c r="AB1088" i="26"/>
  <c r="AB989" i="26"/>
  <c r="AB474" i="26"/>
  <c r="AB899" i="26"/>
  <c r="AB1280" i="26"/>
  <c r="AB297" i="26"/>
  <c r="AB1009" i="26"/>
  <c r="AB652" i="26"/>
  <c r="AB525" i="26"/>
  <c r="AB1325" i="26"/>
  <c r="AB978" i="26"/>
  <c r="AB935" i="26"/>
  <c r="AB646" i="26"/>
  <c r="AB986" i="26"/>
  <c r="AB129" i="26"/>
  <c r="AB600" i="26"/>
  <c r="AB863" i="26"/>
  <c r="AB758" i="26"/>
  <c r="AB612" i="26"/>
  <c r="AB402" i="26"/>
  <c r="AB529" i="26"/>
  <c r="AB862" i="26"/>
  <c r="AB711" i="26"/>
  <c r="AB566" i="26"/>
  <c r="AB469" i="26"/>
  <c r="AB359" i="26"/>
  <c r="AB654" i="26"/>
  <c r="AB777" i="26"/>
  <c r="AB721" i="26"/>
  <c r="AB669" i="26"/>
  <c r="AB372" i="26"/>
  <c r="AB102" i="26"/>
  <c r="F9" i="30"/>
  <c r="AB346" i="26"/>
  <c r="AB672" i="26"/>
  <c r="AB345" i="26"/>
  <c r="AB624" i="26"/>
  <c r="AB926" i="26"/>
  <c r="AB347" i="26"/>
  <c r="AB800" i="26"/>
  <c r="AB653" i="26"/>
  <c r="AB383" i="26"/>
  <c r="AB343" i="26"/>
  <c r="AB709" i="26"/>
  <c r="AB356" i="26"/>
  <c r="AB100" i="26"/>
  <c r="AB118" i="26"/>
  <c r="AB901" i="26"/>
  <c r="AB718" i="26"/>
  <c r="AB674" i="26"/>
  <c r="AB528" i="26"/>
  <c r="AB168" i="26"/>
  <c r="AB388" i="26"/>
  <c r="AB344" i="26"/>
  <c r="AB520" i="26"/>
  <c r="AB257" i="26"/>
  <c r="AB864" i="26"/>
  <c r="AB772" i="26"/>
  <c r="AB264" i="26"/>
  <c r="AB169" i="26"/>
  <c r="AB803" i="26"/>
  <c r="AB546" i="26"/>
  <c r="AB466" i="26"/>
  <c r="AB633" i="26"/>
  <c r="AB396" i="26"/>
  <c r="AB112" i="26"/>
  <c r="AB93" i="26"/>
  <c r="AB395" i="26"/>
  <c r="AB342" i="26"/>
  <c r="AB355" i="26"/>
  <c r="AB398" i="26"/>
  <c r="AB368" i="26"/>
  <c r="AB663" i="26"/>
  <c r="AB592" i="26"/>
  <c r="AB900" i="26"/>
  <c r="AB79" i="26"/>
  <c r="AB132" i="26"/>
  <c r="AB104" i="26"/>
  <c r="AB1321" i="26"/>
  <c r="AB1219" i="26"/>
  <c r="AB369" i="26"/>
  <c r="AB230" i="26"/>
  <c r="AB1299" i="26"/>
  <c r="AB1216" i="26"/>
  <c r="AB1297" i="26"/>
  <c r="AB889" i="26"/>
  <c r="AB773" i="26"/>
  <c r="AB1320" i="26"/>
  <c r="AB1259" i="26"/>
  <c r="AB743" i="26"/>
  <c r="AB1275" i="26"/>
  <c r="AB934" i="26"/>
  <c r="AB735" i="26"/>
  <c r="AB604" i="26"/>
  <c r="AB441" i="26"/>
  <c r="AB635" i="26"/>
  <c r="AB201" i="26"/>
  <c r="AB172" i="26"/>
  <c r="AB99" i="26"/>
  <c r="AB1194" i="26"/>
  <c r="AB1046" i="26"/>
  <c r="AB830" i="26"/>
  <c r="AB349" i="26"/>
  <c r="AB648" i="26"/>
  <c r="AB241" i="26"/>
  <c r="AB68" i="26"/>
  <c r="AB745" i="26"/>
  <c r="AB583" i="26"/>
  <c r="AB524" i="26"/>
  <c r="AB504" i="26"/>
  <c r="AB538" i="26"/>
  <c r="AB1308" i="26"/>
  <c r="AB897" i="26"/>
  <c r="AB888" i="26"/>
  <c r="AB688" i="26"/>
  <c r="AB678" i="26"/>
  <c r="AB341" i="26"/>
  <c r="AB290" i="26"/>
  <c r="AB725" i="26"/>
  <c r="AB790" i="26"/>
  <c r="AB64" i="26"/>
  <c r="AB17" i="26"/>
  <c r="AB1263" i="26"/>
  <c r="AB1091" i="26"/>
  <c r="AB960" i="26"/>
  <c r="AB1249" i="26"/>
  <c r="AB1188" i="26"/>
  <c r="AB668" i="26"/>
  <c r="AB178" i="26"/>
  <c r="AB101" i="26"/>
  <c r="AB1336" i="26"/>
  <c r="AB991" i="26"/>
  <c r="AB925" i="26"/>
  <c r="AB878" i="26"/>
  <c r="AB708" i="26"/>
  <c r="AB565" i="26"/>
  <c r="AB1222" i="26"/>
  <c r="AB273" i="26"/>
  <c r="AB1284" i="26"/>
  <c r="AB1111" i="26"/>
  <c r="AB1051" i="26"/>
  <c r="AB798" i="26"/>
  <c r="AB706" i="26"/>
  <c r="AB291" i="26"/>
  <c r="AB1223" i="26"/>
  <c r="AB1183" i="26"/>
  <c r="AB1323" i="26"/>
  <c r="AB1278" i="26"/>
  <c r="AB881" i="26"/>
  <c r="AB1699" i="26"/>
  <c r="AB1674" i="26"/>
  <c r="AB1639" i="26"/>
  <c r="AB1624" i="26"/>
  <c r="AB442" i="26"/>
  <c r="AB676" i="26"/>
  <c r="AB532" i="26"/>
  <c r="AB210" i="26"/>
  <c r="AB111" i="26"/>
  <c r="AB24" i="26"/>
  <c r="AB1345" i="26"/>
  <c r="AB1312" i="26"/>
  <c r="AB1242" i="26"/>
  <c r="AB1171" i="26"/>
  <c r="AB970" i="26"/>
  <c r="AB963" i="26"/>
  <c r="AB927" i="26"/>
  <c r="AB922" i="26"/>
  <c r="AB903" i="26"/>
  <c r="AB894" i="26"/>
  <c r="AB880" i="26"/>
  <c r="AB843" i="26"/>
  <c r="AB815" i="26"/>
  <c r="AB797" i="26"/>
  <c r="AB787" i="26"/>
  <c r="AB774" i="26"/>
  <c r="AB746" i="26"/>
  <c r="AB673" i="26"/>
  <c r="AB634" i="26"/>
  <c r="AB605" i="26"/>
  <c r="AB545" i="26"/>
  <c r="AB465" i="26"/>
  <c r="AB384" i="26"/>
  <c r="AB261" i="26"/>
  <c r="AB250" i="26"/>
  <c r="AB220" i="26"/>
  <c r="AB195" i="26"/>
  <c r="AB119" i="26"/>
  <c r="AB1089" i="26"/>
  <c r="AB401" i="26"/>
  <c r="AB1344" i="26"/>
  <c r="AB1311" i="26"/>
  <c r="AB1096" i="26"/>
  <c r="AB834" i="26"/>
  <c r="AB677" i="26"/>
  <c r="AB456" i="26"/>
  <c r="AB109" i="26"/>
  <c r="AB1633" i="26"/>
  <c r="AB1623" i="26"/>
  <c r="AB1496" i="26"/>
  <c r="AB18" i="26"/>
  <c r="AB1047" i="26"/>
  <c r="AB1253" i="26"/>
  <c r="AB1220" i="26"/>
  <c r="AB907" i="26"/>
  <c r="AB754" i="26"/>
  <c r="AB1610" i="26"/>
  <c r="AB1606" i="26"/>
  <c r="AB1595" i="26"/>
  <c r="AB1588" i="26"/>
  <c r="AB1564" i="26"/>
  <c r="AB1497" i="26"/>
  <c r="AB1493" i="26"/>
  <c r="AB1480" i="26"/>
  <c r="AB1443" i="26"/>
  <c r="AB1439" i="26"/>
  <c r="AB1425" i="26"/>
  <c r="AB1415" i="26"/>
  <c r="AB1400" i="26"/>
  <c r="AB1461" i="26"/>
  <c r="AB1710" i="26"/>
  <c r="AB1620" i="26"/>
  <c r="AB1449" i="26"/>
  <c r="AB1371" i="26"/>
  <c r="AB19" i="26"/>
  <c r="AB15" i="26"/>
  <c r="AB929" i="26"/>
  <c r="AB1285" i="26"/>
  <c r="AB1080" i="26"/>
  <c r="AB1004" i="26"/>
  <c r="AB808" i="26"/>
  <c r="AB1713" i="26"/>
  <c r="AB1698" i="26"/>
  <c r="AB1689" i="26"/>
  <c r="AB1685" i="26"/>
  <c r="AB1660" i="26"/>
  <c r="AB1652" i="26"/>
  <c r="AB1567" i="26"/>
  <c r="AB1558" i="26"/>
  <c r="AB1442" i="26"/>
  <c r="AB1424" i="26"/>
  <c r="AB1418" i="26"/>
  <c r="AB1399" i="26"/>
  <c r="AB1346" i="26"/>
  <c r="AB1696" i="26"/>
  <c r="AB1569" i="26"/>
  <c r="AB1419" i="26"/>
  <c r="AB22" i="26"/>
  <c r="AB1255" i="26"/>
  <c r="AB1329" i="26"/>
  <c r="AB1307" i="26"/>
  <c r="AB1206" i="26"/>
  <c r="AB1176" i="26"/>
  <c r="AB924" i="26"/>
  <c r="AB814" i="26"/>
  <c r="AB1070" i="26"/>
  <c r="AB781" i="26"/>
  <c r="AB47" i="26"/>
  <c r="AB1721" i="26"/>
  <c r="AB1716" i="26"/>
  <c r="AB1701" i="26"/>
  <c r="AB1688" i="26"/>
  <c r="AB1677" i="26"/>
  <c r="AB1650" i="26"/>
  <c r="AB1622" i="26"/>
  <c r="AB1608" i="26"/>
  <c r="AB1598" i="26"/>
  <c r="AB1566" i="26"/>
  <c r="AB1562" i="26"/>
  <c r="AB1552" i="26"/>
  <c r="AB1495" i="26"/>
  <c r="AB1448" i="26"/>
  <c r="AB1417" i="26"/>
  <c r="AB1378" i="26"/>
  <c r="AB1374" i="26"/>
  <c r="AB1365" i="26"/>
  <c r="AB1561" i="26"/>
  <c r="AB1504" i="26"/>
  <c r="AB1661" i="26"/>
  <c r="AB1421" i="26"/>
  <c r="AB468" i="26"/>
  <c r="AB411" i="26"/>
  <c r="AB131" i="26"/>
  <c r="AB1309" i="26"/>
  <c r="AB1324" i="26"/>
  <c r="AB1279" i="26"/>
  <c r="AB1257" i="26"/>
  <c r="AB1328" i="26"/>
  <c r="AB1244" i="26"/>
  <c r="AB1125" i="26"/>
  <c r="AB940" i="26"/>
  <c r="AB1715" i="26"/>
  <c r="AB1711" i="26"/>
  <c r="AB1700" i="26"/>
  <c r="AB1687" i="26"/>
  <c r="AB1675" i="26"/>
  <c r="AB1640" i="26"/>
  <c r="AB1636" i="26"/>
  <c r="AB1625" i="26"/>
  <c r="AB1607" i="26"/>
  <c r="AB1570" i="26"/>
  <c r="AB1551" i="26"/>
  <c r="AB1502" i="26"/>
  <c r="AB1494" i="26"/>
  <c r="AB1471" i="26"/>
  <c r="AB1444" i="26"/>
  <c r="AB1426" i="26"/>
  <c r="AB1422" i="26"/>
  <c r="AB1416" i="26"/>
  <c r="AB1401" i="26"/>
  <c r="AB1377" i="26"/>
  <c r="AB1364" i="26"/>
  <c r="AB1360" i="26"/>
  <c r="AB1465" i="26"/>
  <c r="AB1718" i="26"/>
  <c r="AB1634" i="26"/>
  <c r="AB1390" i="26"/>
  <c r="K1667" i="26"/>
  <c r="L451" i="26"/>
  <c r="Z1761" i="26"/>
  <c r="AB1761" i="26"/>
  <c r="B1533" i="26"/>
  <c r="B1534" i="26"/>
  <c r="B1535" i="26"/>
  <c r="B1536" i="26"/>
  <c r="B1537" i="26"/>
  <c r="B1538" i="26"/>
  <c r="B1539" i="26"/>
  <c r="B1540" i="26"/>
  <c r="B1541" i="26"/>
  <c r="B1542" i="26"/>
  <c r="B1543" i="26"/>
  <c r="B1544" i="26"/>
  <c r="B1545" i="26"/>
  <c r="K1827" i="26"/>
  <c r="X216" i="26"/>
  <c r="L236" i="26"/>
  <c r="X1975" i="26"/>
  <c r="X197" i="26"/>
  <c r="Y197" i="26"/>
  <c r="X42" i="26"/>
  <c r="L324" i="26"/>
  <c r="L1457" i="26"/>
  <c r="X1678" i="26"/>
  <c r="K944" i="26"/>
  <c r="L1667" i="26"/>
  <c r="X575" i="26"/>
  <c r="K451" i="26"/>
  <c r="K658" i="26"/>
  <c r="L944" i="26"/>
  <c r="L658" i="26"/>
  <c r="L1232" i="26"/>
  <c r="L1980" i="26"/>
  <c r="Y1956" i="26"/>
  <c r="Z1956" i="26"/>
  <c r="AB1956" i="26"/>
  <c r="X1510" i="26"/>
  <c r="X189" i="26"/>
  <c r="X1453" i="26"/>
  <c r="AB51" i="26"/>
  <c r="X497" i="26"/>
  <c r="AB1594" i="26"/>
  <c r="X235" i="26"/>
  <c r="AB651" i="26"/>
  <c r="Z1822" i="26"/>
  <c r="AB1822" i="26"/>
  <c r="X1824" i="26"/>
  <c r="X1162" i="26"/>
  <c r="AB856" i="26"/>
  <c r="X913" i="26"/>
  <c r="X937" i="26"/>
  <c r="X942" i="26"/>
  <c r="AB1031" i="26"/>
  <c r="X1434" i="26"/>
  <c r="X1228" i="26"/>
  <c r="X324" i="26"/>
  <c r="AB385" i="26"/>
  <c r="X1901" i="26"/>
  <c r="X1384" i="26"/>
  <c r="AB762" i="26"/>
  <c r="X1020" i="26"/>
  <c r="AB1243" i="26"/>
  <c r="X1291" i="26"/>
  <c r="X156" i="26"/>
  <c r="X749" i="26"/>
  <c r="P2059" i="26"/>
  <c r="B33" i="26"/>
  <c r="AB14" i="26"/>
  <c r="X33" i="26"/>
  <c r="P2017" i="26"/>
  <c r="AA944" i="26"/>
  <c r="AB1678" i="26"/>
  <c r="AB1626" i="26"/>
  <c r="X451" i="26"/>
  <c r="AB236" i="26"/>
  <c r="AB214" i="26"/>
  <c r="H23" i="30"/>
  <c r="I23" i="30"/>
  <c r="F13" i="30"/>
  <c r="H13" i="30"/>
  <c r="I13" i="30"/>
  <c r="AB1196" i="26"/>
  <c r="AB1664" i="26"/>
  <c r="AB617" i="26"/>
  <c r="AB640" i="26"/>
  <c r="AB749" i="26"/>
  <c r="AB695" i="26"/>
  <c r="AB575" i="26"/>
  <c r="AB156" i="26"/>
  <c r="AB103" i="26"/>
  <c r="AB405" i="26"/>
  <c r="F12" i="30"/>
  <c r="H12" i="30"/>
  <c r="I12" i="30"/>
  <c r="AB33" i="26"/>
  <c r="AA658" i="26"/>
  <c r="AA1982" i="26"/>
  <c r="Z1975" i="26"/>
  <c r="AB1975" i="26"/>
  <c r="G15" i="30"/>
  <c r="AB656" i="26"/>
  <c r="AB324" i="26"/>
  <c r="Z1824" i="26"/>
  <c r="AB1724" i="26"/>
  <c r="H9" i="30"/>
  <c r="I9" i="30"/>
  <c r="H16" i="30"/>
  <c r="I16" i="30"/>
  <c r="G25" i="30"/>
  <c r="H25" i="30"/>
  <c r="I25" i="30"/>
  <c r="AB1627" i="26"/>
  <c r="G22" i="30"/>
  <c r="H22" i="30"/>
  <c r="I22" i="30"/>
  <c r="G8" i="30"/>
  <c r="AB1582" i="26"/>
  <c r="G24" i="30"/>
  <c r="H24" i="30"/>
  <c r="I24" i="30"/>
  <c r="AB1645" i="26"/>
  <c r="AB1384" i="26"/>
  <c r="AB1228" i="26"/>
  <c r="AB942" i="26"/>
  <c r="AB1020" i="26"/>
  <c r="AB1470" i="26"/>
  <c r="AB1396" i="26"/>
  <c r="AB1232" i="26"/>
  <c r="AB958" i="26"/>
  <c r="X1827" i="26"/>
  <c r="X236" i="26"/>
  <c r="X658" i="26"/>
  <c r="X944" i="26"/>
  <c r="X1457" i="26"/>
  <c r="L2056" i="26"/>
  <c r="L2064" i="26"/>
  <c r="X1232" i="26"/>
  <c r="AA1980" i="26"/>
  <c r="AX10" i="26" a="1"/>
  <c r="X1980" i="26"/>
  <c r="AB1667" i="26"/>
  <c r="BR10" i="26" a="1"/>
  <c r="BA10" i="26" a="1"/>
  <c r="BE10" i="26" a="1"/>
  <c r="BC10" i="26" a="1"/>
  <c r="BH10" i="26" a="1"/>
  <c r="BF10" i="26" a="1"/>
  <c r="BP10" i="26" a="1"/>
  <c r="BB10" i="26" a="1"/>
  <c r="BG10" i="26" a="1"/>
  <c r="BL10" i="26" a="1"/>
  <c r="BJ10" i="26" a="1"/>
  <c r="BM10" i="26" a="1"/>
  <c r="BI10" i="26" a="1"/>
  <c r="BN10" i="26" a="1"/>
  <c r="AV10" i="26" a="1"/>
  <c r="BQ10" i="26" a="1"/>
  <c r="BO10" i="26" a="1"/>
  <c r="AW10" i="26" a="1"/>
  <c r="AW10" i="26"/>
  <c r="G64" i="30"/>
  <c r="BS10" i="26" a="1"/>
  <c r="BS10" i="26"/>
  <c r="G85" i="30"/>
  <c r="AY10" i="26" a="1"/>
  <c r="AZ10" i="26" a="1"/>
  <c r="AZ10" i="26"/>
  <c r="G67" i="30"/>
  <c r="BD10" i="26" a="1"/>
  <c r="BD10" i="26"/>
  <c r="G71" i="30"/>
  <c r="F71" i="30"/>
  <c r="BK10" i="26" a="1"/>
  <c r="BK10" i="26"/>
  <c r="AB944" i="26"/>
  <c r="AB451" i="26"/>
  <c r="Z1827" i="26"/>
  <c r="AB1824" i="26"/>
  <c r="AB56" i="26"/>
  <c r="BM10" i="26"/>
  <c r="G79" i="30"/>
  <c r="F79" i="30"/>
  <c r="AY10" i="26"/>
  <c r="G66" i="30"/>
  <c r="F66" i="30"/>
  <c r="BB10" i="26"/>
  <c r="G69" i="30"/>
  <c r="BL10" i="26"/>
  <c r="G78" i="30"/>
  <c r="BN10" i="26"/>
  <c r="G80" i="30"/>
  <c r="BA10" i="26"/>
  <c r="G68" i="30"/>
  <c r="AX10" i="26"/>
  <c r="G65" i="30"/>
  <c r="BI10" i="26"/>
  <c r="G76" i="30"/>
  <c r="AV10" i="26"/>
  <c r="G63" i="30"/>
  <c r="BH10" i="26"/>
  <c r="G75" i="30"/>
  <c r="BF10" i="26"/>
  <c r="G73" i="30"/>
  <c r="BC10" i="26"/>
  <c r="G70" i="30"/>
  <c r="BQ10" i="26"/>
  <c r="G83" i="30"/>
  <c r="BO10" i="26"/>
  <c r="G81" i="30"/>
  <c r="BP10" i="26"/>
  <c r="G82" i="30"/>
  <c r="BJ10" i="26"/>
  <c r="G77" i="30"/>
  <c r="BG10" i="26"/>
  <c r="G74" i="30"/>
  <c r="BE10" i="26"/>
  <c r="G72" i="30"/>
  <c r="BR10" i="26"/>
  <c r="G84" i="30"/>
  <c r="AB1291" i="26"/>
  <c r="F15" i="30"/>
  <c r="H15" i="30"/>
  <c r="I15" i="30"/>
  <c r="AB1510" i="26"/>
  <c r="F20" i="30"/>
  <c r="H20" i="30"/>
  <c r="I20" i="30"/>
  <c r="AB913" i="26"/>
  <c r="F8" i="30"/>
  <c r="H8" i="30"/>
  <c r="I8" i="30"/>
  <c r="AB1434" i="26"/>
  <c r="F17" i="30"/>
  <c r="H17" i="30"/>
  <c r="I17" i="30"/>
  <c r="AB1162" i="26"/>
  <c r="F11" i="30"/>
  <c r="H11" i="30"/>
  <c r="I11" i="30"/>
  <c r="AB849" i="26"/>
  <c r="F7" i="30"/>
  <c r="F18" i="30"/>
  <c r="AB1614" i="26"/>
  <c r="F21" i="30"/>
  <c r="H21" i="30"/>
  <c r="I21" i="30"/>
  <c r="AB1440" i="26"/>
  <c r="X2072" i="26"/>
  <c r="X2075" i="26"/>
  <c r="X2076" i="26"/>
  <c r="L2072" i="26"/>
  <c r="AB1827" i="26"/>
  <c r="AB658" i="26"/>
  <c r="F73" i="30"/>
  <c r="F85" i="30"/>
  <c r="F69" i="30"/>
  <c r="F77" i="30"/>
  <c r="F81" i="30"/>
  <c r="F75" i="30"/>
  <c r="F65" i="30"/>
  <c r="F64" i="30"/>
  <c r="F67" i="30"/>
  <c r="F82" i="30"/>
  <c r="F83" i="30"/>
  <c r="G87" i="30"/>
  <c r="H82" i="30"/>
  <c r="F63" i="30"/>
  <c r="F68" i="30"/>
  <c r="F74" i="30"/>
  <c r="F72" i="30"/>
  <c r="F70" i="30"/>
  <c r="F76" i="30"/>
  <c r="F80" i="30"/>
  <c r="F78" i="30"/>
  <c r="F27" i="30"/>
  <c r="H7" i="30"/>
  <c r="X2073" i="26"/>
  <c r="X2078" i="26"/>
  <c r="X2080" i="26"/>
  <c r="Z1980" i="26"/>
  <c r="H70" i="30"/>
  <c r="H84" i="30"/>
  <c r="H78" i="30"/>
  <c r="H76" i="30"/>
  <c r="H72" i="30"/>
  <c r="H68" i="30"/>
  <c r="H74" i="30"/>
  <c r="H63" i="30"/>
  <c r="H77" i="30"/>
  <c r="F87" i="30"/>
  <c r="H71" i="30"/>
  <c r="H66" i="30"/>
  <c r="H79" i="30"/>
  <c r="H64" i="30"/>
  <c r="H75" i="30"/>
  <c r="H85" i="30"/>
  <c r="H65" i="30"/>
  <c r="H81" i="30"/>
  <c r="H80" i="30"/>
  <c r="H83" i="30"/>
  <c r="H67" i="30"/>
  <c r="H69" i="30"/>
  <c r="H73" i="30"/>
  <c r="I7" i="30"/>
  <c r="K1232" i="26"/>
  <c r="E27" i="30"/>
  <c r="K1382" i="26"/>
  <c r="K1384" i="26"/>
  <c r="D19" i="22" a="1"/>
  <c r="D19" i="22"/>
  <c r="Q19" i="22"/>
  <c r="D27" i="22" a="1"/>
  <c r="D27" i="22"/>
  <c r="Q27" i="22"/>
  <c r="D21" i="22" a="1"/>
  <c r="D21" i="22"/>
  <c r="Q21" i="22"/>
  <c r="M2056" i="26"/>
  <c r="E33" i="22" a="1"/>
  <c r="E33" i="22"/>
  <c r="D24" i="22" a="1"/>
  <c r="D24" i="22"/>
  <c r="Q24" i="22"/>
  <c r="D18" i="22" a="1"/>
  <c r="D18" i="22"/>
  <c r="Q18" i="22"/>
  <c r="D33" i="22" a="1"/>
  <c r="D33" i="22"/>
  <c r="D20" i="22" a="1"/>
  <c r="D20" i="22"/>
  <c r="Q20" i="22"/>
  <c r="D25" i="22" a="1"/>
  <c r="D25" i="22"/>
  <c r="E32" i="22" a="1"/>
  <c r="E32" i="22"/>
  <c r="M2016" i="26"/>
  <c r="M2064" i="26"/>
  <c r="D28" i="22" a="1"/>
  <c r="D28" i="22"/>
  <c r="Q28" i="22"/>
  <c r="D23" i="22" a="1"/>
  <c r="D23" i="22"/>
  <c r="Q23" i="22"/>
  <c r="D29" i="22" a="1"/>
  <c r="D29" i="22"/>
  <c r="Q29" i="22"/>
  <c r="E34" i="22"/>
  <c r="D30" i="22" a="1"/>
  <c r="D30" i="22"/>
  <c r="Q30" i="22"/>
  <c r="D22" i="22" a="1"/>
  <c r="D22" i="22"/>
  <c r="Q22" i="22"/>
  <c r="D26" i="22" a="1"/>
  <c r="D26" i="22"/>
  <c r="Q26" i="22"/>
  <c r="Q25" i="22"/>
  <c r="M2072" i="26"/>
  <c r="D36" i="22"/>
  <c r="Q17" i="22"/>
  <c r="D32" i="22"/>
  <c r="D34" i="22"/>
  <c r="P33" i="22"/>
  <c r="Q33" i="22"/>
  <c r="K1457" i="26"/>
  <c r="K1980" i="26"/>
  <c r="K2056" i="26"/>
  <c r="K2064" i="26"/>
  <c r="K2072" i="26"/>
  <c r="AP8" i="26"/>
  <c r="AB9" i="26"/>
  <c r="AP2064" i="26"/>
  <c r="AB1450" i="26"/>
  <c r="AB1457" i="26"/>
  <c r="AB1453" i="26"/>
  <c r="AA8" i="26"/>
  <c r="G18" i="30"/>
  <c r="H18" i="30"/>
  <c r="AB1980" i="26"/>
  <c r="AA2063" i="26"/>
  <c r="G27" i="30"/>
  <c r="I18" i="30"/>
  <c r="H27" i="30"/>
  <c r="I27" i="30"/>
  <c r="AD2064" i="26"/>
  <c r="AA2064" i="26"/>
</calcChain>
</file>

<file path=xl/sharedStrings.xml><?xml version="1.0" encoding="utf-8"?>
<sst xmlns="http://schemas.openxmlformats.org/spreadsheetml/2006/main" count="8653" uniqueCount="2125">
  <si>
    <t>Эл.монтер по рем. и обсл.эл.об.6.II</t>
  </si>
  <si>
    <t>Силушин Г.И.</t>
  </si>
  <si>
    <t>Шахматов А.С.</t>
  </si>
  <si>
    <t>СЕКТОР КРИОФИЗИЧЕСКИХ ИССЛЕДОВАНИЙ</t>
  </si>
  <si>
    <t>Дунин В.Б.</t>
  </si>
  <si>
    <t>Богословский Д.Н.</t>
  </si>
  <si>
    <t>Кислов Е.М.</t>
  </si>
  <si>
    <t>Кекелидзе Г.Д.</t>
  </si>
  <si>
    <t>Громова Е.В.</t>
  </si>
  <si>
    <t xml:space="preserve">Техник </t>
  </si>
  <si>
    <t>Кузнецов С.М.</t>
  </si>
  <si>
    <t>Волков А.И.</t>
  </si>
  <si>
    <t>Орлов А.С.</t>
  </si>
  <si>
    <t>Меркурьев А.В.</t>
  </si>
  <si>
    <t>Елишев А.А.</t>
  </si>
  <si>
    <t>Яровикова О.Б.</t>
  </si>
  <si>
    <t>Кислогубов А.М.</t>
  </si>
  <si>
    <t>Морозова Г.М.</t>
  </si>
  <si>
    <t>Шестова И.В.</t>
  </si>
  <si>
    <t>Лаборант уск.устан.                         5.I</t>
  </si>
  <si>
    <t>Лебедева Г.Г.</t>
  </si>
  <si>
    <t>Куликов Е.А.</t>
  </si>
  <si>
    <t>Жидков Н.К.</t>
  </si>
  <si>
    <t>Инженер-электроник 1 кат.</t>
  </si>
  <si>
    <t>Васендина В.А.</t>
  </si>
  <si>
    <t>Лысан В.М.</t>
  </si>
  <si>
    <t>Зинин А.В.</t>
  </si>
  <si>
    <t>Гарматюк В.Е.</t>
  </si>
  <si>
    <t>Cектор полупроводниковых детекторов (Замятин Н.И.)</t>
  </si>
  <si>
    <t>СПД</t>
  </si>
  <si>
    <t>Волков В.И.</t>
  </si>
  <si>
    <t>советники</t>
  </si>
  <si>
    <t>нач.сектора</t>
  </si>
  <si>
    <t>руководство</t>
  </si>
  <si>
    <t>Группа № 2 (Физико-техническая)</t>
  </si>
  <si>
    <t>Каретник А.М.</t>
  </si>
  <si>
    <t>Кириллов Д.А.</t>
  </si>
  <si>
    <t>Ситник И.М.</t>
  </si>
  <si>
    <t>Бушуев Ю.П.</t>
  </si>
  <si>
    <t>Костяева Н.В.</t>
  </si>
  <si>
    <t>Группа №1 (Экспериментов на поляризованной мишени)</t>
  </si>
  <si>
    <t>Инженер-программист</t>
  </si>
  <si>
    <t>Люосев Д.А.</t>
  </si>
  <si>
    <t>Шириков И.В.</t>
  </si>
  <si>
    <t>Понкин Д.О.</t>
  </si>
  <si>
    <t>Чумаков В.В.</t>
  </si>
  <si>
    <t>Петров В.Г.</t>
  </si>
  <si>
    <t>Рыбаков А.А.</t>
  </si>
  <si>
    <t xml:space="preserve">Старший инженер </t>
  </si>
  <si>
    <t>Киреев В.А.</t>
  </si>
  <si>
    <t>Филиппов И.А.</t>
  </si>
  <si>
    <t>Медведев А.В.</t>
  </si>
  <si>
    <t>Монтажник технолог. оборудования 4.I</t>
  </si>
  <si>
    <t>Филиппов Ю.А.</t>
  </si>
  <si>
    <t>Белов Д.М.</t>
  </si>
  <si>
    <t>Мигулин М.И.</t>
  </si>
  <si>
    <t>Лаборант физической лаборатории 7.I</t>
  </si>
  <si>
    <t>Маковеев Е.П.</t>
  </si>
  <si>
    <t>Сверловщик 6.II</t>
  </si>
  <si>
    <t>Малинкин В.Н.</t>
  </si>
  <si>
    <t>Слесарь механосборочных работ 5.I</t>
  </si>
  <si>
    <t>Фрезеровщик 6.III</t>
  </si>
  <si>
    <t>Подсобный рабочий             4.I</t>
  </si>
  <si>
    <t>Машинист по стирке и ремонту спецод. 4.I</t>
  </si>
  <si>
    <t>Мончинская Н.В.</t>
  </si>
  <si>
    <t>Круглова И.В.</t>
  </si>
  <si>
    <t>Неверова Е.А.</t>
  </si>
  <si>
    <t>Шарапова Г.В.</t>
  </si>
  <si>
    <t>Мусульманбеков А.Ж.</t>
  </si>
  <si>
    <t>Бровко О.И.</t>
  </si>
  <si>
    <r>
      <t>Очень маленькое отделение - 47 единиц. Какова необходимость его создания?-</t>
    </r>
    <r>
      <rPr>
        <sz val="10"/>
        <color indexed="10"/>
        <rFont val="Arial Cyr"/>
      </rPr>
      <t>объяснение в письме ЛФВЭ</t>
    </r>
  </si>
  <si>
    <t>НЭОФТИнаRHIC</t>
  </si>
  <si>
    <t>НЭОФТИнаLHC</t>
  </si>
  <si>
    <t>Отделение №5 "Научно-методических исследований и инноваций"</t>
  </si>
  <si>
    <r>
      <t>возможно уточнить название?-</t>
    </r>
    <r>
      <rPr>
        <sz val="10"/>
        <color indexed="10"/>
        <rFont val="Arial Cyr"/>
      </rPr>
      <t>без изменений</t>
    </r>
  </si>
  <si>
    <t>НЭО автоматизации физических исследований (Слепнев В.М.)</t>
  </si>
  <si>
    <t>НЭОАФИ</t>
  </si>
  <si>
    <t>Соколова Г.Е.</t>
  </si>
  <si>
    <t>Старшинова Г.И.</t>
  </si>
  <si>
    <t>Шмаренкова Е.С.</t>
  </si>
  <si>
    <t>Яшкова Т.В.</t>
  </si>
  <si>
    <t>Сектор структуры частиц (Нагайцев А.П.)</t>
  </si>
  <si>
    <t>Дмитриева Н.Э.</t>
  </si>
  <si>
    <t>Полировщик 6.III</t>
  </si>
  <si>
    <t>Механик эксперемент.стендов и установок 5.I</t>
  </si>
  <si>
    <t>Замятин Н.И.</t>
  </si>
  <si>
    <t>Черемухин А.Е.</t>
  </si>
  <si>
    <t>Елша В.В.</t>
  </si>
  <si>
    <t>Эл.монт.по.рем.и.обсл.эл.об.7.II</t>
  </si>
  <si>
    <t>ЦЕХ  ОПЫТНО-ЭКСПЕРИМЕНТАЛЬНОГО ПРОИЗВОДСТВА</t>
  </si>
  <si>
    <t>АДМИНИСТРАТИВНО-ХОЗЯЙСТВЕННОЕ ПОДРАЗДЕЛЕНИЕ</t>
  </si>
  <si>
    <t>(Руководитель - помощник директора по общим вопросам Ю.А.Анисимов)</t>
  </si>
  <si>
    <t>АДМИНИСТРАТИВНОЕ БЮРО</t>
  </si>
  <si>
    <t>за степень</t>
  </si>
  <si>
    <t>надбавка</t>
  </si>
  <si>
    <t>пр.допл.</t>
  </si>
  <si>
    <t>з/плата</t>
  </si>
  <si>
    <t>Хабаров С.В.</t>
  </si>
  <si>
    <t>Омельяненко М.М.</t>
  </si>
  <si>
    <t>(Руководитель бюро- помощник директора по общим вопросам Ю.А.Анисимов)</t>
  </si>
  <si>
    <t>Группа № 1 (Управления)</t>
  </si>
  <si>
    <t>Гоголева С.В.</t>
  </si>
  <si>
    <t>Тракторист                                  4.II</t>
  </si>
  <si>
    <t>Безногих Н.Н.</t>
  </si>
  <si>
    <t>Уборщик производственных помещений</t>
  </si>
  <si>
    <t>ОТДЕЛЕНИЕ № 6 ГЛАВНОГО ИНЖЕНЕРА</t>
  </si>
  <si>
    <t>Монтажник РЭА и П                 5.II</t>
  </si>
  <si>
    <t>Зайцева М.В.</t>
  </si>
  <si>
    <t xml:space="preserve">рабоч </t>
  </si>
  <si>
    <t>Арефьев С.А.</t>
  </si>
  <si>
    <t>Дементьев Д.В.</t>
  </si>
  <si>
    <t>Петров В.А.</t>
  </si>
  <si>
    <t>Сувариева Д.А.</t>
  </si>
  <si>
    <t>Йорданова Л.С.</t>
  </si>
  <si>
    <t>Илиева М.А.</t>
  </si>
  <si>
    <t>Нагорный С.Н.</t>
  </si>
  <si>
    <t>Михайлов К.Р.</t>
  </si>
  <si>
    <t>Шульга С.Г.</t>
  </si>
  <si>
    <t>Парайпан М.М.</t>
  </si>
  <si>
    <t xml:space="preserve"> Научный сотрудник</t>
  </si>
  <si>
    <t>Дергунов И.А.</t>
  </si>
  <si>
    <t>Майорова Н.А.</t>
  </si>
  <si>
    <t>Архипова И.Е.</t>
  </si>
  <si>
    <t>Воробьева Г.Е.</t>
  </si>
  <si>
    <t>Румянцева Н.С.</t>
  </si>
  <si>
    <t>(от ЛВЭ и ЛФЧ)</t>
  </si>
  <si>
    <t>Начальник цеха</t>
  </si>
  <si>
    <t>Заместитель начальника цеха</t>
  </si>
  <si>
    <t xml:space="preserve">ГРУППА № 1 </t>
  </si>
  <si>
    <t>именная</t>
  </si>
  <si>
    <t>Кладовщик инструмен. Клад. 4.I</t>
  </si>
  <si>
    <t>Анисимова Л.В.</t>
  </si>
  <si>
    <t>ГРУППА № 2</t>
  </si>
  <si>
    <t>Проданчук М.Р.</t>
  </si>
  <si>
    <t>Подразделение</t>
  </si>
  <si>
    <t>Блонский С.А.</t>
  </si>
  <si>
    <t>O</t>
  </si>
  <si>
    <t>ОТДЕЛЕНИЯ №1</t>
  </si>
  <si>
    <t>Итого по хозяйственному отделу:</t>
  </si>
  <si>
    <t>SO</t>
  </si>
  <si>
    <t xml:space="preserve">ОТД1 </t>
  </si>
  <si>
    <t>ОТД1</t>
  </si>
  <si>
    <t>Шурхно Н.А.</t>
  </si>
  <si>
    <t>Астахов В.И.</t>
  </si>
  <si>
    <t>Карасев Е.А.</t>
  </si>
  <si>
    <t>Слесарь-ремонтник 5.II</t>
  </si>
  <si>
    <t>Громов В.А.</t>
  </si>
  <si>
    <t xml:space="preserve">Механик ЭСиУ  5.III                             </t>
  </si>
  <si>
    <t>Монтажник РЭАиП    7.II</t>
  </si>
  <si>
    <t>Рябов В.В.</t>
  </si>
  <si>
    <t>Человек</t>
  </si>
  <si>
    <t>Шт.единиц</t>
  </si>
  <si>
    <t>Ср.зарплата</t>
  </si>
  <si>
    <t>Ср. доход</t>
  </si>
  <si>
    <t>Всего в месяц</t>
  </si>
  <si>
    <t>договора подряда</t>
  </si>
  <si>
    <t>Гранты ОИЯИ для молодежи</t>
  </si>
  <si>
    <t>Внешние совместители</t>
  </si>
  <si>
    <t>Заместитель главного инженера</t>
  </si>
  <si>
    <t>Гавриленко М.Г.</t>
  </si>
  <si>
    <t>дополнительный фонд</t>
  </si>
  <si>
    <t>руков</t>
  </si>
  <si>
    <t>ОТДЕЛЕНИЕ № 5 НАУЧНО-МЕТОДИЧЕСКИХ ИССЛЕДОВАНИЙ и ИННОВАЦИЙ</t>
  </si>
  <si>
    <r>
      <t xml:space="preserve">Ниженормативный сектор! Зачем выделять как самостоятельный сектор?- </t>
    </r>
    <r>
      <rPr>
        <sz val="10"/>
        <color indexed="10"/>
        <rFont val="Arial Cyr"/>
      </rPr>
      <t>числ.увелинена на 1 единицу</t>
    </r>
  </si>
  <si>
    <t>Журин В.Ю.</t>
  </si>
  <si>
    <t>Сектор № 2 (Лазеров на свободных электронах)</t>
  </si>
  <si>
    <t>Начальник сектора</t>
  </si>
  <si>
    <t>Главный научный сотрудник</t>
  </si>
  <si>
    <t>Каминский А.К.</t>
  </si>
  <si>
    <t>Голубых С.М.</t>
  </si>
  <si>
    <t>Любимцев Д.А.</t>
  </si>
  <si>
    <t>Рогов Ю.Н.</t>
  </si>
  <si>
    <t>Зданович Т.В.</t>
  </si>
  <si>
    <t>Группа № 3</t>
  </si>
  <si>
    <t>(Электроники источников питания)</t>
  </si>
  <si>
    <t>Блинов Н.А.</t>
  </si>
  <si>
    <t>Донягин А.М.</t>
  </si>
  <si>
    <t>Эл.монтер по рем. и обсл.эл.об.8.III</t>
  </si>
  <si>
    <t>Писарев Ю.А.</t>
  </si>
  <si>
    <t>Сектор № 3 (Корреляционных исследований)</t>
  </si>
  <si>
    <t>гр.перспективных разработок вошла в СПД</t>
  </si>
  <si>
    <t>Группа № 1 перспективных разработок</t>
  </si>
  <si>
    <t>Итого  вводится:</t>
  </si>
  <si>
    <t>Группа № 1 (Эксплуатации источников питания)</t>
  </si>
  <si>
    <t xml:space="preserve">Кроме того:1. В настоящее время в ООТиЗ нет проектов Положений о создаваемых </t>
  </si>
  <si>
    <t>Перепелкин Е.Е.</t>
  </si>
  <si>
    <t>Волошина И.Г.</t>
  </si>
  <si>
    <t>Замещение</t>
  </si>
  <si>
    <t>Савельев А.А.</t>
  </si>
  <si>
    <t>Консультант при дирекции лаборатории</t>
  </si>
  <si>
    <t>зам.дир.+нач.отделения</t>
    <phoneticPr fontId="59" type="noConversion"/>
  </si>
  <si>
    <t>зам.дир.</t>
    <phoneticPr fontId="59" type="noConversion"/>
  </si>
  <si>
    <t>советник</t>
    <phoneticPr fontId="59" type="noConversion"/>
  </si>
  <si>
    <t>Ведущий инженер по охране труда</t>
  </si>
  <si>
    <t>Соломасов Б.Т.</t>
  </si>
  <si>
    <t>Главный технический специалист</t>
  </si>
  <si>
    <t>Начальник бюро</t>
  </si>
  <si>
    <t>Инженер-конструктор 2-й категории</t>
  </si>
  <si>
    <t>Агапова В.В.</t>
  </si>
  <si>
    <t>Бычков А.В.</t>
  </si>
  <si>
    <t>Волобуева Т.И.</t>
  </si>
  <si>
    <t>Титова Г.А.</t>
  </si>
  <si>
    <t>Прахова Т.Ф.</t>
  </si>
  <si>
    <t>Воронина Е.В.</t>
  </si>
  <si>
    <t>Прудникова М.Н.</t>
  </si>
  <si>
    <t>Дергунов А.П</t>
  </si>
  <si>
    <t>Кокшарова Л.Е.</t>
  </si>
  <si>
    <t>Ульянов Н.П.</t>
  </si>
  <si>
    <r>
      <t>ниженормативный сектор №1 - 6,5 единиц-</t>
    </r>
    <r>
      <rPr>
        <sz val="10"/>
        <color indexed="10"/>
        <rFont val="Arial Cyr"/>
      </rPr>
      <t>без изменений</t>
    </r>
  </si>
  <si>
    <t>НЭОСФМС</t>
  </si>
  <si>
    <r>
      <t>кто руководитель группы №1?; излишнее выделение гр.1 В секторе №1-</t>
    </r>
    <r>
      <rPr>
        <sz val="10"/>
        <color indexed="10"/>
        <rFont val="Arial Cyr"/>
      </rPr>
      <t>объясненение есть в письме ЛФВЭ</t>
    </r>
  </si>
  <si>
    <t>Соколов А.А.</t>
  </si>
  <si>
    <t>Итого по НТОП вводится:</t>
  </si>
  <si>
    <t xml:space="preserve">НАУЧНО-ЭКСПЕРИМЕНТАЛЬНЫЙ ОТДЕЛ ИНЖЕКЦИИ И КОЛЬЦА НУКЛОТРОНА </t>
  </si>
  <si>
    <t>Мончинский В.А.</t>
  </si>
  <si>
    <t>Сектор № 1 (Кольца НУКЛОТРОНА)</t>
  </si>
  <si>
    <t xml:space="preserve">Начальник сектора </t>
  </si>
  <si>
    <t>Механик ЭСиУ 8.I</t>
  </si>
  <si>
    <t>Кукушкин А.А.</t>
  </si>
  <si>
    <t>Комогоров Э.В.</t>
  </si>
  <si>
    <t>Нестеров А.В.</t>
  </si>
  <si>
    <t>Кузнецов Г.Л.</t>
  </si>
  <si>
    <t>Коптелов А.В.</t>
  </si>
  <si>
    <t xml:space="preserve">Шлепкин И.В. </t>
  </si>
  <si>
    <t>Сергеева О.И.</t>
  </si>
  <si>
    <t>Васильева Е.В.</t>
  </si>
  <si>
    <t>Монтажник РЭА и П                    8.I</t>
  </si>
  <si>
    <t>Максименкова В.И.</t>
  </si>
  <si>
    <t>Монтажник РЭА и П                    6.II</t>
  </si>
  <si>
    <t>Рогов В.Ю.</t>
  </si>
  <si>
    <t>Щипунов А.В.</t>
  </si>
  <si>
    <t>Консультант</t>
  </si>
  <si>
    <t>Балонкин Ю.В.</t>
  </si>
  <si>
    <t>Ульянов В.В.</t>
  </si>
  <si>
    <t>Селеверстова Е.В.</t>
  </si>
  <si>
    <t>Шейнаст В.</t>
  </si>
  <si>
    <t>Кузнецова З.П.</t>
  </si>
  <si>
    <t>Тимошенко О.М.</t>
  </si>
  <si>
    <t>Гетьман В.Ф.</t>
  </si>
  <si>
    <t xml:space="preserve">Премия </t>
  </si>
  <si>
    <t>Секретарь-референт</t>
  </si>
  <si>
    <t>Фрезеровщик 6.II</t>
  </si>
  <si>
    <t xml:space="preserve">УЧАСТОК № 2 </t>
  </si>
  <si>
    <t>Королев В.С.</t>
  </si>
  <si>
    <t>слесарно-сборочный</t>
  </si>
  <si>
    <t>вед.конструктор</t>
  </si>
  <si>
    <t>Аппаратчик ожиж.водорода и гелия4.II</t>
  </si>
  <si>
    <t>ДИСПЕТЧЕРСКАЯ СЛУЖБА НУКЛОТРОНА</t>
  </si>
  <si>
    <t>Начальник слубжы</t>
  </si>
  <si>
    <t>Внутренние совместители</t>
  </si>
  <si>
    <t>Тема 1065</t>
  </si>
  <si>
    <t>Другие темы</t>
  </si>
  <si>
    <t>Монтажник сан-техн.сист.оборуд.6.II</t>
  </si>
  <si>
    <t>Лукьянов С.А.</t>
  </si>
  <si>
    <t>Дробин В.М.</t>
  </si>
  <si>
    <t>Борзунов Ю.Т.</t>
  </si>
  <si>
    <t>Стариков А.Ю.</t>
  </si>
  <si>
    <t>Карпунина И.Е.</t>
  </si>
  <si>
    <t>Долгий С.А.</t>
  </si>
  <si>
    <t>Шепелев Ю.Н.</t>
  </si>
  <si>
    <t>Пиядин С.М.</t>
  </si>
  <si>
    <t>Курилкин П.К.</t>
  </si>
  <si>
    <t>Карачук Ю.Т.</t>
  </si>
  <si>
    <t>Ливанов А.Н.</t>
  </si>
  <si>
    <t>Итого по сектору ССД вводится:</t>
  </si>
  <si>
    <t>ОТДЕЛЕНИЕ № 3 ФИЗИКИ ЧАСТИЦ</t>
  </si>
  <si>
    <t>(Начальник отделения- зам.директора лаборатории по научной работе  Ю.К.Потребеников)</t>
  </si>
  <si>
    <t>(от ЛФЧ)</t>
  </si>
  <si>
    <t>Итого по группе №2</t>
  </si>
  <si>
    <t>Штат диреции:</t>
  </si>
  <si>
    <t>Инженер-технолог 1 категории</t>
  </si>
  <si>
    <t>Поленкевич И.А.</t>
  </si>
  <si>
    <t>Шкаровский С.Н.</t>
  </si>
  <si>
    <t>Кудашкин А.В.</t>
  </si>
  <si>
    <t>Горченко В.М.</t>
  </si>
  <si>
    <t>Алексахин В.Ю.</t>
  </si>
  <si>
    <t>Эл.монтер по рем и обсл эл.обор.   7.II</t>
  </si>
  <si>
    <t>Шилов В.В.</t>
  </si>
  <si>
    <t>(Руководитель группы - внс Шаров В.И.)</t>
  </si>
  <si>
    <t>Шаров В.И.</t>
  </si>
  <si>
    <t>Черных Е.В.</t>
  </si>
  <si>
    <t>Шиндин Р.А.</t>
  </si>
  <si>
    <t>Балалыкина Т.И.</t>
  </si>
  <si>
    <t>Удовенко С.Ю.</t>
  </si>
  <si>
    <t>НЭОУС</t>
  </si>
  <si>
    <t>НЭОИФПУ</t>
  </si>
  <si>
    <t>Космачев О.С.</t>
  </si>
  <si>
    <t>Н-инженерный отд.систем электропитания Нуклотрона (Карпинский  В.Н.)</t>
  </si>
  <si>
    <t>НИОСЭН</t>
  </si>
  <si>
    <r>
      <t>кто руководитель группы №1?-</t>
    </r>
    <r>
      <rPr>
        <sz val="10"/>
        <color indexed="10"/>
        <rFont val="Arial Cyr"/>
      </rPr>
      <t>все руководители  назначены</t>
    </r>
  </si>
  <si>
    <t>Н-исследовательский криогенный отдел (Агапов Н.Н.)</t>
  </si>
  <si>
    <t>НИКО</t>
  </si>
  <si>
    <t>Диспетчерская служба НУКЛОТРОНА (Алфеев А.В.)</t>
  </si>
  <si>
    <t>ДСН</t>
  </si>
  <si>
    <t>ИЭО</t>
  </si>
  <si>
    <r>
      <t xml:space="preserve">ниженормативная группа №4 - 4 чел.! </t>
    </r>
    <r>
      <rPr>
        <sz val="10"/>
        <color indexed="10"/>
        <rFont val="Arial Cyr"/>
      </rPr>
      <t>-без изменений</t>
    </r>
  </si>
  <si>
    <t xml:space="preserve">НЭОМД </t>
  </si>
  <si>
    <r>
      <t>малочисленная группа №1 - 2,4 един.-</t>
    </r>
    <r>
      <rPr>
        <sz val="10"/>
        <color indexed="10"/>
        <rFont val="Arial Cyr"/>
      </rPr>
      <t>без изменений</t>
    </r>
  </si>
  <si>
    <t>НЭОФТИ</t>
  </si>
  <si>
    <t>Евдокимов Н.Н.</t>
  </si>
  <si>
    <t>Шаляпин В.Н.</t>
  </si>
  <si>
    <t>Мальцев А.А.</t>
  </si>
  <si>
    <t>Крячко И.А.</t>
  </si>
  <si>
    <t>Стрекаловская Е.В.</t>
  </si>
  <si>
    <t>Станков О.Ю.</t>
  </si>
  <si>
    <t>Итого по СРС вводится:</t>
  </si>
  <si>
    <t>Ефимова Е.А.</t>
  </si>
  <si>
    <t>Ефимов В.В.</t>
  </si>
  <si>
    <t>Сфна АТЛАС</t>
  </si>
  <si>
    <t>Слесарь-ремонтник 6.II</t>
  </si>
  <si>
    <t>Центр NICA-MPD</t>
  </si>
  <si>
    <t>IY</t>
  </si>
  <si>
    <t>Y</t>
  </si>
  <si>
    <t>VП</t>
  </si>
  <si>
    <t xml:space="preserve">                                               по состоянию на 15.02.08 г</t>
  </si>
  <si>
    <t>(Руководитель группы - ведущий инженер Косухин ВВ)</t>
  </si>
  <si>
    <t>Эл.монтер по рем. и обсл.эл.об.7.II</t>
  </si>
  <si>
    <t>Попков Р.Г.</t>
  </si>
  <si>
    <t>Филлипов А.Я.</t>
  </si>
  <si>
    <t>Директор лаборатории</t>
  </si>
  <si>
    <t>Литвинова Г.Н.</t>
  </si>
  <si>
    <t>Емельянов Д.Д.</t>
  </si>
  <si>
    <t>Баранова Т.А.</t>
  </si>
  <si>
    <t>Ахмадов Ф.Н.</t>
  </si>
  <si>
    <t>Шутова Н. А.</t>
  </si>
  <si>
    <t>Сергеев С.В.</t>
  </si>
  <si>
    <t xml:space="preserve">СЕКТОР СТРОУ- ДЕТЕКТОРОВ  </t>
  </si>
  <si>
    <t xml:space="preserve">СЕКТОР ДЕТЕКТОРНЫХ СИСТЕМ </t>
  </si>
  <si>
    <t>резерв</t>
  </si>
  <si>
    <t>Ефимов А.Н.</t>
  </si>
  <si>
    <t>Механик ЭСиУ                              6.II</t>
  </si>
  <si>
    <t>Липченко Л.П.</t>
  </si>
  <si>
    <t>Сергеев А.П.</t>
  </si>
  <si>
    <t>Голутвин И.А.</t>
  </si>
  <si>
    <t>Жежер В.Н.</t>
  </si>
  <si>
    <t>Бокова Т.Ю.</t>
  </si>
  <si>
    <t>Садыгов З.Я.</t>
  </si>
  <si>
    <t>Монтажник сан-техн.сист.оборуд.4.II</t>
  </si>
  <si>
    <t>Куранов А.М.</t>
  </si>
  <si>
    <t>Итого по группе №3 вводится:</t>
  </si>
  <si>
    <t>Всего по сектору №1 вводится:</t>
  </si>
  <si>
    <t>Инженер-технолог</t>
  </si>
  <si>
    <t>Итого по группе №1 вводится</t>
  </si>
  <si>
    <t>ключ</t>
  </si>
  <si>
    <t>S</t>
  </si>
  <si>
    <t>Итог</t>
  </si>
  <si>
    <t>Итого по</t>
  </si>
  <si>
    <t>Сектор №2 (Электроники детекторов)</t>
  </si>
  <si>
    <t>Володина О.А.</t>
  </si>
  <si>
    <t xml:space="preserve">Механик ЭС и У       8.II </t>
  </si>
  <si>
    <t>Московский А.Е.</t>
  </si>
  <si>
    <t>нр</t>
  </si>
  <si>
    <t>спец,</t>
  </si>
  <si>
    <t>Старший научный сотрудник</t>
  </si>
  <si>
    <t>Пономаренко Н.М.</t>
  </si>
  <si>
    <t>Сектор №1 (Детекторов частиц и приема данных)</t>
  </si>
  <si>
    <t>Петухов Ю.П.</t>
  </si>
  <si>
    <t>Группа №1 (Приема и анализа данных)</t>
  </si>
  <si>
    <t>Разница с учетом повышения начальникам и нач. отделов</t>
  </si>
  <si>
    <t>Эл.монтер по рем и обсл эл.обор.   6.II</t>
  </si>
  <si>
    <t>Купцов А.В.</t>
  </si>
  <si>
    <t>Эл.монтер по рем и обсл эл.обор.  8.II</t>
  </si>
  <si>
    <t>Кондратьев М.В.</t>
  </si>
  <si>
    <t>Эл.монтер по рем. и обсл.эл.об.5.II</t>
  </si>
  <si>
    <t>Орлов В.В.</t>
  </si>
  <si>
    <t>ИТОГО ПО ЦОЭП вводится:</t>
  </si>
  <si>
    <t>Юлдашев Б.С.</t>
  </si>
  <si>
    <t>Бутырина Е.А.</t>
  </si>
  <si>
    <t xml:space="preserve">Инженер-конструктор </t>
  </si>
  <si>
    <t>Ширшиков С.С.</t>
  </si>
  <si>
    <t>Винокурова М.В.</t>
  </si>
  <si>
    <t>Заикина М.А.</t>
  </si>
  <si>
    <t>Плотник                                       4.I</t>
  </si>
  <si>
    <t>Рисов С.В.</t>
  </si>
  <si>
    <t>Чистов А.С.</t>
  </si>
  <si>
    <t>Карташова Т.Н.</t>
  </si>
  <si>
    <t>Ставинская Е.В.</t>
  </si>
  <si>
    <t>Иванова Л.В.</t>
  </si>
  <si>
    <t>инженер-программист 1 кат.</t>
    <phoneticPr fontId="59" type="noConversion"/>
  </si>
  <si>
    <t>Итого вводится:</t>
  </si>
  <si>
    <t>Горностаева И.В.</t>
  </si>
  <si>
    <t>Должность</t>
    <phoneticPr fontId="59" type="noConversion"/>
  </si>
  <si>
    <t>Почетный директор лаборатории</t>
  </si>
  <si>
    <t>Кузьмичева Т.В</t>
  </si>
  <si>
    <t>Механик ЭСиУ                                 8.II</t>
  </si>
  <si>
    <t>Жуков И.А.</t>
  </si>
  <si>
    <t>Мялковский В.В.</t>
  </si>
  <si>
    <t>Группа №2 (Физических исследований детекторов)</t>
  </si>
  <si>
    <t>(Руководитель группы - внс Григалашвили Н. в штате дирекции)</t>
  </si>
  <si>
    <t>Сектор № 1 (Импульсных систем)</t>
  </si>
  <si>
    <t>Фатеев А.А.</t>
  </si>
  <si>
    <t>Бунин П.Д.</t>
  </si>
  <si>
    <t>Группа №1 (Теоретической и экспериментальной поддержки)</t>
  </si>
  <si>
    <t>(Руководитель группы - начальник сектора)</t>
  </si>
  <si>
    <t>Кириченко Т.Н.</t>
  </si>
  <si>
    <t>инженер-программист</t>
    <phoneticPr fontId="59" type="noConversion"/>
  </si>
  <si>
    <t>Группа №1 (Программной поддержки)</t>
  </si>
  <si>
    <t>Волков А.В.</t>
  </si>
  <si>
    <t>Слесарь механосборочных работ 7.II</t>
  </si>
  <si>
    <t>Егоров А.И.</t>
  </si>
  <si>
    <t>Слесарь механосборочных работ 8.II</t>
  </si>
  <si>
    <t>Кузнецов А.Н.</t>
  </si>
  <si>
    <t>Соколов В.Н.</t>
  </si>
  <si>
    <t>Цымбулов М.И.</t>
  </si>
  <si>
    <t>Купцов В.В.</t>
  </si>
  <si>
    <t>Монахов Д.В.</t>
  </si>
  <si>
    <t>Шевченко Е.В.</t>
  </si>
  <si>
    <t>Мыслинская О.А.</t>
  </si>
  <si>
    <t>Калагин И.И.</t>
  </si>
  <si>
    <t>Бугаев В.В.</t>
  </si>
  <si>
    <t>Серочкина Е.В</t>
  </si>
  <si>
    <t>Дубинчик Б.В.</t>
  </si>
  <si>
    <t>Михайлов С.В.</t>
  </si>
  <si>
    <t>Бутенко А.М.</t>
  </si>
  <si>
    <t>Сальникова Г.М.</t>
  </si>
  <si>
    <t>Свешникова Л.Е.</t>
  </si>
  <si>
    <t>орву</t>
  </si>
  <si>
    <t>Шарапова Л.В.</t>
  </si>
  <si>
    <t>Орлова Ю.Д.</t>
  </si>
  <si>
    <t>Руководство отделения</t>
  </si>
  <si>
    <t>Горбунова Д.И.</t>
  </si>
  <si>
    <t>Зотова Н.А.</t>
  </si>
  <si>
    <t>Научно-технический отдел пучков  (Волков В.И.)</t>
  </si>
  <si>
    <t>НТОП</t>
  </si>
  <si>
    <t>Bin</t>
  </si>
  <si>
    <t>Frequency</t>
  </si>
  <si>
    <t>Головатюк В.М.</t>
  </si>
  <si>
    <t>Механик ЭСиУ                              8.II</t>
  </si>
  <si>
    <t>Скорлупкин В.И.</t>
  </si>
  <si>
    <t>Леонов Н.А.</t>
  </si>
  <si>
    <t>Исадов В.А.</t>
  </si>
  <si>
    <t>Сектор № 3 (ТЕОРЕТИЧЕСКОЙ И МЕТОДИЧЕСКОЙ ПОДДЕРЖКИ ПРОЕКТОВ)</t>
  </si>
  <si>
    <t>Инженер-конструктор 2 категории</t>
  </si>
  <si>
    <t>Кукушкина Р.И.</t>
  </si>
  <si>
    <t>Отделениях, отделах и секторах ЛФВЭ.</t>
  </si>
  <si>
    <t>Пешехонов Д.В.</t>
  </si>
  <si>
    <t>Штат дирекции</t>
  </si>
  <si>
    <t>Савин И.А.</t>
  </si>
  <si>
    <t>Малахов А.И.</t>
  </si>
  <si>
    <t>Иванов А.В.</t>
  </si>
  <si>
    <t>ОТДЕЛЕНИЯ №4</t>
  </si>
  <si>
    <t>ОТДЕЛЕНИЯ №5</t>
  </si>
  <si>
    <r>
      <t xml:space="preserve">Создание лишних групп (сектор 2 группа №2) - </t>
    </r>
    <r>
      <rPr>
        <sz val="9"/>
        <color indexed="10"/>
        <rFont val="Arial Cyr"/>
      </rPr>
      <t>исправлено</t>
    </r>
  </si>
  <si>
    <t>Иттого:</t>
  </si>
  <si>
    <t>Сектор №1 (электроники сбора данных)</t>
  </si>
  <si>
    <t>Слепнев И.В.</t>
  </si>
  <si>
    <t>Всего по сектору №4 вводится:</t>
  </si>
  <si>
    <t>Щербакова Н.С.</t>
  </si>
  <si>
    <t>Ширков Г.Д.</t>
  </si>
  <si>
    <t>Константинов А.В.</t>
  </si>
  <si>
    <t>Васильев В.Н.</t>
  </si>
  <si>
    <t>Клочьев А.М.</t>
  </si>
  <si>
    <t>Анцупова М.А.</t>
  </si>
  <si>
    <t>Шумков В.М.</t>
  </si>
  <si>
    <t>Борисов В.В.</t>
  </si>
  <si>
    <t>Серочкина Т.Е.</t>
  </si>
  <si>
    <t>Счетчиков А.К.</t>
  </si>
  <si>
    <t>Коробков А.И.</t>
  </si>
  <si>
    <t>Писулина А.Н.</t>
  </si>
  <si>
    <t>Смирнова З.И.</t>
  </si>
  <si>
    <t>Механик ЭСиУ 8.II</t>
  </si>
  <si>
    <t>Устинов А.В.</t>
  </si>
  <si>
    <t>ГРУППА  № 1</t>
  </si>
  <si>
    <t>Пляшкевич С.Н.</t>
  </si>
  <si>
    <t>Максимчук А.И.</t>
  </si>
  <si>
    <t>Мастер</t>
  </si>
  <si>
    <t>Техник</t>
  </si>
  <si>
    <t>Демидова А.С.</t>
  </si>
  <si>
    <t>Монтажник сан-техн.сист.оборуд.5.I</t>
  </si>
  <si>
    <t>Помощник начальника цеха по хозяйственным вопросам</t>
  </si>
  <si>
    <t>Игнатова Л.Г.</t>
  </si>
  <si>
    <t>Итого по сектору №2</t>
  </si>
  <si>
    <t>НАУЧНО-ЭКСПЕРИМЕНТАЛЬНЫЙ ОТДЕЛ СПИНОВОЙ ФИЗИКИ МАЛОНУКЛОННЫХ СИСТЕМ</t>
  </si>
  <si>
    <t>Донец Е.Е.</t>
  </si>
  <si>
    <t>Шутов В.Б.</t>
  </si>
  <si>
    <t>Донец Д.Е.</t>
  </si>
  <si>
    <t xml:space="preserve">Начальник отделения </t>
  </si>
  <si>
    <t>Тютюнников С.И.</t>
  </si>
  <si>
    <t>Бутцев В.С.</t>
  </si>
  <si>
    <t>Сектор  № 1 (Радиоэлектроники)</t>
  </si>
  <si>
    <t>Группа № 1 (Технического обслуживания территории)</t>
  </si>
  <si>
    <t>Тракторист                                  4.I</t>
  </si>
  <si>
    <t xml:space="preserve">Начальник сектора   </t>
  </si>
  <si>
    <t>Мовчан С.А.</t>
  </si>
  <si>
    <t>Кирюшин Ю.Т.</t>
  </si>
  <si>
    <t>Компенс</t>
  </si>
  <si>
    <t>10%,15%</t>
  </si>
  <si>
    <t>Виноградова А.А.</t>
  </si>
  <si>
    <t>Шиманский С.С.</t>
  </si>
  <si>
    <t>Беляев А.В.</t>
  </si>
  <si>
    <t>Итого по участку №1 вводится:</t>
  </si>
  <si>
    <t>Итого по Участку №2 вводится:</t>
  </si>
  <si>
    <t>Итого по Участку №3 вводится:</t>
  </si>
  <si>
    <t>Герценбергер К.В</t>
  </si>
  <si>
    <t>Группа № 1 (Регулирования пучка)</t>
  </si>
  <si>
    <t>Пиляр Н.В.</t>
  </si>
  <si>
    <t>Рукояткина Т.В.</t>
  </si>
  <si>
    <t>Самсонов В.А.</t>
  </si>
  <si>
    <t>Гурский В.И.</t>
  </si>
  <si>
    <t>Отделение №1 ускорительное(Трубников Г.В.)</t>
  </si>
  <si>
    <t>Итого по сектору №1:</t>
  </si>
  <si>
    <t>Чепурнов В.В.</t>
  </si>
  <si>
    <t>Бобровская В.В.</t>
  </si>
  <si>
    <t>( Руководитель группы - ученый секретарь Д.В.Пешехонов)</t>
  </si>
  <si>
    <t>Старший переводчик</t>
  </si>
  <si>
    <t>Итого по группе:</t>
  </si>
  <si>
    <t>Итого по Участку №4 вводится:</t>
  </si>
  <si>
    <t>ИТОГО по ОТДЕЛЕНИЮ №6 ВВОДИТСЯ:</t>
  </si>
  <si>
    <t>исправлено</t>
  </si>
  <si>
    <t xml:space="preserve">3. Необходимо сократить все имеющиеся вакансии  (4 единицы), т.к. Лаборатория </t>
  </si>
  <si>
    <t>вакансии сокращены</t>
  </si>
  <si>
    <t>Богданов Ю.Ю.</t>
  </si>
  <si>
    <t>Эл.монтер по рем. и обсл.эл.об. 8.I</t>
  </si>
  <si>
    <t>Нефедьев С.И.</t>
  </si>
  <si>
    <t>Монтажник сан-техн.сист.оборуд.6I</t>
  </si>
  <si>
    <t>Эл.монтер по рем и обсл.эл.обор. 4.II</t>
  </si>
  <si>
    <t xml:space="preserve">Консультант </t>
  </si>
  <si>
    <t>Лаборант обраб. фильм.информации   6.II</t>
  </si>
  <si>
    <t>Лаборант обраб. фильм.информации   7.II</t>
  </si>
  <si>
    <t>Эл.монтер по рем. и обсл.эл.об.7.I</t>
  </si>
  <si>
    <t>Федосеев О.С</t>
  </si>
  <si>
    <t>Резерв на отпуск  и командировки</t>
  </si>
  <si>
    <t>Токарь 4.II</t>
  </si>
  <si>
    <t>Охрименко О.В.</t>
  </si>
  <si>
    <t>Кузнецов А.В.</t>
  </si>
  <si>
    <t>договор</t>
  </si>
  <si>
    <t>Демидова В.И.</t>
  </si>
  <si>
    <t>Ковалев Ю.С.</t>
  </si>
  <si>
    <t>Штатная численность ЛВФЭ на 2008 год</t>
  </si>
  <si>
    <t>№№</t>
  </si>
  <si>
    <t>Буряков М.Г.</t>
  </si>
  <si>
    <t>Чеплакова В.А.</t>
  </si>
  <si>
    <t>Кондратьев Н.Г.</t>
  </si>
  <si>
    <t>(начальник отделения- зам.дир.по научн.раб.Трубников Г.В.)</t>
  </si>
  <si>
    <t>Итого по НИКО вводится:</t>
  </si>
  <si>
    <t>Зинченко Ал.И.</t>
  </si>
  <si>
    <t>Монтажник сан-техн.сист.оборуд.4.I</t>
  </si>
  <si>
    <t>Группа № 1 (Физико-технических систем)</t>
  </si>
  <si>
    <t>Шабратов В.Г.</t>
  </si>
  <si>
    <t>Скрыпник А.В.</t>
  </si>
  <si>
    <t>Уханов А.Н.</t>
  </si>
  <si>
    <t>Стариков А.М.</t>
  </si>
  <si>
    <t>Кривохижин В.Г.</t>
  </si>
  <si>
    <t>Иваньшин Ю.И.</t>
  </si>
  <si>
    <t>Белотелов И.И.</t>
  </si>
  <si>
    <t>Капишин М.Н.</t>
  </si>
  <si>
    <t>Спасков В.Н.</t>
  </si>
  <si>
    <t>Никитин Д.Н.</t>
  </si>
  <si>
    <t>Архипова Т.В.</t>
  </si>
  <si>
    <t>Кукарников С.И.</t>
  </si>
  <si>
    <t>Швецов В.С</t>
  </si>
  <si>
    <t>Шокин В.И.</t>
  </si>
  <si>
    <t>Итого по группе №2:</t>
  </si>
  <si>
    <t>Итого по сектору №3 вводится:</t>
  </si>
  <si>
    <t>Сектор № 4 (Физики пучков и источников многозарядных ионов)</t>
  </si>
  <si>
    <t xml:space="preserve">Начальник сектора                          </t>
  </si>
  <si>
    <t>Александров В.С.</t>
  </si>
  <si>
    <t>Тузиков А.В.</t>
  </si>
  <si>
    <t>Младший научный сотрудник</t>
  </si>
  <si>
    <t>Филиппов А.В.</t>
  </si>
  <si>
    <t>Ширкова Е.Э.</t>
  </si>
  <si>
    <t>SSS</t>
  </si>
  <si>
    <t>(от ЛВЭ)</t>
  </si>
  <si>
    <t>Слесарь по рем.и обсл.сист.вент.6.II</t>
  </si>
  <si>
    <t>Эл.монтер по рем и обсл.эл.обор.5.II</t>
  </si>
  <si>
    <t>Эл.монтер по рем и обсл.эл.обор. 6.II</t>
  </si>
  <si>
    <t>Монтажник сан-техн.сист.оборуд.6II</t>
  </si>
  <si>
    <t>Монтажник сан-техн.сист.оборуд.5.II</t>
  </si>
  <si>
    <t>Тракторист (совм.) 4.I</t>
  </si>
  <si>
    <t>Любошиц В.В.</t>
  </si>
  <si>
    <t>Нагайцев А.П.</t>
  </si>
  <si>
    <t>зав.складом</t>
  </si>
  <si>
    <t>Слесарь механосборочных работ 6.II</t>
  </si>
  <si>
    <t>Группа № 1 (Эксплуатации)</t>
  </si>
  <si>
    <t>Бугринов Е.И.</t>
  </si>
  <si>
    <t xml:space="preserve">Механик ЭСиУ  8.III                             </t>
  </si>
  <si>
    <t>Краснов Б.Н.</t>
  </si>
  <si>
    <t>УЧАСТОК № 3</t>
  </si>
  <si>
    <t>Маканькин А.М.</t>
  </si>
  <si>
    <t>Итого по ИЭТО:</t>
  </si>
  <si>
    <t>НАУЧНО-ИНЖЕНЕРНЫЙ ОТДЕЛ СИСТЕМ ЭЛЕКТРОПИТАНИЯ  НУКЛОТРОНА</t>
  </si>
  <si>
    <t>Голубицкий О.М.</t>
  </si>
  <si>
    <t>Слесарь механосборочных работ  6.II</t>
  </si>
  <si>
    <t>спец</t>
  </si>
  <si>
    <t>Лаборант</t>
  </si>
  <si>
    <t>Бобровская А.В.</t>
  </si>
  <si>
    <t>Коршунова Т.Н</t>
  </si>
  <si>
    <t>Лапшина И.В.</t>
  </si>
  <si>
    <t>ИТОГО ПО ОТДЕЛЕНИЮ №3 вводится:</t>
  </si>
  <si>
    <t>Граменицкая М.И.</t>
  </si>
  <si>
    <t>ИЭТО</t>
  </si>
  <si>
    <t>Штат дирекции:</t>
  </si>
  <si>
    <t>Фатеев О.В.</t>
  </si>
  <si>
    <t xml:space="preserve">Сектор №2 (Идентификации </t>
  </si>
  <si>
    <t>Васильев С.Ю.</t>
  </si>
  <si>
    <t>Слесарь по рем.и обсл.сист.вент.5.II</t>
  </si>
  <si>
    <t>Волгин С.В.</t>
  </si>
  <si>
    <r>
      <t>НАУЧНО-ЭКСПЕРИМЕНТАЛЬНЫЙ ОТДЕЛ ФИЗИКИ ЛЕГКИХ КВАРКОВ</t>
    </r>
    <r>
      <rPr>
        <b/>
        <sz val="10"/>
        <rFont val="Arial Cyr"/>
      </rPr>
      <t xml:space="preserve"> и ЛЕПТОНОВ</t>
    </r>
  </si>
  <si>
    <t>Сектор №1 (Математического моделирования и анализа экспериментальных данных)</t>
  </si>
  <si>
    <t xml:space="preserve">Начальник сектора  </t>
  </si>
  <si>
    <t>НАУЧНО-ЭКСПЕРИМЕНТАЛЬНЫЙ ОТДЕЛ ФИЗИКИ ТЯЖЕЛЫХ ИОНОВ НА RHIC</t>
  </si>
  <si>
    <t>Панебратцев Ю.А.</t>
  </si>
  <si>
    <t>Сазонов С.Г.</t>
  </si>
  <si>
    <t>Ратникова Л.А.</t>
  </si>
  <si>
    <t>Федотов Ю.И.</t>
  </si>
  <si>
    <t>Группа №1 (инженерных разработок)</t>
  </si>
  <si>
    <t>Паржицкий С.С.</t>
  </si>
  <si>
    <t>Тарасова Л.Н.</t>
  </si>
  <si>
    <t>Оклад с 01.04.10</t>
    <phoneticPr fontId="59" type="noConversion"/>
  </si>
  <si>
    <t>Поливалов В.Н.</t>
  </si>
  <si>
    <t>Соловьев А.К.</t>
  </si>
  <si>
    <t>Маляр 5.II</t>
  </si>
  <si>
    <t>Румянцев Ю.В.</t>
  </si>
  <si>
    <t>Осмачко М.П.</t>
  </si>
  <si>
    <t>Эл.монтер по рем и обсл.эл.обор.7.I</t>
  </si>
  <si>
    <t>Туманов А.М.</t>
  </si>
  <si>
    <t>Смирнов В.Н.</t>
  </si>
  <si>
    <t>Смирнова Н.В.</t>
  </si>
  <si>
    <t>Васильев Ю.Н.</t>
  </si>
  <si>
    <t>Строков А.В.</t>
  </si>
  <si>
    <t>Эл.монтер по рем и обсл.эл.обор. 5.I</t>
  </si>
  <si>
    <t>Кузнецова Г.Г.</t>
  </si>
  <si>
    <t>Слесарь МСР                        7.II</t>
  </si>
  <si>
    <t>Аппаратчик ожиж.водорода и гелия 7.I</t>
  </si>
  <si>
    <t>Смирнова Т.И.</t>
  </si>
  <si>
    <t>Жабицкий В.М.</t>
  </si>
  <si>
    <t>Инженер</t>
  </si>
  <si>
    <t>Балалыкин Н.И.</t>
  </si>
  <si>
    <t>НАУЧНО-ЭКСПЕРИМЕНТАЛЬНЫЙ ОТДЕЛ УСКОРИТЕЛЬНЫХ СИСТЕМ</t>
  </si>
  <si>
    <t>Начальник отдела</t>
  </si>
  <si>
    <t>Группа № 2  (ВЧ-систем)</t>
  </si>
  <si>
    <t>Старший техник</t>
  </si>
  <si>
    <t>Группа № 2 (Ожижительных установок)</t>
  </si>
  <si>
    <t xml:space="preserve">Механик ЭСиУ   5.II                            </t>
  </si>
  <si>
    <t>Джакупов И.К.</t>
  </si>
  <si>
    <t>Лаборант физ. лаб.                   7.I</t>
  </si>
  <si>
    <t>Шевелкин А.В.</t>
  </si>
  <si>
    <t>Гребенцов А.Ю.</t>
  </si>
  <si>
    <t>Смирнов С.А.</t>
  </si>
  <si>
    <t>Митюхин С.А.</t>
  </si>
  <si>
    <t>Слесарь-ремонтник 8.II</t>
  </si>
  <si>
    <t>Повторейко А.А.</t>
  </si>
  <si>
    <t>Белага В.В.</t>
  </si>
  <si>
    <t xml:space="preserve">Замечания ООТиЗ по представленному проекту </t>
  </si>
  <si>
    <t>Дубовицкий И.Н.</t>
  </si>
  <si>
    <t>Коптева Т.Н.</t>
  </si>
  <si>
    <t>НЭО инжекции кольца НУКЛОТРОНА (Мончинский В.А.)</t>
  </si>
  <si>
    <t>НЭОИКН</t>
  </si>
  <si>
    <t>НЭОРС</t>
  </si>
  <si>
    <r>
      <t xml:space="preserve">ниженормативный отдел! - </t>
    </r>
    <r>
      <rPr>
        <sz val="10"/>
        <color indexed="10"/>
        <rFont val="Arial Cyr"/>
      </rPr>
      <t>без изменений</t>
    </r>
  </si>
  <si>
    <r>
      <t xml:space="preserve">Ниженормативный отдел! Норматив образования отдела 30 ед.!- </t>
    </r>
    <r>
      <rPr>
        <sz val="9"/>
        <color indexed="10"/>
        <rFont val="Arial Cyr"/>
      </rPr>
      <t>без изменений</t>
    </r>
  </si>
  <si>
    <t>Лабазова В.Ф.</t>
  </si>
  <si>
    <t>Исаев А.С.</t>
  </si>
  <si>
    <t>Нефедьев И.Я.</t>
  </si>
  <si>
    <t>Решетников Г.П.</t>
  </si>
  <si>
    <t>Зимин Н.И.</t>
  </si>
  <si>
    <t>Романов А.С.</t>
  </si>
  <si>
    <t>Лаборант обр.фильм.инф.физ.эксп.4.II</t>
  </si>
  <si>
    <t>Голубева Е.И.</t>
  </si>
  <si>
    <t>Механик эксп. стендов и установок 8.II</t>
  </si>
  <si>
    <t>Кладовщик инстр.клад. 6.II</t>
  </si>
  <si>
    <t>Токарев М.В.</t>
  </si>
  <si>
    <t>гальванолакокрасочных покрытий</t>
  </si>
  <si>
    <t>Миловидова В.А.</t>
  </si>
  <si>
    <t>Селезнев В.В.</t>
  </si>
  <si>
    <t>Пушкарь Р.Г.</t>
  </si>
  <si>
    <t>Вадеев А.В.</t>
  </si>
  <si>
    <t>Акимов В.П.</t>
  </si>
  <si>
    <t>Башева М.А.</t>
  </si>
  <si>
    <t>Лабазин А.В.</t>
  </si>
  <si>
    <t xml:space="preserve">ИНЖЕНЕРНЫЙ ЭНЕРГОТЕХНОЛОГИЧЕСКИЙ ОТДЕЛ </t>
  </si>
  <si>
    <t>Семин Н.В.</t>
  </si>
  <si>
    <t>4. При создание большого кол-ва самостоятельных секторов (на правах отделов)</t>
  </si>
  <si>
    <t>увеличивается кол-во руководителей на правах начальников отделов,</t>
  </si>
  <si>
    <t>Руководство(начальник отделения Тютюнников С.И.)</t>
  </si>
  <si>
    <t xml:space="preserve"> НАУЧНО-ЭКСПЕРИМЕНТАЛЬНЫЙ ОТДЕЛ ФИЗИКИ НА CMS</t>
  </si>
  <si>
    <t>Начальник  отдела</t>
  </si>
  <si>
    <t>Зубарев А.Н.</t>
  </si>
  <si>
    <t>Потребеникова Е.В.</t>
  </si>
  <si>
    <t>Слесарь МСР                        6.I</t>
  </si>
  <si>
    <t>Таранушенко С.Б.</t>
  </si>
  <si>
    <t>Старикова С.Ю.</t>
  </si>
  <si>
    <t>Стифоров Г.Г.</t>
  </si>
  <si>
    <t>Группа №3 (Реконструкции, систематизации и анализа экспериментальных данных)</t>
  </si>
  <si>
    <t>Троян А.Ю.</t>
  </si>
  <si>
    <t>Илющенко В.В.</t>
  </si>
  <si>
    <t>Пятибратова В.И.</t>
  </si>
  <si>
    <t>Рыжова Л.Ф.</t>
  </si>
  <si>
    <t>будет</t>
  </si>
  <si>
    <t>Рогова З.В.</t>
  </si>
  <si>
    <t>Соколова Г.А.</t>
  </si>
  <si>
    <t>Салмин Р.А.</t>
  </si>
  <si>
    <t>Зорин А.Г.</t>
  </si>
  <si>
    <t>Рапацкий В.Л.</t>
  </si>
  <si>
    <t>Земляничкина Е.В.</t>
  </si>
  <si>
    <t>нач.отделения</t>
  </si>
  <si>
    <t>гнс</t>
  </si>
  <si>
    <t>Пронских В.С.</t>
  </si>
  <si>
    <t>РВУ</t>
  </si>
  <si>
    <t>Бънзаров И.Ж.</t>
  </si>
  <si>
    <t>Всего по сектору №2 вводится:</t>
  </si>
  <si>
    <t>Итого по НЭОИФПУ вводится:</t>
  </si>
  <si>
    <t xml:space="preserve">НАУЧНО-ТЕХНИЧЕСКИЙ ОТДЕЛ ПУЧКОВ </t>
  </si>
  <si>
    <t>Токарь  6.II</t>
  </si>
  <si>
    <t>Токарь-расточник 8.II</t>
  </si>
  <si>
    <t>Слесарь механосборочных работ 7.I</t>
  </si>
  <si>
    <t>Слесарь механосборочных работ 8.I</t>
  </si>
  <si>
    <t>Полировщик   4.III</t>
  </si>
  <si>
    <t xml:space="preserve">Заместитель директора лаборатории по научной работе </t>
  </si>
  <si>
    <t>Всего по группе №1 вводится:</t>
  </si>
  <si>
    <t xml:space="preserve">Механик ЭСиУ   7.II                            </t>
  </si>
  <si>
    <t>- оклад</t>
  </si>
  <si>
    <t>- зарплата</t>
  </si>
  <si>
    <t>ВНС</t>
  </si>
  <si>
    <t>СНС</t>
  </si>
  <si>
    <t>НС</t>
  </si>
  <si>
    <t>МНС</t>
  </si>
  <si>
    <t>R</t>
  </si>
  <si>
    <t>Афанасьев С.В.</t>
  </si>
  <si>
    <t>Смирнов В.А.</t>
  </si>
  <si>
    <t>Дряблов Д.К.</t>
  </si>
  <si>
    <t>Инженер-электроник 1 категории</t>
  </si>
  <si>
    <t>Игамкулов З.А.</t>
  </si>
  <si>
    <t>Ведущий программист</t>
  </si>
  <si>
    <t>Семчуков П.Д.</t>
  </si>
  <si>
    <t>Шутов А.В.</t>
  </si>
  <si>
    <t>Корнегруца Н.К.</t>
  </si>
  <si>
    <t>Щукина Т.С.</t>
  </si>
  <si>
    <t xml:space="preserve">Начальник сектора                           </t>
  </si>
  <si>
    <t>Минашкин В.Ф.</t>
  </si>
  <si>
    <t xml:space="preserve">Старший научный сотрудник             </t>
  </si>
  <si>
    <t>Ноздрин М.А.</t>
  </si>
  <si>
    <t>Группа №1 (Разработки программного обеспечения)</t>
  </si>
  <si>
    <t>Аверичев Г.С.</t>
  </si>
  <si>
    <t>Инженер- программист I категории</t>
  </si>
  <si>
    <t>Ведущий прграммист</t>
  </si>
  <si>
    <t>Джинчарадзе Д.Г.</t>
  </si>
  <si>
    <t>Воронцова Н.И.</t>
  </si>
  <si>
    <t>Механик ЭСиУ 7.II</t>
  </si>
  <si>
    <t>Сектор № 1 (Источников питания)</t>
  </si>
  <si>
    <t>Сорокин А.Г.</t>
  </si>
  <si>
    <t>Иванов Е.В.</t>
  </si>
  <si>
    <t>Косинов В.А.</t>
  </si>
  <si>
    <t>Гудков С.В.</t>
  </si>
  <si>
    <t>Морозов А.В.</t>
  </si>
  <si>
    <t>Галанкин А.Б.</t>
  </si>
  <si>
    <t>Начальник групппы</t>
  </si>
  <si>
    <t>Гальваник  6.II</t>
  </si>
  <si>
    <t>Скороспешкина Т.Н.</t>
  </si>
  <si>
    <t>Cтарший научный сотрудник</t>
  </si>
  <si>
    <t>Реально</t>
  </si>
  <si>
    <t>Шевченко К.В.</t>
  </si>
  <si>
    <t>Какурин С.И.</t>
  </si>
  <si>
    <t>Мерц С.П.</t>
  </si>
  <si>
    <t>Нагдасев Р.В.</t>
  </si>
  <si>
    <t>вед.технолог</t>
  </si>
  <si>
    <t>Какорин И.Д.</t>
  </si>
  <si>
    <r>
      <t xml:space="preserve">ниженормативный отдел!- </t>
    </r>
    <r>
      <rPr>
        <sz val="10"/>
        <color indexed="10"/>
        <rFont val="Arial Cyr"/>
      </rPr>
      <t>числ.увеличена на 1 ед.</t>
    </r>
  </si>
  <si>
    <t>Сектор прикладных радиационных технологий</t>
  </si>
  <si>
    <t>СПРТ</t>
  </si>
  <si>
    <t>ССД</t>
  </si>
  <si>
    <t>СДС</t>
  </si>
  <si>
    <t>Сектор физики на АТЛАС (Кухтин В.В.)</t>
  </si>
  <si>
    <t>VI</t>
  </si>
  <si>
    <t>Сектор строу-детекторов (Кекелидзе Г.Д.)</t>
  </si>
  <si>
    <t>Терехин А.А.</t>
  </si>
  <si>
    <t>Антонов А.А.</t>
  </si>
  <si>
    <t>внс</t>
  </si>
  <si>
    <t>Инженер-программист II категории</t>
  </si>
  <si>
    <t>снс</t>
  </si>
  <si>
    <t>мнс</t>
  </si>
  <si>
    <t>нач. группы</t>
  </si>
  <si>
    <t>вед.инженер</t>
  </si>
  <si>
    <t>ст.инженер</t>
  </si>
  <si>
    <t xml:space="preserve">инженер </t>
  </si>
  <si>
    <t>ст.техник</t>
  </si>
  <si>
    <t>техник</t>
  </si>
  <si>
    <t>лаборант</t>
  </si>
  <si>
    <t>Резерв дирекции</t>
  </si>
  <si>
    <t>Выслуга</t>
  </si>
  <si>
    <t>Ночные и вечерние</t>
  </si>
  <si>
    <t>Резерв на отпуск</t>
  </si>
  <si>
    <t>Юбиляры</t>
  </si>
  <si>
    <t>Еник Т.Л.</t>
  </si>
  <si>
    <t>КОНСТРУКТОРСКИЙ ОТДЕЛ</t>
  </si>
  <si>
    <t>Конструкторское бюро №1 (NICA)</t>
  </si>
  <si>
    <t>Инженер-конструктор 1-й категории</t>
  </si>
  <si>
    <t xml:space="preserve">Конструкторское бюро № 2 (MPD)       </t>
  </si>
  <si>
    <t>Устинов С.А.</t>
  </si>
  <si>
    <t>Группа №1 (Электроники экспериментальных установок)</t>
  </si>
  <si>
    <t>Механик ЭС и У    7.II</t>
  </si>
  <si>
    <t>Лаборант физ. лаборатории    6.II</t>
  </si>
  <si>
    <t xml:space="preserve">Старший инженер   </t>
  </si>
  <si>
    <t>DP</t>
  </si>
  <si>
    <t>D</t>
  </si>
  <si>
    <t>Нач.сектора</t>
  </si>
  <si>
    <t>Нач.отдела</t>
  </si>
  <si>
    <t>(сокр.)</t>
  </si>
  <si>
    <t>Рабко Н.И.</t>
  </si>
  <si>
    <t>Эл.монтер по рем. и обсл.эл.об.8.II</t>
  </si>
  <si>
    <t>Группа № 2</t>
  </si>
  <si>
    <t>(Защиты электротехнических устройств)</t>
  </si>
  <si>
    <t>Руководство ЛВЭ</t>
  </si>
  <si>
    <t>П</t>
  </si>
  <si>
    <t>Группа советников и консультантов</t>
  </si>
  <si>
    <t>Группа № 2 (Низковольтного электрооборудования)</t>
  </si>
  <si>
    <t>Ильин А.В.</t>
  </si>
  <si>
    <t>Сектор №1 (Новой физики на CMS)</t>
  </si>
  <si>
    <t>Нач. сектора</t>
  </si>
  <si>
    <t>Стельмах Г.В.</t>
  </si>
  <si>
    <t>Мещеряков Г.В</t>
  </si>
  <si>
    <t>Ярыгин Г.А.</t>
  </si>
  <si>
    <t>Итого по группе № 2 вводится:</t>
  </si>
  <si>
    <t>Кривенков Д.О.</t>
  </si>
  <si>
    <t>Всего по сектору № 4</t>
  </si>
  <si>
    <t>Итого по НЭОФТИ вводится:</t>
  </si>
  <si>
    <t>Каттабеков Р.Р.</t>
  </si>
  <si>
    <t>Стипендия</t>
  </si>
  <si>
    <t>Усенко Е.А.</t>
  </si>
  <si>
    <t>Павлов Д.В.</t>
  </si>
  <si>
    <t>Гусев Ю.В.</t>
  </si>
  <si>
    <t>Голунов А.О.</t>
  </si>
  <si>
    <t>Щинов Б.Г.</t>
  </si>
  <si>
    <t>ОТДЕЛЕНИЕ №1 - УСКОРИТЕЛЬНОЕ</t>
  </si>
  <si>
    <t>Начальник группы</t>
  </si>
  <si>
    <t xml:space="preserve">Начальник отдела </t>
  </si>
  <si>
    <t>Коваленко А.Д.</t>
  </si>
  <si>
    <t>Дорошенко Е.Н.</t>
  </si>
  <si>
    <t>Таратин А.М.</t>
  </si>
  <si>
    <t>Группа №1 (Встречных поляризованных пучков)</t>
  </si>
  <si>
    <t>Пискунов Н.М.</t>
  </si>
  <si>
    <t>Сектор №1 (Поляризационных экспериментов на Нуклотроне) (от ЛВЭ)</t>
  </si>
  <si>
    <t>Советник при дирекции лаборатории (совместитель)</t>
  </si>
  <si>
    <t>ГРУППА СОВЕТНИКОВ И КОНСУЛЬТАНТОВ (ГСиК)</t>
  </si>
  <si>
    <t>ГСиК</t>
  </si>
  <si>
    <t>Единица</t>
  </si>
  <si>
    <t>Жильцова Н.А.</t>
  </si>
  <si>
    <t>Механик ЭСиУ 4.II</t>
  </si>
  <si>
    <t>Иванов М.В.</t>
  </si>
  <si>
    <t>Буланов И.Н.</t>
  </si>
  <si>
    <t>Лобанов Д.В.</t>
  </si>
  <si>
    <t>Тараканов В.А.</t>
  </si>
  <si>
    <t>Группа №1 (Обработки толстослойных эмульсий)</t>
  </si>
  <si>
    <t>Кондратьева Н.В.</t>
  </si>
  <si>
    <t>Куликова Л.И.</t>
  </si>
  <si>
    <t>Кокин В.И.</t>
  </si>
  <si>
    <t>Белов С.Н.</t>
  </si>
  <si>
    <t>Котляров А.А.</t>
  </si>
  <si>
    <t>Кутафин В.П.</t>
  </si>
  <si>
    <t>Морозов Д.Б.</t>
  </si>
  <si>
    <t>Шлепкин Е.И.</t>
  </si>
  <si>
    <t>инженер-конструктор</t>
  </si>
  <si>
    <t>инженер-программист</t>
  </si>
  <si>
    <t>зам.нач.отдела</t>
  </si>
  <si>
    <t>Сумма</t>
  </si>
  <si>
    <t>Товстуха В.Г.</t>
  </si>
  <si>
    <t>Всего штат</t>
  </si>
  <si>
    <t>Козловски К.К.</t>
  </si>
  <si>
    <t>Осыкин В.Г.</t>
  </si>
  <si>
    <t>Крамаренко В.А.</t>
  </si>
  <si>
    <t>Еврецких В.И.</t>
  </si>
  <si>
    <t>Ковшикова В.Е.</t>
  </si>
  <si>
    <t>Цветков</t>
  </si>
  <si>
    <t>Анисимов (Лысов)</t>
  </si>
  <si>
    <t>уборщицы</t>
  </si>
  <si>
    <t>Адм. бюро</t>
  </si>
  <si>
    <t>Коваленко</t>
  </si>
  <si>
    <t>Туманова Ю.А.</t>
  </si>
  <si>
    <t>Инженер-конструктор 3-й категории</t>
  </si>
  <si>
    <t>Елша Н.М.</t>
  </si>
  <si>
    <t>Титов С.В.</t>
  </si>
  <si>
    <t>Смирнова Н.И.</t>
  </si>
  <si>
    <t>Тур Н.Д.</t>
  </si>
  <si>
    <t>Шлепкина Т.В.</t>
  </si>
  <si>
    <t>выплаты студентам</t>
  </si>
  <si>
    <t>Монтажник сан-техн.сист.оборуд.7.II бригадир</t>
  </si>
  <si>
    <t>Храбров А.Г.</t>
  </si>
  <si>
    <t>Топурия Т.П.</t>
  </si>
  <si>
    <t>НЭОтдел многоцелевого детектора (MPD) (Кекелидзе В.Д.)</t>
  </si>
  <si>
    <t>Научно-экспериментальный отдел физики тяжелых ионов (Малахов А.И.)</t>
  </si>
  <si>
    <t>НЭОтдел спиновой физики малонуклонных систем (Коваленко А.Д.)</t>
  </si>
  <si>
    <t>Отделение № 3 "Физики частиц" (Потребенников Ю.К.)</t>
  </si>
  <si>
    <t>НЭОтдел физики тяжелых ионов на RHIC (Панебратцев Ю.А.)</t>
  </si>
  <si>
    <t>Алфеев А.В.</t>
  </si>
  <si>
    <t>Договор</t>
  </si>
  <si>
    <t>Карнюшина Л.В.</t>
  </si>
  <si>
    <t>рабочий</t>
  </si>
  <si>
    <t>Елишев А.Ф</t>
  </si>
  <si>
    <t>Механик ЭСиУ (совм) 4.I</t>
  </si>
  <si>
    <t>Итого по группе № 1 вводится:</t>
  </si>
  <si>
    <t>Сумбаев И.А.</t>
  </si>
  <si>
    <t>Руфанов И.А.</t>
  </si>
  <si>
    <t>норм</t>
  </si>
  <si>
    <t>Резерв</t>
  </si>
  <si>
    <t>зам.главного инженера</t>
  </si>
  <si>
    <t>Аверьянов А.В.</t>
  </si>
  <si>
    <t>Короткова А.М.</t>
  </si>
  <si>
    <t>Отделение №4 "Физики тяжелых ионов высоких энергий" (Вокал С.)</t>
  </si>
  <si>
    <t>Итого по СНЭО вводится:</t>
  </si>
  <si>
    <t>систем и инженерного обеспечения экспериментальных установок)</t>
  </si>
  <si>
    <t>Коровяков В.Д.</t>
  </si>
  <si>
    <t>гл.инж.</t>
    <phoneticPr fontId="59" type="noConversion"/>
  </si>
  <si>
    <t>почет.дир.</t>
    <phoneticPr fontId="59" type="noConversion"/>
  </si>
  <si>
    <t>уч.секр.</t>
    <phoneticPr fontId="59" type="noConversion"/>
  </si>
  <si>
    <t>нач.отдела (совм.)</t>
    <phoneticPr fontId="59" type="noConversion"/>
  </si>
  <si>
    <t>Анисимов А.Б.</t>
  </si>
  <si>
    <t>Салмина Е.А.</t>
  </si>
  <si>
    <t xml:space="preserve">Сектор № 1( Модуляторов) </t>
  </si>
  <si>
    <t>Дмитриева Е.А.</t>
  </si>
  <si>
    <t>Борисова Т.И.</t>
  </si>
  <si>
    <t>Лаборант уск.устан.                         8.II</t>
  </si>
  <si>
    <t>Ососов В.В.</t>
  </si>
  <si>
    <t>Заведующий техническим архивом</t>
  </si>
  <si>
    <t>Рыжова В.Н.</t>
  </si>
  <si>
    <t>общелаборатор. Черкасов</t>
  </si>
  <si>
    <t>Инженер-электроник</t>
  </si>
  <si>
    <t>Филиппова Е.Ю.</t>
  </si>
  <si>
    <t>нач.сектора (совм.)</t>
    <phoneticPr fontId="59" type="noConversion"/>
  </si>
  <si>
    <t>использ.</t>
  </si>
  <si>
    <t xml:space="preserve">Старший научный сотрудник </t>
  </si>
  <si>
    <t>Галоян А.С.</t>
  </si>
  <si>
    <t>ИТОГО по НЭОMPD вводится:</t>
  </si>
  <si>
    <t>НАУЧНО-ЭКСПЕРИМЕНТАЛЬНЫЙ ОТДЕЛ ФИЗИКИ ТЯЖЕЛЫХ ИОНОВ</t>
  </si>
  <si>
    <t xml:space="preserve">Старший инспектор </t>
  </si>
  <si>
    <t>Ляднович Л.А.</t>
  </si>
  <si>
    <t>Группа №1 (Станции внутренних мишеней, электронного и ресурсного обеспечения)</t>
  </si>
  <si>
    <t>Руководитель группы - помощник директора по общим вопросам Анисимов Ю.С.</t>
  </si>
  <si>
    <t>Кузнецов С.Н.</t>
  </si>
  <si>
    <t>Отделение №2</t>
  </si>
  <si>
    <t>Отделение №3</t>
  </si>
  <si>
    <t>Отделение №4</t>
  </si>
  <si>
    <t>Отделение №5</t>
  </si>
  <si>
    <t>Отделение №6</t>
  </si>
  <si>
    <t>Макс. резервы</t>
  </si>
  <si>
    <t>6 отделение</t>
  </si>
  <si>
    <t>УО</t>
  </si>
  <si>
    <t>Центр НИКА</t>
  </si>
  <si>
    <t>ХО+Адм.</t>
  </si>
  <si>
    <t>Всего фонд</t>
  </si>
  <si>
    <t>Резерв ЛФВЭ</t>
  </si>
  <si>
    <t>Остаток</t>
  </si>
  <si>
    <t>Остаток на темы</t>
  </si>
  <si>
    <t>тема</t>
  </si>
  <si>
    <t>Тютюнникову</t>
  </si>
  <si>
    <t>Начальники (до отдела)</t>
  </si>
  <si>
    <t>Пропорционально окладам</t>
  </si>
  <si>
    <t>Хренов А.Н.</t>
  </si>
  <si>
    <t>Кокоулина Е.С.</t>
  </si>
  <si>
    <t>Хренов И.А.</t>
  </si>
  <si>
    <t>НЭОтдел физики тяжелых ионов на LHC (Водопьянов А.С.)</t>
  </si>
  <si>
    <t xml:space="preserve">ГРУППА  № 1 </t>
  </si>
  <si>
    <t>(Широкополосных усилителей)</t>
  </si>
  <si>
    <t xml:space="preserve">ГРУППА  № 2 </t>
  </si>
  <si>
    <t>VШ</t>
  </si>
  <si>
    <t>IХ</t>
  </si>
  <si>
    <t>Нуриева А.И.</t>
  </si>
  <si>
    <t>Сектор №1 (Редких процессов)</t>
  </si>
  <si>
    <t>Мадигожин Д.Т.</t>
  </si>
  <si>
    <t>Молоканова Н.А.</t>
  </si>
  <si>
    <t>Гудзовский Е.А.</t>
  </si>
  <si>
    <t>Сапожников М.Г.</t>
  </si>
  <si>
    <t>Фещенко А.А.</t>
  </si>
  <si>
    <t>Браднова В.</t>
  </si>
  <si>
    <t xml:space="preserve">рву  </t>
  </si>
  <si>
    <r>
      <t xml:space="preserve">Группа № </t>
    </r>
    <r>
      <rPr>
        <sz val="10"/>
        <rFont val="Arial"/>
        <family val="2"/>
      </rPr>
      <t>2 (Фотоэмульсионная)</t>
    </r>
  </si>
  <si>
    <t>Русакова В.В.</t>
  </si>
  <si>
    <t>ОТДЕЛЕНИЮ №3</t>
  </si>
  <si>
    <t>ОТДЕЛЕНИЮ №4</t>
  </si>
  <si>
    <t>ОТДЕЛЕНИЮ №5</t>
  </si>
  <si>
    <t>ОТДЕЛЕНИЮ №6</t>
  </si>
  <si>
    <t>ГНС</t>
  </si>
  <si>
    <t>Станочник широкого профиля 8.III</t>
  </si>
  <si>
    <t>Лушин В.Д.</t>
  </si>
  <si>
    <t>Меркулова Н.В.</t>
  </si>
  <si>
    <t>ст.лаборант</t>
    <phoneticPr fontId="59" type="noConversion"/>
  </si>
  <si>
    <t>в процессе подготовки</t>
  </si>
  <si>
    <t>Иванов Ю.В.</t>
  </si>
  <si>
    <t>Отделение № 6 Главного инженера (Агапов Н.Н.)</t>
  </si>
  <si>
    <t>Конструкторское бюро (Шабунов А.В.)</t>
  </si>
  <si>
    <t>ЦОЭП (Цветков А.А.)</t>
  </si>
  <si>
    <t>СНЭО (Сычков С.Я.)</t>
  </si>
  <si>
    <t>Х</t>
  </si>
  <si>
    <t>Административно-хозяйственное подразделение</t>
  </si>
  <si>
    <t>Административное бюро (Анисимов Ю.А.)</t>
  </si>
  <si>
    <t>Хозяйственный отдел (Лысов В.В.)</t>
  </si>
  <si>
    <t>ВСЕГО ПО ЛФВЭ:</t>
  </si>
  <si>
    <t>Начальник ООТиЗ                                              Г.Г.Сустина</t>
  </si>
  <si>
    <t>Степени</t>
  </si>
  <si>
    <t>ЛАБОРАТОРИЯ ФИЗИКИ ВЫСОКИХ ЭНЕРГИЙ</t>
  </si>
  <si>
    <t>РУКОВОДСТВО</t>
  </si>
  <si>
    <t>нс</t>
  </si>
  <si>
    <t>Калашников Д.С.</t>
  </si>
  <si>
    <t>Бугров Е.М.</t>
  </si>
  <si>
    <t>АБ</t>
  </si>
  <si>
    <t>ХО</t>
  </si>
  <si>
    <t>Начальник ООТиЗ                                                                                        Г.Г.Сустина</t>
  </si>
  <si>
    <t>Сектор №2  (Спиновой физики малонуклонных систем)</t>
  </si>
  <si>
    <t xml:space="preserve">Механик ЭСиУ    7.III                          </t>
  </si>
  <si>
    <t>рабоч.</t>
  </si>
  <si>
    <t>Барабанов М.Ю.</t>
  </si>
  <si>
    <t>Джавадова В.М.</t>
  </si>
  <si>
    <t>Григорян С.</t>
  </si>
  <si>
    <t>Итого по отделу вводится:</t>
  </si>
  <si>
    <t>Слесарь-ремонтник 7.III</t>
  </si>
  <si>
    <t>Итого  по сектору №1:</t>
  </si>
  <si>
    <t>Сектор № 2 (Инжекции ЛУ-20)</t>
  </si>
  <si>
    <t>Говоров А.И.</t>
  </si>
  <si>
    <t>Леонов Л.А.</t>
  </si>
  <si>
    <t>Андреев В.А.</t>
  </si>
  <si>
    <t>Шпак И.В.</t>
  </si>
  <si>
    <t>Гореликова Н.А.</t>
  </si>
  <si>
    <t>Леснинова И.Ю.</t>
  </si>
  <si>
    <t>Федорова Е.В.</t>
  </si>
  <si>
    <t>Художник</t>
  </si>
  <si>
    <t>Бычкова М.В.</t>
  </si>
  <si>
    <t>Калагин В.Д.</t>
  </si>
  <si>
    <t>Панасик В.А.</t>
  </si>
  <si>
    <t>Слесарь механо-сборочн.работ    7.I</t>
  </si>
  <si>
    <t>Группа № 1 (Импульсных систем питания)</t>
  </si>
  <si>
    <t>Алфеев</t>
  </si>
  <si>
    <t>Семин</t>
  </si>
  <si>
    <t>УО Трубников</t>
  </si>
  <si>
    <t>Малахов</t>
  </si>
  <si>
    <t>Панебратцев</t>
  </si>
  <si>
    <t>было, уже нет!!!</t>
  </si>
  <si>
    <t>Артеменков Д.А.</t>
  </si>
  <si>
    <t>НАУЧНО-ЭКСПЕРИМЕНТАЛЬНЫЙ ОТДЕЛ СВЕРХПРОВОДЯЩИХ МАГНИТОВ И ТЕХНОЛОГИЙ</t>
  </si>
  <si>
    <t>Костромин С.А.</t>
  </si>
  <si>
    <t>Итого по сектору №2:</t>
  </si>
  <si>
    <t>Сектор №1 (Автоматизации и систем питания)</t>
  </si>
  <si>
    <t>Группа №1 (Вакуумного и криогенного обеспечения)</t>
  </si>
  <si>
    <t>Группа №2 (Магнитных измерений)</t>
  </si>
  <si>
    <t>НЭОСМТ</t>
  </si>
  <si>
    <t>Итого по НЭОСМТ:</t>
  </si>
  <si>
    <t>2. Почему в названиях создаваемых отделов нет слов: научно-экспериментальный …</t>
  </si>
  <si>
    <t>или научно-исследователский отдел?</t>
  </si>
  <si>
    <t>Лаборант уск.устан.,            8.II</t>
  </si>
  <si>
    <t>Ковалев В.В.</t>
  </si>
  <si>
    <t>Итого:</t>
  </si>
  <si>
    <t xml:space="preserve">должна будет предлогать их 26 сотрудникам, которых попадают под сокращение. </t>
  </si>
  <si>
    <t>Возможно эти должности можно будет ввести позже.</t>
  </si>
  <si>
    <t>Кильчаковская С.В.</t>
  </si>
  <si>
    <t>так ли необходимо такое увеличение?</t>
  </si>
  <si>
    <t>объяснение в письме ЛФВЭ</t>
  </si>
  <si>
    <t>Тихомиров В.В.</t>
  </si>
  <si>
    <t>Марьин И.И.</t>
  </si>
  <si>
    <t>Чуркин В.Г.</t>
  </si>
  <si>
    <t>Юдин И.С.</t>
  </si>
  <si>
    <t>Итого по ДСН вводится:</t>
  </si>
  <si>
    <t>Условия</t>
  </si>
  <si>
    <t>труда</t>
  </si>
  <si>
    <t>Оклад</t>
  </si>
  <si>
    <t xml:space="preserve">Доплата </t>
  </si>
  <si>
    <t>Персонал.</t>
  </si>
  <si>
    <t>Совмещ.</t>
  </si>
  <si>
    <t>Итого по сектору № 3  вводится:</t>
  </si>
  <si>
    <t>Итого по НЭОРС вводится:</t>
  </si>
  <si>
    <t>Карпинский В.Н.</t>
  </si>
  <si>
    <t>Морохова Т.Б.</t>
  </si>
  <si>
    <t>Добрынина О.В.</t>
  </si>
  <si>
    <t xml:space="preserve">Заместитель начальника отдела  </t>
  </si>
  <si>
    <t>Зубарев Е.В.</t>
  </si>
  <si>
    <t>Кондратьева Л.В.</t>
  </si>
  <si>
    <t>Смирнов А.В.</t>
  </si>
  <si>
    <t>Группа №1 (Компьютеров и сетей)</t>
  </si>
  <si>
    <t xml:space="preserve">Начальник группы </t>
  </si>
  <si>
    <t>Минаев Ю.И.</t>
  </si>
  <si>
    <t>Дыдышко В.Ф.</t>
  </si>
  <si>
    <t>Карташова Л.А.</t>
  </si>
  <si>
    <t>Монтажник РЭА и П                    7.II</t>
  </si>
  <si>
    <t>Свалов В.Л.</t>
  </si>
  <si>
    <t>НАУЧНО-ЭКСПЕРИМЕНТАЛЬНЫЙ ОТДЕЛ РАДИОЭЛЕКТРОННЫХ СИСТЕМ</t>
  </si>
  <si>
    <t>Инженер-программист 1 кат.</t>
  </si>
  <si>
    <t xml:space="preserve"> Старший научный сотрудник</t>
  </si>
  <si>
    <t>уборщик</t>
  </si>
  <si>
    <t>стипендиат</t>
  </si>
  <si>
    <t>ст.инспектор</t>
  </si>
  <si>
    <t>ст.товаровед</t>
  </si>
  <si>
    <t>вед.электроник</t>
  </si>
  <si>
    <t>инженер-электроник</t>
  </si>
  <si>
    <t>ОТДЕЛЕНИЕ №2 ФИЗИКИ НА УСКОРИТЕЛЬНОМ КОМПЛЕКСЕ НУКЛОТРОН-NICA</t>
  </si>
  <si>
    <t>ст.мастер</t>
  </si>
  <si>
    <t>мастер</t>
  </si>
  <si>
    <t>вед.программист</t>
  </si>
  <si>
    <t>ст.лаборант</t>
  </si>
  <si>
    <t>НАУЧНО-ЭКСПЕРИМЕНТАЛЬНЫЙ ОТДЕЛ МНОГОЦЕЛЕВОГО ДЕТЕКТОРА  (MPD)</t>
  </si>
  <si>
    <t>Группа  № 1 (Компрессорных установок)</t>
  </si>
  <si>
    <t>Старший мастер</t>
  </si>
  <si>
    <t>Сектор №1 (Трековых детекторов)</t>
  </si>
  <si>
    <t>Черемухина Г.А.</t>
  </si>
  <si>
    <t>Комаров В.Г.</t>
  </si>
  <si>
    <t>Помощник директора лаборатории по общим вопросам</t>
  </si>
  <si>
    <t>Главный инженер лаборатории</t>
  </si>
  <si>
    <t>Ученый секретарь лаборатории</t>
  </si>
  <si>
    <t>Механик цеха</t>
  </si>
  <si>
    <t>Черкунов Е.И.</t>
  </si>
  <si>
    <t>Слесарь-ремонтник 7.II</t>
  </si>
  <si>
    <t>Новиков В.Е.</t>
  </si>
  <si>
    <t xml:space="preserve">Инженер   </t>
  </si>
  <si>
    <t>Соболев Е.П.</t>
  </si>
  <si>
    <r>
      <t>Самое большое отделение! (40,5% численности ЛФВЭ)-</t>
    </r>
    <r>
      <rPr>
        <sz val="9"/>
        <color indexed="10"/>
        <rFont val="Arial Cyr"/>
      </rPr>
      <t>численность отделений осталась без изменений</t>
    </r>
  </si>
  <si>
    <t>Год</t>
  </si>
  <si>
    <t>ОТДЕЛЕНИЕ № 3</t>
  </si>
  <si>
    <t>Отделение №1</t>
  </si>
  <si>
    <t>Наименование</t>
  </si>
  <si>
    <t xml:space="preserve">Всего </t>
  </si>
  <si>
    <t>пп</t>
  </si>
  <si>
    <t xml:space="preserve">Ведущий инженер   </t>
  </si>
  <si>
    <t>Головенский Б.В.</t>
  </si>
  <si>
    <t>Андрюхин Р.В.</t>
  </si>
  <si>
    <t>Арефьев А.В.</t>
  </si>
  <si>
    <t>Шимкус С.И.</t>
  </si>
  <si>
    <t>Румянцев М.М.</t>
  </si>
  <si>
    <t>Орлов О.Е.</t>
  </si>
  <si>
    <t>Колесников А.О.</t>
  </si>
  <si>
    <t>Тихонов И.А.</t>
  </si>
  <si>
    <t>Журавлев А.А.</t>
  </si>
  <si>
    <t>отдела</t>
  </si>
  <si>
    <t>шт.дир.</t>
  </si>
  <si>
    <t>Итого</t>
  </si>
  <si>
    <t>I</t>
  </si>
  <si>
    <t>Ш</t>
  </si>
  <si>
    <t>НЭО ускорительных систем (Сумбаев А.П.)</t>
  </si>
  <si>
    <t>НЭО инженерно-физических проблем ускорителей (Сидоров А.И.)</t>
  </si>
  <si>
    <t>Власов Н.В.</t>
  </si>
  <si>
    <t>Итого по сектору №1 вводится:</t>
  </si>
  <si>
    <t>Группа № 2 (Ученого секретаря)</t>
  </si>
  <si>
    <t>Ладыгин Е.А.</t>
  </si>
  <si>
    <t>Ускорительное отделение</t>
  </si>
  <si>
    <t>Остальным</t>
  </si>
  <si>
    <t>Добавка</t>
  </si>
  <si>
    <t>Резерв в ЛФЧ (отделы ЛФЧ и ЛВЭ)</t>
  </si>
  <si>
    <t>RO</t>
  </si>
  <si>
    <t>Сумбаев</t>
  </si>
  <si>
    <t>Сидоров</t>
  </si>
  <si>
    <t>Шаляпин</t>
  </si>
  <si>
    <t>Волков</t>
  </si>
  <si>
    <t>Мончинский</t>
  </si>
  <si>
    <t>Бровко</t>
  </si>
  <si>
    <t>Карпинский</t>
  </si>
  <si>
    <t>Агапов</t>
  </si>
  <si>
    <t>Инженер-программист 1 категории</t>
  </si>
  <si>
    <t>Зарубина И.Г.</t>
  </si>
  <si>
    <t>Итого по сектору № 4 вводится:</t>
  </si>
  <si>
    <t>Итого по сектору №5 вводится:</t>
  </si>
  <si>
    <t>ВСЕГО ПО НЭОИКН:</t>
  </si>
  <si>
    <t xml:space="preserve">Начальник группы                            </t>
  </si>
  <si>
    <t>Горбачев Е.В.</t>
  </si>
  <si>
    <t>Смолков Р.А.</t>
  </si>
  <si>
    <t>ССД</t>
    <phoneticPr fontId="44" type="noConversion"/>
  </si>
  <si>
    <t>СДС</t>
    <phoneticPr fontId="44" type="noConversion"/>
  </si>
  <si>
    <t>Токарь 7.III</t>
  </si>
  <si>
    <t>Токарь 8.III</t>
  </si>
  <si>
    <t>Токарь  6.III</t>
  </si>
  <si>
    <t>Божиков А.Б.</t>
  </si>
  <si>
    <t>Митюхина О.М.</t>
  </si>
  <si>
    <t>Канчикова Т.А.</t>
  </si>
  <si>
    <t>Полировщик   5.III</t>
  </si>
  <si>
    <t xml:space="preserve">Инженер </t>
  </si>
  <si>
    <t>Егоров Д.С.</t>
  </si>
  <si>
    <t>СЕРПУХОВСКОЙ НАУЧНО-ЭКСПЕРИМЕНТАЛЬНЫЙ ОТДЕЛ</t>
  </si>
  <si>
    <t>(Эксплуатации и разработок систем управляющей электроники НУКЛОТРОНА)</t>
  </si>
  <si>
    <t xml:space="preserve">(руководитель группы - ведущий электроник Блинников Н.Н.) </t>
  </si>
  <si>
    <t>Блинников Н.Н.</t>
  </si>
  <si>
    <t>Скиба Л.П.</t>
  </si>
  <si>
    <t>Ефимов Л.Г.</t>
  </si>
  <si>
    <t>Никитин А.М.</t>
  </si>
  <si>
    <t>Светов А.Л.</t>
  </si>
  <si>
    <t>Клементьев В.В.</t>
  </si>
  <si>
    <t>Турманов В.Д.</t>
  </si>
  <si>
    <t xml:space="preserve">УЧАСТОК № 1 </t>
  </si>
  <si>
    <t>механический</t>
  </si>
  <si>
    <t xml:space="preserve">Мастер </t>
  </si>
  <si>
    <t>Нукин А.Н.</t>
  </si>
  <si>
    <t>инженер-программист 2 кат.</t>
    <phoneticPr fontId="59" type="noConversion"/>
  </si>
  <si>
    <t>Тяпкин И.А.</t>
  </si>
  <si>
    <t>Владимирова Н.М.</t>
  </si>
  <si>
    <t>Лобастов С.П.</t>
  </si>
  <si>
    <t>Бабкин В.А.</t>
  </si>
  <si>
    <t>Кладовщик инструмен. Клад. 5.I</t>
  </si>
  <si>
    <t>Дмитриева Е.И.</t>
  </si>
  <si>
    <t>Лаборант физ.лаборат.                   7.II</t>
  </si>
  <si>
    <t>Должность</t>
  </si>
  <si>
    <t>Категория</t>
  </si>
  <si>
    <t>Штат</t>
  </si>
  <si>
    <t>Ш./д.</t>
  </si>
  <si>
    <t>ФИО</t>
  </si>
  <si>
    <t>Гаранжа Н.И.</t>
  </si>
  <si>
    <t>Итого по группе №2 вводится:</t>
  </si>
  <si>
    <t>СЕКТОР РЕНТГЕНОВСКОЙ СПЕКТОРСКОПИИ</t>
  </si>
  <si>
    <t xml:space="preserve">Начальник сектора    </t>
  </si>
  <si>
    <t>Буторин А.В.</t>
  </si>
  <si>
    <t>Тарасов В.В.</t>
  </si>
  <si>
    <t>Косухина Л.И.</t>
  </si>
  <si>
    <t>Осипенков А.Л.</t>
  </si>
  <si>
    <t>Повышение зарплат до 6000</t>
  </si>
  <si>
    <t>НИКА</t>
  </si>
  <si>
    <t>Резерв директора</t>
  </si>
  <si>
    <t>Сектор № 1 (Исследований структуры ядер и частиц при экстремальных условиях)</t>
  </si>
  <si>
    <t>Агакишиев Г.Н.</t>
  </si>
  <si>
    <t>Кечечян А.О.</t>
  </si>
  <si>
    <t>Дедович Т.Г.</t>
  </si>
  <si>
    <t>Сидоров Н.Е.</t>
  </si>
  <si>
    <t>Клыгина К.В.</t>
  </si>
  <si>
    <t>Водопьянов</t>
  </si>
  <si>
    <t>Слепнев</t>
  </si>
  <si>
    <t>Эл.монтер по рем.иобсл.эл.об.7.III</t>
  </si>
  <si>
    <t>Всего по сектору №2:</t>
  </si>
  <si>
    <t>Сектор № 3 (Электронно-лучевого источника ионов)</t>
  </si>
  <si>
    <t>Шилов В.Ю.</t>
  </si>
  <si>
    <t>Инженер-электроник 2 кат.</t>
  </si>
  <si>
    <t>Баскаков А.Е.</t>
  </si>
  <si>
    <t>Лаборантфиз.лаборатории         6.I</t>
  </si>
  <si>
    <t>Краснова Л.М.</t>
  </si>
  <si>
    <t>Павлюкевич В.А.</t>
  </si>
  <si>
    <t>Юревич В.И.</t>
  </si>
  <si>
    <t>Итого по  НЭОФТИ на RHIC</t>
  </si>
  <si>
    <t>НАУЧНО-ЭКСПЕРИМЕНТАЛЬНЫЙ ОТДЕЛ ФИЗИКИ ТЯЖЕЛЫХ ИОНОВ НА LHC</t>
  </si>
  <si>
    <t>Арефьев В.А.</t>
  </si>
  <si>
    <t>Старченко Т.И.</t>
  </si>
  <si>
    <t>Малинина Л.В.</t>
  </si>
  <si>
    <t>Механик ЭСиУ                                 7.II</t>
  </si>
  <si>
    <t>Троян Ю.А.</t>
  </si>
  <si>
    <t>Киров В.С.</t>
  </si>
  <si>
    <t>Анисимов Ю.С.</t>
  </si>
  <si>
    <t>Агапов Н.Н.</t>
  </si>
  <si>
    <t>Волкова Г.Г.</t>
  </si>
  <si>
    <t>(Руководитель сектора - внс Маньяков П.К.)</t>
  </si>
  <si>
    <t>Пиляр А.В.</t>
  </si>
  <si>
    <t>Ведущий конструктор</t>
  </si>
  <si>
    <t>Титова Т.С.</t>
  </si>
  <si>
    <t>подготовки производства</t>
  </si>
  <si>
    <t>Инженер-технолог 3 категории</t>
  </si>
  <si>
    <t>Баканова М.М.</t>
  </si>
  <si>
    <r>
      <t>Двойная должность у Савина И.А.:-</t>
    </r>
    <r>
      <rPr>
        <sz val="9"/>
        <color indexed="10"/>
        <rFont val="Arial Cyr"/>
      </rPr>
      <t>исправлено</t>
    </r>
  </si>
  <si>
    <t>Ведущий инженер</t>
  </si>
  <si>
    <t>ОТД2</t>
  </si>
  <si>
    <t>Бечер Ю.</t>
  </si>
  <si>
    <t>Итого по группе №1 вводится:</t>
  </si>
  <si>
    <t>Итого по сектору №2 вводится:</t>
  </si>
  <si>
    <t>Итого по НЭОУС вводится:</t>
  </si>
  <si>
    <t>НАУЧНО-ЭКСПЕРИМЕНТАЛЬНЫЙ ОТДЕЛ ИНЖЕНЕРНО-ФИЗИЧЕСКИХ</t>
  </si>
  <si>
    <t>ПРОБЛЕМ УСКОРИТЕЛЕЙ</t>
  </si>
  <si>
    <t>Инженер-конструктор 1 категории</t>
  </si>
  <si>
    <t>Брунерс Г.А.</t>
  </si>
  <si>
    <t>Инженер-электроник 2 категории</t>
  </si>
  <si>
    <t>Прозоров О.В.</t>
  </si>
  <si>
    <t>Румянцев С.А.</t>
  </si>
  <si>
    <t xml:space="preserve">Инженер-электроник </t>
  </si>
  <si>
    <t>Костюхов Е.В.</t>
  </si>
  <si>
    <t>Зайцев Л.Н.</t>
  </si>
  <si>
    <r>
      <t>в цехе могут быть участки, а не отделения!-</t>
    </r>
    <r>
      <rPr>
        <sz val="10"/>
        <color indexed="10"/>
        <rFont val="Arial Cyr"/>
      </rPr>
      <t>структура ЦОЭП приведена в соответствие</t>
    </r>
  </si>
  <si>
    <t>СНЭО</t>
  </si>
  <si>
    <t>Кобылец Л.Г.</t>
  </si>
  <si>
    <t>Сектор №2 ( Торцевых детекторов CMS)</t>
  </si>
  <si>
    <t>Вишневский А.В.</t>
  </si>
  <si>
    <t>Сектор № 4 (Обработка толстослойных эмульсий)</t>
  </si>
  <si>
    <t>Зарубин П.И.</t>
  </si>
  <si>
    <t>Итого по НЭОФ на CMS:</t>
  </si>
  <si>
    <t>СЕКТОР ФИЗИКИ НА АТЛАС</t>
  </si>
  <si>
    <t>Кухтин В.В.</t>
  </si>
  <si>
    <t>Чеплаков А.П.</t>
  </si>
  <si>
    <t>Солошенко А.А.</t>
  </si>
  <si>
    <t>Кузнецова Л.А.</t>
  </si>
  <si>
    <t>зам.нач.отделения</t>
  </si>
  <si>
    <t>Галимов А.Р.</t>
  </si>
  <si>
    <t>Рамздорф А.Ю.</t>
  </si>
  <si>
    <t>Кудашкин И.В.</t>
  </si>
  <si>
    <t>Шурыгин А.А.</t>
  </si>
  <si>
    <t>Федоров В.В.</t>
  </si>
  <si>
    <t xml:space="preserve">Начальник отдела                                 </t>
  </si>
  <si>
    <t>Сидоров А.И.</t>
  </si>
  <si>
    <t>Старший инженер</t>
  </si>
  <si>
    <t>должность Матюшевского Е.А. изменяют на советник главн.инженера - глав.конструктор</t>
  </si>
  <si>
    <t>-должн.исправлена -Главный технический специалист</t>
  </si>
  <si>
    <t>КО</t>
  </si>
  <si>
    <t>ЦОЭП</t>
  </si>
  <si>
    <t>Лебедева И.Г.</t>
  </si>
  <si>
    <t>Федотов О.Ю.</t>
  </si>
  <si>
    <t>Элмонт.по рем. и обсл. эл.обор. 7.III</t>
  </si>
  <si>
    <t xml:space="preserve">Механик ЭСиУ  7.I                            </t>
  </si>
  <si>
    <t>Эл.монтер по рем. и обсл.эл.об.4.II</t>
  </si>
  <si>
    <t>Заведующая складом</t>
  </si>
  <si>
    <t>Эл.монтер по рем. и обсл.эл.об.7.III</t>
  </si>
  <si>
    <t>Слесарь  МСР                5.II</t>
  </si>
  <si>
    <t>Тарасов Н.А.</t>
  </si>
  <si>
    <t>Сергеева Н.А.</t>
  </si>
  <si>
    <t>Инженер-конструктор</t>
  </si>
  <si>
    <t>Макаров А.А.</t>
  </si>
  <si>
    <t>Итого по Группе №1 вводится:</t>
  </si>
  <si>
    <t>Панюшкин В.А.</t>
  </si>
  <si>
    <t>Ладыгина Н.Б.</t>
  </si>
  <si>
    <t>Иерусалимов А.П.</t>
  </si>
  <si>
    <t>Резников С.Г.</t>
  </si>
  <si>
    <t xml:space="preserve">рву факт </t>
  </si>
  <si>
    <t>Гурчин Ю.В.</t>
  </si>
  <si>
    <t>Колесников С.Ю.</t>
  </si>
  <si>
    <t>Переводчик</t>
  </si>
  <si>
    <t>Кузнецова Е.В.</t>
  </si>
  <si>
    <t>Лукстиньш Ю.Р.</t>
  </si>
  <si>
    <t>Голохвастов А.И.</t>
  </si>
  <si>
    <t>Авраменко С.А.</t>
  </si>
  <si>
    <t>Аксиненко В.Д.</t>
  </si>
  <si>
    <t>Парфенова Н.Г.</t>
  </si>
  <si>
    <t>Калашников Д.А.</t>
  </si>
  <si>
    <t>Сорин А.С.</t>
  </si>
  <si>
    <t>Батюк П.Н.</t>
  </si>
  <si>
    <t>ОТД5</t>
  </si>
  <si>
    <t>ОТД6</t>
  </si>
  <si>
    <t>Группа № 1 (Линейных индукционных ускорителей)</t>
  </si>
  <si>
    <t>Батозская В.С.</t>
  </si>
  <si>
    <r>
      <t>Малочисл.группа (сект.1 группа №1); норматив образования группы - 6 ИТР.-</t>
    </r>
    <r>
      <rPr>
        <sz val="9"/>
        <color indexed="10"/>
        <rFont val="Arial Cyr"/>
      </rPr>
      <t xml:space="preserve"> без изменений</t>
    </r>
  </si>
  <si>
    <r>
      <t>ниженорм.сект№2 - 5 чел.,сект.№4-5 чел. Норматив образования сектора 8 чел.-</t>
    </r>
    <r>
      <rPr>
        <sz val="9"/>
        <color indexed="10"/>
        <rFont val="Arial Cyr"/>
      </rPr>
      <t>без изменений</t>
    </r>
  </si>
  <si>
    <t>Компьютинг</t>
  </si>
  <si>
    <t>Остаток на повышение</t>
  </si>
  <si>
    <t>Марущак В.А.</t>
  </si>
  <si>
    <t>Золин Л.С.</t>
  </si>
  <si>
    <t>Глаголев В.В.</t>
  </si>
  <si>
    <t>Сурков Н.Н.</t>
  </si>
  <si>
    <t xml:space="preserve">Лаборант </t>
  </si>
  <si>
    <t>Сектор №2 (Физики адронов)</t>
  </si>
  <si>
    <t>Додохов В.Х.</t>
  </si>
  <si>
    <t>Номоконов П.В.</t>
  </si>
  <si>
    <t>Лобанов Ю.Ю.</t>
  </si>
  <si>
    <t>Заместитель начальника отделения по научной работе</t>
  </si>
  <si>
    <t>Сидорин А.О.</t>
  </si>
  <si>
    <t>рву</t>
  </si>
  <si>
    <t>Бутенко А.В.</t>
  </si>
  <si>
    <t>Берлев А.И.</t>
  </si>
  <si>
    <t>Рассадова А.Ю.</t>
  </si>
  <si>
    <t>Чубакова С.В.</t>
  </si>
  <si>
    <t>Шевцова В.Ю.</t>
  </si>
  <si>
    <t>Черкасов С.В.</t>
  </si>
  <si>
    <t xml:space="preserve">Ведущий научный сотрудник </t>
  </si>
  <si>
    <t>Ведущий научный сотрудник</t>
  </si>
  <si>
    <t>Косухин В.В.</t>
  </si>
  <si>
    <t>Кузнецов П.С.</t>
  </si>
  <si>
    <t>Каменев А.Ю.</t>
  </si>
  <si>
    <t>Всего по группе №3 вводится:</t>
  </si>
  <si>
    <t>Группа №4 (Электротехническая - высоковольтного оборудования)</t>
  </si>
  <si>
    <t>Сотников А.Н.</t>
  </si>
  <si>
    <t>Мельниченко И.М.</t>
  </si>
  <si>
    <t>Электрогазосварщик 6.I</t>
  </si>
  <si>
    <t>Слесарь по рем.и обсл.сист.вент. 7.I</t>
  </si>
  <si>
    <t>Слесарь по рем.и обсл.сист.вент. 4.II</t>
  </si>
  <si>
    <t>Батюня Б.В.</t>
  </si>
  <si>
    <t>Поздняков В.Н.</t>
  </si>
  <si>
    <t>Федунов А.Г.</t>
  </si>
  <si>
    <t>Запорожец С.А.</t>
  </si>
  <si>
    <t>Тихонов А.В.</t>
  </si>
  <si>
    <t>Долбилов Г.В.</t>
  </si>
  <si>
    <t>Разувакин В.Н.</t>
  </si>
  <si>
    <t>Рыжов Д.В.</t>
  </si>
  <si>
    <t>Эл.монт.по.рем.и обсл.эл.оборуд.  7.II</t>
  </si>
  <si>
    <t>Слесарь-сборщик РЭА и П         5.I</t>
  </si>
  <si>
    <t>Галанкин Л.В.</t>
  </si>
  <si>
    <t>Механик ЭС и У                          7.II</t>
  </si>
  <si>
    <t>Кинаш Р.Н.</t>
  </si>
  <si>
    <t>Кутузова Л.В.</t>
  </si>
  <si>
    <t>Сектор № 5 (Линейных ускорителей)</t>
  </si>
  <si>
    <t>Кобец В.В.</t>
  </si>
  <si>
    <t>Итого по группе №2  вводится:</t>
  </si>
  <si>
    <t>(Руководитель группы - старший инженер Осипенков А.Л.)</t>
  </si>
  <si>
    <t xml:space="preserve">НАУЧНО-ИССЛЕДОВАТЕЛЬСКИЙ  КРИОГЕННЫЙ ОТДЕЛ </t>
  </si>
  <si>
    <t>пом.дир.</t>
    <phoneticPr fontId="59" type="noConversion"/>
  </si>
  <si>
    <t>Бубелев Э.Г.</t>
  </si>
  <si>
    <t>Гуськов Б.Н.</t>
  </si>
  <si>
    <t>Михайлов К.В.</t>
  </si>
  <si>
    <t>Емельяненко В.Н.</t>
  </si>
  <si>
    <t>Итого по ОТДЕЛЕНИЮ №5  вводится:</t>
  </si>
  <si>
    <t>Итого по НЭОАФИ вводится :</t>
  </si>
  <si>
    <t>Голубев И.И.</t>
  </si>
  <si>
    <t xml:space="preserve">Советник </t>
  </si>
  <si>
    <t>Буланов В.А.</t>
  </si>
  <si>
    <t>Козлов А.П.</t>
  </si>
  <si>
    <t>(Руководитель отдела- зам.директории лаборатории по научной работе Ю.К.Потребенников)</t>
  </si>
  <si>
    <t>Ребизин С.С.</t>
  </si>
  <si>
    <t>Всего по Группе №4:</t>
  </si>
  <si>
    <t>Итого по сектору  вводится:</t>
  </si>
  <si>
    <t>Шайхатденов Б.Г.</t>
  </si>
  <si>
    <t xml:space="preserve"> ОТДЕЛЕНИЕ № 4 ФИЗИКИ ТЯЖЕЛЫХ ИОНОВ ВЫСОКИХ ЭНЕРГИЙ</t>
  </si>
  <si>
    <t>Сектор № 4 (Источника поляризованных ионов)</t>
  </si>
  <si>
    <t>Вадеев В.П.</t>
  </si>
  <si>
    <t>Варламова О.В.</t>
  </si>
  <si>
    <t xml:space="preserve">Инженер-программист </t>
  </si>
  <si>
    <t>Аверьянова В.А.</t>
  </si>
  <si>
    <t>Виноградов М.А.</t>
  </si>
  <si>
    <t>Дробин С.В.</t>
  </si>
  <si>
    <t>УЧАСТОК № 4</t>
  </si>
  <si>
    <t>монтажный</t>
  </si>
  <si>
    <t>Шарапов В.И.</t>
  </si>
  <si>
    <t>Слесарь механо-сборочных работ   7.III</t>
  </si>
  <si>
    <t>НЭОтдел физики на СMS (Зарубин А.В.)</t>
  </si>
  <si>
    <t>Монтажник РЭА и П 4.II</t>
  </si>
  <si>
    <t>НЭОФна CMS</t>
  </si>
  <si>
    <t>ССЧ</t>
  </si>
  <si>
    <t>Научный сотрудник</t>
  </si>
  <si>
    <t>Козлов О.С.</t>
  </si>
  <si>
    <t xml:space="preserve">Младший научный сотрудник </t>
  </si>
  <si>
    <t>Кочуров А.Г.</t>
  </si>
  <si>
    <t>Столяр                                        4.I</t>
  </si>
  <si>
    <t>Аракелян С.Г.</t>
  </si>
  <si>
    <t>вред</t>
  </si>
  <si>
    <t>Филатов Ю.Н.</t>
  </si>
  <si>
    <t>Группа № 1 (Автоматизации ускорителя)</t>
  </si>
  <si>
    <t>Романов С.В.</t>
  </si>
  <si>
    <t>Ведущий электроник</t>
  </si>
  <si>
    <t>Кириченко А.Е.</t>
  </si>
  <si>
    <t>Сектор № 2 (Формирования и транспортировки пучков)</t>
  </si>
  <si>
    <t>Рукояткин П.А.</t>
  </si>
  <si>
    <t>Сектор № 3 (больших множественностей)</t>
  </si>
  <si>
    <t>Никитин В.А.</t>
  </si>
  <si>
    <t>Новикова Е.Н.</t>
  </si>
  <si>
    <t>Топилин Н.Д.</t>
  </si>
  <si>
    <t>ИТОГО по ОТДЕЛЕНИЮ №1 вводится:</t>
  </si>
  <si>
    <t>Совмес-</t>
  </si>
  <si>
    <t>титель</t>
  </si>
  <si>
    <t>НЭО радиоэлектронных систем (Бровко О.И.)</t>
  </si>
  <si>
    <t>(Начальник отделения - зам.директора по научной работе Водопьянов А. С.)</t>
  </si>
  <si>
    <t>Начальник Отделения</t>
  </si>
  <si>
    <t>Строковский Е.А.</t>
  </si>
  <si>
    <t>Сектор № 2 (Анализа ядро-ядерных взаимодействий и развитие методики эксперимента)</t>
  </si>
  <si>
    <t>Разин С.В.</t>
  </si>
  <si>
    <t>Филиппов Ю.П.</t>
  </si>
  <si>
    <t>Коврижных А.М.</t>
  </si>
  <si>
    <t>Группа №1 (Криогенных систем)</t>
  </si>
  <si>
    <t>Микляев В.М.</t>
  </si>
  <si>
    <t>Машинист компрессорных установ. 6.I</t>
  </si>
  <si>
    <t>Хвостов Ю.А.</t>
  </si>
  <si>
    <t>Электросварщик ручной сварки      7.I</t>
  </si>
  <si>
    <t>Смирнов А.Е.</t>
  </si>
  <si>
    <t>Зинин Н.А.</t>
  </si>
  <si>
    <t>Итого по НЭОФЛКЛ вводится:</t>
  </si>
  <si>
    <t>Группа №2 (Теоретическая) (от ЛФЧ)</t>
  </si>
  <si>
    <t>Группа №2 (Экспериментально-методической поддержки)</t>
  </si>
  <si>
    <t>Займидорога О.А.</t>
  </si>
  <si>
    <t>Стеценко С.Г.</t>
  </si>
  <si>
    <t>штатного расписания ЛФВЭ</t>
  </si>
  <si>
    <t xml:space="preserve">Сокращенное </t>
  </si>
  <si>
    <t>назв.отделов</t>
  </si>
  <si>
    <t>шт. ед.</t>
  </si>
  <si>
    <t>Механик ЭСиУ                               4.II</t>
  </si>
  <si>
    <t>рабоч</t>
  </si>
  <si>
    <t>Каляскин А.В.</t>
  </si>
  <si>
    <t>Механик ЭСиУ                               6.II</t>
  </si>
  <si>
    <t>Кульков В.А.</t>
  </si>
  <si>
    <t>ИТОГО по ОТДЕЛЕНИЮ №2 вводится:</t>
  </si>
  <si>
    <t>ИТОГО по ОТДЕЛЕНИЮ №4 вводится:</t>
  </si>
  <si>
    <t>Итого по СДС вводится:</t>
  </si>
  <si>
    <t>НАУЧНО-ЭКСПЕРИМЕНТАЛЬНЫЙ ОТДЕЛ АВТОМАТИЗАЦИИ ФИЗИЧЕСКИХ ИССЛЕДОВАНИЙ</t>
  </si>
  <si>
    <t>нач.КБ.ЦОЭП,ХО</t>
  </si>
  <si>
    <t>токарь</t>
  </si>
  <si>
    <t xml:space="preserve">Начальник сектора                             </t>
  </si>
  <si>
    <t>Ладыгин В.П.</t>
  </si>
  <si>
    <t xml:space="preserve">рву </t>
  </si>
  <si>
    <t>Лобанов В.И.</t>
  </si>
  <si>
    <t>Ефремов А.А.</t>
  </si>
  <si>
    <t>Олекс И.А.</t>
  </si>
  <si>
    <t>Степанов В.М.</t>
  </si>
  <si>
    <t>Итого :</t>
  </si>
  <si>
    <t>Группа № 1 (Высоковольтного электрооборудования)</t>
  </si>
  <si>
    <t>Маслов А.В.</t>
  </si>
  <si>
    <t>Смирнов А.А.</t>
  </si>
  <si>
    <t>Ведущий технолог</t>
  </si>
  <si>
    <t>Чепурнов В.Ф.</t>
  </si>
  <si>
    <t>Хрипунков И.А.</t>
  </si>
  <si>
    <t>Гравер  5.II</t>
  </si>
  <si>
    <t>Монтажник технолог. оборудования 5.II</t>
  </si>
  <si>
    <t>Кунченко О.А.</t>
  </si>
  <si>
    <t>Помощник директора лаборатории по капстроительству</t>
  </si>
  <si>
    <t>Иванов А.Г.</t>
  </si>
  <si>
    <t>Главный инженер установки</t>
  </si>
  <si>
    <t>Гурылев К.Н.</t>
  </si>
  <si>
    <t xml:space="preserve"> </t>
  </si>
  <si>
    <t>Аверичев А.С.</t>
  </si>
  <si>
    <t>Липченко В.И.</t>
  </si>
  <si>
    <t xml:space="preserve">Научный сотрудник </t>
  </si>
  <si>
    <t>Зрюев В.Н.</t>
  </si>
  <si>
    <t>Семенюшкин И.Н.</t>
  </si>
  <si>
    <t>механика цеха</t>
  </si>
  <si>
    <t>НЭОтдел физики легких кварков и лептонов(Потребенников Ю.К.)</t>
  </si>
  <si>
    <t>НЭОФЛКиЛ</t>
  </si>
  <si>
    <t>Итого по УО</t>
  </si>
  <si>
    <t>ОТДЕЛЕНИЯ №2</t>
  </si>
  <si>
    <t>Строковский</t>
  </si>
  <si>
    <t>ОТДЕЛЕНИЯ №3</t>
  </si>
  <si>
    <t>Сектор рентгеновской спектроскопии (Шаляпин)</t>
  </si>
  <si>
    <t>СРС</t>
  </si>
  <si>
    <t>СК</t>
  </si>
  <si>
    <t>Шалаевский В.Р.</t>
  </si>
  <si>
    <t>Богуславский И.В.</t>
  </si>
  <si>
    <t>Круглов В.Н.</t>
  </si>
  <si>
    <t>Группа № 2 (Уборщиков помещений и территорий)</t>
  </si>
  <si>
    <t>Уборщик производств. помещений</t>
  </si>
  <si>
    <t xml:space="preserve">Группа №2 (Разработки и эксплуатации газовых и криогенных </t>
  </si>
  <si>
    <t>Филиппов Н.А.</t>
  </si>
  <si>
    <t>Виноградов А.С.</t>
  </si>
  <si>
    <t>Гончаров И.Н.</t>
  </si>
  <si>
    <t>Авдейчиков В.В.</t>
  </si>
  <si>
    <t>Мурин Ю.А.</t>
  </si>
  <si>
    <t>Итого по группе №1:</t>
  </si>
  <si>
    <t>Зарубин А.В.</t>
  </si>
  <si>
    <t>(Руководитель сектора - начальник отдела Карпинский)</t>
  </si>
  <si>
    <t>Выслуга, резерв, ночные и вечерние, юбиляры</t>
  </si>
  <si>
    <t>Доп. ИЭТО</t>
  </si>
  <si>
    <t>Ноздрина Л.М.</t>
  </si>
  <si>
    <t>рождения</t>
  </si>
  <si>
    <t>Возраст</t>
  </si>
  <si>
    <t/>
  </si>
  <si>
    <t>Митрофанова Ю.А.</t>
  </si>
  <si>
    <t>Слесарь механо-сборочных работ   7.I</t>
  </si>
  <si>
    <t>Монтажник технолог. оборудования 7.III</t>
  </si>
  <si>
    <t>Захаров А.А.</t>
  </si>
  <si>
    <t>Свинцицкий А.Ю.</t>
  </si>
  <si>
    <t>Иванов В.В.</t>
  </si>
  <si>
    <t>Яковлева Н.А.</t>
  </si>
  <si>
    <t>Емельянов Н.Э.</t>
  </si>
  <si>
    <t>Никифоров Д.Н.</t>
  </si>
  <si>
    <t>СЕКТОР ФИЗИКИ СТРАННЫХ КВАРКОВ В ЯДРАХ</t>
  </si>
  <si>
    <t>СФСКЯ</t>
  </si>
  <si>
    <t>Итого по сектору   вводится:</t>
  </si>
  <si>
    <t xml:space="preserve">Итого по Сектору вводится: </t>
  </si>
  <si>
    <t>(Начальник сектора- начальник Отделения №2 Е.А.Строковский)</t>
  </si>
  <si>
    <t>Щербаков А.Н.</t>
  </si>
  <si>
    <t xml:space="preserve">элементарных частиц)  </t>
  </si>
  <si>
    <t>(Руководитель отдела -  начальник сектора В.М.Головатюк)</t>
  </si>
  <si>
    <t>Верещагин С.В.</t>
  </si>
  <si>
    <t>Старший  научный сотрудник</t>
  </si>
  <si>
    <t>Федоришин Я.</t>
  </si>
  <si>
    <t xml:space="preserve">Механик ЭС и У       4.I </t>
  </si>
  <si>
    <t>Сектор № 3 (Систем управления и диагностики ускорительных установок)</t>
  </si>
  <si>
    <t xml:space="preserve">Начальник  сектора                      </t>
  </si>
  <si>
    <t>Горбунов И.Н.</t>
  </si>
  <si>
    <t>Апарин А.А.</t>
  </si>
  <si>
    <t>(руководитель сектора - начальник отдела Бровко О.И.)</t>
  </si>
  <si>
    <t xml:space="preserve">Механик ЭСиУ  7.III                             </t>
  </si>
  <si>
    <t>Воронин А.А.</t>
  </si>
  <si>
    <t>Шурховецкий В.А.</t>
  </si>
  <si>
    <t>слесарь</t>
  </si>
  <si>
    <t>механик</t>
  </si>
  <si>
    <t>машинист</t>
  </si>
  <si>
    <t>сварщик</t>
  </si>
  <si>
    <t>тракторист</t>
  </si>
  <si>
    <t>монтажник</t>
  </si>
  <si>
    <t>Воронюк В.</t>
  </si>
  <si>
    <t>ИТОГО ПО ЦОЭП</t>
  </si>
  <si>
    <t>Итого по КБ</t>
  </si>
  <si>
    <t>дир.</t>
  </si>
  <si>
    <t xml:space="preserve">з/п </t>
  </si>
  <si>
    <t>в месяц</t>
  </si>
  <si>
    <t>в год</t>
  </si>
  <si>
    <t>FTE</t>
  </si>
  <si>
    <t>основн.</t>
  </si>
  <si>
    <t>гл.инженер установки</t>
  </si>
  <si>
    <t>секретарь-референт</t>
  </si>
  <si>
    <t>РУК.</t>
  </si>
  <si>
    <t>рабочим</t>
  </si>
  <si>
    <t>Сидоров С.А.</t>
  </si>
  <si>
    <t>Ковалев А.С.</t>
  </si>
  <si>
    <t>Цепляева Е.В.</t>
  </si>
  <si>
    <t>НЭОМД</t>
  </si>
  <si>
    <t>НЭОФЛКЛ</t>
  </si>
  <si>
    <t>НЭОФCMS</t>
  </si>
  <si>
    <t>CФ АТЛАС</t>
  </si>
  <si>
    <t>НЭОФТИ RHIC</t>
  </si>
  <si>
    <t>НЭОФТИ LHC</t>
  </si>
  <si>
    <t>ОГИ</t>
  </si>
  <si>
    <t>АДМБЮРО</t>
  </si>
  <si>
    <t>Левтеров К.А.</t>
  </si>
  <si>
    <t>Савенков А.А.</t>
  </si>
  <si>
    <t>Веселова Н.И.</t>
  </si>
  <si>
    <t>Сектор детекторных систем (Мовчан С.А.)</t>
  </si>
  <si>
    <t>Сектор криодиагностики (Филиппов)</t>
  </si>
  <si>
    <t>рву факт</t>
  </si>
  <si>
    <t>Сектор № 1 (Спектрометр СФЕРА)</t>
  </si>
  <si>
    <t>Литвиненко А.Г.</t>
  </si>
  <si>
    <t>Переседов В.Ф.</t>
  </si>
  <si>
    <t>Исупов А.Ю.</t>
  </si>
  <si>
    <t>Группа №2 (Разработки и эксплуатации детекторов частиц)</t>
  </si>
  <si>
    <t>Бойцов А.Ю.</t>
  </si>
  <si>
    <t>Итого по ОТДЕЛЕНИЮ №5</t>
  </si>
  <si>
    <r>
      <t>Норматив образования самостоят.сект.10 ед.-</t>
    </r>
    <r>
      <rPr>
        <sz val="10"/>
        <color indexed="10"/>
        <rFont val="Arial Cyr"/>
      </rPr>
      <t>без изменений</t>
    </r>
  </si>
  <si>
    <t>Сектор №2(Аппаратуры физических установок)</t>
  </si>
  <si>
    <t>Старший инспектор</t>
  </si>
  <si>
    <t>спец.</t>
  </si>
  <si>
    <t>Ефимова Л.С.</t>
  </si>
  <si>
    <t>Старший товаровед</t>
  </si>
  <si>
    <t>Сектор №1 (Динамики и вывода пучка)</t>
  </si>
  <si>
    <t>Михайлов В.А.</t>
  </si>
  <si>
    <t>Василишин Б.В.</t>
  </si>
  <si>
    <t>Балдин А.А.</t>
  </si>
  <si>
    <t>Ильина Л.Г.</t>
  </si>
  <si>
    <t>Сектор № 2 (Автоматизации и управления)</t>
  </si>
  <si>
    <t>Ланев А.В.</t>
  </si>
  <si>
    <t>Итого по административному бюро:</t>
  </si>
  <si>
    <t>ХОЗЯЙСТВЕННЫЙ ОТДЕЛ</t>
  </si>
  <si>
    <t>Лысов В.В.</t>
  </si>
  <si>
    <t>Рогачевский О.В.</t>
  </si>
  <si>
    <t>др. должности</t>
  </si>
  <si>
    <t>ГСиК:</t>
  </si>
  <si>
    <t>ОТДЕЛЕНИЮ №2</t>
  </si>
  <si>
    <t>ОТДЕЛЕНИЮ №1</t>
  </si>
  <si>
    <t>Итого по Группе №2 вводится:</t>
  </si>
  <si>
    <t>Группа № 3 (Тепловодоснабжения и вентиляции)</t>
  </si>
  <si>
    <t>Черняев В.П.</t>
  </si>
  <si>
    <t>Итого по НИОСЭН:</t>
  </si>
  <si>
    <t xml:space="preserve">(Руководитель отдела - главный инженер лаборатории Агапов Н.Н.) </t>
  </si>
  <si>
    <t>Заместитель начальника отдела</t>
  </si>
  <si>
    <t>Батин В.И.</t>
  </si>
  <si>
    <t>Мельникова Н.В.</t>
  </si>
  <si>
    <t>Сектор № 1 (Научных разработок)</t>
  </si>
  <si>
    <t>директор</t>
  </si>
  <si>
    <t>нач.отдела</t>
  </si>
  <si>
    <t>Инженерный энерготехнологический отдел (Семин Н.В.)</t>
  </si>
  <si>
    <t>Отделение №2 "Физики на уск.комплексе НУКЛОТРОН-NICA"</t>
  </si>
  <si>
    <t>(Строковский Е.А)</t>
  </si>
  <si>
    <t>Мигулина И.И.</t>
  </si>
  <si>
    <t>Итого по сектору № 1 вводится:</t>
  </si>
  <si>
    <t>Мелкумов Г.Л.</t>
  </si>
  <si>
    <t>Колесников В.И.</t>
  </si>
  <si>
    <t>Электромонтер  РОЭО 5.II</t>
  </si>
  <si>
    <t>Кожин М.А.</t>
  </si>
  <si>
    <t>Колесникова Е.А.</t>
  </si>
  <si>
    <t>Итого по сектору № 2 вводится:</t>
  </si>
  <si>
    <t>Абраамян Х.У.</t>
  </si>
  <si>
    <t>Пивин Р.В.</t>
  </si>
  <si>
    <t>Иванов Г.Е.</t>
  </si>
  <si>
    <t>Ноженко Ю.М.</t>
  </si>
  <si>
    <t>Епимахов В.Н.</t>
  </si>
  <si>
    <t>Слепов И.П.</t>
  </si>
  <si>
    <t>Советник</t>
  </si>
  <si>
    <t>Терлецкий А.В.</t>
  </si>
  <si>
    <t>Рогочая Е.П.</t>
  </si>
  <si>
    <t>Ахунзянов Р.Р.</t>
  </si>
  <si>
    <t>Эл.монтер по рем. и обсл.эл.об.5.I</t>
  </si>
  <si>
    <t>Машинист компр.установок 5.I</t>
  </si>
  <si>
    <t>Механик ЭсиУ 5I.</t>
  </si>
  <si>
    <t>Трофимов Т.В.</t>
  </si>
  <si>
    <t>Маринова Б.Р.</t>
  </si>
  <si>
    <t>Старший лаборант с высщим образованием</t>
  </si>
  <si>
    <t>Пенкин В.А.</t>
  </si>
  <si>
    <t>Каблов В.Н.</t>
  </si>
  <si>
    <t>Рогозина А.В.</t>
  </si>
  <si>
    <t>Старший лаборант</t>
  </si>
  <si>
    <t>Горелышев И.В.</t>
  </si>
  <si>
    <t>Черкасов П.С.</t>
  </si>
  <si>
    <t>Ильин М.В.</t>
  </si>
  <si>
    <t>Механик ЭСиУ 7.I</t>
  </si>
  <si>
    <t>Воробьев Е.И.</t>
  </si>
  <si>
    <t>Корнилов М.А.</t>
  </si>
  <si>
    <t>Куфтин А.А.</t>
  </si>
  <si>
    <t>Слесарь механо-сбор.работ 5.II</t>
  </si>
  <si>
    <t>Электрогазосварщик 6.II</t>
  </si>
  <si>
    <t>Номозова К.Б.</t>
  </si>
  <si>
    <t>Лаборант химико-технолог.исследований 7.II</t>
  </si>
  <si>
    <t>Лаборант обраб. фильм. информ. физ экспе 5.II</t>
  </si>
  <si>
    <t>Лаборант обраб. фильм. информ. физ экспе 6.II</t>
  </si>
  <si>
    <t>Слесарь по КИП и автоматике 8.II</t>
  </si>
  <si>
    <t>Сектор №3 (Реконструкции ионных столкновений)</t>
  </si>
  <si>
    <t>(Руководитель группы- нач.сект. Рогачевский О.В.)</t>
  </si>
  <si>
    <t>Ерин Д.С.</t>
  </si>
  <si>
    <t>Вертоградова Ю.Л.</t>
  </si>
  <si>
    <t>Белобородов А.В.</t>
  </si>
  <si>
    <t>Григорян А.В.</t>
  </si>
  <si>
    <t>Ахмадова И.</t>
  </si>
  <si>
    <t>НМОКТС</t>
  </si>
  <si>
    <t>Рогачев А.В.</t>
  </si>
  <si>
    <t>Итого по НМОКТС вводится:</t>
  </si>
  <si>
    <t>Ридингер Н.О.</t>
  </si>
  <si>
    <t>Семчукова Т.В.</t>
  </si>
  <si>
    <t>Суховаров С.И.</t>
  </si>
  <si>
    <t>Электромонтер 6.II</t>
  </si>
  <si>
    <t>Электромонтер 7.II</t>
  </si>
  <si>
    <t>Фрезеровщик 5.III</t>
  </si>
  <si>
    <t>Суриков И.Н.</t>
  </si>
  <si>
    <t>Ткач В.Ю.</t>
  </si>
  <si>
    <t>Соловьева С.П.</t>
  </si>
  <si>
    <t>Назлев Х.П.</t>
  </si>
  <si>
    <t>Косачев В.В.</t>
  </si>
  <si>
    <t xml:space="preserve">Механик ЭСиУ    6.III                          </t>
  </si>
  <si>
    <t>Петровский Г.А.</t>
  </si>
  <si>
    <t>Ячный А.Ю.</t>
  </si>
  <si>
    <t>прочие выплаты</t>
  </si>
  <si>
    <t>Зайцев А.А.</t>
  </si>
  <si>
    <t>Сидоренко В.О.</t>
  </si>
  <si>
    <t>НАУЧНО-МЕТОДИЧЕСКИЙ ОТДЕЛ КРЕМНИЕВЫХ ТРЕКОВЫХ СИСТЕМ</t>
  </si>
  <si>
    <t>Сектор №1 прикладных радационных технологий</t>
  </si>
  <si>
    <t>Меркин М.М.</t>
  </si>
  <si>
    <t>Сектор № 2 полупроводниковых детекторов</t>
  </si>
  <si>
    <t>Кудряшов П.И.</t>
  </si>
  <si>
    <t>Казинова О.</t>
  </si>
  <si>
    <t>Дорофеев Г.Л.</t>
  </si>
  <si>
    <t>Кулаева Т.А.</t>
  </si>
  <si>
    <t>Копченов А.В.</t>
  </si>
  <si>
    <t>Носков А.В.</t>
  </si>
  <si>
    <t>Синельщикова С.Е.</t>
  </si>
  <si>
    <t>Рогачева Н.С.</t>
  </si>
  <si>
    <t xml:space="preserve">Механик ЭС и У       5.I </t>
  </si>
  <si>
    <t>Ситников В.А.</t>
  </si>
  <si>
    <t>Группа № 1 (Адронных взаимодействий)</t>
  </si>
  <si>
    <t>Сектор №2 (структуры частиц)</t>
  </si>
  <si>
    <t>Петухова С.В.</t>
  </si>
  <si>
    <t>Гончарук Л.А.</t>
  </si>
  <si>
    <t>Морозов В.В.</t>
  </si>
  <si>
    <t>Цыцылкина А.А.</t>
  </si>
  <si>
    <t>Акимов М.В.</t>
  </si>
  <si>
    <t>Кондратьев Б.Ю.</t>
  </si>
  <si>
    <t>Шемчук А.В.</t>
  </si>
  <si>
    <t>Нефедов О.А.</t>
  </si>
  <si>
    <t>Карягин А.Ю.</t>
  </si>
  <si>
    <t>Эл.монтер по рем и обсл.эл.обор.4.I</t>
  </si>
  <si>
    <t>Новожилов С.В.</t>
  </si>
  <si>
    <t>Куклин С.Н.</t>
  </si>
  <si>
    <t>Юдин И.П.</t>
  </si>
  <si>
    <t>Кречетов Ю.Ф.</t>
  </si>
  <si>
    <t>Шереметьев А.Д.</t>
  </si>
  <si>
    <t>Тарасов О.Г.</t>
  </si>
  <si>
    <t>Стасовский В.А.</t>
  </si>
  <si>
    <t>Станочник широкого профиля 6.II</t>
  </si>
  <si>
    <t>Короткова Т.В.</t>
  </si>
  <si>
    <t>Щетинина Л.Е.</t>
  </si>
  <si>
    <t>Ершов Г.Г.</t>
  </si>
  <si>
    <t>Сакулин Д.Г.</t>
  </si>
  <si>
    <t>Сухов Е.В.</t>
  </si>
  <si>
    <t>Коровкин С.А.</t>
  </si>
  <si>
    <t>Монтажник сан-техн.сист.оборуд.4I</t>
  </si>
  <si>
    <t>Семак А.А.</t>
  </si>
  <si>
    <t>Ахмедов Г.</t>
  </si>
  <si>
    <t>Павлов В.В.</t>
  </si>
  <si>
    <t>Старший ин6женер</t>
  </si>
  <si>
    <t>Смирнов Е.Г.</t>
  </si>
  <si>
    <t>Слесарь аварийно-восстанов.работ 5.II</t>
  </si>
  <si>
    <t>Устинов В.В.</t>
  </si>
  <si>
    <t>Шафроновская А.И.</t>
  </si>
  <si>
    <t>Скворцов Д.Г.</t>
  </si>
  <si>
    <t>Цветкова Ю.А.</t>
  </si>
  <si>
    <t>Карпунин Р.А.</t>
  </si>
  <si>
    <t>Петухов А.С.</t>
  </si>
  <si>
    <t>Гусев С.А.</t>
  </si>
  <si>
    <t>Филимонов В.В.</t>
  </si>
  <si>
    <t>Романенко С.С.</t>
  </si>
  <si>
    <t>Катрасев Д.Е.</t>
  </si>
  <si>
    <t>Малышев А.М.</t>
  </si>
  <si>
    <t>Киров С.В.</t>
  </si>
  <si>
    <t>Ахмадризялов Р.М.</t>
  </si>
  <si>
    <t>Инженер - программист</t>
  </si>
  <si>
    <t>Петров И.М.</t>
  </si>
  <si>
    <t>Монтажник 5.II</t>
  </si>
  <si>
    <t>Ленивенко В.В.</t>
  </si>
  <si>
    <t>Разинков Е.А.</t>
  </si>
  <si>
    <t>Мельников Д.Г.</t>
  </si>
  <si>
    <t>Герасимов С.Е.</t>
  </si>
  <si>
    <t>Анисимов С.Ю.</t>
  </si>
  <si>
    <t>Эл.монтер по рем.иобсл.эл.об.4.II</t>
  </si>
  <si>
    <t>Гуров В.А.</t>
  </si>
  <si>
    <t>Балдина Э.Г.</t>
  </si>
  <si>
    <t>Мудрох А.А.</t>
  </si>
  <si>
    <t>Слесарь МСР                        8.I</t>
  </si>
  <si>
    <t>Слесарь МСР                        4.I</t>
  </si>
  <si>
    <t>Кузьмин А.Н.</t>
  </si>
  <si>
    <t>Яблоков Е.А.</t>
  </si>
  <si>
    <t>Сыресин Е.М.</t>
  </si>
  <si>
    <t>Тихомиров А.М.</t>
  </si>
  <si>
    <t>Елкин В.Г.</t>
  </si>
  <si>
    <t>Гулина М.В.</t>
  </si>
  <si>
    <t>Белова К.С.</t>
  </si>
  <si>
    <t>Схоменко Я.Т.</t>
  </si>
  <si>
    <t>Герценбергер С.В.</t>
  </si>
  <si>
    <t>Дмитриев А.В.</t>
  </si>
  <si>
    <t>Домбровски Д.</t>
  </si>
  <si>
    <t>Головин А.Т.</t>
  </si>
  <si>
    <t>Слесарь МСР                        7.I</t>
  </si>
  <si>
    <t>Тимошенко А.А.</t>
  </si>
  <si>
    <t>Эл.монтер по рем и обсл.эл.обор.5.I</t>
  </si>
  <si>
    <t>Токарь  8.II</t>
  </si>
  <si>
    <t>Удовиченко В.Н.</t>
  </si>
  <si>
    <t>Заточник 6.II</t>
  </si>
  <si>
    <t>Слесаренко А.В.</t>
  </si>
  <si>
    <t>Карасев М.В.</t>
  </si>
  <si>
    <t>Бурашникова Н.В.</t>
  </si>
  <si>
    <t>Вартик В.</t>
  </si>
  <si>
    <t>Андреева С.В.</t>
  </si>
  <si>
    <t>Донгузов И.И.</t>
  </si>
  <si>
    <t>Монтажник РЭА и П                 6.II</t>
  </si>
  <si>
    <t>Саранцева И.А.</t>
  </si>
  <si>
    <t>Мицова Е.К.</t>
  </si>
  <si>
    <t>Хилинова О.А.</t>
  </si>
  <si>
    <t>Назарова Н.В.</t>
  </si>
  <si>
    <t>Савельева И.А.</t>
  </si>
  <si>
    <t>Шимкус Л.Н.</t>
  </si>
  <si>
    <t>базовый фонд на 01,01,2016 года</t>
  </si>
  <si>
    <t>базовый фонд на 01,04.2016 года</t>
  </si>
  <si>
    <t>на 01.04.16</t>
  </si>
  <si>
    <t>Вагнер С.В.</t>
  </si>
  <si>
    <t>Ковачев Л.Д.</t>
  </si>
  <si>
    <t>Зиновьев Л.В.</t>
  </si>
  <si>
    <t>Мартынов А.А.</t>
  </si>
  <si>
    <t>Рассадов Д.Н.</t>
  </si>
  <si>
    <t>Травин Н.В.</t>
  </si>
  <si>
    <t>Балдин Н.А.</t>
  </si>
  <si>
    <t>Гореликов С.П.</t>
  </si>
  <si>
    <t>Яковлев В.В.</t>
  </si>
  <si>
    <t>Кузнецов А.С.</t>
  </si>
  <si>
    <t>Баева А.Н.</t>
  </si>
  <si>
    <t xml:space="preserve">Начальник группы                         </t>
  </si>
  <si>
    <t>Чумаков П.В.</t>
  </si>
  <si>
    <t>Потанина А.Е.</t>
  </si>
  <si>
    <t>Рослон К.</t>
  </si>
  <si>
    <t>Сухов С.А.</t>
  </si>
  <si>
    <t>Глазунов В.М.</t>
  </si>
  <si>
    <t>Захаров А.Ю.</t>
  </si>
  <si>
    <t>Беляева Е.В.</t>
  </si>
  <si>
    <t>Зиньковский А.А.</t>
  </si>
  <si>
    <t>Токарь 5.II</t>
  </si>
  <si>
    <t>Богомолова А.С.</t>
  </si>
  <si>
    <t>Скодорова Н.Т.</t>
  </si>
  <si>
    <t>Заведующая хозяйством</t>
  </si>
  <si>
    <t>Ценов Р.В.</t>
  </si>
  <si>
    <t>Петухов С.И.</t>
  </si>
  <si>
    <t>Кекелидзе В.Д.</t>
  </si>
  <si>
    <t>Потребеников Ю.К.</t>
  </si>
  <si>
    <t>Гуран Й.</t>
  </si>
  <si>
    <t>Малиновски Х.К.</t>
  </si>
  <si>
    <t>Дубовик Л.В.</t>
  </si>
  <si>
    <t>Бийский С.М.</t>
  </si>
  <si>
    <t>Геворгян С.Р.</t>
  </si>
  <si>
    <t>Гущерски Р.И.</t>
  </si>
  <si>
    <t>Бажажин А.Г.</t>
  </si>
  <si>
    <t>Пэрыт М.</t>
  </si>
  <si>
    <t>Дулов П.О.</t>
  </si>
  <si>
    <t>Чанкова-Бънзарова Н.Я.</t>
  </si>
  <si>
    <t>Белевич М.М.</t>
  </si>
  <si>
    <t>Дрноян Д.</t>
  </si>
  <si>
    <t>Азорский Н.И.</t>
  </si>
  <si>
    <t>Таб.</t>
  </si>
  <si>
    <t>№</t>
  </si>
  <si>
    <t>Проворова Т.Н.</t>
  </si>
  <si>
    <t>Кутенков С.В.</t>
  </si>
  <si>
    <t>Руднев Е.В.</t>
  </si>
  <si>
    <t>Григорьев С.Г.</t>
  </si>
  <si>
    <t>Свинцицкий С.Ю.</t>
  </si>
  <si>
    <t>Свинцицкий Ю.Д.</t>
  </si>
  <si>
    <t>Федоров В.Н.</t>
  </si>
  <si>
    <t>Березин Г.С.</t>
  </si>
  <si>
    <t>Гусаков Ю.В.</t>
  </si>
  <si>
    <t>Серочкин Е.В.</t>
  </si>
  <si>
    <t>Шабунов А.В.</t>
  </si>
  <si>
    <t>Егорова Л.Н.</t>
  </si>
  <si>
    <t>Агафонова Т.Н.</t>
  </si>
  <si>
    <t>Караваев А.В.</t>
  </si>
  <si>
    <t>Уразаков Э.И.</t>
  </si>
  <si>
    <t>Андреева Т.В.</t>
  </si>
  <si>
    <t>Лустов Н.М.</t>
  </si>
  <si>
    <t>Шитенков М.О.</t>
  </si>
  <si>
    <t>Елисеев А.В.</t>
  </si>
  <si>
    <t>Королева Г.Е.</t>
  </si>
  <si>
    <t>Лебедев Н.И.</t>
  </si>
  <si>
    <t>Новиков С.А.</t>
  </si>
  <si>
    <t>Пушкин М.Г.</t>
  </si>
  <si>
    <t>Седых Г.С.</t>
  </si>
  <si>
    <t>Аверьянов М.Ю.</t>
  </si>
  <si>
    <t>Базанов А.М.</t>
  </si>
  <si>
    <t>Бекетова Г.В.</t>
  </si>
  <si>
    <t>Вандровский Г.А.</t>
  </si>
  <si>
    <t>Донец Е.Д.</t>
  </si>
  <si>
    <t>Платонов Ю.А.</t>
  </si>
  <si>
    <t>Прокофьичев Ю.В.</t>
  </si>
  <si>
    <t>Рязанцев Ю.В.</t>
  </si>
  <si>
    <t>Сальников В.В.</t>
  </si>
  <si>
    <t>Скворцов Г.Д.</t>
  </si>
  <si>
    <t>Сотников П.Н.</t>
  </si>
  <si>
    <t>Степанов А.Д.</t>
  </si>
  <si>
    <t>Фимушкин В.В.</t>
  </si>
  <si>
    <t>Гладкова К.В.</t>
  </si>
  <si>
    <t>Зобков Д.Г.</t>
  </si>
  <si>
    <t>Калашников А.Д.</t>
  </si>
  <si>
    <t>Каретник С.А.</t>
  </si>
  <si>
    <t>Неаполитанский Д.В.</t>
  </si>
  <si>
    <t>Орлов Д.А.</t>
  </si>
  <si>
    <t>Парфенов О.А.</t>
  </si>
  <si>
    <t>Пашинский В.В.</t>
  </si>
  <si>
    <t>Петров М.В.</t>
  </si>
  <si>
    <t>Пономарев А.А.</t>
  </si>
  <si>
    <t>Свидетелев А.Н.</t>
  </si>
  <si>
    <t>Талызин Р.В.</t>
  </si>
  <si>
    <t>Черкунов Д.С.</t>
  </si>
  <si>
    <t>Шандов М.М.</t>
  </si>
  <si>
    <t>Бажора Л.Б.</t>
  </si>
  <si>
    <t>Васильев С.Е.</t>
  </si>
  <si>
    <t>Голова Н.С.</t>
  </si>
  <si>
    <t>Горбунов Н.В.</t>
  </si>
  <si>
    <t>Ершов Ю.В.</t>
  </si>
  <si>
    <t>Каржавин В.Ю.</t>
  </si>
  <si>
    <t>Куренков А.М.</t>
  </si>
  <si>
    <t>Перелыгин В.В.</t>
  </si>
  <si>
    <t>Савина М.В.</t>
  </si>
  <si>
    <t>Шматов С.В.</t>
  </si>
  <si>
    <t>Базылев С.Н.</t>
  </si>
  <si>
    <t>Слепнев В.М.</t>
  </si>
  <si>
    <t>Маркелов А.Ф.</t>
  </si>
  <si>
    <t>Седых С.Н.</t>
  </si>
  <si>
    <t>Сидорова В.О.</t>
  </si>
  <si>
    <t>Юрков М.В.</t>
  </si>
  <si>
    <t>Аносов В.А.</t>
  </si>
  <si>
    <t>Белькова А.А.</t>
  </si>
  <si>
    <t>Глонти Л.</t>
  </si>
  <si>
    <t>Горбунова В.Н.</t>
  </si>
  <si>
    <t>Киселев Ю.Ф.</t>
  </si>
  <si>
    <t>Кузнецов О.М.</t>
  </si>
  <si>
    <t>Митрофанов Н.О.</t>
  </si>
  <si>
    <t>Слепец Л.А.</t>
  </si>
  <si>
    <t>Смирнов Г.И.</t>
  </si>
  <si>
    <t>Фалалеев В.П.</t>
  </si>
  <si>
    <t>Гераксиев Н.С.</t>
  </si>
  <si>
    <t>Сальников Н.Н.</t>
  </si>
  <si>
    <t>Богдан Л.Г.</t>
  </si>
  <si>
    <t>Аввакумова И.Л.</t>
  </si>
  <si>
    <t>Замрий В.Н.</t>
  </si>
  <si>
    <t>Калмыков А.В.</t>
  </si>
  <si>
    <t>Лепкин П.М.</t>
  </si>
  <si>
    <t>Сумбаев А.П.</t>
  </si>
  <si>
    <t>Бекиров В.Й.</t>
  </si>
  <si>
    <t>Водопьянов А.С.</t>
  </si>
  <si>
    <t>Ходжибагиян Г.Г.</t>
  </si>
  <si>
    <t>Костылева Г.П.</t>
  </si>
  <si>
    <t>Свешников Б.Н.</t>
  </si>
  <si>
    <t>Баландин В.П.</t>
  </si>
  <si>
    <t>Баландина Н.А.</t>
  </si>
  <si>
    <t>Баша В.Е.</t>
  </si>
  <si>
    <t>Гаврищук О.П.</t>
  </si>
  <si>
    <t>Гарифьянов Э.А.</t>
  </si>
  <si>
    <t>Горбунов В.И.</t>
  </si>
  <si>
    <t>Киреев В.И.</t>
  </si>
  <si>
    <t>Кузьмин Н.А.</t>
  </si>
  <si>
    <t>Спирякин В.И.</t>
  </si>
  <si>
    <t>Тюков В.Э.</t>
  </si>
  <si>
    <t>Фурманец Н.Ф.</t>
  </si>
  <si>
    <t>Ченцов Ю.А.</t>
  </si>
  <si>
    <t>Шибашова З.В.</t>
  </si>
  <si>
    <t>Юкаев А.И.</t>
  </si>
  <si>
    <t>Кузнецов А.Б.</t>
  </si>
  <si>
    <t>Джавадов Н.А.</t>
  </si>
  <si>
    <t>Меркулов Л.А.</t>
  </si>
  <si>
    <t>Аникина М.Х.</t>
  </si>
  <si>
    <t>Матюшин В.Т.</t>
  </si>
  <si>
    <t>Матюшина Е.А.</t>
  </si>
  <si>
    <t>Волкова Д.А.</t>
  </si>
  <si>
    <t>Качалова Г.В.</t>
  </si>
  <si>
    <t>Павлов С.А.</t>
  </si>
  <si>
    <t>Соколов В.Ф.</t>
  </si>
  <si>
    <t>Лосев Д.Н.</t>
  </si>
  <si>
    <t>Муравьева Е.К.</t>
  </si>
  <si>
    <t>Степаненко Е.Г.</t>
  </si>
  <si>
    <t>Фирсов Н.В.</t>
  </si>
  <si>
    <t>Царьков В.С.</t>
  </si>
  <si>
    <t>Цветков А.А.</t>
  </si>
  <si>
    <t>Цагаанхуу Т</t>
  </si>
  <si>
    <t>Средний возраст:</t>
  </si>
  <si>
    <t>Помощник директора лаборатории по финансовым вопросам</t>
  </si>
  <si>
    <t>Дорошенко А,Д.</t>
  </si>
  <si>
    <t>Группа №1 (Производственного обеспечения сборки и серийных испытаний СП-магнитов)</t>
  </si>
  <si>
    <t>Слесарь МСР 4.I</t>
  </si>
  <si>
    <t>Механик ЭСиУ 4.I</t>
  </si>
  <si>
    <t>Лушин А.В.</t>
  </si>
  <si>
    <t>Самуилов М.С.</t>
  </si>
  <si>
    <t>Младший  научный сотрудник</t>
  </si>
  <si>
    <t>Илларионов В.А.</t>
  </si>
  <si>
    <t>Группа №3 (криогенных установок и технологий)</t>
  </si>
  <si>
    <t>Белякин Д.Ю.</t>
  </si>
  <si>
    <t>Итого по группе №3:</t>
  </si>
  <si>
    <t>Золотых Д.А.</t>
  </si>
  <si>
    <t>Начальника отдела</t>
  </si>
  <si>
    <t>Щербаков М.А.</t>
  </si>
  <si>
    <t>Группа №1 (Разработки и эксплуатации криогенных мишеней)</t>
  </si>
  <si>
    <t>Швидкий Д.С.</t>
  </si>
  <si>
    <t>Емельянов А.Э.</t>
  </si>
  <si>
    <t>Слесарь  МСР                4.I</t>
  </si>
  <si>
    <t>Тарясюк Д.С.</t>
  </si>
  <si>
    <t>Эл.монтер по рем. и обсл.эл.об.6.I</t>
  </si>
  <si>
    <t>Бабаков В.И.</t>
  </si>
  <si>
    <t>вак</t>
  </si>
  <si>
    <t>Коломиец А.А.</t>
  </si>
  <si>
    <t>Левин С.Г.</t>
  </si>
  <si>
    <t>Тишевский А.В.</t>
  </si>
  <si>
    <t>Байгарашев Д.</t>
  </si>
  <si>
    <t>Покаташкин Г.С.</t>
  </si>
  <si>
    <t>н</t>
  </si>
  <si>
    <t>CMS</t>
  </si>
  <si>
    <t>ALICE</t>
  </si>
  <si>
    <t>PANDA</t>
  </si>
  <si>
    <t>ATLAS</t>
  </si>
  <si>
    <t>COMPASS-II</t>
  </si>
  <si>
    <t>NA62</t>
  </si>
  <si>
    <t>NA61-Shine</t>
  </si>
  <si>
    <t>STAR</t>
  </si>
  <si>
    <t>E+T RAW</t>
  </si>
  <si>
    <t>CBM</t>
  </si>
  <si>
    <t>HADES</t>
  </si>
  <si>
    <t>БЕККЕРЕЛЬ</t>
  </si>
  <si>
    <t>СКАН-3</t>
  </si>
  <si>
    <t>BM@N</t>
  </si>
  <si>
    <t>MPD</t>
  </si>
  <si>
    <t>Acc. R&amp;D</t>
  </si>
  <si>
    <t>HyperNIS</t>
  </si>
  <si>
    <t>АЛПОМ-2</t>
  </si>
  <si>
    <t>DSS</t>
  </si>
  <si>
    <t>ИРЕН</t>
  </si>
  <si>
    <t>TANGRA</t>
  </si>
  <si>
    <t>Education</t>
  </si>
  <si>
    <t>ФАЗА</t>
  </si>
  <si>
    <t>FTE по проектам</t>
  </si>
  <si>
    <t>Смирнова Н.Я.</t>
  </si>
  <si>
    <t>нач. группы  (Гусаков Ю.В.)</t>
  </si>
  <si>
    <t>Группа №1 (Сверхпроводящих магнитов)</t>
  </si>
  <si>
    <t>Итого по бюро №1 вводится</t>
  </si>
  <si>
    <t>Нукл./NICA</t>
  </si>
  <si>
    <t>Сумма FTE по проектам</t>
  </si>
  <si>
    <t>Кузякин Р.А.</t>
  </si>
  <si>
    <t>Лалаян М.В.</t>
  </si>
  <si>
    <t>Рожков В.А.</t>
  </si>
  <si>
    <t>Сектор № 2 (Сверхпроводящих обмоток)</t>
  </si>
  <si>
    <t>Омельяненко Л.М.</t>
  </si>
  <si>
    <t>Пряничников М.В.</t>
  </si>
  <si>
    <t>Беспалов Ю.Г.</t>
  </si>
  <si>
    <t>Чебыкин И.А.</t>
  </si>
  <si>
    <t>Семенов С.В.</t>
  </si>
  <si>
    <t>Ведерников К.В.</t>
  </si>
  <si>
    <t>Галкин В.Е.</t>
  </si>
  <si>
    <t>(Защиты магнитной системы Нуклотрона)</t>
  </si>
  <si>
    <t xml:space="preserve">Старший техник   </t>
  </si>
  <si>
    <t>Гришина Ю.В.</t>
  </si>
  <si>
    <t>Филиппов Н.М.</t>
  </si>
  <si>
    <t>Ганева Е.Н.</t>
  </si>
  <si>
    <t>Аппаратчик ожжиж.водорода и гелия 7.I</t>
  </si>
  <si>
    <t>Миронов И.С.</t>
  </si>
  <si>
    <t>Каребо Д.А.</t>
  </si>
  <si>
    <t>Шелкович К.Н.</t>
  </si>
  <si>
    <t>Скулкин А.Д.</t>
  </si>
  <si>
    <t>Вязьмин Ю.А.</t>
  </si>
  <si>
    <t>Малинин В.А.</t>
  </si>
  <si>
    <t>Сектор №4 (Детекторов и анализов)</t>
  </si>
  <si>
    <t>Габдрахманов И.Р.</t>
  </si>
  <si>
    <t>Кулиш Е.М.</t>
  </si>
  <si>
    <t>Плотников В.А.</t>
  </si>
  <si>
    <t>Решетова С.В.</t>
  </si>
  <si>
    <t>Сектор №5 (Физического анализа на многоцелевом детекторе)</t>
  </si>
  <si>
    <t>Жижин И.А.</t>
  </si>
  <si>
    <t>Шалаев В.В.</t>
  </si>
  <si>
    <t>Зыкунов В.А.</t>
  </si>
  <si>
    <t>Туртувшин Т.</t>
  </si>
  <si>
    <t>Чикалов О.А.</t>
  </si>
  <si>
    <t>Стрелецкая Е.А.</t>
  </si>
  <si>
    <t>Амгалан Т.</t>
  </si>
  <si>
    <t>Акберов Р.А.О.</t>
  </si>
  <si>
    <t>ПЛАНОВО-ФИНАНСОВОЕ БЮРО</t>
  </si>
  <si>
    <t>(Руководитель - помощник директора по финансовым вопросам А.В.Слесаренко)</t>
  </si>
  <si>
    <t>Группа №1</t>
  </si>
  <si>
    <t>ПФБ</t>
  </si>
  <si>
    <t>Блинникова М.В.</t>
  </si>
  <si>
    <t>Группа №2</t>
  </si>
  <si>
    <t>Ведущий экономист</t>
  </si>
  <si>
    <t>Старший экономист</t>
  </si>
  <si>
    <t>Группа №3</t>
  </si>
  <si>
    <t>Трубников А.В.</t>
  </si>
  <si>
    <t>Ахремова С.Н.</t>
  </si>
  <si>
    <t>Итого по Группе №3 вводится:</t>
  </si>
  <si>
    <t>ИТОГО ПО ПФБ вводится:</t>
  </si>
  <si>
    <r>
      <t xml:space="preserve">Суммарное FTE по темам (проекты + </t>
    </r>
    <r>
      <rPr>
        <b/>
        <sz val="10"/>
        <color theme="5" tint="0.39997558519241921"/>
        <rFont val="Arial Cyr"/>
        <charset val="204"/>
      </rPr>
      <t>доп. деятельность</t>
    </r>
    <r>
      <rPr>
        <sz val="10"/>
        <rFont val="Arial Cyr"/>
      </rPr>
      <t>)</t>
    </r>
  </si>
  <si>
    <t>Примечания</t>
  </si>
  <si>
    <t>0.35 по 1065 (SPD)</t>
  </si>
  <si>
    <t>0.3 по 1065 (SPD)</t>
  </si>
  <si>
    <t>Уволился в 2017 г.</t>
  </si>
  <si>
    <t>Физ.прог.НИКА</t>
  </si>
  <si>
    <t>Планир. в  MPD</t>
  </si>
  <si>
    <t>Обслуж.всех</t>
  </si>
  <si>
    <t>секретарь, работает меньше года</t>
  </si>
  <si>
    <t>50% работет в ЦЕРН по программе LHC</t>
  </si>
  <si>
    <t>секретарь</t>
  </si>
  <si>
    <t>Командирован в ЦЕРН по LHC</t>
  </si>
  <si>
    <r>
      <rPr>
        <sz val="10"/>
        <rFont val="Calibri"/>
        <family val="2"/>
        <charset val="204"/>
      </rPr>
      <t>Σ</t>
    </r>
    <r>
      <rPr>
        <sz val="10"/>
        <rFont val="Arial Cyr"/>
      </rPr>
      <t xml:space="preserve"> шт.ед.</t>
    </r>
  </si>
  <si>
    <t>возраст</t>
  </si>
  <si>
    <t>ср. возр.</t>
  </si>
  <si>
    <t>bad-&gt;</t>
  </si>
  <si>
    <t>НЭОФТИ на RHIC</t>
  </si>
  <si>
    <t>НЭОФТИ на LHC</t>
  </si>
  <si>
    <t>НМО КТС</t>
  </si>
  <si>
    <t>НЭО ФCMS</t>
  </si>
  <si>
    <t>НЭОМД (MPD)</t>
  </si>
  <si>
    <t>СКИ</t>
  </si>
  <si>
    <t>СФ АТЛАС</t>
  </si>
  <si>
    <t>Отдел или сам. сектор</t>
  </si>
  <si>
    <t># чел.</t>
  </si>
  <si>
    <t>Отд. №2</t>
  </si>
  <si>
    <t>Отд. №3</t>
  </si>
  <si>
    <t>Отд. №4</t>
  </si>
  <si>
    <t>Отд. №5</t>
  </si>
  <si>
    <t>В сумме</t>
  </si>
  <si>
    <t>Проект</t>
  </si>
  <si>
    <t>Σ FTE по проекту</t>
  </si>
  <si>
    <t xml:space="preserve">Итого по СКИ вводится: </t>
  </si>
  <si>
    <t>Итого по КО вводится:</t>
  </si>
  <si>
    <t>ИТОГО по НЭОСФМС вводится:</t>
  </si>
  <si>
    <r>
      <rPr>
        <sz val="10"/>
        <rFont val="Calibri"/>
        <family val="2"/>
        <charset val="204"/>
      </rPr>
      <t>Σ</t>
    </r>
    <r>
      <rPr>
        <sz val="10"/>
        <rFont val="Arial Cyr"/>
      </rPr>
      <t xml:space="preserve"> шт. ед.</t>
    </r>
  </si>
  <si>
    <t xml:space="preserve"> FTE по темам</t>
  </si>
  <si>
    <t>4 - 3</t>
  </si>
  <si>
    <t>(4 - 3)/3, %</t>
  </si>
  <si>
    <r>
      <rPr>
        <sz val="10"/>
        <rFont val="Calibri"/>
        <family val="2"/>
        <charset val="204"/>
      </rPr>
      <t>Σ</t>
    </r>
    <r>
      <rPr>
        <sz val="10"/>
        <rFont val="Arial Cyr"/>
      </rPr>
      <t xml:space="preserve"> шт. ед. + FTE</t>
    </r>
    <r>
      <rPr>
        <vertAlign val="subscript"/>
        <sz val="10"/>
        <rFont val="Arial Cyr"/>
        <charset val="204"/>
      </rPr>
      <t>A</t>
    </r>
  </si>
  <si>
    <t>сумма FTE по проекту</t>
  </si>
  <si>
    <t xml:space="preserve">Σ = </t>
  </si>
  <si>
    <r>
      <t>FTE</t>
    </r>
    <r>
      <rPr>
        <vertAlign val="subscript"/>
        <sz val="10"/>
        <rFont val="Arial Cyr"/>
        <charset val="204"/>
      </rPr>
      <t>A</t>
    </r>
  </si>
  <si>
    <r>
      <t>шт. * *(1+FTE</t>
    </r>
    <r>
      <rPr>
        <vertAlign val="subscript"/>
        <sz val="10"/>
        <rFont val="Arial Cyr"/>
        <charset val="204"/>
      </rPr>
      <t>A</t>
    </r>
    <r>
      <rPr>
        <sz val="10"/>
        <rFont val="Arial Cyr"/>
      </rPr>
      <t>)</t>
    </r>
  </si>
  <si>
    <r>
      <t>% ratio = FTE/(шт.*(1+ FTE</t>
    </r>
    <r>
      <rPr>
        <b/>
        <vertAlign val="subscript"/>
        <sz val="10"/>
        <rFont val="Arial Narrow"/>
        <family val="2"/>
        <charset val="204"/>
      </rPr>
      <t>A</t>
    </r>
    <r>
      <rPr>
        <b/>
        <sz val="10"/>
        <rFont val="Arial Narrow"/>
        <family val="2"/>
        <charset val="204"/>
      </rPr>
      <t>))</t>
    </r>
  </si>
  <si>
    <t>Зарплата / FTE</t>
  </si>
  <si>
    <t>Зарплата по проекту, тыс. р.</t>
  </si>
  <si>
    <t>%</t>
  </si>
  <si>
    <t>Зарпл. по проекту, тыс. р.</t>
  </si>
  <si>
    <t>коррекция Р.Ценова</t>
  </si>
  <si>
    <r>
      <rPr>
        <b/>
        <sz val="9"/>
        <rFont val="Arial Cyr"/>
      </rPr>
      <t>full</t>
    </r>
    <r>
      <rPr>
        <b/>
        <sz val="9"/>
        <rFont val="Arial Unicode MS"/>
        <family val="2"/>
        <charset val="204"/>
      </rPr>
      <t>→</t>
    </r>
  </si>
  <si>
    <r>
      <rPr>
        <b/>
        <sz val="9"/>
        <rFont val="Arial Cyr"/>
      </rPr>
      <t>partial</t>
    </r>
    <r>
      <rPr>
        <b/>
        <sz val="9"/>
        <rFont val="Arial Unicode MS"/>
        <family val="2"/>
        <charset val="204"/>
      </rPr>
      <t>→</t>
    </r>
  </si>
  <si>
    <t>Итого по Лаборатории:</t>
  </si>
  <si>
    <t>LHEP_2016</t>
  </si>
  <si>
    <t>добавлено FTE по теме без проекта</t>
  </si>
  <si>
    <r>
      <t>Сумма по теме</t>
    </r>
    <r>
      <rPr>
        <b/>
        <sz val="10"/>
        <rFont val="Arial Unicode MS"/>
        <family val="2"/>
        <charset val="204"/>
      </rPr>
      <t>→</t>
    </r>
  </si>
  <si>
    <t>Отд. 2,3,4,5:</t>
  </si>
  <si>
    <t>Σ FTE по темам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</si>
</sst>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"/>
    <numFmt numFmtId="166" formatCode="0.00000"/>
    <numFmt numFmtId="167" formatCode="#,##0.0"/>
  </numFmts>
  <fonts count="122" x14ac:knownFonts="1">
    <font>
      <sz val="10"/>
      <name val="Arial Cyr"/>
    </font>
    <font>
      <sz val="10"/>
      <name val="Arial Cy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 Cyr"/>
    </font>
    <font>
      <b/>
      <u/>
      <sz val="10"/>
      <name val="Arial Cyr"/>
    </font>
    <font>
      <b/>
      <u/>
      <sz val="9"/>
      <name val="Arial Cyr"/>
    </font>
    <font>
      <sz val="10"/>
      <color indexed="10"/>
      <name val="Arial"/>
      <family val="2"/>
    </font>
    <font>
      <b/>
      <sz val="10"/>
      <name val="Arial Cyr"/>
    </font>
    <font>
      <sz val="10"/>
      <name val="Arial Cyr"/>
    </font>
    <font>
      <sz val="9"/>
      <name val="Arial Cyr"/>
    </font>
    <font>
      <sz val="9"/>
      <name val="Arial Cyr"/>
    </font>
    <font>
      <sz val="10"/>
      <name val="Arial"/>
      <family val="2"/>
    </font>
    <font>
      <b/>
      <sz val="10"/>
      <name val="Arial Cyr"/>
    </font>
    <font>
      <b/>
      <sz val="9"/>
      <name val="Arial Cyr"/>
    </font>
    <font>
      <sz val="12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sz val="10"/>
      <color indexed="10"/>
      <name val="Arial Cyr"/>
    </font>
    <font>
      <sz val="12"/>
      <name val="Arial"/>
      <family val="2"/>
    </font>
    <font>
      <sz val="9"/>
      <name val="Arial"/>
      <family val="2"/>
    </font>
    <font>
      <b/>
      <u/>
      <sz val="10"/>
      <name val="Arial"/>
      <family val="2"/>
    </font>
    <font>
      <b/>
      <u/>
      <sz val="9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u/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4"/>
      <color indexed="8"/>
      <name val="Arial"/>
      <family val="2"/>
    </font>
    <font>
      <u/>
      <sz val="10"/>
      <name val="Arial Cyr"/>
      <family val="2"/>
    </font>
    <font>
      <b/>
      <u/>
      <sz val="10"/>
      <name val="Arial Cyr"/>
    </font>
    <font>
      <sz val="9"/>
      <name val="Arial"/>
      <family val="2"/>
    </font>
    <font>
      <sz val="10"/>
      <color indexed="10"/>
      <name val="Arial Cyr"/>
    </font>
    <font>
      <b/>
      <sz val="10"/>
      <name val="Arial Cyr"/>
    </font>
    <font>
      <sz val="10"/>
      <name val="Arial Cyr"/>
    </font>
    <font>
      <sz val="10"/>
      <color indexed="12"/>
      <name val="Arial Cyr"/>
    </font>
    <font>
      <sz val="10"/>
      <name val="Times New Roman"/>
      <family val="1"/>
    </font>
    <font>
      <sz val="10"/>
      <color indexed="12"/>
      <name val="Times New Roman"/>
      <family val="1"/>
    </font>
    <font>
      <b/>
      <sz val="10"/>
      <name val="Times New Roman"/>
      <family val="1"/>
    </font>
    <font>
      <b/>
      <sz val="10"/>
      <color indexed="12"/>
      <name val="Times New Roman"/>
      <family val="1"/>
    </font>
    <font>
      <sz val="9"/>
      <color indexed="10"/>
      <name val="Arial Cyr"/>
    </font>
    <font>
      <sz val="10"/>
      <name val="Arial Cyr"/>
    </font>
    <font>
      <sz val="8"/>
      <name val="Arial Cyr"/>
    </font>
    <font>
      <sz val="11"/>
      <name val="Arial Cyr"/>
    </font>
    <font>
      <sz val="10"/>
      <name val="Arial Cyr"/>
    </font>
    <font>
      <b/>
      <sz val="10"/>
      <color indexed="12"/>
      <name val="Arial Cyr"/>
    </font>
    <font>
      <i/>
      <sz val="10"/>
      <name val="Arial Cyr"/>
    </font>
    <font>
      <sz val="10"/>
      <color indexed="10"/>
      <name val="Arial Cyr"/>
    </font>
    <font>
      <b/>
      <sz val="10"/>
      <color indexed="62"/>
      <name val="Arial Cyr"/>
    </font>
    <font>
      <b/>
      <sz val="10"/>
      <color indexed="18"/>
      <name val="Arial Cyr"/>
    </font>
    <font>
      <b/>
      <sz val="10"/>
      <color indexed="8"/>
      <name val="Arial Cyr"/>
    </font>
    <font>
      <sz val="10"/>
      <color indexed="10"/>
      <name val="Arial Cyr"/>
    </font>
    <font>
      <sz val="10"/>
      <name val="Arial"/>
      <family val="2"/>
    </font>
    <font>
      <b/>
      <sz val="10"/>
      <name val="Arial"/>
      <family val="2"/>
    </font>
    <font>
      <sz val="9"/>
      <name val="Arial Cyr"/>
    </font>
    <font>
      <b/>
      <sz val="10"/>
      <name val="Arial Cyr"/>
    </font>
    <font>
      <sz val="10"/>
      <name val="Arial Cyr"/>
    </font>
    <font>
      <sz val="8"/>
      <name val="Verdana"/>
      <family val="2"/>
      <charset val="204"/>
    </font>
    <font>
      <sz val="10"/>
      <name val="Arial"/>
      <family val="2"/>
    </font>
    <font>
      <b/>
      <sz val="10"/>
      <name val="Arial Cy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 Cyr"/>
    </font>
    <font>
      <b/>
      <sz val="10"/>
      <name val="Arial Cyr"/>
    </font>
    <font>
      <b/>
      <sz val="10"/>
      <color indexed="10"/>
      <name val="Arial Cyr"/>
    </font>
    <font>
      <sz val="12"/>
      <name val="Arial Cyr"/>
    </font>
    <font>
      <b/>
      <sz val="12"/>
      <name val="Arial Cyr"/>
    </font>
    <font>
      <sz val="10"/>
      <name val="Arial Cyr"/>
    </font>
    <font>
      <b/>
      <sz val="10"/>
      <name val="Arial Cyr"/>
    </font>
    <font>
      <sz val="10"/>
      <name val="Arial Cy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 Cyr"/>
      <charset val="204"/>
    </font>
    <font>
      <b/>
      <sz val="11"/>
      <name val="Arial Cyr"/>
    </font>
    <font>
      <b/>
      <sz val="11"/>
      <name val="Arial"/>
      <family val="2"/>
    </font>
    <font>
      <sz val="11"/>
      <color indexed="10"/>
      <name val="Arial Cyr"/>
    </font>
    <font>
      <sz val="11"/>
      <name val="Arial"/>
      <family val="2"/>
    </font>
    <font>
      <b/>
      <sz val="11"/>
      <color indexed="10"/>
      <name val="Arial Cyr"/>
    </font>
    <font>
      <b/>
      <sz val="11"/>
      <color indexed="10"/>
      <name val="Arial"/>
      <family val="2"/>
    </font>
    <font>
      <sz val="11"/>
      <color indexed="10"/>
      <name val="Arial"/>
      <family val="2"/>
    </font>
    <font>
      <sz val="11"/>
      <color indexed="9"/>
      <name val="Arial"/>
      <family val="2"/>
    </font>
    <font>
      <sz val="11"/>
      <color indexed="8"/>
      <name val="Arial Cyr"/>
    </font>
    <font>
      <sz val="11"/>
      <color indexed="12"/>
      <name val="Arial"/>
      <family val="2"/>
    </font>
    <font>
      <sz val="11"/>
      <color indexed="8"/>
      <name val="Arial"/>
      <family val="2"/>
    </font>
    <font>
      <u/>
      <sz val="11"/>
      <name val="Arial Cyr"/>
    </font>
    <font>
      <b/>
      <u/>
      <sz val="11"/>
      <name val="Arial Cyr"/>
    </font>
    <font>
      <b/>
      <sz val="11"/>
      <color indexed="18"/>
      <name val="Arial Cyr"/>
    </font>
    <font>
      <u/>
      <sz val="11"/>
      <name val="Arial"/>
      <family val="2"/>
    </font>
    <font>
      <b/>
      <sz val="10"/>
      <name val="Arial"/>
      <family val="2"/>
      <charset val="204"/>
    </font>
    <font>
      <b/>
      <sz val="11"/>
      <name val="Arial Cyr"/>
      <charset val="204"/>
    </font>
    <font>
      <sz val="11"/>
      <name val="Arial Cyr"/>
      <charset val="204"/>
    </font>
    <font>
      <sz val="10"/>
      <name val="Arial"/>
      <family val="2"/>
      <charset val="204"/>
    </font>
    <font>
      <sz val="11"/>
      <name val="Arial"/>
      <family val="2"/>
      <charset val="204"/>
    </font>
    <font>
      <sz val="9"/>
      <name val="Arial"/>
      <family val="2"/>
      <charset val="204"/>
    </font>
    <font>
      <u/>
      <sz val="10"/>
      <color theme="10"/>
      <name val="Arial Cyr"/>
    </font>
    <font>
      <u/>
      <sz val="10"/>
      <color theme="11"/>
      <name val="Arial Cyr"/>
    </font>
    <font>
      <sz val="10"/>
      <name val="Arial"/>
      <family val="2"/>
      <charset val="204"/>
    </font>
    <font>
      <sz val="12"/>
      <name val="Times New Roman"/>
      <family val="1"/>
      <charset val="204"/>
    </font>
    <font>
      <sz val="12"/>
      <color indexed="72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7"/>
      <color rgb="FF444444"/>
      <name val="Tahoma"/>
      <family val="2"/>
      <charset val="204"/>
    </font>
    <font>
      <sz val="11"/>
      <color rgb="FFFF0000"/>
      <name val="Arial Cyr"/>
    </font>
    <font>
      <sz val="10"/>
      <color rgb="FFFF0000"/>
      <name val="Arial Cyr"/>
    </font>
    <font>
      <b/>
      <sz val="10"/>
      <name val="Arial Narrow"/>
      <family val="2"/>
      <charset val="204"/>
    </font>
    <font>
      <b/>
      <sz val="10"/>
      <color theme="5" tint="0.39997558519241921"/>
      <name val="Arial Cyr"/>
      <charset val="204"/>
    </font>
    <font>
      <sz val="11"/>
      <color rgb="FF006100"/>
      <name val="Calibri"/>
      <family val="2"/>
      <charset val="204"/>
      <scheme val="minor"/>
    </font>
    <font>
      <sz val="10"/>
      <name val="Calibri"/>
      <family val="2"/>
      <charset val="204"/>
    </font>
    <font>
      <b/>
      <sz val="11"/>
      <color rgb="FF006100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vertAlign val="subscript"/>
      <sz val="10"/>
      <name val="Arial Cyr"/>
      <charset val="204"/>
    </font>
    <font>
      <b/>
      <sz val="12"/>
      <name val="Arial Cyr"/>
      <charset val="204"/>
    </font>
    <font>
      <b/>
      <vertAlign val="subscript"/>
      <sz val="10"/>
      <name val="Arial Narrow"/>
      <family val="2"/>
      <charset val="204"/>
    </font>
    <font>
      <sz val="14"/>
      <name val="Arial Cyr"/>
      <charset val="204"/>
    </font>
    <font>
      <b/>
      <sz val="9"/>
      <name val="Arial Cyr"/>
      <charset val="204"/>
    </font>
    <font>
      <b/>
      <sz val="9"/>
      <name val="Arial Unicode MS"/>
      <family val="2"/>
      <charset val="204"/>
    </font>
    <font>
      <b/>
      <sz val="10"/>
      <name val="Arial Unicode MS"/>
      <family val="2"/>
      <charset val="204"/>
    </font>
    <font>
      <b/>
      <i/>
      <u/>
      <sz val="10"/>
      <name val="Arial Cyr"/>
    </font>
    <font>
      <sz val="10"/>
      <color theme="0"/>
      <name val="Arial Cyr"/>
    </font>
  </fonts>
  <fills count="3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95C25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7030A0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rgb="FFB2B2B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</borders>
  <cellStyleXfs count="342">
    <xf numFmtId="0" fontId="0" fillId="0" borderId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on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2" fillId="0" borderId="0" applyNumberFormat="0" applyFon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09" fillId="23" borderId="0" applyNumberFormat="0" applyBorder="0" applyAlignment="0" applyProtection="0"/>
    <xf numFmtId="0" fontId="112" fillId="0" borderId="0" applyFont="0" applyBorder="0" applyAlignment="0"/>
    <xf numFmtId="0" fontId="94" fillId="0" borderId="0" applyNumberFormat="0" applyFon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</cellStyleXfs>
  <cellXfs count="1929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0" fontId="8" fillId="0" borderId="0" xfId="0" applyFont="1"/>
    <xf numFmtId="0" fontId="9" fillId="0" borderId="0" xfId="0" applyFont="1"/>
    <xf numFmtId="0" fontId="0" fillId="0" borderId="0" xfId="0" applyAlignment="1">
      <alignment vertical="justify"/>
    </xf>
    <xf numFmtId="0" fontId="2" fillId="0" borderId="0" xfId="0" applyFont="1" applyBorder="1" applyAlignment="1">
      <alignment horizontal="center" vertical="justify"/>
    </xf>
    <xf numFmtId="0" fontId="9" fillId="0" borderId="1" xfId="0" applyFont="1" applyBorder="1"/>
    <xf numFmtId="0" fontId="2" fillId="0" borderId="1" xfId="0" applyFont="1" applyBorder="1" applyAlignment="1">
      <alignment horizontal="left"/>
    </xf>
    <xf numFmtId="0" fontId="8" fillId="0" borderId="0" xfId="0" applyFont="1" applyFill="1" applyBorder="1"/>
    <xf numFmtId="0" fontId="9" fillId="0" borderId="0" xfId="0" applyFont="1" applyFill="1" applyBorder="1"/>
    <xf numFmtId="0" fontId="13" fillId="0" borderId="0" xfId="0" applyFont="1" applyBorder="1"/>
    <xf numFmtId="0" fontId="2" fillId="0" borderId="0" xfId="0" applyFont="1" applyBorder="1" applyAlignment="1">
      <alignment horizontal="left"/>
    </xf>
    <xf numFmtId="0" fontId="0" fillId="0" borderId="1" xfId="0" applyBorder="1"/>
    <xf numFmtId="0" fontId="3" fillId="0" borderId="0" xfId="0" applyFont="1" applyFill="1"/>
    <xf numFmtId="0" fontId="15" fillId="0" borderId="0" xfId="0" applyFont="1" applyFill="1"/>
    <xf numFmtId="0" fontId="0" fillId="0" borderId="0" xfId="0" applyBorder="1"/>
    <xf numFmtId="0" fontId="2" fillId="0" borderId="0" xfId="0" applyFont="1" applyFill="1"/>
    <xf numFmtId="0" fontId="2" fillId="0" borderId="0" xfId="0" applyFont="1" applyAlignment="1">
      <alignment wrapText="1"/>
    </xf>
    <xf numFmtId="0" fontId="2" fillId="0" borderId="1" xfId="0" applyFont="1" applyFill="1" applyBorder="1"/>
    <xf numFmtId="0" fontId="16" fillId="0" borderId="0" xfId="0" applyFont="1"/>
    <xf numFmtId="0" fontId="1" fillId="0" borderId="0" xfId="0" applyFont="1" applyBorder="1"/>
    <xf numFmtId="0" fontId="7" fillId="0" borderId="0" xfId="0" applyFont="1"/>
    <xf numFmtId="0" fontId="12" fillId="0" borderId="0" xfId="0" applyFont="1" applyFill="1"/>
    <xf numFmtId="0" fontId="2" fillId="0" borderId="0" xfId="0" applyFont="1" applyFill="1" applyBorder="1" applyAlignment="1"/>
    <xf numFmtId="0" fontId="2" fillId="0" borderId="1" xfId="0" applyFont="1" applyFill="1" applyBorder="1" applyAlignment="1"/>
    <xf numFmtId="0" fontId="2" fillId="0" borderId="2" xfId="0" applyFont="1" applyFill="1" applyBorder="1"/>
    <xf numFmtId="0" fontId="16" fillId="0" borderId="0" xfId="0" applyFont="1" applyFill="1"/>
    <xf numFmtId="0" fontId="16" fillId="0" borderId="0" xfId="0" applyFont="1" applyFill="1" applyBorder="1"/>
    <xf numFmtId="0" fontId="3" fillId="0" borderId="0" xfId="0" applyFont="1" applyFill="1" applyBorder="1"/>
    <xf numFmtId="0" fontId="2" fillId="0" borderId="0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0" xfId="0" applyFont="1" applyFill="1" applyAlignment="1">
      <alignment vertical="center" wrapText="1"/>
    </xf>
    <xf numFmtId="0" fontId="18" fillId="0" borderId="0" xfId="0" applyFont="1" applyFill="1" applyBorder="1"/>
    <xf numFmtId="0" fontId="2" fillId="0" borderId="1" xfId="0" applyFont="1" applyBorder="1"/>
    <xf numFmtId="0" fontId="12" fillId="0" borderId="0" xfId="0" applyFont="1"/>
    <xf numFmtId="0" fontId="16" fillId="2" borderId="0" xfId="0" applyFont="1" applyFill="1"/>
    <xf numFmtId="0" fontId="2" fillId="0" borderId="0" xfId="0" applyFont="1" applyFill="1" applyAlignment="1">
      <alignment vertical="justify" wrapText="1"/>
    </xf>
    <xf numFmtId="0" fontId="21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left"/>
    </xf>
    <xf numFmtId="0" fontId="25" fillId="0" borderId="0" xfId="0" applyFont="1" applyFill="1"/>
    <xf numFmtId="0" fontId="12" fillId="0" borderId="0" xfId="0" applyFont="1" applyAlignment="1">
      <alignment horizontal="left"/>
    </xf>
    <xf numFmtId="0" fontId="28" fillId="0" borderId="0" xfId="0" applyFont="1"/>
    <xf numFmtId="0" fontId="29" fillId="0" borderId="0" xfId="0" applyFont="1"/>
    <xf numFmtId="0" fontId="2" fillId="0" borderId="0" xfId="0" applyFont="1" applyAlignment="1">
      <alignment vertical="justify" wrapText="1"/>
    </xf>
    <xf numFmtId="0" fontId="3" fillId="0" borderId="0" xfId="0" applyFont="1" applyAlignment="1"/>
    <xf numFmtId="0" fontId="2" fillId="0" borderId="0" xfId="0" applyFont="1" applyAlignment="1">
      <alignment vertical="center"/>
    </xf>
    <xf numFmtId="0" fontId="12" fillId="0" borderId="0" xfId="0" applyFont="1" applyBorder="1"/>
    <xf numFmtId="0" fontId="2" fillId="0" borderId="1" xfId="0" applyFont="1" applyBorder="1" applyAlignment="1">
      <alignment vertical="center" wrapText="1"/>
    </xf>
    <xf numFmtId="0" fontId="9" fillId="0" borderId="0" xfId="0" applyFont="1" applyBorder="1"/>
    <xf numFmtId="0" fontId="9" fillId="0" borderId="1" xfId="0" applyFont="1" applyFill="1" applyBorder="1"/>
    <xf numFmtId="0" fontId="1" fillId="0" borderId="0" xfId="0" applyFont="1" applyFill="1" applyBorder="1"/>
    <xf numFmtId="0" fontId="1" fillId="0" borderId="0" xfId="0" applyFont="1"/>
    <xf numFmtId="0" fontId="12" fillId="0" borderId="0" xfId="0" applyFont="1" applyBorder="1" applyAlignment="1">
      <alignment horizontal="left"/>
    </xf>
    <xf numFmtId="0" fontId="13" fillId="0" borderId="0" xfId="0" applyFont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0" borderId="0" xfId="0" applyBorder="1" applyAlignment="1">
      <alignment horizontal="left"/>
    </xf>
    <xf numFmtId="0" fontId="12" fillId="0" borderId="0" xfId="0" applyFont="1" applyFill="1" applyBorder="1"/>
    <xf numFmtId="0" fontId="8" fillId="2" borderId="0" xfId="0" applyFont="1" applyFill="1"/>
    <xf numFmtId="0" fontId="18" fillId="0" borderId="0" xfId="0" applyFont="1" applyAlignment="1">
      <alignment horizontal="left"/>
    </xf>
    <xf numFmtId="0" fontId="20" fillId="0" borderId="1" xfId="0" applyFont="1" applyBorder="1" applyAlignment="1">
      <alignment vertical="justify" wrapText="1"/>
    </xf>
    <xf numFmtId="0" fontId="34" fillId="0" borderId="0" xfId="0" applyFont="1" applyBorder="1"/>
    <xf numFmtId="0" fontId="0" fillId="0" borderId="1" xfId="0" applyFill="1" applyBorder="1"/>
    <xf numFmtId="0" fontId="1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3" fillId="0" borderId="0" xfId="0" applyFont="1" applyFill="1" applyBorder="1"/>
    <xf numFmtId="0" fontId="18" fillId="0" borderId="0" xfId="0" applyFont="1"/>
    <xf numFmtId="0" fontId="0" fillId="0" borderId="0" xfId="0" applyBorder="1" applyAlignment="1">
      <alignment horizontal="center" vertical="justify"/>
    </xf>
    <xf numFmtId="0" fontId="35" fillId="0" borderId="0" xfId="0" applyFont="1"/>
    <xf numFmtId="0" fontId="36" fillId="0" borderId="0" xfId="0" applyFont="1"/>
    <xf numFmtId="0" fontId="26" fillId="0" borderId="0" xfId="0" applyFont="1" applyFill="1"/>
    <xf numFmtId="0" fontId="1" fillId="0" borderId="1" xfId="0" applyFont="1" applyBorder="1"/>
    <xf numFmtId="0" fontId="1" fillId="0" borderId="0" xfId="0" applyFont="1" applyFill="1" applyBorder="1" applyAlignment="1">
      <alignment horizontal="left"/>
    </xf>
    <xf numFmtId="0" fontId="34" fillId="0" borderId="0" xfId="0" applyFont="1"/>
    <xf numFmtId="0" fontId="27" fillId="0" borderId="0" xfId="0" applyFont="1" applyBorder="1"/>
    <xf numFmtId="0" fontId="26" fillId="0" borderId="0" xfId="0" applyFont="1" applyBorder="1" applyAlignment="1">
      <alignment horizontal="left"/>
    </xf>
    <xf numFmtId="0" fontId="12" fillId="0" borderId="1" xfId="0" applyFont="1" applyBorder="1"/>
    <xf numFmtId="0" fontId="27" fillId="0" borderId="0" xfId="0" applyFont="1"/>
    <xf numFmtId="164" fontId="0" fillId="0" borderId="0" xfId="0" applyNumberFormat="1" applyBorder="1"/>
    <xf numFmtId="0" fontId="37" fillId="0" borderId="0" xfId="0" applyFont="1" applyBorder="1"/>
    <xf numFmtId="0" fontId="37" fillId="0" borderId="0" xfId="0" applyFont="1"/>
    <xf numFmtId="0" fontId="35" fillId="0" borderId="0" xfId="0" applyFont="1" applyFill="1"/>
    <xf numFmtId="0" fontId="38" fillId="0" borderId="0" xfId="0" applyFont="1"/>
    <xf numFmtId="0" fontId="38" fillId="0" borderId="0" xfId="0" applyFont="1" applyAlignment="1">
      <alignment horizontal="center"/>
    </xf>
    <xf numFmtId="0" fontId="10" fillId="0" borderId="0" xfId="0" applyFont="1" applyBorder="1" applyAlignment="1">
      <alignment horizontal="left"/>
    </xf>
    <xf numFmtId="0" fontId="38" fillId="0" borderId="1" xfId="0" applyFont="1" applyBorder="1"/>
    <xf numFmtId="0" fontId="38" fillId="0" borderId="1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4" xfId="0" applyFont="1" applyBorder="1"/>
    <xf numFmtId="0" fontId="38" fillId="0" borderId="4" xfId="0" applyFont="1" applyBorder="1" applyAlignment="1">
      <alignment horizontal="center"/>
    </xf>
    <xf numFmtId="0" fontId="38" fillId="0" borderId="2" xfId="0" applyFont="1" applyBorder="1" applyAlignment="1">
      <alignment horizontal="center"/>
    </xf>
    <xf numFmtId="0" fontId="38" fillId="0" borderId="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38" fillId="0" borderId="6" xfId="0" applyFont="1" applyBorder="1"/>
    <xf numFmtId="0" fontId="38" fillId="0" borderId="6" xfId="0" applyFont="1" applyBorder="1" applyAlignment="1">
      <alignment horizontal="center"/>
    </xf>
    <xf numFmtId="0" fontId="39" fillId="0" borderId="0" xfId="0" applyFont="1" applyBorder="1" applyAlignment="1">
      <alignment horizontal="center"/>
    </xf>
    <xf numFmtId="0" fontId="38" fillId="0" borderId="7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0" fontId="40" fillId="0" borderId="2" xfId="0" applyFont="1" applyBorder="1"/>
    <xf numFmtId="164" fontId="40" fillId="0" borderId="5" xfId="0" applyNumberFormat="1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8" xfId="0" applyFont="1" applyBorder="1" applyAlignment="1">
      <alignment horizontal="center"/>
    </xf>
    <xf numFmtId="164" fontId="40" fillId="0" borderId="9" xfId="0" applyNumberFormat="1" applyFont="1" applyBorder="1" applyAlignment="1">
      <alignment horizontal="center"/>
    </xf>
    <xf numFmtId="0" fontId="40" fillId="0" borderId="5" xfId="0" applyFont="1" applyBorder="1"/>
    <xf numFmtId="0" fontId="40" fillId="0" borderId="2" xfId="0" applyFont="1" applyFill="1" applyBorder="1"/>
    <xf numFmtId="164" fontId="41" fillId="0" borderId="5" xfId="0" applyNumberFormat="1" applyFont="1" applyBorder="1" applyAlignment="1">
      <alignment horizontal="center"/>
    </xf>
    <xf numFmtId="0" fontId="38" fillId="0" borderId="7" xfId="0" applyFont="1" applyBorder="1"/>
    <xf numFmtId="0" fontId="38" fillId="0" borderId="0" xfId="0" applyFont="1" applyFill="1" applyBorder="1"/>
    <xf numFmtId="164" fontId="38" fillId="0" borderId="7" xfId="0" applyNumberFormat="1" applyFont="1" applyBorder="1" applyAlignment="1">
      <alignment horizontal="center"/>
    </xf>
    <xf numFmtId="0" fontId="39" fillId="0" borderId="10" xfId="0" applyFont="1" applyBorder="1" applyAlignment="1">
      <alignment horizontal="center"/>
    </xf>
    <xf numFmtId="164" fontId="38" fillId="0" borderId="10" xfId="0" applyNumberFormat="1" applyFont="1" applyBorder="1" applyAlignment="1">
      <alignment horizontal="center"/>
    </xf>
    <xf numFmtId="0" fontId="38" fillId="0" borderId="1" xfId="0" applyFont="1" applyFill="1" applyBorder="1"/>
    <xf numFmtId="0" fontId="39" fillId="0" borderId="11" xfId="0" applyFont="1" applyBorder="1" applyAlignment="1">
      <alignment horizontal="center"/>
    </xf>
    <xf numFmtId="0" fontId="40" fillId="0" borderId="0" xfId="0" applyFont="1" applyFill="1" applyBorder="1"/>
    <xf numFmtId="0" fontId="40" fillId="0" borderId="6" xfId="0" applyFont="1" applyBorder="1"/>
    <xf numFmtId="0" fontId="40" fillId="0" borderId="1" xfId="0" applyFont="1" applyBorder="1"/>
    <xf numFmtId="0" fontId="38" fillId="0" borderId="7" xfId="0" applyFont="1" applyFill="1" applyBorder="1" applyAlignment="1">
      <alignment horizontal="right"/>
    </xf>
    <xf numFmtId="0" fontId="39" fillId="0" borderId="8" xfId="0" applyFont="1" applyBorder="1" applyAlignment="1">
      <alignment horizontal="center"/>
    </xf>
    <xf numFmtId="2" fontId="0" fillId="0" borderId="0" xfId="0" applyNumberFormat="1" applyBorder="1" applyAlignment="1">
      <alignment horizontal="left"/>
    </xf>
    <xf numFmtId="0" fontId="40" fillId="0" borderId="5" xfId="0" applyFont="1" applyFill="1" applyBorder="1"/>
    <xf numFmtId="0" fontId="41" fillId="0" borderId="5" xfId="0" applyFont="1" applyBorder="1" applyAlignment="1">
      <alignment horizontal="center"/>
    </xf>
    <xf numFmtId="0" fontId="38" fillId="0" borderId="7" xfId="0" applyFont="1" applyFill="1" applyBorder="1"/>
    <xf numFmtId="0" fontId="40" fillId="0" borderId="6" xfId="0" applyFont="1" applyFill="1" applyBorder="1"/>
    <xf numFmtId="0" fontId="40" fillId="0" borderId="1" xfId="0" applyFont="1" applyFill="1" applyBorder="1"/>
    <xf numFmtId="0" fontId="39" fillId="0" borderId="7" xfId="0" applyFont="1" applyBorder="1" applyAlignment="1">
      <alignment horizontal="center"/>
    </xf>
    <xf numFmtId="49" fontId="42" fillId="0" borderId="0" xfId="0" applyNumberFormat="1" applyFont="1" applyBorder="1" applyAlignment="1">
      <alignment horizontal="left"/>
    </xf>
    <xf numFmtId="0" fontId="39" fillId="0" borderId="6" xfId="0" applyFont="1" applyBorder="1" applyAlignment="1">
      <alignment horizontal="center"/>
    </xf>
    <xf numFmtId="0" fontId="10" fillId="0" borderId="0" xfId="0" applyFont="1"/>
    <xf numFmtId="0" fontId="38" fillId="0" borderId="7" xfId="0" applyFont="1" applyFill="1" applyBorder="1" applyAlignment="1">
      <alignment horizontal="center"/>
    </xf>
    <xf numFmtId="0" fontId="39" fillId="0" borderId="10" xfId="0" applyFont="1" applyFill="1" applyBorder="1" applyAlignment="1">
      <alignment horizontal="center"/>
    </xf>
    <xf numFmtId="164" fontId="38" fillId="0" borderId="10" xfId="0" applyNumberFormat="1" applyFont="1" applyFill="1" applyBorder="1" applyAlignment="1">
      <alignment horizontal="center"/>
    </xf>
    <xf numFmtId="0" fontId="39" fillId="0" borderId="11" xfId="0" applyFont="1" applyFill="1" applyBorder="1" applyAlignment="1">
      <alignment horizontal="center"/>
    </xf>
    <xf numFmtId="164" fontId="38" fillId="0" borderId="11" xfId="0" applyNumberFormat="1" applyFont="1" applyFill="1" applyBorder="1" applyAlignment="1">
      <alignment horizontal="center"/>
    </xf>
    <xf numFmtId="0" fontId="38" fillId="0" borderId="6" xfId="0" applyFont="1" applyFill="1" applyBorder="1"/>
    <xf numFmtId="0" fontId="5" fillId="0" borderId="0" xfId="0" applyFont="1" applyFill="1" applyBorder="1"/>
    <xf numFmtId="2" fontId="13" fillId="0" borderId="0" xfId="0" applyNumberFormat="1" applyFont="1" applyFill="1" applyBorder="1" applyAlignment="1">
      <alignment horizontal="center"/>
    </xf>
    <xf numFmtId="164" fontId="38" fillId="0" borderId="7" xfId="0" applyNumberFormat="1" applyFont="1" applyFill="1" applyBorder="1" applyAlignment="1">
      <alignment horizontal="center"/>
    </xf>
    <xf numFmtId="164" fontId="38" fillId="0" borderId="6" xfId="0" applyNumberFormat="1" applyFont="1" applyFill="1" applyBorder="1" applyAlignment="1">
      <alignment horizontal="center"/>
    </xf>
    <xf numFmtId="0" fontId="40" fillId="0" borderId="7" xfId="0" applyFont="1" applyFill="1" applyBorder="1"/>
    <xf numFmtId="164" fontId="40" fillId="0" borderId="7" xfId="0" applyNumberFormat="1" applyFont="1" applyFill="1" applyBorder="1" applyAlignment="1">
      <alignment horizontal="center"/>
    </xf>
    <xf numFmtId="164" fontId="41" fillId="0" borderId="7" xfId="0" applyNumberFormat="1" applyFont="1" applyFill="1" applyBorder="1" applyAlignment="1">
      <alignment horizontal="center"/>
    </xf>
    <xf numFmtId="164" fontId="40" fillId="0" borderId="10" xfId="0" applyNumberFormat="1" applyFont="1" applyFill="1" applyBorder="1" applyAlignment="1">
      <alignment horizontal="center"/>
    </xf>
    <xf numFmtId="164" fontId="40" fillId="0" borderId="6" xfId="0" applyNumberFormat="1" applyFont="1" applyFill="1" applyBorder="1" applyAlignment="1">
      <alignment horizontal="center"/>
    </xf>
    <xf numFmtId="164" fontId="40" fillId="0" borderId="11" xfId="0" applyNumberFormat="1" applyFont="1" applyFill="1" applyBorder="1" applyAlignment="1">
      <alignment horizontal="center"/>
    </xf>
    <xf numFmtId="164" fontId="38" fillId="0" borderId="4" xfId="0" applyNumberFormat="1" applyFont="1" applyFill="1" applyBorder="1" applyAlignment="1">
      <alignment horizontal="center"/>
    </xf>
    <xf numFmtId="0" fontId="39" fillId="0" borderId="8" xfId="0" applyFont="1" applyFill="1" applyBorder="1" applyAlignment="1">
      <alignment horizontal="center"/>
    </xf>
    <xf numFmtId="1" fontId="39" fillId="0" borderId="10" xfId="0" applyNumberFormat="1" applyFont="1" applyFill="1" applyBorder="1" applyAlignment="1">
      <alignment horizontal="center"/>
    </xf>
    <xf numFmtId="0" fontId="40" fillId="0" borderId="5" xfId="0" applyFont="1" applyFill="1" applyBorder="1" applyAlignment="1">
      <alignment horizontal="center"/>
    </xf>
    <xf numFmtId="0" fontId="41" fillId="0" borderId="5" xfId="0" applyFont="1" applyFill="1" applyBorder="1" applyAlignment="1">
      <alignment horizontal="center"/>
    </xf>
    <xf numFmtId="164" fontId="40" fillId="0" borderId="9" xfId="0" applyNumberFormat="1" applyFont="1" applyFill="1" applyBorder="1" applyAlignment="1">
      <alignment horizontal="center"/>
    </xf>
    <xf numFmtId="0" fontId="38" fillId="0" borderId="11" xfId="0" applyFont="1" applyFill="1" applyBorder="1"/>
    <xf numFmtId="0" fontId="13" fillId="0" borderId="2" xfId="0" applyFont="1" applyBorder="1"/>
    <xf numFmtId="0" fontId="0" fillId="0" borderId="0" xfId="0" applyAlignment="1">
      <alignment horizontal="right"/>
    </xf>
    <xf numFmtId="0" fontId="0" fillId="0" borderId="0" xfId="0" applyAlignment="1">
      <alignment vertical="top"/>
    </xf>
    <xf numFmtId="0" fontId="0" fillId="0" borderId="0" xfId="0" applyFill="1" applyBorder="1" applyAlignment="1">
      <alignment horizontal="left"/>
    </xf>
    <xf numFmtId="0" fontId="9" fillId="0" borderId="0" xfId="0" applyFont="1" applyAlignment="1">
      <alignment vertical="justify"/>
    </xf>
    <xf numFmtId="0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0" fontId="0" fillId="0" borderId="0" xfId="0" applyBorder="1" applyAlignment="1">
      <alignment vertical="top"/>
    </xf>
    <xf numFmtId="0" fontId="7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0" fontId="0" fillId="0" borderId="0" xfId="0" applyAlignment="1">
      <alignment horizontal="right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0" fontId="12" fillId="0" borderId="0" xfId="0" applyNumberFormat="1" applyFont="1" applyAlignment="1">
      <alignment horizontal="center" vertical="top"/>
    </xf>
    <xf numFmtId="0" fontId="2" fillId="0" borderId="0" xfId="0" applyNumberFormat="1" applyFont="1" applyBorder="1" applyAlignment="1">
      <alignment horizontal="center" vertical="top"/>
    </xf>
    <xf numFmtId="0" fontId="2" fillId="0" borderId="0" xfId="0" applyFont="1" applyBorder="1" applyAlignment="1">
      <alignment horizontal="left" vertical="top"/>
    </xf>
    <xf numFmtId="0" fontId="12" fillId="0" borderId="0" xfId="0" applyFont="1" applyBorder="1" applyAlignment="1">
      <alignment horizontal="center" vertical="top"/>
    </xf>
    <xf numFmtId="0" fontId="12" fillId="0" borderId="0" xfId="0" applyFont="1" applyFill="1" applyBorder="1" applyAlignment="1">
      <alignment horizontal="center" vertical="top"/>
    </xf>
    <xf numFmtId="0" fontId="12" fillId="0" borderId="0" xfId="0" applyFont="1" applyFill="1" applyBorder="1" applyAlignment="1">
      <alignment horizontal="right"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0" xfId="0" applyBorder="1" applyAlignment="1">
      <alignment horizontal="right" vertical="top"/>
    </xf>
    <xf numFmtId="0" fontId="12" fillId="0" borderId="0" xfId="0" applyNumberFormat="1" applyFont="1" applyFill="1" applyAlignment="1">
      <alignment horizontal="center" vertical="top"/>
    </xf>
    <xf numFmtId="0" fontId="7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center" vertical="top"/>
    </xf>
    <xf numFmtId="0" fontId="2" fillId="0" borderId="0" xfId="0" applyNumberFormat="1" applyFont="1" applyFill="1" applyAlignment="1">
      <alignment horizontal="center" vertical="top"/>
    </xf>
    <xf numFmtId="0" fontId="2" fillId="0" borderId="0" xfId="0" applyFont="1" applyFill="1" applyAlignment="1">
      <alignment horizontal="right" vertical="top"/>
    </xf>
    <xf numFmtId="0" fontId="2" fillId="0" borderId="0" xfId="0" applyNumberFormat="1" applyFont="1" applyFill="1" applyBorder="1" applyAlignment="1">
      <alignment horizontal="center" vertical="top"/>
    </xf>
    <xf numFmtId="0" fontId="2" fillId="0" borderId="0" xfId="0" applyFont="1" applyFill="1" applyBorder="1" applyAlignment="1">
      <alignment horizontal="right" vertical="top"/>
    </xf>
    <xf numFmtId="0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2" fillId="0" borderId="2" xfId="0" applyNumberFormat="1" applyFont="1" applyFill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0" fontId="2" fillId="0" borderId="0" xfId="0" applyFont="1" applyFill="1" applyAlignment="1">
      <alignment horizontal="left" vertical="top"/>
    </xf>
    <xf numFmtId="0" fontId="2" fillId="0" borderId="2" xfId="0" applyFont="1" applyFill="1" applyBorder="1" applyAlignment="1">
      <alignment horizontal="left" vertical="top"/>
    </xf>
    <xf numFmtId="0" fontId="12" fillId="0" borderId="0" xfId="0" applyFont="1" applyFill="1" applyAlignment="1">
      <alignment horizontal="left" vertical="top"/>
    </xf>
    <xf numFmtId="0" fontId="16" fillId="0" borderId="0" xfId="0" applyNumberFormat="1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left" vertical="top"/>
    </xf>
    <xf numFmtId="0" fontId="2" fillId="0" borderId="2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0" fillId="0" borderId="0" xfId="0" applyFill="1" applyAlignment="1">
      <alignment vertical="top"/>
    </xf>
    <xf numFmtId="0" fontId="7" fillId="0" borderId="0" xfId="0" applyFont="1" applyAlignment="1">
      <alignment horizontal="center" vertical="top"/>
    </xf>
    <xf numFmtId="0" fontId="3" fillId="0" borderId="0" xfId="0" applyFont="1" applyFill="1" applyBorder="1" applyAlignment="1">
      <alignment horizontal="left" vertical="top"/>
    </xf>
    <xf numFmtId="0" fontId="0" fillId="0" borderId="1" xfId="0" applyBorder="1" applyAlignment="1">
      <alignment horizontal="right" vertical="top"/>
    </xf>
    <xf numFmtId="0" fontId="2" fillId="0" borderId="1" xfId="0" applyFont="1" applyFill="1" applyBorder="1" applyAlignment="1">
      <alignment horizontal="right" vertical="top"/>
    </xf>
    <xf numFmtId="0" fontId="12" fillId="0" borderId="0" xfId="0" applyFont="1" applyFill="1" applyAlignment="1">
      <alignment horizontal="center" vertical="top"/>
    </xf>
    <xf numFmtId="0" fontId="0" fillId="0" borderId="1" xfId="0" applyNumberFormat="1" applyBorder="1" applyAlignment="1">
      <alignment horizontal="center" vertical="top"/>
    </xf>
    <xf numFmtId="0" fontId="9" fillId="0" borderId="0" xfId="0" applyFont="1" applyFill="1" applyBorder="1" applyAlignment="1">
      <alignment vertical="top"/>
    </xf>
    <xf numFmtId="0" fontId="9" fillId="0" borderId="0" xfId="0" applyFont="1" applyAlignment="1">
      <alignment vertical="top"/>
    </xf>
    <xf numFmtId="0" fontId="0" fillId="0" borderId="0" xfId="0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18" fillId="0" borderId="0" xfId="0" applyFont="1" applyAlignment="1">
      <alignment horizontal="center" vertical="top"/>
    </xf>
    <xf numFmtId="0" fontId="0" fillId="0" borderId="0" xfId="0" applyNumberFormat="1" applyBorder="1" applyAlignment="1">
      <alignment horizontal="center" vertical="top"/>
    </xf>
    <xf numFmtId="0" fontId="3" fillId="0" borderId="0" xfId="0" applyNumberFormat="1" applyFont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0" fontId="0" fillId="0" borderId="10" xfId="0" applyFill="1" applyBorder="1" applyAlignment="1">
      <alignment vertical="top"/>
    </xf>
    <xf numFmtId="0" fontId="12" fillId="0" borderId="0" xfId="0" applyNumberFormat="1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1" fillId="0" borderId="0" xfId="0" applyFont="1" applyAlignment="1">
      <alignment vertical="top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0" xfId="0" applyFont="1" applyFill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6" fillId="0" borderId="0" xfId="0" applyFont="1" applyAlignment="1">
      <alignment horizontal="left" vertical="top"/>
    </xf>
    <xf numFmtId="0" fontId="9" fillId="0" borderId="0" xfId="0" applyFont="1" applyAlignment="1">
      <alignment horizontal="center" vertical="top"/>
    </xf>
    <xf numFmtId="0" fontId="9" fillId="0" borderId="0" xfId="0" applyFont="1" applyFill="1" applyBorder="1" applyAlignment="1">
      <alignment horizontal="center" vertical="top"/>
    </xf>
    <xf numFmtId="0" fontId="11" fillId="0" borderId="0" xfId="0" applyFont="1" applyAlignment="1">
      <alignment horizontal="left" vertical="top"/>
    </xf>
    <xf numFmtId="0" fontId="13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left" vertical="top"/>
    </xf>
    <xf numFmtId="0" fontId="11" fillId="0" borderId="0" xfId="0" applyFont="1" applyBorder="1" applyAlignment="1">
      <alignment horizontal="left" vertical="top"/>
    </xf>
    <xf numFmtId="0" fontId="9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0" fontId="16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17" fillId="0" borderId="0" xfId="0" applyFont="1" applyAlignment="1">
      <alignment horizontal="left" vertical="top"/>
    </xf>
    <xf numFmtId="0" fontId="12" fillId="0" borderId="0" xfId="0" applyFont="1" applyAlignment="1">
      <alignment horizontal="center" vertical="top"/>
    </xf>
    <xf numFmtId="0" fontId="21" fillId="0" borderId="0" xfId="0" applyFont="1" applyAlignment="1">
      <alignment horizontal="center" vertical="top"/>
    </xf>
    <xf numFmtId="0" fontId="22" fillId="0" borderId="0" xfId="0" applyFont="1" applyAlignment="1">
      <alignment horizontal="left" vertical="top"/>
    </xf>
    <xf numFmtId="0" fontId="23" fillId="0" borderId="0" xfId="0" applyFont="1" applyBorder="1" applyAlignment="1">
      <alignment horizontal="left" vertical="top"/>
    </xf>
    <xf numFmtId="0" fontId="20" fillId="0" borderId="0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21" fillId="0" borderId="0" xfId="0" applyFont="1" applyAlignment="1">
      <alignment horizontal="left" vertical="top"/>
    </xf>
    <xf numFmtId="0" fontId="24" fillId="0" borderId="0" xfId="0" applyFont="1" applyFill="1" applyAlignment="1">
      <alignment horizontal="left" vertical="top"/>
    </xf>
    <xf numFmtId="0" fontId="26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/>
    </xf>
    <xf numFmtId="0" fontId="9" fillId="0" borderId="0" xfId="0" applyFont="1" applyBorder="1" applyAlignment="1">
      <alignment horizontal="center" vertical="top"/>
    </xf>
    <xf numFmtId="0" fontId="9" fillId="0" borderId="1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31" fillId="0" borderId="0" xfId="0" applyFont="1" applyAlignment="1">
      <alignment horizontal="left" vertical="top"/>
    </xf>
    <xf numFmtId="0" fontId="32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4" fillId="0" borderId="0" xfId="0" applyFont="1" applyFill="1" applyBorder="1" applyAlignment="1">
      <alignment horizontal="left" vertical="top"/>
    </xf>
    <xf numFmtId="0" fontId="11" fillId="0" borderId="0" xfId="0" applyFont="1" applyFill="1" applyBorder="1" applyAlignment="1">
      <alignment horizontal="left" vertical="top"/>
    </xf>
    <xf numFmtId="0" fontId="1" fillId="0" borderId="0" xfId="0" applyFont="1" applyBorder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12" fillId="0" borderId="0" xfId="0" applyFont="1" applyFill="1" applyBorder="1" applyAlignment="1">
      <alignment horizontal="left" vertical="top"/>
    </xf>
    <xf numFmtId="0" fontId="18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/>
    </xf>
    <xf numFmtId="0" fontId="29" fillId="0" borderId="0" xfId="0" applyFont="1" applyAlignment="1">
      <alignment horizontal="center" vertical="top"/>
    </xf>
    <xf numFmtId="0" fontId="30" fillId="0" borderId="0" xfId="0" applyFont="1" applyAlignment="1">
      <alignment horizontal="left" vertical="top"/>
    </xf>
    <xf numFmtId="0" fontId="23" fillId="0" borderId="0" xfId="0" applyFont="1" applyFill="1" applyBorder="1" applyAlignment="1">
      <alignment horizontal="left" vertical="top"/>
    </xf>
    <xf numFmtId="0" fontId="13" fillId="0" borderId="0" xfId="0" applyFont="1" applyBorder="1" applyAlignment="1">
      <alignment horizontal="left" vertical="top"/>
    </xf>
    <xf numFmtId="0" fontId="0" fillId="0" borderId="0" xfId="0" applyFill="1" applyAlignment="1">
      <alignment horizontal="left" vertical="top"/>
    </xf>
    <xf numFmtId="0" fontId="36" fillId="0" borderId="0" xfId="0" applyFont="1" applyAlignment="1">
      <alignment horizontal="center" vertical="top"/>
    </xf>
    <xf numFmtId="0" fontId="9" fillId="0" borderId="0" xfId="0" applyFont="1" applyFill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left" vertical="top"/>
    </xf>
    <xf numFmtId="0" fontId="12" fillId="0" borderId="0" xfId="0" applyFont="1" applyBorder="1" applyAlignment="1">
      <alignment horizontal="left" vertical="top"/>
    </xf>
    <xf numFmtId="0" fontId="6" fillId="0" borderId="0" xfId="0" applyFont="1" applyAlignment="1">
      <alignment horizontal="center" vertical="top"/>
    </xf>
    <xf numFmtId="0" fontId="10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4" fillId="0" borderId="0" xfId="0" applyFont="1" applyBorder="1" applyAlignment="1">
      <alignment horizontal="center" vertical="top"/>
    </xf>
    <xf numFmtId="0" fontId="11" fillId="0" borderId="0" xfId="0" applyFont="1" applyBorder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22" fillId="0" borderId="0" xfId="0" applyFont="1" applyAlignment="1">
      <alignment horizontal="center" vertical="top"/>
    </xf>
    <xf numFmtId="0" fontId="23" fillId="0" borderId="0" xfId="0" applyFont="1" applyBorder="1" applyAlignment="1">
      <alignment horizontal="center" vertical="top"/>
    </xf>
    <xf numFmtId="0" fontId="20" fillId="0" borderId="0" xfId="0" applyFont="1" applyBorder="1" applyAlignment="1">
      <alignment horizontal="center" vertical="top"/>
    </xf>
    <xf numFmtId="0" fontId="20" fillId="0" borderId="1" xfId="0" applyFont="1" applyBorder="1" applyAlignment="1">
      <alignment horizontal="center" vertical="top"/>
    </xf>
    <xf numFmtId="0" fontId="20" fillId="0" borderId="0" xfId="0" applyFont="1" applyAlignment="1">
      <alignment horizontal="center" vertical="top"/>
    </xf>
    <xf numFmtId="0" fontId="24" fillId="0" borderId="0" xfId="0" applyFont="1" applyFill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3" fillId="0" borderId="0" xfId="0" applyFont="1" applyAlignment="1">
      <alignment horizontal="center" vertical="top"/>
    </xf>
    <xf numFmtId="0" fontId="31" fillId="0" borderId="0" xfId="0" applyFont="1" applyAlignment="1">
      <alignment horizontal="center" vertical="top"/>
    </xf>
    <xf numFmtId="0" fontId="32" fillId="0" borderId="0" xfId="0" applyFont="1" applyAlignment="1">
      <alignment horizontal="center" vertical="top"/>
    </xf>
    <xf numFmtId="0" fontId="4" fillId="0" borderId="0" xfId="0" applyFont="1" applyFill="1" applyBorder="1" applyAlignment="1">
      <alignment horizontal="center" vertical="top"/>
    </xf>
    <xf numFmtId="0" fontId="11" fillId="0" borderId="0" xfId="0" applyFont="1" applyFill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10" fillId="0" borderId="0" xfId="0" applyFont="1" applyFill="1" applyBorder="1" applyAlignment="1">
      <alignment horizontal="center" vertical="top"/>
    </xf>
    <xf numFmtId="0" fontId="23" fillId="0" borderId="0" xfId="0" applyFont="1" applyFill="1" applyBorder="1" applyAlignment="1">
      <alignment horizontal="center" vertical="top"/>
    </xf>
    <xf numFmtId="0" fontId="33" fillId="0" borderId="0" xfId="0" applyFont="1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0" fontId="10" fillId="0" borderId="0" xfId="0" applyFont="1" applyBorder="1" applyAlignment="1">
      <alignment horizontal="center" vertical="top"/>
    </xf>
    <xf numFmtId="0" fontId="6" fillId="0" borderId="0" xfId="0" applyFont="1" applyBorder="1" applyAlignment="1">
      <alignment horizontal="center" vertical="top"/>
    </xf>
    <xf numFmtId="0" fontId="13" fillId="0" borderId="0" xfId="0" applyFont="1" applyAlignment="1">
      <alignment horizontal="center" vertical="justify"/>
    </xf>
    <xf numFmtId="0" fontId="0" fillId="2" borderId="0" xfId="0" applyFill="1" applyAlignment="1">
      <alignment horizontal="right" vertical="top"/>
    </xf>
    <xf numFmtId="0" fontId="0" fillId="0" borderId="0" xfId="0" applyFill="1" applyBorder="1" applyAlignment="1">
      <alignment horizontal="right" vertical="top"/>
    </xf>
    <xf numFmtId="0" fontId="2" fillId="3" borderId="0" xfId="0" applyFont="1" applyFill="1" applyAlignment="1">
      <alignment horizontal="center" vertical="top"/>
    </xf>
    <xf numFmtId="0" fontId="13" fillId="0" borderId="0" xfId="0" applyFont="1" applyFill="1" applyAlignment="1">
      <alignment horizontal="right" vertical="top"/>
    </xf>
    <xf numFmtId="0" fontId="0" fillId="0" borderId="0" xfId="0" applyFill="1" applyAlignment="1">
      <alignment horizontal="right" vertical="top"/>
    </xf>
    <xf numFmtId="0" fontId="13" fillId="0" borderId="0" xfId="0" applyFont="1" applyBorder="1" applyAlignment="1">
      <alignment horizontal="center"/>
    </xf>
    <xf numFmtId="0" fontId="5" fillId="0" borderId="0" xfId="0" applyFont="1" applyBorder="1"/>
    <xf numFmtId="0" fontId="45" fillId="0" borderId="0" xfId="0" applyFont="1" applyBorder="1" applyAlignment="1">
      <alignment horizontal="left"/>
    </xf>
    <xf numFmtId="0" fontId="46" fillId="0" borderId="0" xfId="0" applyFont="1" applyFill="1" applyBorder="1" applyAlignment="1">
      <alignment horizontal="left"/>
    </xf>
    <xf numFmtId="0" fontId="2" fillId="0" borderId="18" xfId="0" applyFont="1" applyBorder="1"/>
    <xf numFmtId="0" fontId="2" fillId="0" borderId="18" xfId="0" applyFont="1" applyBorder="1" applyAlignment="1">
      <alignment horizontal="center" vertical="top"/>
    </xf>
    <xf numFmtId="0" fontId="2" fillId="0" borderId="18" xfId="0" applyFont="1" applyBorder="1" applyAlignment="1">
      <alignment horizontal="left" vertical="top"/>
    </xf>
    <xf numFmtId="0" fontId="2" fillId="0" borderId="18" xfId="0" applyNumberFormat="1" applyFont="1" applyFill="1" applyBorder="1" applyAlignment="1">
      <alignment horizontal="center" vertical="top"/>
    </xf>
    <xf numFmtId="0" fontId="2" fillId="0" borderId="18" xfId="0" applyFont="1" applyFill="1" applyBorder="1" applyAlignment="1">
      <alignment horizontal="center" vertical="top"/>
    </xf>
    <xf numFmtId="0" fontId="2" fillId="0" borderId="18" xfId="0" applyFont="1" applyFill="1" applyBorder="1"/>
    <xf numFmtId="0" fontId="2" fillId="0" borderId="18" xfId="0" applyFont="1" applyFill="1" applyBorder="1" applyAlignment="1">
      <alignment horizontal="left" vertical="top"/>
    </xf>
    <xf numFmtId="0" fontId="0" fillId="0" borderId="18" xfId="0" applyBorder="1" applyAlignment="1">
      <alignment horizontal="center" vertical="top"/>
    </xf>
    <xf numFmtId="0" fontId="0" fillId="0" borderId="18" xfId="0" applyBorder="1"/>
    <xf numFmtId="0" fontId="0" fillId="0" borderId="18" xfId="0" applyBorder="1" applyAlignment="1">
      <alignment horizontal="left" vertical="top"/>
    </xf>
    <xf numFmtId="0" fontId="36" fillId="0" borderId="0" xfId="0" applyFont="1" applyBorder="1"/>
    <xf numFmtId="0" fontId="12" fillId="0" borderId="18" xfId="0" applyFont="1" applyBorder="1"/>
    <xf numFmtId="0" fontId="13" fillId="4" borderId="19" xfId="0" applyFont="1" applyFill="1" applyBorder="1" applyAlignment="1">
      <alignment vertical="justify"/>
    </xf>
    <xf numFmtId="0" fontId="13" fillId="4" borderId="21" xfId="0" applyFont="1" applyFill="1" applyBorder="1" applyAlignment="1">
      <alignment horizontal="center" vertical="top"/>
    </xf>
    <xf numFmtId="0" fontId="16" fillId="4" borderId="19" xfId="0" applyFont="1" applyFill="1" applyBorder="1" applyAlignment="1">
      <alignment horizontal="center" vertical="top"/>
    </xf>
    <xf numFmtId="0" fontId="16" fillId="4" borderId="19" xfId="0" applyFont="1" applyFill="1" applyBorder="1" applyAlignment="1">
      <alignment horizontal="left" vertical="top"/>
    </xf>
    <xf numFmtId="0" fontId="16" fillId="4" borderId="19" xfId="0" applyNumberFormat="1" applyFont="1" applyFill="1" applyBorder="1" applyAlignment="1">
      <alignment horizontal="center" vertical="top"/>
    </xf>
    <xf numFmtId="0" fontId="13" fillId="4" borderId="2" xfId="0" applyFont="1" applyFill="1" applyBorder="1" applyAlignment="1">
      <alignment vertical="justify"/>
    </xf>
    <xf numFmtId="0" fontId="3" fillId="4" borderId="2" xfId="0" applyFont="1" applyFill="1" applyBorder="1"/>
    <xf numFmtId="0" fontId="0" fillId="4" borderId="2" xfId="0" applyFill="1" applyBorder="1" applyAlignment="1">
      <alignment horizontal="right" vertical="top"/>
    </xf>
    <xf numFmtId="0" fontId="0" fillId="0" borderId="1" xfId="0" applyBorder="1" applyAlignment="1">
      <alignment vertical="justify"/>
    </xf>
    <xf numFmtId="0" fontId="0" fillId="0" borderId="6" xfId="0" applyBorder="1" applyAlignment="1">
      <alignment vertical="top"/>
    </xf>
    <xf numFmtId="0" fontId="18" fillId="0" borderId="0" xfId="0" applyFont="1" applyFill="1" applyAlignment="1">
      <alignment horizontal="right" vertical="top"/>
    </xf>
    <xf numFmtId="0" fontId="0" fillId="4" borderId="0" xfId="0" applyFill="1" applyBorder="1" applyAlignment="1">
      <alignment horizontal="right" vertical="top"/>
    </xf>
    <xf numFmtId="0" fontId="2" fillId="4" borderId="0" xfId="0" applyFont="1" applyFill="1" applyBorder="1" applyAlignment="1">
      <alignment horizontal="right" vertical="top"/>
    </xf>
    <xf numFmtId="0" fontId="0" fillId="4" borderId="0" xfId="0" applyFill="1" applyAlignment="1">
      <alignment horizontal="right" vertical="top"/>
    </xf>
    <xf numFmtId="0" fontId="12" fillId="4" borderId="0" xfId="0" applyFont="1" applyFill="1" applyBorder="1" applyAlignment="1">
      <alignment horizontal="right" vertical="top"/>
    </xf>
    <xf numFmtId="0" fontId="2" fillId="4" borderId="0" xfId="0" applyFont="1" applyFill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0" fontId="18" fillId="4" borderId="0" xfId="0" applyFont="1" applyFill="1" applyAlignment="1">
      <alignment horizontal="right" vertical="top"/>
    </xf>
    <xf numFmtId="0" fontId="0" fillId="0" borderId="16" xfId="0" applyBorder="1" applyAlignment="1">
      <alignment horizontal="center" vertical="top"/>
    </xf>
    <xf numFmtId="0" fontId="0" fillId="0" borderId="16" xfId="0" applyBorder="1" applyAlignment="1">
      <alignment horizontal="center" vertical="justify"/>
    </xf>
    <xf numFmtId="0" fontId="0" fillId="0" borderId="16" xfId="0" applyFont="1" applyBorder="1" applyAlignment="1">
      <alignment horizontal="center"/>
    </xf>
    <xf numFmtId="0" fontId="10" fillId="0" borderId="16" xfId="0" applyFont="1" applyBorder="1" applyAlignment="1">
      <alignment horizontal="center" vertical="top"/>
    </xf>
    <xf numFmtId="0" fontId="2" fillId="0" borderId="16" xfId="0" applyFont="1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17" xfId="0" applyBorder="1" applyAlignment="1">
      <alignment horizontal="center" vertical="justify"/>
    </xf>
    <xf numFmtId="0" fontId="5" fillId="0" borderId="17" xfId="0" applyFont="1" applyBorder="1" applyAlignment="1">
      <alignment horizontal="center"/>
    </xf>
    <xf numFmtId="0" fontId="6" fillId="0" borderId="17" xfId="0" applyFont="1" applyBorder="1" applyAlignment="1">
      <alignment horizontal="center" vertical="top"/>
    </xf>
    <xf numFmtId="0" fontId="2" fillId="0" borderId="24" xfId="0" applyNumberFormat="1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0" fillId="0" borderId="0" xfId="0" applyFill="1" applyAlignment="1">
      <alignment vertical="justify"/>
    </xf>
    <xf numFmtId="0" fontId="13" fillId="4" borderId="2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vertical="justify"/>
    </xf>
    <xf numFmtId="0" fontId="12" fillId="4" borderId="2" xfId="0" applyFont="1" applyFill="1" applyBorder="1" applyAlignment="1">
      <alignment horizontal="center" vertical="top"/>
    </xf>
    <xf numFmtId="0" fontId="16" fillId="4" borderId="2" xfId="0" applyFont="1" applyFill="1" applyBorder="1"/>
    <xf numFmtId="0" fontId="16" fillId="4" borderId="2" xfId="0" applyFont="1" applyFill="1" applyBorder="1" applyAlignment="1">
      <alignment horizontal="center" vertical="top"/>
    </xf>
    <xf numFmtId="0" fontId="16" fillId="4" borderId="2" xfId="0" applyFont="1" applyFill="1" applyBorder="1" applyAlignment="1">
      <alignment horizontal="left" vertical="top"/>
    </xf>
    <xf numFmtId="0" fontId="16" fillId="4" borderId="2" xfId="0" applyNumberFormat="1" applyFont="1" applyFill="1" applyBorder="1" applyAlignment="1">
      <alignment horizontal="center" vertical="top"/>
    </xf>
    <xf numFmtId="0" fontId="16" fillId="4" borderId="18" xfId="0" applyFont="1" applyFill="1" applyBorder="1"/>
    <xf numFmtId="0" fontId="16" fillId="4" borderId="18" xfId="0" applyFont="1" applyFill="1" applyBorder="1" applyAlignment="1">
      <alignment horizontal="center" vertical="top"/>
    </xf>
    <xf numFmtId="0" fontId="16" fillId="4" borderId="18" xfId="0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left" vertical="top"/>
    </xf>
    <xf numFmtId="0" fontId="3" fillId="4" borderId="2" xfId="0" applyNumberFormat="1" applyFont="1" applyFill="1" applyBorder="1" applyAlignment="1">
      <alignment horizontal="center" vertical="top"/>
    </xf>
    <xf numFmtId="0" fontId="13" fillId="4" borderId="2" xfId="0" applyFont="1" applyFill="1" applyBorder="1"/>
    <xf numFmtId="0" fontId="13" fillId="4" borderId="2" xfId="0" applyFont="1" applyFill="1" applyBorder="1" applyAlignment="1">
      <alignment horizontal="left" vertical="top"/>
    </xf>
    <xf numFmtId="0" fontId="13" fillId="4" borderId="2" xfId="0" applyNumberFormat="1" applyFont="1" applyFill="1" applyBorder="1" applyAlignment="1">
      <alignment horizontal="center" vertical="top"/>
    </xf>
    <xf numFmtId="0" fontId="8" fillId="4" borderId="2" xfId="0" applyFont="1" applyFill="1" applyBorder="1"/>
    <xf numFmtId="0" fontId="0" fillId="5" borderId="0" xfId="0" applyFill="1" applyAlignment="1">
      <alignment horizontal="right" vertical="top"/>
    </xf>
    <xf numFmtId="0" fontId="2" fillId="0" borderId="17" xfId="0" applyNumberFormat="1" applyFont="1" applyBorder="1" applyAlignment="1">
      <alignment horizontal="center" vertical="top"/>
    </xf>
    <xf numFmtId="0" fontId="9" fillId="0" borderId="1" xfId="0" applyFont="1" applyFill="1" applyBorder="1" applyAlignment="1">
      <alignment horizontal="left" vertical="top"/>
    </xf>
    <xf numFmtId="0" fontId="1" fillId="0" borderId="0" xfId="0" applyFont="1" applyAlignment="1">
      <alignment vertical="justify"/>
    </xf>
    <xf numFmtId="0" fontId="43" fillId="0" borderId="0" xfId="0" applyFont="1"/>
    <xf numFmtId="0" fontId="10" fillId="0" borderId="13" xfId="0" applyFont="1" applyBorder="1" applyAlignment="1">
      <alignment horizontal="center" vertical="top"/>
    </xf>
    <xf numFmtId="0" fontId="10" fillId="0" borderId="17" xfId="0" applyFont="1" applyBorder="1" applyAlignment="1">
      <alignment horizontal="center" vertical="top"/>
    </xf>
    <xf numFmtId="0" fontId="0" fillId="0" borderId="26" xfId="0" applyBorder="1" applyAlignment="1">
      <alignment horizontal="right" vertical="top"/>
    </xf>
    <xf numFmtId="0" fontId="0" fillId="0" borderId="27" xfId="0" applyBorder="1" applyAlignment="1">
      <alignment horizontal="right" vertical="top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>
      <alignment horizontal="center"/>
    </xf>
    <xf numFmtId="0" fontId="45" fillId="0" borderId="0" xfId="0" applyFont="1" applyFill="1" applyBorder="1" applyAlignment="1">
      <alignment horizontal="left"/>
    </xf>
    <xf numFmtId="0" fontId="13" fillId="0" borderId="0" xfId="0" applyFont="1" applyFill="1"/>
    <xf numFmtId="0" fontId="0" fillId="0" borderId="1" xfId="0" applyFill="1" applyBorder="1" applyAlignment="1">
      <alignment horizontal="left"/>
    </xf>
    <xf numFmtId="0" fontId="13" fillId="0" borderId="1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right" vertical="top"/>
    </xf>
    <xf numFmtId="0" fontId="13" fillId="0" borderId="1" xfId="0" applyFont="1" applyFill="1" applyBorder="1"/>
    <xf numFmtId="0" fontId="3" fillId="0" borderId="0" xfId="0" applyFont="1" applyFill="1" applyBorder="1" applyAlignment="1">
      <alignment horizontal="right" vertical="top"/>
    </xf>
    <xf numFmtId="0" fontId="8" fillId="0" borderId="1" xfId="0" applyFont="1" applyFill="1" applyBorder="1"/>
    <xf numFmtId="164" fontId="0" fillId="0" borderId="0" xfId="0" applyNumberFormat="1" applyFill="1"/>
    <xf numFmtId="164" fontId="0" fillId="0" borderId="1" xfId="0" applyNumberFormat="1" applyFill="1" applyBorder="1"/>
    <xf numFmtId="164" fontId="3" fillId="0" borderId="0" xfId="0" applyNumberFormat="1" applyFont="1" applyFill="1" applyBorder="1" applyAlignment="1">
      <alignment horizontal="right" vertical="top"/>
    </xf>
    <xf numFmtId="0" fontId="49" fillId="0" borderId="0" xfId="0" applyFont="1" applyFill="1"/>
    <xf numFmtId="0" fontId="0" fillId="6" borderId="0" xfId="0" applyFill="1" applyBorder="1" applyAlignment="1">
      <alignment horizontal="left"/>
    </xf>
    <xf numFmtId="0" fontId="0" fillId="6" borderId="0" xfId="0" applyFill="1" applyBorder="1"/>
    <xf numFmtId="0" fontId="2" fillId="6" borderId="0" xfId="0" applyFont="1" applyFill="1" applyAlignment="1">
      <alignment horizontal="right" vertical="top"/>
    </xf>
    <xf numFmtId="0" fontId="0" fillId="6" borderId="0" xfId="0" applyFill="1"/>
    <xf numFmtId="0" fontId="50" fillId="6" borderId="0" xfId="0" applyFont="1" applyFill="1"/>
    <xf numFmtId="0" fontId="49" fillId="0" borderId="0" xfId="0" applyFont="1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7" borderId="0" xfId="0" applyFill="1" applyBorder="1"/>
    <xf numFmtId="0" fontId="0" fillId="7" borderId="0" xfId="0" applyFill="1" applyAlignment="1">
      <alignment horizontal="right" vertical="top"/>
    </xf>
    <xf numFmtId="0" fontId="0" fillId="7" borderId="0" xfId="0" applyFill="1"/>
    <xf numFmtId="0" fontId="51" fillId="7" borderId="0" xfId="0" applyFont="1" applyFill="1"/>
    <xf numFmtId="0" fontId="52" fillId="0" borderId="0" xfId="0" applyFont="1" applyFill="1"/>
    <xf numFmtId="0" fontId="0" fillId="0" borderId="0" xfId="0" applyFill="1" applyBorder="1" applyAlignment="1">
      <alignment horizontal="right"/>
    </xf>
    <xf numFmtId="0" fontId="13" fillId="0" borderId="0" xfId="0" applyFont="1" applyFill="1" applyBorder="1" applyAlignment="1">
      <alignment horizontal="right"/>
    </xf>
    <xf numFmtId="0" fontId="0" fillId="3" borderId="0" xfId="0" applyFill="1" applyBorder="1"/>
    <xf numFmtId="0" fontId="0" fillId="0" borderId="0" xfId="0" applyFont="1" applyFill="1" applyAlignment="1">
      <alignment horizontal="center" vertical="top"/>
    </xf>
    <xf numFmtId="0" fontId="0" fillId="3" borderId="2" xfId="0" applyFont="1" applyFill="1" applyBorder="1" applyAlignment="1">
      <alignment horizontal="center" vertical="top"/>
    </xf>
    <xf numFmtId="0" fontId="2" fillId="3" borderId="2" xfId="0" applyFont="1" applyFill="1" applyBorder="1"/>
    <xf numFmtId="0" fontId="2" fillId="3" borderId="2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left" vertical="top"/>
    </xf>
    <xf numFmtId="0" fontId="2" fillId="3" borderId="2" xfId="0" applyNumberFormat="1" applyFont="1" applyFill="1" applyBorder="1" applyAlignment="1">
      <alignment horizontal="center" vertical="top"/>
    </xf>
    <xf numFmtId="0" fontId="0" fillId="0" borderId="5" xfId="0" applyBorder="1" applyAlignment="1">
      <alignment vertical="top"/>
    </xf>
    <xf numFmtId="0" fontId="0" fillId="3" borderId="2" xfId="0" applyFill="1" applyBorder="1" applyAlignment="1">
      <alignment horizontal="center" vertical="top"/>
    </xf>
    <xf numFmtId="0" fontId="0" fillId="3" borderId="2" xfId="0" applyFill="1" applyBorder="1" applyAlignment="1">
      <alignment vertical="justify"/>
    </xf>
    <xf numFmtId="0" fontId="0" fillId="0" borderId="0" xfId="0" applyFill="1" applyBorder="1" applyAlignment="1">
      <alignment vertical="justify"/>
    </xf>
    <xf numFmtId="0" fontId="13" fillId="0" borderId="0" xfId="0" applyNumberFormat="1" applyFont="1" applyFill="1" applyBorder="1" applyAlignment="1">
      <alignment horizontal="center" vertical="top"/>
    </xf>
    <xf numFmtId="0" fontId="0" fillId="0" borderId="0" xfId="0" applyFill="1" applyBorder="1" applyAlignment="1">
      <alignment horizontal="left" vertical="top"/>
    </xf>
    <xf numFmtId="2" fontId="0" fillId="0" borderId="0" xfId="0" applyNumberFormat="1"/>
    <xf numFmtId="0" fontId="47" fillId="0" borderId="0" xfId="0" applyFont="1" applyAlignment="1">
      <alignment horizontal="right"/>
    </xf>
    <xf numFmtId="0" fontId="16" fillId="4" borderId="19" xfId="0" applyFont="1" applyFill="1" applyBorder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3" xfId="0" applyFill="1" applyBorder="1" applyAlignment="1"/>
    <xf numFmtId="0" fontId="48" fillId="0" borderId="29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right" vertical="top"/>
    </xf>
    <xf numFmtId="0" fontId="2" fillId="3" borderId="0" xfId="0" applyFont="1" applyFill="1" applyBorder="1"/>
    <xf numFmtId="0" fontId="2" fillId="3" borderId="0" xfId="0" applyFont="1" applyFill="1" applyBorder="1" applyAlignment="1">
      <alignment horizontal="center" vertical="top"/>
    </xf>
    <xf numFmtId="0" fontId="2" fillId="3" borderId="0" xfId="0" applyFont="1" applyFill="1" applyBorder="1" applyAlignment="1">
      <alignment horizontal="left" vertical="top"/>
    </xf>
    <xf numFmtId="0" fontId="2" fillId="3" borderId="0" xfId="0" applyNumberFormat="1" applyFont="1" applyFill="1" applyBorder="1" applyAlignment="1">
      <alignment horizontal="center" vertical="top"/>
    </xf>
    <xf numFmtId="0" fontId="0" fillId="0" borderId="0" xfId="0" applyBorder="1" applyAlignment="1">
      <alignment vertical="justify"/>
    </xf>
    <xf numFmtId="0" fontId="2" fillId="3" borderId="0" xfId="0" applyNumberFormat="1" applyFont="1" applyFill="1" applyAlignment="1">
      <alignment horizontal="center" vertical="top"/>
    </xf>
    <xf numFmtId="0" fontId="2" fillId="3" borderId="18" xfId="0" applyNumberFormat="1" applyFont="1" applyFill="1" applyBorder="1" applyAlignment="1">
      <alignment horizontal="center" vertical="top"/>
    </xf>
    <xf numFmtId="0" fontId="12" fillId="3" borderId="0" xfId="0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0" fontId="3" fillId="3" borderId="0" xfId="0" applyNumberFormat="1" applyFont="1" applyFill="1" applyAlignment="1">
      <alignment horizontal="center" vertical="top"/>
    </xf>
    <xf numFmtId="0" fontId="1" fillId="3" borderId="0" xfId="0" applyNumberFormat="1" applyFont="1" applyFill="1" applyBorder="1" applyAlignment="1">
      <alignment horizontal="center" vertical="top"/>
    </xf>
    <xf numFmtId="0" fontId="1" fillId="3" borderId="0" xfId="0" applyNumberFormat="1" applyFont="1" applyFill="1" applyAlignment="1">
      <alignment horizontal="center" vertical="top"/>
    </xf>
    <xf numFmtId="1" fontId="0" fillId="0" borderId="0" xfId="0" applyNumberFormat="1" applyAlignment="1">
      <alignment horizontal="right"/>
    </xf>
    <xf numFmtId="0" fontId="53" fillId="0" borderId="0" xfId="0" applyFont="1" applyAlignment="1">
      <alignment vertical="justify"/>
    </xf>
    <xf numFmtId="0" fontId="0" fillId="2" borderId="0" xfId="0" applyFill="1" applyAlignment="1">
      <alignment vertical="top"/>
    </xf>
    <xf numFmtId="0" fontId="54" fillId="0" borderId="1" xfId="0" applyNumberFormat="1" applyFont="1" applyFill="1" applyBorder="1" applyAlignment="1">
      <alignment horizontal="center" vertical="top"/>
    </xf>
    <xf numFmtId="0" fontId="54" fillId="0" borderId="0" xfId="0" applyNumberFormat="1" applyFont="1" applyFill="1" applyAlignment="1">
      <alignment horizontal="center" vertical="top"/>
    </xf>
    <xf numFmtId="0" fontId="0" fillId="0" borderId="14" xfId="0" applyFill="1" applyBorder="1" applyAlignment="1">
      <alignment horizontal="right" vertical="top"/>
    </xf>
    <xf numFmtId="0" fontId="0" fillId="0" borderId="3" xfId="0" applyFill="1" applyBorder="1" applyAlignment="1">
      <alignment horizontal="center" vertical="top"/>
    </xf>
    <xf numFmtId="0" fontId="0" fillId="0" borderId="3" xfId="0" applyFill="1" applyBorder="1" applyAlignment="1">
      <alignment horizontal="right" vertical="top"/>
    </xf>
    <xf numFmtId="0" fontId="0" fillId="0" borderId="11" xfId="0" applyFill="1" applyBorder="1" applyAlignment="1">
      <alignment vertical="top"/>
    </xf>
    <xf numFmtId="0" fontId="36" fillId="0" borderId="0" xfId="0" applyFont="1" applyAlignment="1">
      <alignment vertical="top"/>
    </xf>
    <xf numFmtId="0" fontId="0" fillId="0" borderId="30" xfId="0" applyFill="1" applyBorder="1" applyAlignment="1">
      <alignment vertical="top"/>
    </xf>
    <xf numFmtId="0" fontId="55" fillId="0" borderId="0" xfId="0" applyFont="1" applyFill="1"/>
    <xf numFmtId="0" fontId="54" fillId="0" borderId="0" xfId="0" applyFont="1" applyFill="1"/>
    <xf numFmtId="0" fontId="0" fillId="0" borderId="31" xfId="0" applyFill="1" applyBorder="1" applyAlignment="1">
      <alignment vertical="top"/>
    </xf>
    <xf numFmtId="0" fontId="1" fillId="0" borderId="1" xfId="0" applyFont="1" applyFill="1" applyBorder="1"/>
    <xf numFmtId="0" fontId="56" fillId="0" borderId="1" xfId="0" applyNumberFormat="1" applyFont="1" applyBorder="1" applyAlignment="1">
      <alignment horizontal="center" vertical="top"/>
    </xf>
    <xf numFmtId="0" fontId="12" fillId="4" borderId="2" xfId="0" applyFont="1" applyFill="1" applyBorder="1" applyAlignment="1">
      <alignment horizontal="left" vertical="top"/>
    </xf>
    <xf numFmtId="0" fontId="58" fillId="0" borderId="0" xfId="0" applyFont="1" applyAlignment="1">
      <alignment vertical="justify"/>
    </xf>
    <xf numFmtId="0" fontId="9" fillId="0" borderId="10" xfId="0" applyFont="1" applyFill="1" applyBorder="1" applyAlignment="1">
      <alignment vertical="top"/>
    </xf>
    <xf numFmtId="0" fontId="36" fillId="0" borderId="0" xfId="0" applyFont="1" applyAlignment="1">
      <alignment vertical="justify"/>
    </xf>
    <xf numFmtId="0" fontId="2" fillId="3" borderId="1" xfId="0" applyNumberFormat="1" applyFont="1" applyFill="1" applyBorder="1" applyAlignment="1">
      <alignment horizontal="center" vertical="top"/>
    </xf>
    <xf numFmtId="0" fontId="54" fillId="0" borderId="0" xfId="0" applyFont="1" applyFill="1" applyBorder="1"/>
    <xf numFmtId="0" fontId="9" fillId="0" borderId="11" xfId="0" applyFont="1" applyFill="1" applyBorder="1" applyAlignment="1">
      <alignment vertical="top"/>
    </xf>
    <xf numFmtId="0" fontId="0" fillId="0" borderId="32" xfId="0" applyBorder="1"/>
    <xf numFmtId="0" fontId="0" fillId="0" borderId="20" xfId="0" applyBorder="1"/>
    <xf numFmtId="0" fontId="13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13" fillId="0" borderId="0" xfId="0" applyNumberFormat="1" applyFont="1" applyFill="1" applyBorder="1" applyAlignment="1">
      <alignment horizontal="right"/>
    </xf>
    <xf numFmtId="0" fontId="0" fillId="0" borderId="28" xfId="0" applyFill="1" applyBorder="1" applyAlignment="1">
      <alignment horizontal="center" vertical="top"/>
    </xf>
    <xf numFmtId="0" fontId="0" fillId="0" borderId="33" xfId="0" applyFill="1" applyBorder="1" applyAlignment="1">
      <alignment horizontal="center" vertical="top"/>
    </xf>
    <xf numFmtId="0" fontId="51" fillId="0" borderId="0" xfId="0" applyFont="1"/>
    <xf numFmtId="2" fontId="0" fillId="0" borderId="0" xfId="0" applyNumberFormat="1" applyAlignment="1">
      <alignment horizontal="right"/>
    </xf>
    <xf numFmtId="0" fontId="0" fillId="3" borderId="0" xfId="0" applyFill="1" applyBorder="1" applyAlignment="1">
      <alignment horizontal="right"/>
    </xf>
    <xf numFmtId="0" fontId="0" fillId="0" borderId="22" xfId="0" applyBorder="1" applyAlignment="1">
      <alignment horizontal="right"/>
    </xf>
    <xf numFmtId="0" fontId="54" fillId="0" borderId="0" xfId="0" applyNumberFormat="1" applyFont="1" applyFill="1" applyBorder="1" applyAlignment="1">
      <alignment horizontal="center" vertical="top"/>
    </xf>
    <xf numFmtId="0" fontId="61" fillId="0" borderId="0" xfId="0" applyFont="1" applyBorder="1" applyAlignment="1">
      <alignment horizontal="right"/>
    </xf>
    <xf numFmtId="0" fontId="61" fillId="0" borderId="0" xfId="0" applyFont="1" applyFill="1" applyBorder="1" applyAlignment="1">
      <alignment horizontal="right"/>
    </xf>
    <xf numFmtId="0" fontId="61" fillId="0" borderId="0" xfId="0" applyFont="1" applyBorder="1" applyAlignment="1">
      <alignment horizontal="center"/>
    </xf>
    <xf numFmtId="0" fontId="0" fillId="0" borderId="0" xfId="0" applyAlignment="1">
      <alignment horizontal="left"/>
    </xf>
    <xf numFmtId="0" fontId="61" fillId="0" borderId="0" xfId="0" applyFont="1" applyAlignment="1">
      <alignment horizontal="right"/>
    </xf>
    <xf numFmtId="9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0" fontId="0" fillId="12" borderId="0" xfId="0" applyFont="1" applyFill="1" applyAlignment="1">
      <alignment horizontal="right"/>
    </xf>
    <xf numFmtId="0" fontId="0" fillId="12" borderId="0" xfId="0" applyFill="1" applyAlignment="1">
      <alignment horizontal="right"/>
    </xf>
    <xf numFmtId="0" fontId="2" fillId="9" borderId="0" xfId="0" applyFont="1" applyFill="1" applyBorder="1" applyAlignment="1">
      <alignment horizontal="right" vertical="top"/>
    </xf>
    <xf numFmtId="0" fontId="2" fillId="12" borderId="0" xfId="0" applyFont="1" applyFill="1" applyBorder="1" applyAlignment="1">
      <alignment horizontal="right" vertical="top"/>
    </xf>
    <xf numFmtId="0" fontId="2" fillId="11" borderId="2" xfId="0" applyFont="1" applyFill="1" applyBorder="1" applyAlignment="1">
      <alignment horizontal="center" vertical="top"/>
    </xf>
    <xf numFmtId="0" fontId="0" fillId="11" borderId="2" xfId="0" applyFill="1" applyBorder="1" applyAlignment="1">
      <alignment vertical="top"/>
    </xf>
    <xf numFmtId="0" fontId="0" fillId="5" borderId="1" xfId="0" applyFill="1" applyBorder="1" applyAlignment="1">
      <alignment horizontal="center" vertical="top"/>
    </xf>
    <xf numFmtId="0" fontId="0" fillId="5" borderId="1" xfId="0" applyFill="1" applyBorder="1" applyAlignment="1">
      <alignment vertical="top"/>
    </xf>
    <xf numFmtId="0" fontId="62" fillId="5" borderId="1" xfId="0" applyFont="1" applyFill="1" applyBorder="1"/>
    <xf numFmtId="0" fontId="2" fillId="5" borderId="1" xfId="0" applyFont="1" applyFill="1" applyBorder="1" applyAlignment="1">
      <alignment horizontal="left" vertical="top"/>
    </xf>
    <xf numFmtId="0" fontId="2" fillId="5" borderId="1" xfId="0" applyFont="1" applyFill="1" applyBorder="1" applyAlignment="1">
      <alignment horizontal="center" vertical="top"/>
    </xf>
    <xf numFmtId="0" fontId="0" fillId="3" borderId="18" xfId="0" applyFont="1" applyFill="1" applyBorder="1" applyAlignment="1">
      <alignment horizontal="center" vertical="top"/>
    </xf>
    <xf numFmtId="0" fontId="2" fillId="3" borderId="18" xfId="0" applyFont="1" applyFill="1" applyBorder="1"/>
    <xf numFmtId="0" fontId="2" fillId="3" borderId="18" xfId="0" applyFont="1" applyFill="1" applyBorder="1" applyAlignment="1">
      <alignment horizontal="left" vertical="top"/>
    </xf>
    <xf numFmtId="0" fontId="2" fillId="3" borderId="18" xfId="0" applyFont="1" applyFill="1" applyBorder="1" applyAlignment="1">
      <alignment horizontal="center" vertical="top"/>
    </xf>
    <xf numFmtId="0" fontId="0" fillId="5" borderId="2" xfId="0" applyFill="1" applyBorder="1" applyAlignment="1">
      <alignment horizontal="center" vertical="top"/>
    </xf>
    <xf numFmtId="0" fontId="2" fillId="5" borderId="2" xfId="0" applyFont="1" applyFill="1" applyBorder="1"/>
    <xf numFmtId="0" fontId="2" fillId="5" borderId="2" xfId="0" applyFont="1" applyFill="1" applyBorder="1" applyAlignment="1">
      <alignment horizontal="left" vertical="top"/>
    </xf>
    <xf numFmtId="0" fontId="2" fillId="5" borderId="2" xfId="0" applyFont="1" applyFill="1" applyBorder="1" applyAlignment="1">
      <alignment horizontal="center" vertical="top"/>
    </xf>
    <xf numFmtId="0" fontId="0" fillId="5" borderId="2" xfId="0" applyFont="1" applyFill="1" applyBorder="1" applyAlignment="1">
      <alignment horizontal="center" vertical="top"/>
    </xf>
    <xf numFmtId="0" fontId="2" fillId="2" borderId="2" xfId="0" applyFont="1" applyFill="1" applyBorder="1"/>
    <xf numFmtId="0" fontId="2" fillId="2" borderId="2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center" vertical="top"/>
    </xf>
    <xf numFmtId="0" fontId="0" fillId="2" borderId="2" xfId="0" applyFill="1" applyBorder="1" applyAlignment="1">
      <alignment horizontal="center" vertical="top"/>
    </xf>
    <xf numFmtId="1" fontId="13" fillId="11" borderId="2" xfId="0" applyNumberFormat="1" applyFont="1" applyFill="1" applyBorder="1" applyAlignment="1">
      <alignment horizontal="right"/>
    </xf>
    <xf numFmtId="0" fontId="0" fillId="2" borderId="2" xfId="0" applyFill="1" applyBorder="1" applyAlignment="1">
      <alignment vertical="justify"/>
    </xf>
    <xf numFmtId="0" fontId="0" fillId="11" borderId="2" xfId="0" applyFill="1" applyBorder="1" applyAlignment="1">
      <alignment horizontal="center" vertical="top"/>
    </xf>
    <xf numFmtId="0" fontId="12" fillId="2" borderId="2" xfId="0" applyFont="1" applyFill="1" applyBorder="1"/>
    <xf numFmtId="0" fontId="2" fillId="11" borderId="18" xfId="0" applyFont="1" applyFill="1" applyBorder="1" applyAlignment="1">
      <alignment horizontal="center" vertical="top"/>
    </xf>
    <xf numFmtId="0" fontId="2" fillId="11" borderId="0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2" fillId="9" borderId="1" xfId="0" applyFont="1" applyFill="1" applyBorder="1" applyAlignment="1">
      <alignment horizontal="right" vertical="top"/>
    </xf>
    <xf numFmtId="0" fontId="13" fillId="12" borderId="21" xfId="0" applyFont="1" applyFill="1" applyBorder="1" applyAlignment="1">
      <alignment horizontal="center" vertical="top"/>
    </xf>
    <xf numFmtId="0" fontId="0" fillId="12" borderId="2" xfId="0" applyFill="1" applyBorder="1" applyAlignment="1">
      <alignment horizontal="right" vertical="top"/>
    </xf>
    <xf numFmtId="0" fontId="0" fillId="0" borderId="0" xfId="0" quotePrefix="1"/>
    <xf numFmtId="0" fontId="0" fillId="2" borderId="0" xfId="0" applyFill="1" applyAlignment="1">
      <alignment horizontal="center" vertical="top"/>
    </xf>
    <xf numFmtId="0" fontId="3" fillId="4" borderId="0" xfId="0" applyFont="1" applyFill="1" applyBorder="1"/>
    <xf numFmtId="0" fontId="3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>
      <alignment horizontal="center" vertical="top"/>
    </xf>
    <xf numFmtId="0" fontId="0" fillId="11" borderId="18" xfId="0" applyFill="1" applyBorder="1" applyAlignment="1">
      <alignment horizontal="center" vertical="top"/>
    </xf>
    <xf numFmtId="0" fontId="1" fillId="11" borderId="18" xfId="0" applyFont="1" applyFill="1" applyBorder="1" applyAlignment="1">
      <alignment horizontal="center" vertical="top"/>
    </xf>
    <xf numFmtId="0" fontId="2" fillId="11" borderId="18" xfId="0" applyFont="1" applyFill="1" applyBorder="1"/>
    <xf numFmtId="0" fontId="2" fillId="11" borderId="18" xfId="0" applyFont="1" applyFill="1" applyBorder="1" applyAlignment="1">
      <alignment horizontal="left" vertical="top"/>
    </xf>
    <xf numFmtId="0" fontId="2" fillId="11" borderId="18" xfId="0" applyNumberFormat="1" applyFont="1" applyFill="1" applyBorder="1" applyAlignment="1">
      <alignment horizontal="center" vertical="top"/>
    </xf>
    <xf numFmtId="0" fontId="12" fillId="4" borderId="1" xfId="0" applyFont="1" applyFill="1" applyBorder="1"/>
    <xf numFmtId="0" fontId="12" fillId="4" borderId="1" xfId="0" applyFont="1" applyFill="1" applyBorder="1" applyAlignment="1">
      <alignment horizontal="left" vertical="top"/>
    </xf>
    <xf numFmtId="0" fontId="12" fillId="4" borderId="1" xfId="0" applyFont="1" applyFill="1" applyBorder="1" applyAlignment="1">
      <alignment horizontal="center" vertical="top"/>
    </xf>
    <xf numFmtId="0" fontId="64" fillId="0" borderId="0" xfId="0" applyNumberFormat="1" applyFont="1" applyFill="1" applyAlignment="1">
      <alignment horizontal="center" vertical="top"/>
    </xf>
    <xf numFmtId="0" fontId="64" fillId="0" borderId="1" xfId="0" applyNumberFormat="1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13" borderId="12" xfId="0" applyFill="1" applyBorder="1" applyAlignment="1">
      <alignment vertical="top"/>
    </xf>
    <xf numFmtId="0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" fontId="0" fillId="0" borderId="24" xfId="0" applyNumberFormat="1" applyBorder="1" applyAlignment="1">
      <alignment horizontal="center"/>
    </xf>
    <xf numFmtId="1" fontId="0" fillId="0" borderId="37" xfId="0" applyNumberFormat="1" applyBorder="1" applyAlignment="1">
      <alignment horizontal="center"/>
    </xf>
    <xf numFmtId="2" fontId="0" fillId="0" borderId="0" xfId="0" applyNumberFormat="1" applyAlignment="1">
      <alignment vertical="top"/>
    </xf>
    <xf numFmtId="2" fontId="51" fillId="0" borderId="0" xfId="0" applyNumberFormat="1" applyFont="1"/>
    <xf numFmtId="0" fontId="0" fillId="0" borderId="0" xfId="0" applyNumberFormat="1" applyBorder="1" applyAlignment="1">
      <alignment vertical="top"/>
    </xf>
    <xf numFmtId="2" fontId="67" fillId="0" borderId="0" xfId="0" applyNumberFormat="1" applyFont="1" applyAlignment="1">
      <alignment vertical="top"/>
    </xf>
    <xf numFmtId="0" fontId="2" fillId="11" borderId="2" xfId="0" applyFont="1" applyFill="1" applyBorder="1" applyAlignment="1">
      <alignment horizontal="left" vertical="top"/>
    </xf>
    <xf numFmtId="0" fontId="0" fillId="11" borderId="2" xfId="0" applyFill="1" applyBorder="1" applyAlignment="1">
      <alignment vertical="justify"/>
    </xf>
    <xf numFmtId="0" fontId="16" fillId="11" borderId="2" xfId="0" applyFont="1" applyFill="1" applyBorder="1" applyAlignment="1">
      <alignment wrapText="1"/>
    </xf>
    <xf numFmtId="1" fontId="0" fillId="0" borderId="0" xfId="0" applyNumberFormat="1"/>
    <xf numFmtId="0" fontId="68" fillId="0" borderId="0" xfId="0" applyFont="1" applyAlignment="1">
      <alignment vertical="top"/>
    </xf>
    <xf numFmtId="0" fontId="15" fillId="2" borderId="2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center" vertical="top"/>
    </xf>
    <xf numFmtId="0" fontId="19" fillId="4" borderId="19" xfId="0" applyFont="1" applyFill="1" applyBorder="1" applyAlignment="1">
      <alignment horizontal="left" vertical="top"/>
    </xf>
    <xf numFmtId="0" fontId="19" fillId="4" borderId="19" xfId="0" applyFont="1" applyFill="1" applyBorder="1" applyAlignment="1">
      <alignment horizontal="center" vertical="top"/>
    </xf>
    <xf numFmtId="0" fontId="15" fillId="3" borderId="18" xfId="0" applyFont="1" applyFill="1" applyBorder="1" applyAlignment="1">
      <alignment horizontal="left" vertical="top"/>
    </xf>
    <xf numFmtId="0" fontId="15" fillId="3" borderId="18" xfId="0" applyFont="1" applyFill="1" applyBorder="1" applyAlignment="1">
      <alignment horizontal="center" vertical="top"/>
    </xf>
    <xf numFmtId="0" fontId="58" fillId="0" borderId="0" xfId="0" applyFont="1" applyAlignment="1">
      <alignment horizontal="left" vertical="top"/>
    </xf>
    <xf numFmtId="0" fontId="58" fillId="0" borderId="0" xfId="0" applyFont="1" applyAlignment="1">
      <alignment horizontal="center" vertical="top"/>
    </xf>
    <xf numFmtId="0" fontId="58" fillId="0" borderId="0" xfId="0" applyFont="1" applyAlignment="1">
      <alignment vertical="top"/>
    </xf>
    <xf numFmtId="0" fontId="60" fillId="0" borderId="0" xfId="0" applyFont="1" applyBorder="1" applyAlignment="1">
      <alignment horizontal="center" vertical="top"/>
    </xf>
    <xf numFmtId="0" fontId="65" fillId="0" borderId="0" xfId="0" applyFont="1" applyAlignment="1">
      <alignment vertical="justify"/>
    </xf>
    <xf numFmtId="0" fontId="65" fillId="0" borderId="0" xfId="0" applyFont="1" applyAlignment="1">
      <alignment horizontal="center" vertical="top"/>
    </xf>
    <xf numFmtId="0" fontId="65" fillId="0" borderId="0" xfId="0" applyFont="1" applyAlignment="1">
      <alignment vertical="top"/>
    </xf>
    <xf numFmtId="0" fontId="65" fillId="0" borderId="0" xfId="0" applyFont="1" applyBorder="1" applyAlignment="1">
      <alignment horizontal="center" vertical="top"/>
    </xf>
    <xf numFmtId="0" fontId="9" fillId="4" borderId="2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center" vertical="top"/>
    </xf>
    <xf numFmtId="0" fontId="54" fillId="4" borderId="2" xfId="0" applyFont="1" applyFill="1" applyBorder="1" applyAlignment="1">
      <alignment horizontal="left" vertical="top"/>
    </xf>
    <xf numFmtId="0" fontId="54" fillId="4" borderId="2" xfId="0" applyFont="1" applyFill="1" applyBorder="1" applyAlignment="1">
      <alignment horizontal="center" vertical="top"/>
    </xf>
    <xf numFmtId="0" fontId="60" fillId="0" borderId="0" xfId="0" applyFont="1" applyFill="1" applyBorder="1" applyAlignment="1">
      <alignment horizontal="right" vertical="top"/>
    </xf>
    <xf numFmtId="0" fontId="36" fillId="0" borderId="0" xfId="0" applyFont="1" applyBorder="1" applyAlignment="1">
      <alignment horizontal="center" vertical="top"/>
    </xf>
    <xf numFmtId="0" fontId="61" fillId="4" borderId="2" xfId="0" applyFont="1" applyFill="1" applyBorder="1" applyAlignment="1">
      <alignment horizontal="center" vertical="top"/>
    </xf>
    <xf numFmtId="0" fontId="60" fillId="0" borderId="0" xfId="0" applyFont="1" applyFill="1"/>
    <xf numFmtId="0" fontId="54" fillId="4" borderId="2" xfId="0" applyFont="1" applyFill="1" applyBorder="1"/>
    <xf numFmtId="0" fontId="58" fillId="4" borderId="2" xfId="0" applyFont="1" applyFill="1" applyBorder="1" applyAlignment="1">
      <alignment horizontal="left" vertical="top"/>
    </xf>
    <xf numFmtId="0" fontId="58" fillId="4" borderId="2" xfId="0" applyFont="1" applyFill="1" applyBorder="1" applyAlignment="1">
      <alignment horizontal="center" vertical="top"/>
    </xf>
    <xf numFmtId="0" fontId="60" fillId="4" borderId="2" xfId="0" applyFont="1" applyFill="1" applyBorder="1" applyAlignment="1">
      <alignment horizontal="left" vertical="top"/>
    </xf>
    <xf numFmtId="0" fontId="60" fillId="4" borderId="2" xfId="0" applyFont="1" applyFill="1" applyBorder="1" applyAlignment="1">
      <alignment horizontal="center" vertical="top"/>
    </xf>
    <xf numFmtId="0" fontId="36" fillId="4" borderId="2" xfId="0" applyFont="1" applyFill="1" applyBorder="1" applyAlignment="1">
      <alignment horizontal="left" vertical="top"/>
    </xf>
    <xf numFmtId="0" fontId="36" fillId="4" borderId="2" xfId="0" applyFont="1" applyFill="1" applyBorder="1" applyAlignment="1">
      <alignment horizontal="center" vertical="top"/>
    </xf>
    <xf numFmtId="0" fontId="54" fillId="4" borderId="2" xfId="0" applyNumberFormat="1" applyFont="1" applyFill="1" applyBorder="1" applyAlignment="1">
      <alignment horizontal="center" vertical="top"/>
    </xf>
    <xf numFmtId="0" fontId="60" fillId="0" borderId="0" xfId="0" applyFont="1" applyFill="1" applyAlignment="1">
      <alignment horizontal="left" vertical="top"/>
    </xf>
    <xf numFmtId="0" fontId="60" fillId="0" borderId="0" xfId="0" applyFont="1" applyFill="1" applyBorder="1" applyAlignment="1">
      <alignment horizontal="center" vertical="top"/>
    </xf>
    <xf numFmtId="0" fontId="60" fillId="0" borderId="0" xfId="0" applyNumberFormat="1" applyFont="1" applyFill="1" applyBorder="1" applyAlignment="1">
      <alignment horizontal="center" vertical="top"/>
    </xf>
    <xf numFmtId="0" fontId="60" fillId="0" borderId="0" xfId="0" applyNumberFormat="1" applyFont="1" applyFill="1" applyAlignment="1">
      <alignment horizontal="center" vertical="top"/>
    </xf>
    <xf numFmtId="0" fontId="54" fillId="3" borderId="2" xfId="0" applyFont="1" applyFill="1" applyBorder="1"/>
    <xf numFmtId="0" fontId="54" fillId="3" borderId="2" xfId="0" applyFont="1" applyFill="1" applyBorder="1" applyAlignment="1">
      <alignment horizontal="left" vertical="top"/>
    </xf>
    <xf numFmtId="0" fontId="54" fillId="3" borderId="2" xfId="0" applyFont="1" applyFill="1" applyBorder="1" applyAlignment="1">
      <alignment horizontal="center" vertical="top"/>
    </xf>
    <xf numFmtId="0" fontId="54" fillId="3" borderId="2" xfId="0" applyNumberFormat="1" applyFont="1" applyFill="1" applyBorder="1" applyAlignment="1">
      <alignment horizontal="center" vertical="top"/>
    </xf>
    <xf numFmtId="0" fontId="60" fillId="0" borderId="1" xfId="0" applyFont="1" applyFill="1" applyBorder="1" applyAlignment="1">
      <alignment horizontal="right" vertical="top"/>
    </xf>
    <xf numFmtId="0" fontId="60" fillId="0" borderId="1" xfId="0" applyFont="1" applyFill="1" applyBorder="1" applyAlignment="1">
      <alignment horizontal="center" vertical="top"/>
    </xf>
    <xf numFmtId="0" fontId="60" fillId="0" borderId="1" xfId="0" applyNumberFormat="1" applyFont="1" applyFill="1" applyBorder="1" applyAlignment="1">
      <alignment horizontal="center" vertical="top"/>
    </xf>
    <xf numFmtId="0" fontId="63" fillId="4" borderId="2" xfId="0" applyFont="1" applyFill="1" applyBorder="1"/>
    <xf numFmtId="0" fontId="63" fillId="4" borderId="2" xfId="0" applyFont="1" applyFill="1" applyBorder="1" applyAlignment="1">
      <alignment horizontal="left" vertical="top"/>
    </xf>
    <xf numFmtId="0" fontId="63" fillId="4" borderId="2" xfId="0" applyFont="1" applyFill="1" applyBorder="1" applyAlignment="1">
      <alignment horizontal="center" vertical="top"/>
    </xf>
    <xf numFmtId="0" fontId="63" fillId="4" borderId="2" xfId="0" applyNumberFormat="1" applyFont="1" applyFill="1" applyBorder="1" applyAlignment="1">
      <alignment horizontal="center" vertical="top"/>
    </xf>
    <xf numFmtId="0" fontId="64" fillId="3" borderId="2" xfId="0" applyFont="1" applyFill="1" applyBorder="1"/>
    <xf numFmtId="0" fontId="64" fillId="3" borderId="2" xfId="0" applyFont="1" applyFill="1" applyBorder="1" applyAlignment="1">
      <alignment horizontal="left" vertical="top"/>
    </xf>
    <xf numFmtId="0" fontId="64" fillId="3" borderId="2" xfId="0" applyFont="1" applyFill="1" applyBorder="1" applyAlignment="1">
      <alignment horizontal="center" vertical="top"/>
    </xf>
    <xf numFmtId="0" fontId="54" fillId="0" borderId="2" xfId="0" applyFont="1" applyFill="1" applyBorder="1"/>
    <xf numFmtId="0" fontId="54" fillId="0" borderId="2" xfId="0" applyFont="1" applyFill="1" applyBorder="1" applyAlignment="1">
      <alignment horizontal="left" vertical="top"/>
    </xf>
    <xf numFmtId="0" fontId="54" fillId="0" borderId="2" xfId="0" applyFont="1" applyFill="1" applyBorder="1" applyAlignment="1">
      <alignment horizontal="center" vertical="top"/>
    </xf>
    <xf numFmtId="0" fontId="12" fillId="0" borderId="2" xfId="0" applyFont="1" applyFill="1" applyBorder="1"/>
    <xf numFmtId="0" fontId="12" fillId="0" borderId="2" xfId="0" applyFont="1" applyFill="1" applyBorder="1" applyAlignment="1">
      <alignment horizontal="left" vertical="top"/>
    </xf>
    <xf numFmtId="0" fontId="12" fillId="0" borderId="2" xfId="0" applyFont="1" applyFill="1" applyBorder="1" applyAlignment="1">
      <alignment horizontal="center" vertical="top"/>
    </xf>
    <xf numFmtId="0" fontId="12" fillId="3" borderId="2" xfId="0" applyNumberFormat="1" applyFont="1" applyFill="1" applyBorder="1" applyAlignment="1">
      <alignment horizontal="center" vertical="top"/>
    </xf>
    <xf numFmtId="0" fontId="3" fillId="4" borderId="0" xfId="0" applyNumberFormat="1" applyFont="1" applyFill="1" applyBorder="1" applyAlignment="1">
      <alignment horizontal="center" vertical="top"/>
    </xf>
    <xf numFmtId="0" fontId="12" fillId="3" borderId="2" xfId="0" applyFont="1" applyFill="1" applyBorder="1"/>
    <xf numFmtId="0" fontId="12" fillId="3" borderId="2" xfId="0" applyFont="1" applyFill="1" applyBorder="1" applyAlignment="1">
      <alignment horizontal="left" vertical="top"/>
    </xf>
    <xf numFmtId="0" fontId="12" fillId="3" borderId="2" xfId="0" applyFont="1" applyFill="1" applyBorder="1" applyAlignment="1">
      <alignment horizontal="center" vertical="top"/>
    </xf>
    <xf numFmtId="0" fontId="54" fillId="0" borderId="0" xfId="0" applyFont="1" applyFill="1" applyAlignment="1">
      <alignment horizontal="left" vertical="top"/>
    </xf>
    <xf numFmtId="0" fontId="54" fillId="0" borderId="0" xfId="0" applyFont="1" applyAlignment="1">
      <alignment horizontal="center" vertical="top"/>
    </xf>
    <xf numFmtId="0" fontId="54" fillId="0" borderId="0" xfId="0" applyFont="1" applyFill="1" applyAlignment="1">
      <alignment horizontal="center" vertical="top"/>
    </xf>
    <xf numFmtId="0" fontId="55" fillId="4" borderId="2" xfId="0" applyFont="1" applyFill="1" applyBorder="1"/>
    <xf numFmtId="0" fontId="54" fillId="0" borderId="0" xfId="0" applyFont="1" applyFill="1" applyBorder="1" applyAlignment="1">
      <alignment horizontal="center" vertical="top"/>
    </xf>
    <xf numFmtId="0" fontId="55" fillId="4" borderId="2" xfId="0" applyFont="1" applyFill="1" applyBorder="1" applyAlignment="1">
      <alignment horizontal="left" vertical="top"/>
    </xf>
    <xf numFmtId="0" fontId="55" fillId="4" borderId="2" xfId="0" applyFont="1" applyFill="1" applyBorder="1" applyAlignment="1">
      <alignment horizontal="center" vertical="top"/>
    </xf>
    <xf numFmtId="0" fontId="55" fillId="4" borderId="2" xfId="0" applyNumberFormat="1" applyFont="1" applyFill="1" applyBorder="1" applyAlignment="1">
      <alignment horizontal="center" vertical="top"/>
    </xf>
    <xf numFmtId="0" fontId="54" fillId="5" borderId="2" xfId="0" applyFont="1" applyFill="1" applyBorder="1"/>
    <xf numFmtId="0" fontId="54" fillId="5" borderId="2" xfId="0" applyFont="1" applyFill="1" applyBorder="1" applyAlignment="1">
      <alignment horizontal="left" vertical="top"/>
    </xf>
    <xf numFmtId="0" fontId="54" fillId="5" borderId="2" xfId="0" applyFont="1" applyFill="1" applyBorder="1" applyAlignment="1">
      <alignment horizontal="center" vertical="top"/>
    </xf>
    <xf numFmtId="0" fontId="60" fillId="0" borderId="0" xfId="0" applyFont="1" applyFill="1" applyBorder="1"/>
    <xf numFmtId="0" fontId="60" fillId="0" borderId="0" xfId="0" applyFont="1" applyAlignment="1">
      <alignment horizontal="center" vertical="top"/>
    </xf>
    <xf numFmtId="0" fontId="63" fillId="4" borderId="14" xfId="0" applyFont="1" applyFill="1" applyBorder="1"/>
    <xf numFmtId="0" fontId="54" fillId="0" borderId="0" xfId="0" applyFont="1"/>
    <xf numFmtId="0" fontId="36" fillId="0" borderId="1" xfId="0" applyFont="1" applyBorder="1" applyAlignment="1">
      <alignment horizontal="center" vertical="top"/>
    </xf>
    <xf numFmtId="0" fontId="55" fillId="4" borderId="18" xfId="0" applyFont="1" applyFill="1" applyBorder="1" applyAlignment="1">
      <alignment horizontal="left" vertical="top"/>
    </xf>
    <xf numFmtId="0" fontId="55" fillId="4" borderId="18" xfId="0" applyFont="1" applyFill="1" applyBorder="1" applyAlignment="1">
      <alignment horizontal="center" vertical="top"/>
    </xf>
    <xf numFmtId="0" fontId="55" fillId="4" borderId="18" xfId="0" applyNumberFormat="1" applyFont="1" applyFill="1" applyBorder="1" applyAlignment="1">
      <alignment horizontal="center" vertical="top"/>
    </xf>
    <xf numFmtId="0" fontId="60" fillId="3" borderId="2" xfId="0" applyFont="1" applyFill="1" applyBorder="1"/>
    <xf numFmtId="0" fontId="60" fillId="3" borderId="2" xfId="0" applyFont="1" applyFill="1" applyBorder="1" applyAlignment="1">
      <alignment horizontal="left" vertical="top"/>
    </xf>
    <xf numFmtId="0" fontId="60" fillId="3" borderId="2" xfId="0" applyFont="1" applyFill="1" applyBorder="1" applyAlignment="1">
      <alignment horizontal="center" vertical="top"/>
    </xf>
    <xf numFmtId="0" fontId="60" fillId="0" borderId="0" xfId="0" applyFont="1" applyFill="1" applyBorder="1" applyAlignment="1">
      <alignment horizontal="left" vertical="top"/>
    </xf>
    <xf numFmtId="0" fontId="9" fillId="4" borderId="23" xfId="0" applyFont="1" applyFill="1" applyBorder="1" applyAlignment="1">
      <alignment horizontal="center" vertical="top"/>
    </xf>
    <xf numFmtId="0" fontId="58" fillId="2" borderId="2" xfId="0" applyFont="1" applyFill="1" applyBorder="1" applyAlignment="1">
      <alignment horizontal="center" vertical="top"/>
    </xf>
    <xf numFmtId="0" fontId="65" fillId="11" borderId="1" xfId="0" applyFont="1" applyFill="1" applyBorder="1" applyAlignment="1">
      <alignment vertical="top"/>
    </xf>
    <xf numFmtId="0" fontId="65" fillId="0" borderId="0" xfId="0" applyFont="1" applyFill="1" applyBorder="1"/>
    <xf numFmtId="0" fontId="65" fillId="4" borderId="23" xfId="0" applyFont="1" applyFill="1" applyBorder="1" applyAlignment="1">
      <alignment horizontal="center" vertical="top"/>
    </xf>
    <xf numFmtId="0" fontId="65" fillId="4" borderId="2" xfId="0" applyFont="1" applyFill="1" applyBorder="1" applyAlignment="1">
      <alignment horizontal="center" vertical="top"/>
    </xf>
    <xf numFmtId="0" fontId="65" fillId="4" borderId="2" xfId="0" applyFont="1" applyFill="1" applyBorder="1" applyAlignment="1">
      <alignment vertical="justify"/>
    </xf>
    <xf numFmtId="0" fontId="36" fillId="0" borderId="0" xfId="0" applyFont="1" applyFill="1" applyBorder="1"/>
    <xf numFmtId="0" fontId="9" fillId="0" borderId="0" xfId="0" applyFont="1" applyFill="1"/>
    <xf numFmtId="0" fontId="58" fillId="0" borderId="0" xfId="0" applyFont="1" applyBorder="1"/>
    <xf numFmtId="0" fontId="58" fillId="0" borderId="0" xfId="0" applyFont="1" applyFill="1" applyBorder="1"/>
    <xf numFmtId="0" fontId="58" fillId="4" borderId="23" xfId="0" applyFont="1" applyFill="1" applyBorder="1" applyAlignment="1">
      <alignment horizontal="center" vertical="top"/>
    </xf>
    <xf numFmtId="0" fontId="58" fillId="4" borderId="2" xfId="0" applyFont="1" applyFill="1" applyBorder="1" applyAlignment="1">
      <alignment vertical="justify"/>
    </xf>
    <xf numFmtId="0" fontId="65" fillId="3" borderId="2" xfId="0" applyFont="1" applyFill="1" applyBorder="1" applyAlignment="1">
      <alignment horizontal="center" vertical="top"/>
    </xf>
    <xf numFmtId="0" fontId="9" fillId="4" borderId="25" xfId="0" applyFont="1" applyFill="1" applyBorder="1" applyAlignment="1">
      <alignment horizontal="center" vertical="top"/>
    </xf>
    <xf numFmtId="0" fontId="9" fillId="4" borderId="18" xfId="0" applyFont="1" applyFill="1" applyBorder="1" applyAlignment="1">
      <alignment horizontal="center" vertical="top"/>
    </xf>
    <xf numFmtId="0" fontId="9" fillId="4" borderId="18" xfId="0" applyFont="1" applyFill="1" applyBorder="1" applyAlignment="1">
      <alignment vertical="justify"/>
    </xf>
    <xf numFmtId="0" fontId="58" fillId="3" borderId="2" xfId="0" applyFont="1" applyFill="1" applyBorder="1" applyAlignment="1">
      <alignment horizontal="center" vertical="top"/>
    </xf>
    <xf numFmtId="0" fontId="8" fillId="4" borderId="21" xfId="0" applyFont="1" applyFill="1" applyBorder="1" applyAlignment="1">
      <alignment horizontal="center" vertical="top"/>
    </xf>
    <xf numFmtId="0" fontId="9" fillId="4" borderId="19" xfId="0" applyFont="1" applyFill="1" applyBorder="1" applyAlignment="1">
      <alignment horizontal="center" vertical="top"/>
    </xf>
    <xf numFmtId="0" fontId="55" fillId="4" borderId="19" xfId="0" applyFont="1" applyFill="1" applyBorder="1"/>
    <xf numFmtId="0" fontId="57" fillId="4" borderId="19" xfId="0" applyFont="1" applyFill="1" applyBorder="1" applyAlignment="1">
      <alignment horizontal="left" vertical="top"/>
    </xf>
    <xf numFmtId="0" fontId="57" fillId="4" borderId="19" xfId="0" applyFont="1" applyFill="1" applyBorder="1" applyAlignment="1">
      <alignment horizontal="center" vertical="top"/>
    </xf>
    <xf numFmtId="0" fontId="57" fillId="4" borderId="19" xfId="0" applyNumberFormat="1" applyFont="1" applyFill="1" applyBorder="1" applyAlignment="1">
      <alignment horizontal="center" vertical="top"/>
    </xf>
    <xf numFmtId="0" fontId="58" fillId="3" borderId="2" xfId="0" applyFont="1" applyFill="1" applyBorder="1" applyAlignment="1">
      <alignment vertical="justify"/>
    </xf>
    <xf numFmtId="0" fontId="65" fillId="11" borderId="1" xfId="0" applyFont="1" applyFill="1" applyBorder="1" applyAlignment="1">
      <alignment horizontal="center" vertical="top"/>
    </xf>
    <xf numFmtId="0" fontId="58" fillId="0" borderId="0" xfId="0" applyFont="1"/>
    <xf numFmtId="0" fontId="58" fillId="4" borderId="25" xfId="0" applyFont="1" applyFill="1" applyBorder="1" applyAlignment="1">
      <alignment horizontal="center" vertical="top"/>
    </xf>
    <xf numFmtId="0" fontId="58" fillId="4" borderId="18" xfId="0" applyFont="1" applyFill="1" applyBorder="1" applyAlignment="1">
      <alignment horizontal="center" vertical="top"/>
    </xf>
    <xf numFmtId="0" fontId="58" fillId="4" borderId="18" xfId="0" applyFont="1" applyFill="1" applyBorder="1" applyAlignment="1">
      <alignment vertical="justify"/>
    </xf>
    <xf numFmtId="0" fontId="63" fillId="4" borderId="18" xfId="0" applyFont="1" applyFill="1" applyBorder="1"/>
    <xf numFmtId="0" fontId="63" fillId="4" borderId="18" xfId="0" applyFont="1" applyFill="1" applyBorder="1" applyAlignment="1">
      <alignment horizontal="left" vertical="top"/>
    </xf>
    <xf numFmtId="0" fontId="63" fillId="4" borderId="18" xfId="0" applyFont="1" applyFill="1" applyBorder="1" applyAlignment="1">
      <alignment horizontal="center" vertical="top"/>
    </xf>
    <xf numFmtId="0" fontId="70" fillId="0" borderId="0" xfId="0" applyFont="1" applyAlignment="1">
      <alignment horizontal="center" vertical="top"/>
    </xf>
    <xf numFmtId="0" fontId="70" fillId="0" borderId="0" xfId="0" applyFont="1" applyAlignment="1">
      <alignment vertical="top"/>
    </xf>
    <xf numFmtId="0" fontId="70" fillId="0" borderId="0" xfId="0" applyFont="1" applyAlignment="1">
      <alignment vertical="justify"/>
    </xf>
    <xf numFmtId="0" fontId="3" fillId="4" borderId="2" xfId="0" applyFont="1" applyFill="1" applyBorder="1" applyAlignment="1">
      <alignment horizontal="left"/>
    </xf>
    <xf numFmtId="0" fontId="61" fillId="4" borderId="18" xfId="0" applyFont="1" applyFill="1" applyBorder="1"/>
    <xf numFmtId="0" fontId="36" fillId="4" borderId="19" xfId="0" applyFont="1" applyFill="1" applyBorder="1" applyAlignment="1">
      <alignment horizontal="center" vertical="top"/>
    </xf>
    <xf numFmtId="0" fontId="57" fillId="4" borderId="19" xfId="0" applyFont="1" applyFill="1" applyBorder="1" applyAlignment="1">
      <alignment vertical="justify"/>
    </xf>
    <xf numFmtId="0" fontId="63" fillId="4" borderId="19" xfId="0" applyFont="1" applyFill="1" applyBorder="1" applyAlignment="1">
      <alignment wrapText="1"/>
    </xf>
    <xf numFmtId="0" fontId="64" fillId="4" borderId="19" xfId="0" applyFont="1" applyFill="1" applyBorder="1" applyAlignment="1">
      <alignment horizontal="left" vertical="top"/>
    </xf>
    <xf numFmtId="0" fontId="64" fillId="4" borderId="19" xfId="0" applyFont="1" applyFill="1" applyBorder="1" applyAlignment="1">
      <alignment horizontal="center" vertical="top"/>
    </xf>
    <xf numFmtId="0" fontId="3" fillId="4" borderId="19" xfId="0" applyNumberFormat="1" applyFont="1" applyFill="1" applyBorder="1" applyAlignment="1">
      <alignment horizontal="center" vertical="top"/>
    </xf>
    <xf numFmtId="0" fontId="54" fillId="0" borderId="1" xfId="0" applyFont="1" applyFill="1" applyBorder="1"/>
    <xf numFmtId="0" fontId="54" fillId="0" borderId="1" xfId="0" applyFont="1" applyFill="1" applyBorder="1" applyAlignment="1">
      <alignment horizontal="left" vertical="top"/>
    </xf>
    <xf numFmtId="0" fontId="54" fillId="0" borderId="1" xfId="0" applyFont="1" applyFill="1" applyBorder="1" applyAlignment="1">
      <alignment horizontal="center" vertical="top"/>
    </xf>
    <xf numFmtId="0" fontId="36" fillId="4" borderId="2" xfId="0" applyFont="1" applyFill="1" applyBorder="1" applyAlignment="1">
      <alignment vertical="justify"/>
    </xf>
    <xf numFmtId="0" fontId="9" fillId="4" borderId="1" xfId="0" applyFont="1" applyFill="1" applyBorder="1" applyAlignment="1">
      <alignment horizontal="center" vertical="top"/>
    </xf>
    <xf numFmtId="0" fontId="9" fillId="4" borderId="1" xfId="0" applyFont="1" applyFill="1" applyBorder="1" applyAlignment="1">
      <alignment vertical="justify"/>
    </xf>
    <xf numFmtId="0" fontId="70" fillId="4" borderId="23" xfId="0" applyFont="1" applyFill="1" applyBorder="1" applyAlignment="1">
      <alignment horizontal="center" vertical="top"/>
    </xf>
    <xf numFmtId="0" fontId="70" fillId="4" borderId="2" xfId="0" applyFont="1" applyFill="1" applyBorder="1" applyAlignment="1">
      <alignment horizontal="center" vertical="top"/>
    </xf>
    <xf numFmtId="0" fontId="70" fillId="4" borderId="2" xfId="0" applyFont="1" applyFill="1" applyBorder="1" applyAlignment="1">
      <alignment vertical="justify"/>
    </xf>
    <xf numFmtId="0" fontId="58" fillId="4" borderId="18" xfId="0" applyFont="1" applyFill="1" applyBorder="1" applyAlignment="1">
      <alignment horizontal="left" vertical="top"/>
    </xf>
    <xf numFmtId="0" fontId="61" fillId="4" borderId="18" xfId="0" applyNumberFormat="1" applyFont="1" applyFill="1" applyBorder="1" applyAlignment="1">
      <alignment horizontal="center" vertical="top"/>
    </xf>
    <xf numFmtId="0" fontId="57" fillId="4" borderId="19" xfId="0" applyFont="1" applyFill="1" applyBorder="1"/>
    <xf numFmtId="0" fontId="58" fillId="4" borderId="19" xfId="0" applyFont="1" applyFill="1" applyBorder="1" applyAlignment="1">
      <alignment horizontal="left" vertical="top"/>
    </xf>
    <xf numFmtId="0" fontId="58" fillId="4" borderId="19" xfId="0" applyFont="1" applyFill="1" applyBorder="1" applyAlignment="1">
      <alignment horizontal="center" vertical="top"/>
    </xf>
    <xf numFmtId="0" fontId="61" fillId="4" borderId="19" xfId="0" applyNumberFormat="1" applyFont="1" applyFill="1" applyBorder="1" applyAlignment="1">
      <alignment horizontal="center" vertical="top"/>
    </xf>
    <xf numFmtId="0" fontId="65" fillId="3" borderId="18" xfId="0" applyFont="1" applyFill="1" applyBorder="1" applyAlignment="1">
      <alignment horizontal="center" vertical="top"/>
    </xf>
    <xf numFmtId="0" fontId="65" fillId="3" borderId="18" xfId="0" applyFont="1" applyFill="1" applyBorder="1" applyAlignment="1">
      <alignment vertical="justify"/>
    </xf>
    <xf numFmtId="0" fontId="70" fillId="0" borderId="0" xfId="0" applyFont="1"/>
    <xf numFmtId="0" fontId="70" fillId="0" borderId="0" xfId="0" applyFont="1" applyAlignment="1">
      <alignment horizontal="left" vertical="top"/>
    </xf>
    <xf numFmtId="0" fontId="36" fillId="4" borderId="23" xfId="0" applyFont="1" applyFill="1" applyBorder="1" applyAlignment="1">
      <alignment horizontal="center" vertical="top"/>
    </xf>
    <xf numFmtId="0" fontId="36" fillId="4" borderId="2" xfId="0" applyFont="1" applyFill="1" applyBorder="1"/>
    <xf numFmtId="0" fontId="36" fillId="4" borderId="2" xfId="0" applyNumberFormat="1" applyFont="1" applyFill="1" applyBorder="1" applyAlignment="1">
      <alignment horizontal="center" vertical="top"/>
    </xf>
    <xf numFmtId="0" fontId="57" fillId="4" borderId="2" xfId="0" applyFont="1" applyFill="1" applyBorder="1"/>
    <xf numFmtId="0" fontId="61" fillId="4" borderId="2" xfId="0" applyNumberFormat="1" applyFont="1" applyFill="1" applyBorder="1" applyAlignment="1">
      <alignment horizontal="center" vertical="top"/>
    </xf>
    <xf numFmtId="0" fontId="66" fillId="4" borderId="21" xfId="0" applyFont="1" applyFill="1" applyBorder="1" applyAlignment="1">
      <alignment horizontal="center" vertical="top"/>
    </xf>
    <xf numFmtId="0" fontId="70" fillId="4" borderId="19" xfId="0" applyFont="1" applyFill="1" applyBorder="1" applyAlignment="1">
      <alignment horizontal="center" vertical="top"/>
    </xf>
    <xf numFmtId="0" fontId="8" fillId="4" borderId="19" xfId="0" applyFont="1" applyFill="1" applyBorder="1" applyAlignment="1">
      <alignment vertical="justify"/>
    </xf>
    <xf numFmtId="0" fontId="36" fillId="3" borderId="18" xfId="0" applyFont="1" applyFill="1" applyBorder="1" applyAlignment="1">
      <alignment horizontal="center" vertical="top"/>
    </xf>
    <xf numFmtId="0" fontId="36" fillId="3" borderId="18" xfId="0" applyFont="1" applyFill="1" applyBorder="1" applyAlignment="1">
      <alignment vertical="justify"/>
    </xf>
    <xf numFmtId="0" fontId="54" fillId="3" borderId="18" xfId="0" applyFont="1" applyFill="1" applyBorder="1"/>
    <xf numFmtId="0" fontId="54" fillId="3" borderId="18" xfId="0" applyFont="1" applyFill="1" applyBorder="1" applyAlignment="1">
      <alignment horizontal="left" vertical="top"/>
    </xf>
    <xf numFmtId="0" fontId="54" fillId="3" borderId="18" xfId="0" applyFont="1" applyFill="1" applyBorder="1" applyAlignment="1">
      <alignment horizontal="center" vertical="top"/>
    </xf>
    <xf numFmtId="0" fontId="57" fillId="4" borderId="2" xfId="0" applyFont="1" applyFill="1" applyBorder="1" applyAlignment="1">
      <alignment vertical="justify"/>
    </xf>
    <xf numFmtId="0" fontId="65" fillId="3" borderId="2" xfId="0" applyFont="1" applyFill="1" applyBorder="1" applyAlignment="1">
      <alignment vertical="justify"/>
    </xf>
    <xf numFmtId="0" fontId="36" fillId="12" borderId="2" xfId="0" applyFont="1" applyFill="1" applyBorder="1" applyAlignment="1">
      <alignment horizontal="center" vertical="top"/>
    </xf>
    <xf numFmtId="0" fontId="36" fillId="12" borderId="2" xfId="0" applyFont="1" applyFill="1" applyBorder="1" applyAlignment="1">
      <alignment vertical="justify"/>
    </xf>
    <xf numFmtId="0" fontId="36" fillId="12" borderId="2" xfId="0" applyFont="1" applyFill="1" applyBorder="1"/>
    <xf numFmtId="0" fontId="36" fillId="12" borderId="2" xfId="0" applyFont="1" applyFill="1" applyBorder="1" applyAlignment="1">
      <alignment horizontal="left" vertical="top"/>
    </xf>
    <xf numFmtId="0" fontId="71" fillId="0" borderId="0" xfId="0" applyFont="1" applyAlignment="1">
      <alignment vertical="top"/>
    </xf>
    <xf numFmtId="0" fontId="72" fillId="0" borderId="0" xfId="0" applyFont="1" applyAlignment="1">
      <alignment vertical="top"/>
    </xf>
    <xf numFmtId="0" fontId="8" fillId="4" borderId="23" xfId="0" applyFont="1" applyFill="1" applyBorder="1" applyAlignment="1">
      <alignment horizontal="center" vertical="top"/>
    </xf>
    <xf numFmtId="0" fontId="36" fillId="0" borderId="0" xfId="0" applyFont="1" applyAlignment="1">
      <alignment horizontal="center"/>
    </xf>
    <xf numFmtId="0" fontId="57" fillId="4" borderId="23" xfId="0" applyFont="1" applyFill="1" applyBorder="1" applyAlignment="1">
      <alignment horizontal="center" vertical="top"/>
    </xf>
    <xf numFmtId="0" fontId="57" fillId="4" borderId="28" xfId="0" applyFont="1" applyFill="1" applyBorder="1" applyAlignment="1">
      <alignment horizontal="center" vertical="top"/>
    </xf>
    <xf numFmtId="0" fontId="9" fillId="3" borderId="2" xfId="0" applyFont="1" applyFill="1" applyBorder="1" applyAlignment="1">
      <alignment horizontal="center" vertical="top"/>
    </xf>
    <xf numFmtId="0" fontId="36" fillId="3" borderId="2" xfId="0" applyFont="1" applyFill="1" applyBorder="1" applyAlignment="1">
      <alignment horizontal="center" vertical="top"/>
    </xf>
    <xf numFmtId="0" fontId="58" fillId="0" borderId="23" xfId="0" applyFont="1" applyFill="1" applyBorder="1" applyAlignment="1">
      <alignment horizontal="center" vertical="top"/>
    </xf>
    <xf numFmtId="0" fontId="58" fillId="0" borderId="2" xfId="0" applyFont="1" applyFill="1" applyBorder="1" applyAlignment="1">
      <alignment horizontal="center" vertical="top"/>
    </xf>
    <xf numFmtId="0" fontId="58" fillId="0" borderId="2" xfId="0" applyFont="1" applyFill="1" applyBorder="1" applyAlignment="1">
      <alignment vertical="justify"/>
    </xf>
    <xf numFmtId="0" fontId="9" fillId="5" borderId="2" xfId="0" applyFont="1" applyFill="1" applyBorder="1" applyAlignment="1">
      <alignment horizontal="center" vertical="top"/>
    </xf>
    <xf numFmtId="0" fontId="9" fillId="5" borderId="2" xfId="0" applyFont="1" applyFill="1" applyBorder="1" applyAlignment="1">
      <alignment vertical="top"/>
    </xf>
    <xf numFmtId="0" fontId="61" fillId="4" borderId="14" xfId="0" applyFont="1" applyFill="1" applyBorder="1" applyAlignment="1">
      <alignment vertical="justify"/>
    </xf>
    <xf numFmtId="0" fontId="65" fillId="2" borderId="2" xfId="0" applyFont="1" applyFill="1" applyBorder="1" applyAlignment="1">
      <alignment horizontal="center" vertical="top"/>
    </xf>
    <xf numFmtId="0" fontId="65" fillId="2" borderId="2" xfId="0" applyFont="1" applyFill="1" applyBorder="1" applyAlignment="1">
      <alignment vertical="top"/>
    </xf>
    <xf numFmtId="0" fontId="58" fillId="3" borderId="18" xfId="0" applyFont="1" applyFill="1" applyBorder="1" applyAlignment="1">
      <alignment horizontal="center" vertical="top"/>
    </xf>
    <xf numFmtId="0" fontId="58" fillId="3" borderId="18" xfId="0" applyFont="1" applyFill="1" applyBorder="1" applyAlignment="1">
      <alignment vertical="justify"/>
    </xf>
    <xf numFmtId="0" fontId="36" fillId="0" borderId="0" xfId="0" applyFont="1" applyFill="1" applyAlignment="1">
      <alignment horizontal="center" vertical="top"/>
    </xf>
    <xf numFmtId="0" fontId="58" fillId="0" borderId="0" xfId="0" applyFont="1" applyFill="1" applyAlignment="1">
      <alignment horizontal="center" vertical="top"/>
    </xf>
    <xf numFmtId="0" fontId="73" fillId="0" borderId="0" xfId="0" applyFont="1" applyFill="1" applyBorder="1"/>
    <xf numFmtId="0" fontId="9" fillId="0" borderId="0" xfId="0" applyFont="1" applyBorder="1" applyAlignment="1">
      <alignment horizontal="left" vertical="top"/>
    </xf>
    <xf numFmtId="0" fontId="58" fillId="0" borderId="1" xfId="0" applyFont="1" applyBorder="1" applyAlignment="1">
      <alignment horizontal="center" vertical="top"/>
    </xf>
    <xf numFmtId="0" fontId="58" fillId="2" borderId="2" xfId="0" applyFont="1" applyFill="1" applyBorder="1" applyAlignment="1">
      <alignment vertical="justify"/>
    </xf>
    <xf numFmtId="0" fontId="71" fillId="0" borderId="0" xfId="0" applyFont="1" applyFill="1" applyBorder="1"/>
    <xf numFmtId="0" fontId="74" fillId="0" borderId="0" xfId="0" applyFont="1" applyFill="1" applyBorder="1"/>
    <xf numFmtId="0" fontId="2" fillId="11" borderId="0" xfId="0" applyNumberFormat="1" applyFont="1" applyFill="1" applyAlignment="1">
      <alignment horizontal="center" vertical="top"/>
    </xf>
    <xf numFmtId="0" fontId="3" fillId="4" borderId="19" xfId="0" applyFont="1" applyFill="1" applyBorder="1" applyAlignment="1">
      <alignment wrapText="1"/>
    </xf>
    <xf numFmtId="0" fontId="12" fillId="11" borderId="0" xfId="0" applyNumberFormat="1" applyFont="1" applyFill="1" applyAlignment="1">
      <alignment horizontal="center" vertical="top"/>
    </xf>
    <xf numFmtId="0" fontId="74" fillId="0" borderId="1" xfId="0" applyNumberFormat="1" applyFont="1" applyFill="1" applyBorder="1" applyAlignment="1">
      <alignment horizontal="center" vertical="top"/>
    </xf>
    <xf numFmtId="0" fontId="74" fillId="0" borderId="0" xfId="0" applyNumberFormat="1" applyFont="1" applyFill="1" applyAlignment="1">
      <alignment horizontal="center" vertical="top"/>
    </xf>
    <xf numFmtId="0" fontId="48" fillId="0" borderId="0" xfId="0" applyFont="1" applyFill="1" applyBorder="1" applyAlignment="1">
      <alignment horizontal="center" vertical="justify"/>
    </xf>
    <xf numFmtId="0" fontId="48" fillId="0" borderId="0" xfId="0" applyFont="1" applyFill="1" applyBorder="1" applyAlignment="1">
      <alignment horizontal="right"/>
    </xf>
    <xf numFmtId="0" fontId="71" fillId="0" borderId="20" xfId="0" applyFont="1" applyBorder="1"/>
    <xf numFmtId="0" fontId="71" fillId="0" borderId="22" xfId="0" applyFont="1" applyBorder="1"/>
    <xf numFmtId="0" fontId="71" fillId="0" borderId="39" xfId="0" applyFont="1" applyBorder="1"/>
    <xf numFmtId="0" fontId="71" fillId="0" borderId="35" xfId="0" applyFont="1" applyBorder="1"/>
    <xf numFmtId="0" fontId="71" fillId="0" borderId="6" xfId="0" applyFont="1" applyBorder="1" applyAlignment="1">
      <alignment vertical="justify"/>
    </xf>
    <xf numFmtId="0" fontId="71" fillId="0" borderId="5" xfId="0" applyFont="1" applyBorder="1" applyAlignment="1">
      <alignment vertical="justify"/>
    </xf>
    <xf numFmtId="1" fontId="0" fillId="0" borderId="6" xfId="0" applyNumberFormat="1" applyBorder="1" applyAlignment="1">
      <alignment vertical="top"/>
    </xf>
    <xf numFmtId="164" fontId="0" fillId="0" borderId="5" xfId="0" applyNumberFormat="1" applyBorder="1" applyAlignment="1">
      <alignment vertical="top"/>
    </xf>
    <xf numFmtId="1" fontId="0" fillId="0" borderId="5" xfId="0" applyNumberFormat="1" applyBorder="1" applyAlignment="1">
      <alignment vertical="top"/>
    </xf>
    <xf numFmtId="0" fontId="9" fillId="3" borderId="0" xfId="0" applyFont="1" applyFill="1" applyBorder="1" applyAlignment="1">
      <alignment horizontal="center" vertical="top"/>
    </xf>
    <xf numFmtId="0" fontId="2" fillId="0" borderId="0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69" fillId="0" borderId="0" xfId="0" applyFont="1" applyAlignment="1">
      <alignment vertical="top"/>
    </xf>
    <xf numFmtId="0" fontId="43" fillId="0" borderId="0" xfId="0" applyFont="1" applyFill="1" applyBorder="1"/>
    <xf numFmtId="0" fontId="36" fillId="4" borderId="1" xfId="0" applyFont="1" applyFill="1" applyBorder="1" applyAlignment="1">
      <alignment vertical="justify"/>
    </xf>
    <xf numFmtId="0" fontId="36" fillId="3" borderId="2" xfId="0" applyFont="1" applyFill="1" applyBorder="1" applyAlignment="1">
      <alignment vertical="justify"/>
    </xf>
    <xf numFmtId="0" fontId="16" fillId="3" borderId="0" xfId="0" applyFont="1" applyFill="1" applyBorder="1"/>
    <xf numFmtId="0" fontId="16" fillId="3" borderId="0" xfId="0" applyFont="1" applyFill="1" applyBorder="1" applyAlignment="1">
      <alignment horizontal="left" vertical="top"/>
    </xf>
    <xf numFmtId="0" fontId="16" fillId="3" borderId="0" xfId="0" applyFont="1" applyFill="1" applyBorder="1" applyAlignment="1">
      <alignment horizontal="center" vertical="top"/>
    </xf>
    <xf numFmtId="0" fontId="16" fillId="3" borderId="0" xfId="0" applyNumberFormat="1" applyFont="1" applyFill="1" applyBorder="1" applyAlignment="1">
      <alignment horizontal="center" vertical="top"/>
    </xf>
    <xf numFmtId="0" fontId="65" fillId="0" borderId="30" xfId="0" applyFont="1" applyFill="1" applyBorder="1" applyAlignment="1">
      <alignment vertical="top"/>
    </xf>
    <xf numFmtId="0" fontId="9" fillId="3" borderId="1" xfId="0" applyFont="1" applyFill="1" applyBorder="1" applyAlignment="1">
      <alignment horizontal="center" vertical="top"/>
    </xf>
    <xf numFmtId="0" fontId="12" fillId="3" borderId="1" xfId="0" applyFont="1" applyFill="1" applyBorder="1"/>
    <xf numFmtId="0" fontId="54" fillId="3" borderId="1" xfId="0" applyFont="1" applyFill="1" applyBorder="1" applyAlignment="1">
      <alignment horizontal="center" vertical="top"/>
    </xf>
    <xf numFmtId="0" fontId="2" fillId="11" borderId="0" xfId="0" applyNumberFormat="1" applyFont="1" applyFill="1" applyBorder="1" applyAlignment="1">
      <alignment horizontal="center" vertical="top"/>
    </xf>
    <xf numFmtId="0" fontId="65" fillId="0" borderId="31" xfId="0" applyFont="1" applyFill="1" applyBorder="1" applyAlignment="1">
      <alignment vertical="top"/>
    </xf>
    <xf numFmtId="0" fontId="36" fillId="0" borderId="31" xfId="0" applyFont="1" applyFill="1" applyBorder="1" applyAlignment="1">
      <alignment vertical="top"/>
    </xf>
    <xf numFmtId="0" fontId="9" fillId="0" borderId="31" xfId="0" applyFont="1" applyFill="1" applyBorder="1" applyAlignment="1">
      <alignment vertical="top"/>
    </xf>
    <xf numFmtId="0" fontId="58" fillId="0" borderId="31" xfId="0" applyFont="1" applyFill="1" applyBorder="1" applyAlignment="1">
      <alignment vertical="top"/>
    </xf>
    <xf numFmtId="1" fontId="0" fillId="0" borderId="31" xfId="0" applyNumberFormat="1" applyFill="1" applyBorder="1" applyAlignment="1">
      <alignment vertical="top"/>
    </xf>
    <xf numFmtId="0" fontId="58" fillId="0" borderId="30" xfId="0" applyFont="1" applyFill="1" applyBorder="1" applyAlignment="1">
      <alignment vertical="top"/>
    </xf>
    <xf numFmtId="1" fontId="0" fillId="0" borderId="30" xfId="0" applyNumberFormat="1" applyFill="1" applyBorder="1" applyAlignment="1">
      <alignment vertical="top"/>
    </xf>
    <xf numFmtId="0" fontId="36" fillId="0" borderId="30" xfId="0" applyFont="1" applyFill="1" applyBorder="1" applyAlignment="1">
      <alignment vertical="top"/>
    </xf>
    <xf numFmtId="1" fontId="9" fillId="0" borderId="31" xfId="0" applyNumberFormat="1" applyFont="1" applyFill="1" applyBorder="1" applyAlignment="1">
      <alignment vertical="top"/>
    </xf>
    <xf numFmtId="0" fontId="9" fillId="0" borderId="30" xfId="0" applyFont="1" applyFill="1" applyBorder="1" applyAlignment="1">
      <alignment vertical="top"/>
    </xf>
    <xf numFmtId="1" fontId="65" fillId="0" borderId="31" xfId="0" applyNumberFormat="1" applyFont="1" applyFill="1" applyBorder="1" applyAlignment="1">
      <alignment vertical="top"/>
    </xf>
    <xf numFmtId="1" fontId="9" fillId="0" borderId="30" xfId="0" applyNumberFormat="1" applyFont="1" applyFill="1" applyBorder="1" applyAlignment="1">
      <alignment vertical="top"/>
    </xf>
    <xf numFmtId="1" fontId="60" fillId="0" borderId="0" xfId="0" applyNumberFormat="1" applyFont="1" applyFill="1" applyBorder="1" applyAlignment="1">
      <alignment horizontal="right" vertical="top"/>
    </xf>
    <xf numFmtId="0" fontId="2" fillId="10" borderId="0" xfId="0" applyFont="1" applyFill="1" applyBorder="1" applyAlignment="1">
      <alignment horizontal="right" vertical="top"/>
    </xf>
    <xf numFmtId="0" fontId="45" fillId="0" borderId="0" xfId="0" applyFont="1" applyAlignment="1">
      <alignment vertical="justify"/>
    </xf>
    <xf numFmtId="0" fontId="45" fillId="0" borderId="0" xfId="0" applyFont="1" applyAlignment="1">
      <alignment vertical="top"/>
    </xf>
    <xf numFmtId="0" fontId="76" fillId="4" borderId="2" xfId="0" applyFont="1" applyFill="1" applyBorder="1" applyAlignment="1">
      <alignment vertical="justify"/>
    </xf>
    <xf numFmtId="0" fontId="45" fillId="0" borderId="0" xfId="0" applyFont="1" applyBorder="1" applyAlignment="1">
      <alignment vertical="justify"/>
    </xf>
    <xf numFmtId="0" fontId="77" fillId="4" borderId="2" xfId="0" applyFont="1" applyFill="1" applyBorder="1"/>
    <xf numFmtId="0" fontId="79" fillId="0" borderId="0" xfId="0" applyFont="1" applyFill="1"/>
    <xf numFmtId="0" fontId="79" fillId="4" borderId="2" xfId="0" applyFont="1" applyFill="1" applyBorder="1"/>
    <xf numFmtId="0" fontId="79" fillId="3" borderId="2" xfId="0" applyFont="1" applyFill="1" applyBorder="1"/>
    <xf numFmtId="0" fontId="79" fillId="3" borderId="1" xfId="0" applyFont="1" applyFill="1" applyBorder="1"/>
    <xf numFmtId="0" fontId="45" fillId="0" borderId="1" xfId="0" applyFont="1" applyBorder="1" applyAlignment="1">
      <alignment vertical="justify"/>
    </xf>
    <xf numFmtId="0" fontId="45" fillId="0" borderId="0" xfId="0" applyFont="1" applyAlignment="1">
      <alignment horizontal="left" vertical="top"/>
    </xf>
    <xf numFmtId="0" fontId="45" fillId="0" borderId="0" xfId="0" applyFont="1" applyAlignment="1">
      <alignment vertical="justify" wrapText="1"/>
    </xf>
    <xf numFmtId="0" fontId="77" fillId="0" borderId="0" xfId="0" applyFont="1" applyFill="1" applyBorder="1"/>
    <xf numFmtId="0" fontId="45" fillId="4" borderId="2" xfId="0" applyFont="1" applyFill="1" applyBorder="1" applyAlignment="1">
      <alignment vertical="justify"/>
    </xf>
    <xf numFmtId="0" fontId="45" fillId="4" borderId="2" xfId="0" applyFont="1" applyFill="1" applyBorder="1" applyAlignment="1">
      <alignment horizontal="left" vertical="top"/>
    </xf>
    <xf numFmtId="0" fontId="76" fillId="0" borderId="0" xfId="0" applyFont="1" applyBorder="1" applyAlignment="1">
      <alignment horizontal="center" vertical="justify"/>
    </xf>
    <xf numFmtId="0" fontId="45" fillId="4" borderId="2" xfId="0" applyFont="1" applyFill="1" applyBorder="1"/>
    <xf numFmtId="0" fontId="76" fillId="4" borderId="2" xfId="0" applyFont="1" applyFill="1" applyBorder="1" applyAlignment="1">
      <alignment horizontal="left" vertical="top"/>
    </xf>
    <xf numFmtId="0" fontId="77" fillId="0" borderId="0" xfId="0" applyFont="1" applyFill="1"/>
    <xf numFmtId="0" fontId="76" fillId="0" borderId="0" xfId="0" applyFont="1" applyAlignment="1">
      <alignment horizontal="left" vertical="top"/>
    </xf>
    <xf numFmtId="0" fontId="77" fillId="0" borderId="0" xfId="0" applyFont="1" applyFill="1" applyAlignment="1">
      <alignment horizontal="center"/>
    </xf>
    <xf numFmtId="0" fontId="77" fillId="0" borderId="0" xfId="0" applyFont="1" applyAlignment="1">
      <alignment horizontal="left" vertical="top"/>
    </xf>
    <xf numFmtId="0" fontId="77" fillId="0" borderId="0" xfId="0" applyFont="1"/>
    <xf numFmtId="0" fontId="79" fillId="0" borderId="0" xfId="0" applyFont="1" applyFill="1" applyAlignment="1">
      <alignment horizontal="left" vertical="top"/>
    </xf>
    <xf numFmtId="0" fontId="79" fillId="0" borderId="0" xfId="0" applyFont="1"/>
    <xf numFmtId="0" fontId="79" fillId="0" borderId="0" xfId="0" applyFont="1" applyAlignment="1">
      <alignment horizontal="left" vertical="top"/>
    </xf>
    <xf numFmtId="0" fontId="79" fillId="0" borderId="0" xfId="0" applyFont="1" applyFill="1" applyBorder="1"/>
    <xf numFmtId="0" fontId="79" fillId="0" borderId="0" xfId="0" applyFont="1" applyFill="1" applyBorder="1" applyAlignment="1">
      <alignment horizontal="left" vertical="top"/>
    </xf>
    <xf numFmtId="0" fontId="77" fillId="4" borderId="2" xfId="0" applyFont="1" applyFill="1" applyBorder="1" applyAlignment="1">
      <alignment horizontal="left" vertical="top"/>
    </xf>
    <xf numFmtId="0" fontId="79" fillId="3" borderId="2" xfId="0" applyFont="1" applyFill="1" applyBorder="1" applyAlignment="1">
      <alignment horizontal="left" vertical="top"/>
    </xf>
    <xf numFmtId="0" fontId="79" fillId="3" borderId="1" xfId="0" applyFont="1" applyFill="1" applyBorder="1" applyAlignment="1">
      <alignment horizontal="left" vertical="top"/>
    </xf>
    <xf numFmtId="0" fontId="79" fillId="0" borderId="1" xfId="0" applyFont="1" applyFill="1" applyBorder="1"/>
    <xf numFmtId="0" fontId="79" fillId="0" borderId="1" xfId="0" applyFont="1" applyFill="1" applyBorder="1" applyAlignment="1">
      <alignment horizontal="left" vertical="top"/>
    </xf>
    <xf numFmtId="0" fontId="45" fillId="0" borderId="0" xfId="0" applyFont="1" applyAlignment="1">
      <alignment horizontal="center" vertical="top"/>
    </xf>
    <xf numFmtId="0" fontId="79" fillId="0" borderId="0" xfId="0" applyFont="1" applyBorder="1" applyAlignment="1">
      <alignment horizontal="center" vertical="top"/>
    </xf>
    <xf numFmtId="0" fontId="45" fillId="0" borderId="0" xfId="0" applyFont="1" applyBorder="1" applyAlignment="1">
      <alignment horizontal="center" vertical="top"/>
    </xf>
    <xf numFmtId="0" fontId="79" fillId="0" borderId="0" xfId="0" applyFont="1" applyBorder="1" applyAlignment="1">
      <alignment horizontal="left" vertical="top"/>
    </xf>
    <xf numFmtId="0" fontId="45" fillId="0" borderId="0" xfId="0" applyFont="1" applyBorder="1"/>
    <xf numFmtId="0" fontId="79" fillId="0" borderId="0" xfId="0" applyFont="1" applyFill="1" applyBorder="1" applyAlignment="1">
      <alignment horizontal="center" vertical="top"/>
    </xf>
    <xf numFmtId="0" fontId="45" fillId="0" borderId="0" xfId="0" applyFont="1" applyFill="1" applyAlignment="1">
      <alignment horizontal="center" vertical="top"/>
    </xf>
    <xf numFmtId="0" fontId="76" fillId="4" borderId="2" xfId="0" applyFont="1" applyFill="1" applyBorder="1" applyAlignment="1">
      <alignment horizontal="center" vertical="top"/>
    </xf>
    <xf numFmtId="0" fontId="79" fillId="4" borderId="2" xfId="0" applyFont="1" applyFill="1" applyBorder="1" applyAlignment="1">
      <alignment horizontal="left" vertical="top"/>
    </xf>
    <xf numFmtId="0" fontId="79" fillId="4" borderId="2" xfId="0" applyFont="1" applyFill="1" applyBorder="1" applyAlignment="1">
      <alignment horizontal="center" vertical="top"/>
    </xf>
    <xf numFmtId="0" fontId="79" fillId="0" borderId="0" xfId="0" applyNumberFormat="1" applyFont="1" applyAlignment="1">
      <alignment horizontal="center" vertical="top"/>
    </xf>
    <xf numFmtId="0" fontId="82" fillId="0" borderId="0" xfId="0" applyFont="1" applyAlignment="1">
      <alignment horizontal="left" vertical="top"/>
    </xf>
    <xf numFmtId="0" fontId="45" fillId="0" borderId="0" xfId="0" applyNumberFormat="1" applyFont="1" applyAlignment="1">
      <alignment horizontal="center" vertical="top"/>
    </xf>
    <xf numFmtId="0" fontId="45" fillId="0" borderId="0" xfId="0" applyFont="1" applyBorder="1" applyAlignment="1">
      <alignment vertical="top"/>
    </xf>
    <xf numFmtId="0" fontId="76" fillId="0" borderId="0" xfId="0" applyFont="1" applyAlignment="1">
      <alignment horizontal="center" vertical="top"/>
    </xf>
    <xf numFmtId="0" fontId="77" fillId="0" borderId="0" xfId="0" applyNumberFormat="1" applyFont="1" applyAlignment="1">
      <alignment horizontal="center" vertical="top"/>
    </xf>
    <xf numFmtId="0" fontId="81" fillId="0" borderId="0" xfId="0" applyNumberFormat="1" applyFont="1" applyAlignment="1">
      <alignment horizontal="center" vertical="top"/>
    </xf>
    <xf numFmtId="0" fontId="77" fillId="4" borderId="14" xfId="0" applyNumberFormat="1" applyFont="1" applyFill="1" applyBorder="1" applyAlignment="1">
      <alignment horizontal="center" vertical="top"/>
    </xf>
    <xf numFmtId="0" fontId="79" fillId="11" borderId="2" xfId="0" applyFont="1" applyFill="1" applyBorder="1" applyAlignment="1">
      <alignment horizontal="left" vertical="top"/>
    </xf>
    <xf numFmtId="0" fontId="79" fillId="2" borderId="2" xfId="0" applyFont="1" applyFill="1" applyBorder="1" applyAlignment="1">
      <alignment horizontal="center" vertical="top"/>
    </xf>
    <xf numFmtId="0" fontId="79" fillId="2" borderId="2" xfId="0" applyNumberFormat="1" applyFont="1" applyFill="1" applyBorder="1" applyAlignment="1">
      <alignment horizontal="center" vertical="top"/>
    </xf>
    <xf numFmtId="0" fontId="79" fillId="2" borderId="1" xfId="0" applyFont="1" applyFill="1" applyBorder="1" applyAlignment="1">
      <alignment horizontal="center" vertical="top"/>
    </xf>
    <xf numFmtId="0" fontId="77" fillId="0" borderId="0" xfId="0" applyFont="1" applyAlignment="1">
      <alignment horizontal="center" vertical="top"/>
    </xf>
    <xf numFmtId="0" fontId="77" fillId="0" borderId="0" xfId="0" applyFont="1" applyAlignment="1">
      <alignment vertical="top"/>
    </xf>
    <xf numFmtId="0" fontId="79" fillId="0" borderId="0" xfId="0" applyFont="1" applyAlignment="1">
      <alignment horizontal="center" vertical="top"/>
    </xf>
    <xf numFmtId="0" fontId="79" fillId="0" borderId="0" xfId="0" applyFont="1" applyAlignment="1">
      <alignment vertical="top"/>
    </xf>
    <xf numFmtId="0" fontId="79" fillId="0" borderId="0" xfId="0" applyFont="1" applyFill="1" applyAlignment="1">
      <alignment horizontal="center" vertical="top"/>
    </xf>
    <xf numFmtId="0" fontId="79" fillId="0" borderId="0" xfId="0" applyNumberFormat="1" applyFont="1" applyFill="1" applyAlignment="1">
      <alignment horizontal="center" vertical="top"/>
    </xf>
    <xf numFmtId="0" fontId="79" fillId="0" borderId="0" xfId="0" applyFont="1" applyFill="1" applyAlignment="1">
      <alignment vertical="top"/>
    </xf>
    <xf numFmtId="0" fontId="79" fillId="0" borderId="0" xfId="0" applyFont="1" applyFill="1" applyAlignment="1">
      <alignment vertical="top" wrapText="1"/>
    </xf>
    <xf numFmtId="0" fontId="79" fillId="0" borderId="0" xfId="0" applyNumberFormat="1" applyFont="1" applyFill="1" applyBorder="1" applyAlignment="1">
      <alignment horizontal="center" vertical="top"/>
    </xf>
    <xf numFmtId="0" fontId="79" fillId="0" borderId="0" xfId="0" applyFont="1" applyFill="1" applyBorder="1" applyAlignment="1">
      <alignment vertical="top"/>
    </xf>
    <xf numFmtId="0" fontId="77" fillId="4" borderId="2" xfId="0" applyNumberFormat="1" applyFont="1" applyFill="1" applyBorder="1" applyAlignment="1">
      <alignment horizontal="center" vertical="top"/>
    </xf>
    <xf numFmtId="0" fontId="79" fillId="4" borderId="2" xfId="0" applyFont="1" applyFill="1" applyBorder="1" applyAlignment="1">
      <alignment vertical="top"/>
    </xf>
    <xf numFmtId="0" fontId="79" fillId="3" borderId="2" xfId="0" applyFont="1" applyFill="1" applyBorder="1" applyAlignment="1">
      <alignment horizontal="center" vertical="top"/>
    </xf>
    <xf numFmtId="0" fontId="79" fillId="3" borderId="2" xfId="0" applyNumberFormat="1" applyFont="1" applyFill="1" applyBorder="1" applyAlignment="1">
      <alignment horizontal="center" vertical="top"/>
    </xf>
    <xf numFmtId="0" fontId="79" fillId="3" borderId="2" xfId="0" applyFont="1" applyFill="1" applyBorder="1" applyAlignment="1">
      <alignment vertical="top"/>
    </xf>
    <xf numFmtId="0" fontId="79" fillId="3" borderId="1" xfId="0" applyFont="1" applyFill="1" applyBorder="1" applyAlignment="1">
      <alignment horizontal="center" vertical="top"/>
    </xf>
    <xf numFmtId="0" fontId="79" fillId="3" borderId="1" xfId="0" applyNumberFormat="1" applyFont="1" applyFill="1" applyBorder="1" applyAlignment="1">
      <alignment horizontal="center" vertical="top"/>
    </xf>
    <xf numFmtId="0" fontId="79" fillId="3" borderId="1" xfId="0" applyFont="1" applyFill="1" applyBorder="1" applyAlignment="1">
      <alignment vertical="top"/>
    </xf>
    <xf numFmtId="0" fontId="82" fillId="0" borderId="0" xfId="0" applyFont="1" applyAlignment="1">
      <alignment vertical="top"/>
    </xf>
    <xf numFmtId="0" fontId="79" fillId="0" borderId="1" xfId="0" applyFont="1" applyFill="1" applyBorder="1" applyAlignment="1">
      <alignment horizontal="center" vertical="top"/>
    </xf>
    <xf numFmtId="0" fontId="79" fillId="0" borderId="1" xfId="0" applyNumberFormat="1" applyFont="1" applyFill="1" applyBorder="1" applyAlignment="1">
      <alignment horizontal="center" vertical="top"/>
    </xf>
    <xf numFmtId="0" fontId="79" fillId="0" borderId="0" xfId="0" applyFont="1" applyFill="1" applyBorder="1" applyAlignment="1">
      <alignment horizontal="right" vertical="top"/>
    </xf>
    <xf numFmtId="0" fontId="45" fillId="0" borderId="0" xfId="0" applyFont="1" applyFill="1" applyAlignment="1">
      <alignment vertical="top"/>
    </xf>
    <xf numFmtId="0" fontId="45" fillId="0" borderId="0" xfId="0" applyFont="1" applyFill="1" applyBorder="1" applyAlignment="1">
      <alignment vertical="top"/>
    </xf>
    <xf numFmtId="0" fontId="45" fillId="0" borderId="0" xfId="0" applyFont="1" applyFill="1" applyAlignment="1">
      <alignment horizontal="right" vertical="top"/>
    </xf>
    <xf numFmtId="0" fontId="79" fillId="4" borderId="2" xfId="0" applyFont="1" applyFill="1" applyBorder="1" applyAlignment="1">
      <alignment horizontal="right" vertical="top"/>
    </xf>
    <xf numFmtId="0" fontId="45" fillId="4" borderId="2" xfId="0" applyFont="1" applyFill="1" applyBorder="1" applyAlignment="1">
      <alignment vertical="top"/>
    </xf>
    <xf numFmtId="0" fontId="76" fillId="4" borderId="2" xfId="0" applyFont="1" applyFill="1" applyBorder="1" applyAlignment="1">
      <alignment vertical="top"/>
    </xf>
    <xf numFmtId="0" fontId="45" fillId="0" borderId="18" xfId="0" applyFont="1" applyFill="1" applyBorder="1" applyAlignment="1">
      <alignment vertical="top"/>
    </xf>
    <xf numFmtId="0" fontId="45" fillId="4" borderId="34" xfId="0" applyFont="1" applyFill="1" applyBorder="1" applyAlignment="1">
      <alignment horizontal="right" vertical="top"/>
    </xf>
    <xf numFmtId="0" fontId="45" fillId="4" borderId="2" xfId="0" applyFont="1" applyFill="1" applyBorder="1" applyAlignment="1">
      <alignment horizontal="right" vertical="top"/>
    </xf>
    <xf numFmtId="0" fontId="45" fillId="0" borderId="0" xfId="0" applyFont="1" applyFill="1" applyBorder="1" applyAlignment="1">
      <alignment horizontal="right" vertical="top"/>
    </xf>
    <xf numFmtId="0" fontId="79" fillId="0" borderId="0" xfId="0" applyFont="1" applyFill="1" applyAlignment="1">
      <alignment horizontal="right" vertical="top"/>
    </xf>
    <xf numFmtId="0" fontId="78" fillId="0" borderId="0" xfId="0" applyFont="1" applyFill="1" applyAlignment="1">
      <alignment vertical="top"/>
    </xf>
    <xf numFmtId="0" fontId="76" fillId="4" borderId="2" xfId="0" applyFont="1" applyFill="1" applyBorder="1" applyAlignment="1">
      <alignment horizontal="right" vertical="top"/>
    </xf>
    <xf numFmtId="0" fontId="45" fillId="11" borderId="1" xfId="0" applyFont="1" applyFill="1" applyBorder="1" applyAlignment="1">
      <alignment horizontal="right" vertical="top"/>
    </xf>
    <xf numFmtId="0" fontId="45" fillId="11" borderId="1" xfId="0" applyFont="1" applyFill="1" applyBorder="1" applyAlignment="1">
      <alignment vertical="top"/>
    </xf>
    <xf numFmtId="0" fontId="79" fillId="0" borderId="1" xfId="0" applyFont="1" applyFill="1" applyBorder="1" applyAlignment="1">
      <alignment horizontal="right" vertical="top"/>
    </xf>
    <xf numFmtId="0" fontId="45" fillId="0" borderId="1" xfId="0" applyFont="1" applyFill="1" applyBorder="1" applyAlignment="1">
      <alignment vertical="top"/>
    </xf>
    <xf numFmtId="0" fontId="79" fillId="3" borderId="0" xfId="0" applyNumberFormat="1" applyFont="1" applyFill="1" applyBorder="1" applyAlignment="1">
      <alignment horizontal="center" vertical="top"/>
    </xf>
    <xf numFmtId="0" fontId="79" fillId="0" borderId="0" xfId="0" applyNumberFormat="1" applyFont="1" applyBorder="1" applyAlignment="1">
      <alignment horizontal="center" vertical="top"/>
    </xf>
    <xf numFmtId="0" fontId="45" fillId="0" borderId="1" xfId="0" applyFont="1" applyBorder="1" applyAlignment="1">
      <alignment vertical="top"/>
    </xf>
    <xf numFmtId="0" fontId="83" fillId="0" borderId="0" xfId="0" applyFont="1" applyFill="1" applyBorder="1" applyAlignment="1">
      <alignment vertical="top"/>
    </xf>
    <xf numFmtId="0" fontId="84" fillId="0" borderId="0" xfId="0" applyFont="1" applyBorder="1" applyAlignment="1">
      <alignment horizontal="center" vertical="top"/>
    </xf>
    <xf numFmtId="0" fontId="82" fillId="0" borderId="0" xfId="0" applyNumberFormat="1" applyFont="1" applyFill="1" applyAlignment="1">
      <alignment horizontal="center" vertical="top"/>
    </xf>
    <xf numFmtId="0" fontId="82" fillId="0" borderId="0" xfId="0" applyFont="1" applyFill="1" applyAlignment="1">
      <alignment vertical="top"/>
    </xf>
    <xf numFmtId="0" fontId="79" fillId="0" borderId="2" xfId="0" applyNumberFormat="1" applyFont="1" applyFill="1" applyBorder="1" applyAlignment="1">
      <alignment horizontal="center" vertical="top"/>
    </xf>
    <xf numFmtId="0" fontId="79" fillId="0" borderId="2" xfId="0" applyFont="1" applyFill="1" applyBorder="1" applyAlignment="1">
      <alignment vertical="top"/>
    </xf>
    <xf numFmtId="0" fontId="79" fillId="0" borderId="2" xfId="0" applyFont="1" applyFill="1" applyBorder="1" applyAlignment="1">
      <alignment horizontal="center" vertical="top"/>
    </xf>
    <xf numFmtId="0" fontId="79" fillId="3" borderId="0" xfId="0" applyNumberFormat="1" applyFont="1" applyFill="1" applyAlignment="1">
      <alignment horizontal="center" vertical="top"/>
    </xf>
    <xf numFmtId="0" fontId="79" fillId="3" borderId="18" xfId="0" applyNumberFormat="1" applyFont="1" applyFill="1" applyBorder="1" applyAlignment="1">
      <alignment horizontal="center" vertical="top"/>
    </xf>
    <xf numFmtId="0" fontId="79" fillId="0" borderId="18" xfId="0" applyFont="1" applyFill="1" applyBorder="1" applyAlignment="1">
      <alignment horizontal="left" vertical="top"/>
    </xf>
    <xf numFmtId="0" fontId="79" fillId="0" borderId="18" xfId="0" applyFont="1" applyFill="1" applyBorder="1" applyAlignment="1">
      <alignment horizontal="center" vertical="top"/>
    </xf>
    <xf numFmtId="0" fontId="79" fillId="0" borderId="2" xfId="0" applyFont="1" applyFill="1" applyBorder="1" applyAlignment="1">
      <alignment horizontal="left" vertical="top"/>
    </xf>
    <xf numFmtId="0" fontId="77" fillId="4" borderId="0" xfId="0" applyNumberFormat="1" applyFont="1" applyFill="1" applyBorder="1" applyAlignment="1">
      <alignment horizontal="center" vertical="top"/>
    </xf>
    <xf numFmtId="0" fontId="77" fillId="4" borderId="0" xfId="0" applyFont="1" applyFill="1" applyBorder="1" applyAlignment="1">
      <alignment horizontal="left" vertical="top"/>
    </xf>
    <xf numFmtId="0" fontId="79" fillId="4" borderId="0" xfId="0" applyFont="1" applyFill="1" applyBorder="1" applyAlignment="1">
      <alignment horizontal="center" vertical="top"/>
    </xf>
    <xf numFmtId="0" fontId="79" fillId="0" borderId="1" xfId="0" applyFont="1" applyFill="1" applyBorder="1" applyAlignment="1">
      <alignment vertical="top"/>
    </xf>
    <xf numFmtId="0" fontId="79" fillId="11" borderId="0" xfId="0" applyNumberFormat="1" applyFont="1" applyFill="1" applyAlignment="1">
      <alignment horizontal="center" vertical="top"/>
    </xf>
    <xf numFmtId="0" fontId="79" fillId="0" borderId="1" xfId="0" applyFont="1" applyBorder="1" applyAlignment="1">
      <alignment horizontal="left" vertical="top"/>
    </xf>
    <xf numFmtId="0" fontId="79" fillId="0" borderId="0" xfId="0" applyFont="1" applyBorder="1" applyAlignment="1">
      <alignment vertical="top"/>
    </xf>
    <xf numFmtId="0" fontId="79" fillId="0" borderId="2" xfId="0" applyNumberFormat="1" applyFont="1" applyBorder="1" applyAlignment="1">
      <alignment horizontal="center" vertical="top"/>
    </xf>
    <xf numFmtId="0" fontId="79" fillId="0" borderId="2" xfId="0" applyFont="1" applyBorder="1" applyAlignment="1">
      <alignment vertical="top"/>
    </xf>
    <xf numFmtId="0" fontId="79" fillId="0" borderId="2" xfId="0" applyFont="1" applyBorder="1" applyAlignment="1">
      <alignment horizontal="center" vertical="top"/>
    </xf>
    <xf numFmtId="0" fontId="77" fillId="0" borderId="0" xfId="0" applyNumberFormat="1" applyFont="1" applyBorder="1" applyAlignment="1">
      <alignment horizontal="center" vertical="top"/>
    </xf>
    <xf numFmtId="0" fontId="77" fillId="5" borderId="1" xfId="0" applyNumberFormat="1" applyFont="1" applyFill="1" applyBorder="1" applyAlignment="1">
      <alignment horizontal="center" vertical="top"/>
    </xf>
    <xf numFmtId="0" fontId="79" fillId="5" borderId="1" xfId="0" applyFont="1" applyFill="1" applyBorder="1" applyAlignment="1">
      <alignment vertical="top"/>
    </xf>
    <xf numFmtId="0" fontId="79" fillId="5" borderId="1" xfId="0" applyFont="1" applyFill="1" applyBorder="1" applyAlignment="1">
      <alignment horizontal="center" vertical="top"/>
    </xf>
    <xf numFmtId="0" fontId="77" fillId="0" borderId="0" xfId="0" applyNumberFormat="1" applyFont="1" applyFill="1" applyAlignment="1">
      <alignment horizontal="center" vertical="top"/>
    </xf>
    <xf numFmtId="0" fontId="79" fillId="0" borderId="0" xfId="0" applyFont="1" applyFill="1" applyBorder="1" applyAlignment="1">
      <alignment vertical="top" wrapText="1"/>
    </xf>
    <xf numFmtId="0" fontId="82" fillId="0" borderId="0" xfId="0" applyFont="1" applyFill="1" applyBorder="1" applyAlignment="1">
      <alignment horizontal="left" vertical="top"/>
    </xf>
    <xf numFmtId="0" fontId="82" fillId="0" borderId="0" xfId="0" applyFont="1" applyFill="1" applyAlignment="1">
      <alignment horizontal="center" vertical="top"/>
    </xf>
    <xf numFmtId="0" fontId="79" fillId="11" borderId="2" xfId="0" applyFont="1" applyFill="1" applyBorder="1" applyAlignment="1">
      <alignment vertical="top"/>
    </xf>
    <xf numFmtId="0" fontId="79" fillId="11" borderId="2" xfId="0" applyFont="1" applyFill="1" applyBorder="1" applyAlignment="1">
      <alignment horizontal="center" vertical="top"/>
    </xf>
    <xf numFmtId="0" fontId="79" fillId="0" borderId="18" xfId="0" applyNumberFormat="1" applyFont="1" applyFill="1" applyBorder="1" applyAlignment="1">
      <alignment horizontal="center" vertical="top"/>
    </xf>
    <xf numFmtId="0" fontId="79" fillId="0" borderId="18" xfId="0" applyFont="1" applyFill="1" applyBorder="1" applyAlignment="1">
      <alignment vertical="top"/>
    </xf>
    <xf numFmtId="0" fontId="77" fillId="4" borderId="2" xfId="0" applyFont="1" applyFill="1" applyBorder="1" applyAlignment="1">
      <alignment vertical="top"/>
    </xf>
    <xf numFmtId="0" fontId="79" fillId="11" borderId="0" xfId="0" applyFont="1" applyFill="1" applyBorder="1" applyAlignment="1">
      <alignment vertical="top"/>
    </xf>
    <xf numFmtId="0" fontId="79" fillId="11" borderId="0" xfId="0" applyFont="1" applyFill="1" applyBorder="1" applyAlignment="1">
      <alignment horizontal="center" vertical="top"/>
    </xf>
    <xf numFmtId="0" fontId="79" fillId="5" borderId="2" xfId="0" applyNumberFormat="1" applyFont="1" applyFill="1" applyBorder="1" applyAlignment="1">
      <alignment horizontal="center" vertical="top"/>
    </xf>
    <xf numFmtId="0" fontId="79" fillId="5" borderId="2" xfId="0" applyFont="1" applyFill="1" applyBorder="1" applyAlignment="1">
      <alignment vertical="top"/>
    </xf>
    <xf numFmtId="0" fontId="79" fillId="5" borderId="2" xfId="0" applyFont="1" applyFill="1" applyBorder="1" applyAlignment="1">
      <alignment horizontal="center" vertical="top"/>
    </xf>
    <xf numFmtId="0" fontId="77" fillId="0" borderId="0" xfId="0" applyFont="1" applyFill="1" applyAlignment="1">
      <alignment vertical="top"/>
    </xf>
    <xf numFmtId="0" fontId="85" fillId="0" borderId="0" xfId="0" applyFont="1" applyFill="1" applyAlignment="1">
      <alignment vertical="top"/>
    </xf>
    <xf numFmtId="0" fontId="79" fillId="3" borderId="18" xfId="0" applyFont="1" applyFill="1" applyBorder="1" applyAlignment="1">
      <alignment vertical="top"/>
    </xf>
    <xf numFmtId="0" fontId="79" fillId="3" borderId="18" xfId="0" applyFont="1" applyFill="1" applyBorder="1" applyAlignment="1">
      <alignment horizontal="center" vertical="top"/>
    </xf>
    <xf numFmtId="0" fontId="82" fillId="0" borderId="0" xfId="0" applyFont="1" applyAlignment="1">
      <alignment horizontal="center" vertical="top"/>
    </xf>
    <xf numFmtId="0" fontId="79" fillId="0" borderId="1" xfId="0" applyFont="1" applyBorder="1" applyAlignment="1">
      <alignment horizontal="center" vertical="top"/>
    </xf>
    <xf numFmtId="0" fontId="86" fillId="0" borderId="0" xfId="0" applyNumberFormat="1" applyFont="1" applyAlignment="1">
      <alignment horizontal="center" vertical="top"/>
    </xf>
    <xf numFmtId="0" fontId="86" fillId="0" borderId="0" xfId="0" applyFont="1" applyAlignment="1">
      <alignment vertical="top"/>
    </xf>
    <xf numFmtId="0" fontId="86" fillId="0" borderId="0" xfId="0" applyFont="1" applyAlignment="1">
      <alignment horizontal="center" vertical="top"/>
    </xf>
    <xf numFmtId="0" fontId="79" fillId="0" borderId="1" xfId="0" applyNumberFormat="1" applyFont="1" applyBorder="1" applyAlignment="1">
      <alignment horizontal="center" vertical="top"/>
    </xf>
    <xf numFmtId="0" fontId="79" fillId="0" borderId="1" xfId="0" applyFont="1" applyBorder="1" applyAlignment="1">
      <alignment vertical="top"/>
    </xf>
    <xf numFmtId="0" fontId="82" fillId="0" borderId="0" xfId="0" applyNumberFormat="1" applyFont="1" applyAlignment="1">
      <alignment horizontal="center" vertical="top"/>
    </xf>
    <xf numFmtId="0" fontId="82" fillId="0" borderId="0" xfId="0" applyNumberFormat="1" applyFont="1" applyBorder="1" applyAlignment="1">
      <alignment horizontal="center" vertical="top"/>
    </xf>
    <xf numFmtId="0" fontId="77" fillId="0" borderId="0" xfId="0" applyFont="1" applyBorder="1" applyAlignment="1">
      <alignment horizontal="center" vertical="top"/>
    </xf>
    <xf numFmtId="0" fontId="81" fillId="0" borderId="0" xfId="0" applyFont="1" applyAlignment="1">
      <alignment vertical="top"/>
    </xf>
    <xf numFmtId="0" fontId="45" fillId="0" borderId="0" xfId="0" applyNumberFormat="1" applyFont="1" applyBorder="1" applyAlignment="1">
      <alignment horizontal="center" vertical="top"/>
    </xf>
    <xf numFmtId="0" fontId="45" fillId="0" borderId="1" xfId="0" applyNumberFormat="1" applyFont="1" applyBorder="1" applyAlignment="1">
      <alignment horizontal="center" vertical="top"/>
    </xf>
    <xf numFmtId="0" fontId="79" fillId="2" borderId="0" xfId="0" applyFont="1" applyFill="1" applyAlignment="1">
      <alignment horizontal="center" vertical="top"/>
    </xf>
    <xf numFmtId="0" fontId="77" fillId="4" borderId="18" xfId="0" applyNumberFormat="1" applyFont="1" applyFill="1" applyBorder="1" applyAlignment="1">
      <alignment horizontal="center" vertical="top"/>
    </xf>
    <xf numFmtId="0" fontId="79" fillId="4" borderId="18" xfId="0" applyFont="1" applyFill="1" applyBorder="1" applyAlignment="1">
      <alignment horizontal="left" vertical="top"/>
    </xf>
    <xf numFmtId="0" fontId="79" fillId="4" borderId="18" xfId="0" applyFont="1" applyFill="1" applyBorder="1" applyAlignment="1">
      <alignment horizontal="center" vertical="top"/>
    </xf>
    <xf numFmtId="0" fontId="79" fillId="11" borderId="18" xfId="0" applyFont="1" applyFill="1" applyBorder="1" applyAlignment="1">
      <alignment horizontal="center" vertical="top"/>
    </xf>
    <xf numFmtId="0" fontId="77" fillId="0" borderId="0" xfId="0" applyNumberFormat="1" applyFont="1" applyFill="1" applyBorder="1" applyAlignment="1">
      <alignment horizontal="center" vertical="top"/>
    </xf>
    <xf numFmtId="0" fontId="45" fillId="0" borderId="1" xfId="0" applyFont="1" applyBorder="1" applyAlignment="1">
      <alignment horizontal="center" vertical="top"/>
    </xf>
    <xf numFmtId="0" fontId="45" fillId="10" borderId="2" xfId="0" applyFont="1" applyFill="1" applyBorder="1" applyAlignment="1">
      <alignment vertical="top"/>
    </xf>
    <xf numFmtId="0" fontId="77" fillId="3" borderId="0" xfId="0" applyNumberFormat="1" applyFont="1" applyFill="1" applyBorder="1" applyAlignment="1">
      <alignment horizontal="center" vertical="top"/>
    </xf>
    <xf numFmtId="0" fontId="79" fillId="3" borderId="3" xfId="0" applyFont="1" applyFill="1" applyBorder="1" applyAlignment="1">
      <alignment horizontal="left" vertical="top"/>
    </xf>
    <xf numFmtId="0" fontId="79" fillId="3" borderId="3" xfId="0" applyFont="1" applyFill="1" applyBorder="1" applyAlignment="1">
      <alignment horizontal="center" vertical="top"/>
    </xf>
    <xf numFmtId="0" fontId="77" fillId="4" borderId="19" xfId="0" applyNumberFormat="1" applyFont="1" applyFill="1" applyBorder="1" applyAlignment="1">
      <alignment horizontal="center" vertical="top"/>
    </xf>
    <xf numFmtId="0" fontId="79" fillId="4" borderId="19" xfId="0" applyFont="1" applyFill="1" applyBorder="1" applyAlignment="1">
      <alignment horizontal="left" vertical="top"/>
    </xf>
    <xf numFmtId="0" fontId="79" fillId="4" borderId="19" xfId="0" applyFont="1" applyFill="1" applyBorder="1" applyAlignment="1">
      <alignment horizontal="center" vertical="top"/>
    </xf>
    <xf numFmtId="0" fontId="79" fillId="11" borderId="1" xfId="0" applyFont="1" applyFill="1" applyBorder="1" applyAlignment="1">
      <alignment vertical="top"/>
    </xf>
    <xf numFmtId="0" fontId="79" fillId="11" borderId="19" xfId="0" applyFont="1" applyFill="1" applyBorder="1" applyAlignment="1">
      <alignment horizontal="center" vertical="top"/>
    </xf>
    <xf numFmtId="164" fontId="79" fillId="0" borderId="0" xfId="0" applyNumberFormat="1" applyFont="1" applyBorder="1" applyAlignment="1">
      <alignment horizontal="center" vertical="top"/>
    </xf>
    <xf numFmtId="0" fontId="45" fillId="0" borderId="0" xfId="0" applyFont="1" applyAlignment="1">
      <alignment horizontal="center"/>
    </xf>
    <xf numFmtId="0" fontId="45" fillId="0" borderId="0" xfId="0" applyFont="1"/>
    <xf numFmtId="0" fontId="79" fillId="3" borderId="0" xfId="0" applyFont="1" applyFill="1" applyBorder="1" applyAlignment="1">
      <alignment vertical="top"/>
    </xf>
    <xf numFmtId="0" fontId="79" fillId="3" borderId="0" xfId="0" applyFont="1" applyFill="1" applyBorder="1" applyAlignment="1">
      <alignment horizontal="center" vertical="top"/>
    </xf>
    <xf numFmtId="0" fontId="86" fillId="3" borderId="0" xfId="0" applyNumberFormat="1" applyFont="1" applyFill="1" applyBorder="1" applyAlignment="1">
      <alignment horizontal="center" vertical="top"/>
    </xf>
    <xf numFmtId="0" fontId="79" fillId="11" borderId="0" xfId="0" applyNumberFormat="1" applyFont="1" applyFill="1" applyBorder="1" applyAlignment="1">
      <alignment horizontal="center" vertical="top"/>
    </xf>
    <xf numFmtId="0" fontId="81" fillId="0" borderId="0" xfId="0" applyFont="1" applyFill="1" applyAlignment="1">
      <alignment horizontal="left" vertical="top"/>
    </xf>
    <xf numFmtId="0" fontId="81" fillId="0" borderId="0" xfId="0" applyFont="1" applyFill="1" applyAlignment="1">
      <alignment horizontal="center" vertical="top"/>
    </xf>
    <xf numFmtId="164" fontId="79" fillId="0" borderId="0" xfId="0" applyNumberFormat="1" applyFont="1" applyAlignment="1">
      <alignment horizontal="left" vertical="top"/>
    </xf>
    <xf numFmtId="164" fontId="79" fillId="0" borderId="1" xfId="0" applyNumberFormat="1" applyFont="1" applyBorder="1" applyAlignment="1">
      <alignment horizontal="left" vertical="top"/>
    </xf>
    <xf numFmtId="0" fontId="45" fillId="3" borderId="0" xfId="0" applyNumberFormat="1" applyFont="1" applyFill="1" applyAlignment="1">
      <alignment horizontal="center" vertical="top"/>
    </xf>
    <xf numFmtId="0" fontId="87" fillId="0" borderId="0" xfId="0" applyNumberFormat="1" applyFont="1" applyAlignment="1">
      <alignment horizontal="center" vertical="top"/>
    </xf>
    <xf numFmtId="164" fontId="79" fillId="0" borderId="0" xfId="0" applyNumberFormat="1" applyFont="1" applyAlignment="1">
      <alignment horizontal="center" vertical="top"/>
    </xf>
    <xf numFmtId="0" fontId="88" fillId="0" borderId="0" xfId="0" applyNumberFormat="1" applyFont="1" applyAlignment="1">
      <alignment horizontal="center" vertical="top"/>
    </xf>
    <xf numFmtId="0" fontId="76" fillId="0" borderId="0" xfId="0" applyNumberFormat="1" applyFont="1" applyBorder="1" applyAlignment="1">
      <alignment horizontal="center" vertical="top"/>
    </xf>
    <xf numFmtId="0" fontId="45" fillId="0" borderId="0" xfId="0" applyFont="1" applyBorder="1" applyAlignment="1">
      <alignment horizontal="left" vertical="top"/>
    </xf>
    <xf numFmtId="0" fontId="79" fillId="0" borderId="23" xfId="0" applyFont="1" applyFill="1" applyBorder="1" applyAlignment="1">
      <alignment horizontal="center" vertical="top"/>
    </xf>
    <xf numFmtId="0" fontId="77" fillId="4" borderId="18" xfId="0" applyFont="1" applyFill="1" applyBorder="1" applyAlignment="1">
      <alignment horizontal="center" vertical="top"/>
    </xf>
    <xf numFmtId="0" fontId="77" fillId="0" borderId="0" xfId="0" applyFont="1" applyFill="1" applyBorder="1" applyAlignment="1">
      <alignment horizontal="center" vertical="top"/>
    </xf>
    <xf numFmtId="0" fontId="76" fillId="0" borderId="0" xfId="0" applyNumberFormat="1" applyFont="1" applyFill="1" applyBorder="1" applyAlignment="1">
      <alignment horizontal="center" vertical="top"/>
    </xf>
    <xf numFmtId="0" fontId="76" fillId="4" borderId="19" xfId="0" applyNumberFormat="1" applyFont="1" applyFill="1" applyBorder="1" applyAlignment="1">
      <alignment horizontal="center" vertical="top"/>
    </xf>
    <xf numFmtId="0" fontId="45" fillId="4" borderId="19" xfId="0" applyFont="1" applyFill="1" applyBorder="1" applyAlignment="1">
      <alignment vertical="top"/>
    </xf>
    <xf numFmtId="0" fontId="45" fillId="4" borderId="34" xfId="0" applyFont="1" applyFill="1" applyBorder="1" applyAlignment="1">
      <alignment horizontal="center" vertical="top"/>
    </xf>
    <xf numFmtId="0" fontId="79" fillId="3" borderId="19" xfId="0" applyFont="1" applyFill="1" applyBorder="1" applyAlignment="1">
      <alignment vertical="top"/>
    </xf>
    <xf numFmtId="0" fontId="77" fillId="3" borderId="0" xfId="0" applyNumberFormat="1" applyFont="1" applyFill="1" applyAlignment="1">
      <alignment horizontal="center" vertical="top"/>
    </xf>
    <xf numFmtId="0" fontId="79" fillId="0" borderId="3" xfId="0" applyNumberFormat="1" applyFont="1" applyBorder="1" applyAlignment="1">
      <alignment horizontal="center" vertical="top"/>
    </xf>
    <xf numFmtId="0" fontId="79" fillId="0" borderId="3" xfId="0" applyFont="1" applyBorder="1" applyAlignment="1">
      <alignment vertical="top"/>
    </xf>
    <xf numFmtId="0" fontId="79" fillId="0" borderId="3" xfId="0" applyFont="1" applyBorder="1" applyAlignment="1">
      <alignment horizontal="center" vertical="top"/>
    </xf>
    <xf numFmtId="0" fontId="77" fillId="11" borderId="2" xfId="0" applyNumberFormat="1" applyFont="1" applyFill="1" applyBorder="1" applyAlignment="1">
      <alignment horizontal="center" vertical="top"/>
    </xf>
    <xf numFmtId="0" fontId="85" fillId="0" borderId="0" xfId="0" applyFont="1" applyBorder="1" applyAlignment="1">
      <alignment horizontal="center" vertical="top"/>
    </xf>
    <xf numFmtId="0" fontId="45" fillId="0" borderId="0" xfId="0" applyFont="1" applyFill="1" applyBorder="1" applyAlignment="1">
      <alignment horizontal="center" vertical="top"/>
    </xf>
    <xf numFmtId="0" fontId="76" fillId="4" borderId="18" xfId="0" applyNumberFormat="1" applyFont="1" applyFill="1" applyBorder="1" applyAlignment="1">
      <alignment horizontal="center" vertical="top"/>
    </xf>
    <xf numFmtId="0" fontId="79" fillId="11" borderId="1" xfId="0" applyFont="1" applyFill="1" applyBorder="1" applyAlignment="1">
      <alignment horizontal="center" vertical="top"/>
    </xf>
    <xf numFmtId="0" fontId="45" fillId="0" borderId="0" xfId="0" applyNumberFormat="1" applyFont="1" applyFill="1" applyBorder="1" applyAlignment="1">
      <alignment horizontal="center" vertical="top"/>
    </xf>
    <xf numFmtId="0" fontId="76" fillId="4" borderId="2" xfId="0" applyNumberFormat="1" applyFont="1" applyFill="1" applyBorder="1" applyAlignment="1">
      <alignment horizontal="center" vertical="top"/>
    </xf>
    <xf numFmtId="0" fontId="45" fillId="4" borderId="2" xfId="0" applyFont="1" applyFill="1" applyBorder="1" applyAlignment="1">
      <alignment horizontal="center" vertical="top"/>
    </xf>
    <xf numFmtId="0" fontId="79" fillId="4" borderId="2" xfId="0" applyNumberFormat="1" applyFont="1" applyFill="1" applyBorder="1" applyAlignment="1">
      <alignment horizontal="center" vertical="top"/>
    </xf>
    <xf numFmtId="0" fontId="79" fillId="11" borderId="18" xfId="0" applyNumberFormat="1" applyFont="1" applyFill="1" applyBorder="1" applyAlignment="1">
      <alignment horizontal="center" vertical="top"/>
    </xf>
    <xf numFmtId="0" fontId="79" fillId="11" borderId="18" xfId="0" applyFont="1" applyFill="1" applyBorder="1" applyAlignment="1">
      <alignment horizontal="left" vertical="top"/>
    </xf>
    <xf numFmtId="0" fontId="79" fillId="4" borderId="1" xfId="0" applyNumberFormat="1" applyFont="1" applyFill="1" applyBorder="1" applyAlignment="1">
      <alignment horizontal="center" vertical="top"/>
    </xf>
    <xf numFmtId="0" fontId="79" fillId="4" borderId="1" xfId="0" applyFont="1" applyFill="1" applyBorder="1" applyAlignment="1">
      <alignment horizontal="center" vertical="top"/>
    </xf>
    <xf numFmtId="0" fontId="45" fillId="0" borderId="1" xfId="0" applyFont="1" applyFill="1" applyBorder="1" applyAlignment="1">
      <alignment horizontal="center" vertical="top"/>
    </xf>
    <xf numFmtId="0" fontId="45" fillId="3" borderId="0" xfId="0" applyNumberFormat="1" applyFont="1" applyFill="1" applyBorder="1" applyAlignment="1">
      <alignment horizontal="center" vertical="top"/>
    </xf>
    <xf numFmtId="0" fontId="45" fillId="4" borderId="18" xfId="0" applyFont="1" applyFill="1" applyBorder="1" applyAlignment="1">
      <alignment vertical="top"/>
    </xf>
    <xf numFmtId="0" fontId="45" fillId="4" borderId="19" xfId="0" applyFont="1" applyFill="1" applyBorder="1" applyAlignment="1">
      <alignment horizontal="center" vertical="top"/>
    </xf>
    <xf numFmtId="0" fontId="79" fillId="2" borderId="2" xfId="0" applyFont="1" applyFill="1" applyBorder="1" applyAlignment="1">
      <alignment vertical="top"/>
    </xf>
    <xf numFmtId="0" fontId="45" fillId="0" borderId="0" xfId="0" applyNumberFormat="1" applyFont="1" applyFill="1" applyAlignment="1">
      <alignment horizontal="center" vertical="top"/>
    </xf>
    <xf numFmtId="0" fontId="45" fillId="4" borderId="2" xfId="0" applyNumberFormat="1" applyFont="1" applyFill="1" applyBorder="1" applyAlignment="1">
      <alignment horizontal="center" vertical="top"/>
    </xf>
    <xf numFmtId="0" fontId="82" fillId="0" borderId="0" xfId="0" applyFont="1" applyFill="1" applyAlignment="1">
      <alignment horizontal="left" vertical="top"/>
    </xf>
    <xf numFmtId="0" fontId="77" fillId="4" borderId="19" xfId="0" applyFont="1" applyFill="1" applyBorder="1" applyAlignment="1">
      <alignment horizontal="center" vertical="top"/>
    </xf>
    <xf numFmtId="0" fontId="77" fillId="0" borderId="0" xfId="0" applyFont="1" applyFill="1" applyAlignment="1">
      <alignment horizontal="center" vertical="top"/>
    </xf>
    <xf numFmtId="0" fontId="79" fillId="0" borderId="18" xfId="0" applyFont="1" applyBorder="1" applyAlignment="1">
      <alignment vertical="top"/>
    </xf>
    <xf numFmtId="0" fontId="45" fillId="2" borderId="2" xfId="0" applyFont="1" applyFill="1" applyBorder="1" applyAlignment="1">
      <alignment vertical="top"/>
    </xf>
    <xf numFmtId="0" fontId="45" fillId="12" borderId="2" xfId="0" applyFont="1" applyFill="1" applyBorder="1" applyAlignment="1">
      <alignment horizontal="center" vertical="top"/>
    </xf>
    <xf numFmtId="0" fontId="45" fillId="12" borderId="2" xfId="0" applyFont="1" applyFill="1" applyBorder="1" applyAlignment="1">
      <alignment vertical="top"/>
    </xf>
    <xf numFmtId="0" fontId="89" fillId="0" borderId="0" xfId="0" applyFont="1"/>
    <xf numFmtId="0" fontId="76" fillId="0" borderId="0" xfId="0" applyFont="1" applyAlignment="1">
      <alignment vertical="top"/>
    </xf>
    <xf numFmtId="1" fontId="45" fillId="0" borderId="0" xfId="0" applyNumberFormat="1" applyFont="1" applyFill="1" applyBorder="1" applyAlignment="1">
      <alignment vertical="top"/>
    </xf>
    <xf numFmtId="0" fontId="45" fillId="11" borderId="2" xfId="0" applyFont="1" applyFill="1" applyBorder="1" applyAlignment="1">
      <alignment horizontal="right" vertical="top"/>
    </xf>
    <xf numFmtId="0" fontId="45" fillId="11" borderId="2" xfId="0" applyFont="1" applyFill="1" applyBorder="1" applyAlignment="1">
      <alignment vertical="top"/>
    </xf>
    <xf numFmtId="0" fontId="45" fillId="0" borderId="2" xfId="0" applyFont="1" applyFill="1" applyBorder="1" applyAlignment="1">
      <alignment horizontal="right" vertical="top"/>
    </xf>
    <xf numFmtId="0" fontId="45" fillId="0" borderId="2" xfId="0" applyFont="1" applyFill="1" applyBorder="1" applyAlignment="1">
      <alignment vertical="top"/>
    </xf>
    <xf numFmtId="0" fontId="45" fillId="0" borderId="18" xfId="0" applyFont="1" applyFill="1" applyBorder="1" applyAlignment="1">
      <alignment horizontal="right" vertical="top"/>
    </xf>
    <xf numFmtId="0" fontId="45" fillId="5" borderId="1" xfId="0" applyFont="1" applyFill="1" applyBorder="1" applyAlignment="1">
      <alignment horizontal="right" vertical="top"/>
    </xf>
    <xf numFmtId="0" fontId="45" fillId="5" borderId="1" xfId="0" applyFont="1" applyFill="1" applyBorder="1" applyAlignment="1">
      <alignment vertical="top"/>
    </xf>
    <xf numFmtId="0" fontId="78" fillId="0" borderId="1" xfId="0" applyFont="1" applyFill="1" applyBorder="1" applyAlignment="1">
      <alignment vertical="top"/>
    </xf>
    <xf numFmtId="1" fontId="79" fillId="0" borderId="0" xfId="0" applyNumberFormat="1" applyFont="1" applyFill="1" applyBorder="1" applyAlignment="1">
      <alignment horizontal="right" vertical="top"/>
    </xf>
    <xf numFmtId="1" fontId="45" fillId="0" borderId="0" xfId="0" applyNumberFormat="1" applyFont="1" applyFill="1" applyAlignment="1">
      <alignment vertical="top"/>
    </xf>
    <xf numFmtId="0" fontId="79" fillId="3" borderId="2" xfId="0" applyFont="1" applyFill="1" applyBorder="1" applyAlignment="1">
      <alignment horizontal="right" vertical="top"/>
    </xf>
    <xf numFmtId="0" fontId="45" fillId="3" borderId="2" xfId="0" applyFont="1" applyFill="1" applyBorder="1" applyAlignment="1">
      <alignment vertical="top"/>
    </xf>
    <xf numFmtId="0" fontId="45" fillId="11" borderId="0" xfId="0" applyFont="1" applyFill="1" applyBorder="1" applyAlignment="1">
      <alignment horizontal="right" vertical="top"/>
    </xf>
    <xf numFmtId="0" fontId="45" fillId="11" borderId="0" xfId="0" applyFont="1" applyFill="1" applyBorder="1" applyAlignment="1">
      <alignment vertical="top"/>
    </xf>
    <xf numFmtId="0" fontId="79" fillId="5" borderId="2" xfId="0" applyFont="1" applyFill="1" applyBorder="1" applyAlignment="1">
      <alignment horizontal="right" vertical="top"/>
    </xf>
    <xf numFmtId="0" fontId="45" fillId="5" borderId="2" xfId="0" applyFont="1" applyFill="1" applyBorder="1" applyAlignment="1">
      <alignment vertical="top"/>
    </xf>
    <xf numFmtId="1" fontId="45" fillId="0" borderId="1" xfId="0" applyNumberFormat="1" applyFont="1" applyFill="1" applyBorder="1" applyAlignment="1">
      <alignment vertical="top"/>
    </xf>
    <xf numFmtId="0" fontId="45" fillId="0" borderId="0" xfId="0" applyFont="1" applyFill="1"/>
    <xf numFmtId="0" fontId="45" fillId="0" borderId="0" xfId="0" applyFont="1" applyFill="1" applyBorder="1"/>
    <xf numFmtId="0" fontId="76" fillId="4" borderId="18" xfId="0" applyFont="1" applyFill="1" applyBorder="1" applyAlignment="1">
      <alignment horizontal="right" vertical="top"/>
    </xf>
    <xf numFmtId="0" fontId="76" fillId="4" borderId="18" xfId="0" applyFont="1" applyFill="1" applyBorder="1" applyAlignment="1">
      <alignment vertical="top"/>
    </xf>
    <xf numFmtId="0" fontId="45" fillId="0" borderId="1" xfId="0" applyFont="1" applyFill="1" applyBorder="1" applyAlignment="1">
      <alignment horizontal="right" vertical="top"/>
    </xf>
    <xf numFmtId="0" fontId="79" fillId="11" borderId="2" xfId="0" applyFont="1" applyFill="1" applyBorder="1" applyAlignment="1">
      <alignment horizontal="right" vertical="top"/>
    </xf>
    <xf numFmtId="0" fontId="45" fillId="0" borderId="1" xfId="0" applyFont="1" applyFill="1" applyBorder="1"/>
    <xf numFmtId="0" fontId="45" fillId="11" borderId="18" xfId="0" applyFont="1" applyFill="1" applyBorder="1" applyAlignment="1">
      <alignment horizontal="right" vertical="top"/>
    </xf>
    <xf numFmtId="0" fontId="45" fillId="11" borderId="18" xfId="0" applyFont="1" applyFill="1" applyBorder="1" applyAlignment="1">
      <alignment vertical="top"/>
    </xf>
    <xf numFmtId="0" fontId="79" fillId="0" borderId="18" xfId="0" applyFont="1" applyFill="1" applyBorder="1" applyAlignment="1">
      <alignment horizontal="right" vertical="top"/>
    </xf>
    <xf numFmtId="0" fontId="76" fillId="0" borderId="18" xfId="0" applyFont="1" applyFill="1" applyBorder="1" applyAlignment="1">
      <alignment vertical="top"/>
    </xf>
    <xf numFmtId="0" fontId="76" fillId="0" borderId="0" xfId="0" applyFont="1" applyFill="1" applyBorder="1" applyAlignment="1">
      <alignment vertical="top"/>
    </xf>
    <xf numFmtId="0" fontId="79" fillId="3" borderId="3" xfId="0" applyFont="1" applyFill="1" applyBorder="1" applyAlignment="1">
      <alignment horizontal="right" vertical="top"/>
    </xf>
    <xf numFmtId="0" fontId="76" fillId="3" borderId="3" xfId="0" applyFont="1" applyFill="1" applyBorder="1" applyAlignment="1">
      <alignment vertical="top"/>
    </xf>
    <xf numFmtId="0" fontId="45" fillId="3" borderId="3" xfId="0" applyFont="1" applyFill="1" applyBorder="1" applyAlignment="1">
      <alignment vertical="top"/>
    </xf>
    <xf numFmtId="0" fontId="45" fillId="4" borderId="19" xfId="0" applyFont="1" applyFill="1" applyBorder="1" applyAlignment="1">
      <alignment horizontal="right" vertical="top"/>
    </xf>
    <xf numFmtId="0" fontId="76" fillId="4" borderId="19" xfId="0" applyFont="1" applyFill="1" applyBorder="1" applyAlignment="1">
      <alignment vertical="top"/>
    </xf>
    <xf numFmtId="0" fontId="45" fillId="11" borderId="19" xfId="0" applyFont="1" applyFill="1" applyBorder="1" applyAlignment="1">
      <alignment horizontal="right" vertical="top"/>
    </xf>
    <xf numFmtId="0" fontId="45" fillId="11" borderId="19" xfId="0" applyFont="1" applyFill="1" applyBorder="1" applyAlignment="1">
      <alignment vertical="top"/>
    </xf>
    <xf numFmtId="0" fontId="45" fillId="11" borderId="3" xfId="0" applyFont="1" applyFill="1" applyBorder="1" applyAlignment="1">
      <alignment vertical="top"/>
    </xf>
    <xf numFmtId="0" fontId="77" fillId="4" borderId="2" xfId="0" applyFont="1" applyFill="1" applyBorder="1" applyAlignment="1">
      <alignment horizontal="right" vertical="top"/>
    </xf>
    <xf numFmtId="0" fontId="45" fillId="4" borderId="34" xfId="0" applyFont="1" applyFill="1" applyBorder="1" applyAlignment="1">
      <alignment vertical="top"/>
    </xf>
    <xf numFmtId="0" fontId="79" fillId="11" borderId="1" xfId="0" applyFont="1" applyFill="1" applyBorder="1" applyAlignment="1">
      <alignment horizontal="right" vertical="top"/>
    </xf>
    <xf numFmtId="0" fontId="79" fillId="0" borderId="3" xfId="0" applyFont="1" applyFill="1" applyBorder="1" applyAlignment="1">
      <alignment horizontal="right" vertical="top"/>
    </xf>
    <xf numFmtId="0" fontId="45" fillId="0" borderId="3" xfId="0" applyFont="1" applyFill="1" applyBorder="1" applyAlignment="1">
      <alignment vertical="top"/>
    </xf>
    <xf numFmtId="0" fontId="85" fillId="0" borderId="0" xfId="0" applyFont="1" applyFill="1" applyBorder="1" applyAlignment="1">
      <alignment horizontal="right" vertical="top"/>
    </xf>
    <xf numFmtId="0" fontId="79" fillId="3" borderId="0" xfId="0" applyFont="1" applyFill="1" applyBorder="1" applyAlignment="1">
      <alignment horizontal="right" vertical="top"/>
    </xf>
    <xf numFmtId="0" fontId="79" fillId="0" borderId="36" xfId="0" applyFont="1" applyFill="1" applyBorder="1" applyAlignment="1">
      <alignment horizontal="right" vertical="top"/>
    </xf>
    <xf numFmtId="0" fontId="45" fillId="4" borderId="1" xfId="0" applyFont="1" applyFill="1" applyBorder="1" applyAlignment="1">
      <alignment horizontal="right" vertical="top"/>
    </xf>
    <xf numFmtId="0" fontId="45" fillId="4" borderId="1" xfId="0" applyFont="1" applyFill="1" applyBorder="1" applyAlignment="1">
      <alignment vertical="top"/>
    </xf>
    <xf numFmtId="0" fontId="45" fillId="2" borderId="2" xfId="0" applyFont="1" applyFill="1" applyBorder="1" applyAlignment="1">
      <alignment horizontal="right" vertical="top"/>
    </xf>
    <xf numFmtId="1" fontId="79" fillId="0" borderId="1" xfId="0" applyNumberFormat="1" applyFont="1" applyFill="1" applyBorder="1" applyAlignment="1">
      <alignment horizontal="right" vertical="top"/>
    </xf>
    <xf numFmtId="0" fontId="76" fillId="4" borderId="19" xfId="0" applyFont="1" applyFill="1" applyBorder="1" applyAlignment="1">
      <alignment horizontal="right" vertical="top"/>
    </xf>
    <xf numFmtId="0" fontId="45" fillId="3" borderId="0" xfId="0" applyFont="1" applyFill="1" applyBorder="1" applyAlignment="1">
      <alignment vertical="top"/>
    </xf>
    <xf numFmtId="0" fontId="78" fillId="0" borderId="0" xfId="0" applyFont="1" applyFill="1" applyBorder="1" applyAlignment="1">
      <alignment vertical="top"/>
    </xf>
    <xf numFmtId="1" fontId="76" fillId="12" borderId="2" xfId="0" applyNumberFormat="1" applyFont="1" applyFill="1" applyBorder="1" applyAlignment="1">
      <alignment vertical="top"/>
    </xf>
    <xf numFmtId="0" fontId="80" fillId="0" borderId="0" xfId="0" applyFont="1" applyFill="1" applyAlignment="1">
      <alignment vertical="top"/>
    </xf>
    <xf numFmtId="1" fontId="76" fillId="0" borderId="0" xfId="0" applyNumberFormat="1" applyFont="1" applyAlignment="1">
      <alignment vertical="top"/>
    </xf>
    <xf numFmtId="1" fontId="45" fillId="0" borderId="0" xfId="0" applyNumberFormat="1" applyFont="1" applyAlignment="1">
      <alignment vertical="top"/>
    </xf>
    <xf numFmtId="0" fontId="9" fillId="4" borderId="0" xfId="0" applyFont="1" applyFill="1" applyBorder="1" applyAlignment="1">
      <alignment horizontal="center" vertical="top"/>
    </xf>
    <xf numFmtId="0" fontId="8" fillId="3" borderId="0" xfId="0" applyFont="1" applyFill="1" applyBorder="1" applyAlignment="1">
      <alignment horizontal="center" vertical="top"/>
    </xf>
    <xf numFmtId="0" fontId="76" fillId="3" borderId="0" xfId="0" applyFont="1" applyFill="1" applyBorder="1" applyAlignment="1">
      <alignment vertical="justify"/>
    </xf>
    <xf numFmtId="0" fontId="45" fillId="3" borderId="0" xfId="0" applyFont="1" applyFill="1" applyBorder="1" applyAlignment="1">
      <alignment vertical="justify"/>
    </xf>
    <xf numFmtId="0" fontId="45" fillId="3" borderId="0" xfId="0" applyFont="1" applyFill="1" applyBorder="1" applyAlignment="1">
      <alignment horizontal="left" vertical="top"/>
    </xf>
    <xf numFmtId="0" fontId="76" fillId="3" borderId="0" xfId="0" applyFont="1" applyFill="1" applyBorder="1" applyAlignment="1">
      <alignment horizontal="center" vertical="top"/>
    </xf>
    <xf numFmtId="0" fontId="79" fillId="3" borderId="0" xfId="0" applyFont="1" applyFill="1" applyBorder="1" applyAlignment="1">
      <alignment horizontal="left" vertical="top"/>
    </xf>
    <xf numFmtId="0" fontId="2" fillId="0" borderId="11" xfId="0" applyFont="1" applyBorder="1" applyAlignment="1">
      <alignment horizontal="left" vertical="top"/>
    </xf>
    <xf numFmtId="164" fontId="79" fillId="0" borderId="1" xfId="0" applyNumberFormat="1" applyFont="1" applyBorder="1" applyAlignment="1">
      <alignment horizontal="center" vertical="top"/>
    </xf>
    <xf numFmtId="0" fontId="90" fillId="0" borderId="36" xfId="0" applyFont="1" applyFill="1" applyBorder="1" applyAlignment="1">
      <alignment horizontal="right" vertical="top"/>
    </xf>
    <xf numFmtId="0" fontId="9" fillId="3" borderId="1" xfId="0" applyFont="1" applyFill="1" applyBorder="1" applyAlignment="1">
      <alignment vertical="justify"/>
    </xf>
    <xf numFmtId="0" fontId="12" fillId="3" borderId="1" xfId="0" applyFont="1" applyFill="1" applyBorder="1" applyAlignment="1">
      <alignment horizontal="left" vertical="top"/>
    </xf>
    <xf numFmtId="0" fontId="12" fillId="3" borderId="1" xfId="0" applyFont="1" applyFill="1" applyBorder="1" applyAlignment="1">
      <alignment horizontal="center" vertical="top"/>
    </xf>
    <xf numFmtId="0" fontId="45" fillId="3" borderId="1" xfId="0" applyFont="1" applyFill="1" applyBorder="1" applyAlignment="1">
      <alignment horizontal="right" vertical="top"/>
    </xf>
    <xf numFmtId="0" fontId="45" fillId="3" borderId="1" xfId="0" applyFont="1" applyFill="1" applyBorder="1" applyAlignment="1">
      <alignment vertical="top"/>
    </xf>
    <xf numFmtId="0" fontId="54" fillId="3" borderId="0" xfId="0" applyFont="1" applyFill="1" applyBorder="1"/>
    <xf numFmtId="0" fontId="54" fillId="3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justify"/>
    </xf>
    <xf numFmtId="0" fontId="54" fillId="0" borderId="0" xfId="0" applyFont="1" applyFill="1" applyBorder="1" applyAlignment="1">
      <alignment horizontal="left" vertical="top"/>
    </xf>
    <xf numFmtId="0" fontId="91" fillId="0" borderId="0" xfId="0" applyFont="1" applyFill="1" applyBorder="1"/>
    <xf numFmtId="0" fontId="91" fillId="4" borderId="2" xfId="0" applyFont="1" applyFill="1" applyBorder="1"/>
    <xf numFmtId="0" fontId="45" fillId="3" borderId="0" xfId="0" applyFont="1" applyFill="1" applyBorder="1" applyAlignment="1">
      <alignment horizontal="right" vertical="top"/>
    </xf>
    <xf numFmtId="0" fontId="79" fillId="3" borderId="0" xfId="0" applyFont="1" applyFill="1" applyBorder="1"/>
    <xf numFmtId="0" fontId="54" fillId="14" borderId="0" xfId="0" applyFont="1" applyFill="1" applyBorder="1"/>
    <xf numFmtId="0" fontId="79" fillId="14" borderId="1" xfId="0" applyFont="1" applyFill="1" applyBorder="1" applyAlignment="1">
      <alignment vertical="top"/>
    </xf>
    <xf numFmtId="0" fontId="2" fillId="14" borderId="1" xfId="0" applyFont="1" applyFill="1" applyBorder="1"/>
    <xf numFmtId="0" fontId="2" fillId="14" borderId="1" xfId="0" applyFont="1" applyFill="1" applyBorder="1" applyAlignment="1">
      <alignment horizontal="left" vertical="top"/>
    </xf>
    <xf numFmtId="0" fontId="2" fillId="14" borderId="1" xfId="0" applyFont="1" applyFill="1" applyBorder="1" applyAlignment="1">
      <alignment horizontal="center" vertical="top"/>
    </xf>
    <xf numFmtId="0" fontId="79" fillId="14" borderId="1" xfId="0" applyNumberFormat="1" applyFont="1" applyFill="1" applyBorder="1" applyAlignment="1">
      <alignment horizontal="center" vertical="top"/>
    </xf>
    <xf numFmtId="0" fontId="79" fillId="14" borderId="1" xfId="0" applyFont="1" applyFill="1" applyBorder="1" applyAlignment="1">
      <alignment horizontal="center" vertical="top"/>
    </xf>
    <xf numFmtId="0" fontId="94" fillId="0" borderId="0" xfId="0" applyFont="1" applyBorder="1"/>
    <xf numFmtId="0" fontId="91" fillId="0" borderId="0" xfId="0" applyFont="1" applyFill="1"/>
    <xf numFmtId="0" fontId="75" fillId="0" borderId="0" xfId="0" applyFont="1" applyFill="1" applyBorder="1"/>
    <xf numFmtId="0" fontId="91" fillId="0" borderId="0" xfId="0" applyFont="1" applyBorder="1" applyAlignment="1">
      <alignment horizontal="left"/>
    </xf>
    <xf numFmtId="0" fontId="91" fillId="0" borderId="0" xfId="0" applyFont="1" applyBorder="1"/>
    <xf numFmtId="0" fontId="91" fillId="0" borderId="0" xfId="0" applyFont="1"/>
    <xf numFmtId="0" fontId="13" fillId="16" borderId="2" xfId="0" applyFont="1" applyFill="1" applyBorder="1" applyAlignment="1">
      <alignment horizontal="left" vertical="top"/>
    </xf>
    <xf numFmtId="0" fontId="13" fillId="15" borderId="2" xfId="0" applyFont="1" applyFill="1" applyBorder="1" applyAlignment="1">
      <alignment horizontal="left" vertical="top"/>
    </xf>
    <xf numFmtId="0" fontId="2" fillId="15" borderId="0" xfId="0" applyFont="1" applyFill="1" applyAlignment="1">
      <alignment horizontal="center" vertical="top"/>
    </xf>
    <xf numFmtId="0" fontId="79" fillId="15" borderId="0" xfId="0" applyNumberFormat="1" applyFont="1" applyFill="1" applyAlignment="1">
      <alignment horizontal="center" vertical="top"/>
    </xf>
    <xf numFmtId="0" fontId="94" fillId="0" borderId="0" xfId="0" applyFont="1" applyFill="1" applyBorder="1"/>
    <xf numFmtId="0" fontId="94" fillId="0" borderId="0" xfId="0" applyFont="1" applyFill="1" applyBorder="1" applyAlignment="1">
      <alignment horizontal="left" vertical="top"/>
    </xf>
    <xf numFmtId="0" fontId="95" fillId="0" borderId="0" xfId="0" applyNumberFormat="1" applyFont="1" applyFill="1" applyBorder="1" applyAlignment="1">
      <alignment horizontal="center" vertical="top"/>
    </xf>
    <xf numFmtId="0" fontId="2" fillId="15" borderId="0" xfId="0" applyFont="1" applyFill="1" applyBorder="1" applyAlignment="1">
      <alignment horizontal="center" vertical="top"/>
    </xf>
    <xf numFmtId="0" fontId="94" fillId="0" borderId="0" xfId="0" applyFont="1" applyBorder="1" applyAlignment="1">
      <alignment horizontal="left"/>
    </xf>
    <xf numFmtId="0" fontId="96" fillId="0" borderId="0" xfId="0" applyFont="1" applyBorder="1" applyAlignment="1">
      <alignment horizontal="left" vertical="top"/>
    </xf>
    <xf numFmtId="0" fontId="95" fillId="0" borderId="0" xfId="0" applyFont="1" applyBorder="1" applyAlignment="1">
      <alignment horizontal="left" vertical="top"/>
    </xf>
    <xf numFmtId="0" fontId="95" fillId="0" borderId="0" xfId="0" applyFont="1" applyBorder="1" applyAlignment="1">
      <alignment horizontal="center" vertical="top"/>
    </xf>
    <xf numFmtId="0" fontId="79" fillId="15" borderId="0" xfId="0" applyFont="1" applyFill="1" applyBorder="1" applyAlignment="1">
      <alignment horizontal="center" vertical="top"/>
    </xf>
    <xf numFmtId="0" fontId="79" fillId="15" borderId="0" xfId="0" applyNumberFormat="1" applyFont="1" applyFill="1" applyBorder="1" applyAlignment="1">
      <alignment horizontal="center" vertical="top"/>
    </xf>
    <xf numFmtId="0" fontId="94" fillId="0" borderId="0" xfId="0" applyFont="1"/>
    <xf numFmtId="0" fontId="94" fillId="0" borderId="0" xfId="0" applyFont="1" applyAlignment="1">
      <alignment horizontal="left" vertical="top"/>
    </xf>
    <xf numFmtId="1" fontId="61" fillId="4" borderId="19" xfId="0" applyNumberFormat="1" applyFont="1" applyFill="1" applyBorder="1" applyAlignment="1">
      <alignment horizontal="center" vertical="top"/>
    </xf>
    <xf numFmtId="0" fontId="45" fillId="15" borderId="0" xfId="0" applyFont="1" applyFill="1" applyAlignment="1">
      <alignment vertical="top"/>
    </xf>
    <xf numFmtId="0" fontId="77" fillId="4" borderId="29" xfId="0" applyNumberFormat="1" applyFont="1" applyFill="1" applyBorder="1" applyAlignment="1">
      <alignment horizontal="center" vertical="top"/>
    </xf>
    <xf numFmtId="0" fontId="3" fillId="4" borderId="29" xfId="0" applyNumberFormat="1" applyFont="1" applyFill="1" applyBorder="1" applyAlignment="1">
      <alignment horizontal="center" vertical="top"/>
    </xf>
    <xf numFmtId="0" fontId="0" fillId="0" borderId="14" xfId="0" applyFill="1" applyBorder="1" applyAlignment="1">
      <alignment horizontal="center" vertical="top"/>
    </xf>
    <xf numFmtId="0" fontId="93" fillId="0" borderId="0" xfId="0" applyFont="1" applyFill="1" applyBorder="1" applyAlignment="1">
      <alignment vertical="top"/>
    </xf>
    <xf numFmtId="0" fontId="79" fillId="0" borderId="0" xfId="0" applyFont="1" applyAlignment="1">
      <alignment vertical="justify" wrapText="1"/>
    </xf>
    <xf numFmtId="0" fontId="0" fillId="15" borderId="0" xfId="0" applyFill="1" applyBorder="1" applyAlignment="1">
      <alignment horizontal="center" vertical="top"/>
    </xf>
    <xf numFmtId="0" fontId="2" fillId="17" borderId="0" xfId="0" applyFont="1" applyFill="1" applyBorder="1" applyAlignment="1">
      <alignment horizontal="center" vertical="top"/>
    </xf>
    <xf numFmtId="0" fontId="2" fillId="14" borderId="0" xfId="0" applyFont="1" applyFill="1" applyAlignment="1">
      <alignment horizontal="center" vertical="top"/>
    </xf>
    <xf numFmtId="0" fontId="77" fillId="4" borderId="1" xfId="0" applyNumberFormat="1" applyFont="1" applyFill="1" applyBorder="1" applyAlignment="1">
      <alignment horizontal="center" vertical="top"/>
    </xf>
    <xf numFmtId="0" fontId="0" fillId="0" borderId="42" xfId="0" applyFill="1" applyBorder="1" applyAlignment="1">
      <alignment horizontal="center" vertical="top"/>
    </xf>
    <xf numFmtId="0" fontId="79" fillId="0" borderId="42" xfId="0" applyFont="1" applyFill="1" applyBorder="1" applyAlignment="1">
      <alignment horizontal="right" vertical="top"/>
    </xf>
    <xf numFmtId="0" fontId="79" fillId="4" borderId="40" xfId="0" applyFont="1" applyFill="1" applyBorder="1" applyAlignment="1">
      <alignment horizontal="right" vertical="top"/>
    </xf>
    <xf numFmtId="0" fontId="79" fillId="3" borderId="42" xfId="0" applyFont="1" applyFill="1" applyBorder="1" applyAlignment="1">
      <alignment horizontal="right" vertical="top"/>
    </xf>
    <xf numFmtId="0" fontId="45" fillId="0" borderId="42" xfId="0" applyFont="1" applyFill="1" applyBorder="1" applyAlignment="1">
      <alignment vertical="top"/>
    </xf>
    <xf numFmtId="0" fontId="45" fillId="4" borderId="40" xfId="0" applyFont="1" applyFill="1" applyBorder="1" applyAlignment="1">
      <alignment horizontal="right" vertical="top"/>
    </xf>
    <xf numFmtId="0" fontId="45" fillId="0" borderId="42" xfId="0" applyFont="1" applyFill="1" applyBorder="1" applyAlignment="1">
      <alignment horizontal="right" vertical="top"/>
    </xf>
    <xf numFmtId="0" fontId="76" fillId="4" borderId="40" xfId="0" applyFont="1" applyFill="1" applyBorder="1" applyAlignment="1">
      <alignment horizontal="right" vertical="top"/>
    </xf>
    <xf numFmtId="0" fontId="45" fillId="11" borderId="36" xfId="0" applyFont="1" applyFill="1" applyBorder="1" applyAlignment="1">
      <alignment horizontal="right" vertical="top"/>
    </xf>
    <xf numFmtId="0" fontId="45" fillId="11" borderId="42" xfId="0" applyFont="1" applyFill="1" applyBorder="1" applyAlignment="1">
      <alignment horizontal="right" vertical="top"/>
    </xf>
    <xf numFmtId="0" fontId="45" fillId="3" borderId="42" xfId="0" applyFont="1" applyFill="1" applyBorder="1" applyAlignment="1">
      <alignment horizontal="right" vertical="top"/>
    </xf>
    <xf numFmtId="0" fontId="45" fillId="11" borderId="40" xfId="0" applyFont="1" applyFill="1" applyBorder="1" applyAlignment="1">
      <alignment horizontal="right" vertical="top"/>
    </xf>
    <xf numFmtId="0" fontId="45" fillId="0" borderId="40" xfId="0" applyFont="1" applyFill="1" applyBorder="1" applyAlignment="1">
      <alignment horizontal="right" vertical="top"/>
    </xf>
    <xf numFmtId="0" fontId="45" fillId="0" borderId="43" xfId="0" applyFont="1" applyFill="1" applyBorder="1" applyAlignment="1">
      <alignment vertical="top"/>
    </xf>
    <xf numFmtId="0" fontId="45" fillId="0" borderId="43" xfId="0" applyFont="1" applyFill="1" applyBorder="1" applyAlignment="1">
      <alignment horizontal="right" vertical="top"/>
    </xf>
    <xf numFmtId="0" fontId="45" fillId="5" borderId="36" xfId="0" applyFont="1" applyFill="1" applyBorder="1" applyAlignment="1">
      <alignment horizontal="right" vertical="top"/>
    </xf>
    <xf numFmtId="1" fontId="79" fillId="0" borderId="42" xfId="0" applyNumberFormat="1" applyFont="1" applyFill="1" applyBorder="1" applyAlignment="1">
      <alignment horizontal="right" vertical="top"/>
    </xf>
    <xf numFmtId="0" fontId="79" fillId="3" borderId="40" xfId="0" applyFont="1" applyFill="1" applyBorder="1" applyAlignment="1">
      <alignment horizontal="right" vertical="top"/>
    </xf>
    <xf numFmtId="0" fontId="79" fillId="5" borderId="40" xfId="0" applyFont="1" applyFill="1" applyBorder="1" applyAlignment="1">
      <alignment horizontal="right" vertical="top"/>
    </xf>
    <xf numFmtId="0" fontId="45" fillId="5" borderId="40" xfId="0" applyFont="1" applyFill="1" applyBorder="1" applyAlignment="1">
      <alignment horizontal="right" vertical="top"/>
    </xf>
    <xf numFmtId="0" fontId="16" fillId="4" borderId="40" xfId="0" applyNumberFormat="1" applyFont="1" applyFill="1" applyBorder="1" applyAlignment="1">
      <alignment horizontal="center" vertical="top"/>
    </xf>
    <xf numFmtId="0" fontId="76" fillId="4" borderId="43" xfId="0" applyFont="1" applyFill="1" applyBorder="1" applyAlignment="1">
      <alignment horizontal="right" vertical="top"/>
    </xf>
    <xf numFmtId="0" fontId="79" fillId="11" borderId="40" xfId="0" applyFont="1" applyFill="1" applyBorder="1" applyAlignment="1">
      <alignment horizontal="right" vertical="top"/>
    </xf>
    <xf numFmtId="0" fontId="45" fillId="11" borderId="43" xfId="0" applyFont="1" applyFill="1" applyBorder="1" applyAlignment="1">
      <alignment horizontal="right" vertical="top"/>
    </xf>
    <xf numFmtId="0" fontId="79" fillId="0" borderId="43" xfId="0" applyFont="1" applyFill="1" applyBorder="1" applyAlignment="1">
      <alignment horizontal="right" vertical="top"/>
    </xf>
    <xf numFmtId="0" fontId="79" fillId="3" borderId="33" xfId="0" applyFont="1" applyFill="1" applyBorder="1" applyAlignment="1">
      <alignment horizontal="right" vertical="top"/>
    </xf>
    <xf numFmtId="0" fontId="45" fillId="4" borderId="21" xfId="0" applyFont="1" applyFill="1" applyBorder="1" applyAlignment="1">
      <alignment horizontal="right" vertical="top"/>
    </xf>
    <xf numFmtId="0" fontId="45" fillId="11" borderId="21" xfId="0" applyFont="1" applyFill="1" applyBorder="1" applyAlignment="1">
      <alignment horizontal="right" vertical="top"/>
    </xf>
    <xf numFmtId="0" fontId="79" fillId="11" borderId="33" xfId="0" applyFont="1" applyFill="1" applyBorder="1" applyAlignment="1">
      <alignment horizontal="right" vertical="top"/>
    </xf>
    <xf numFmtId="0" fontId="77" fillId="4" borderId="40" xfId="0" applyFont="1" applyFill="1" applyBorder="1" applyAlignment="1">
      <alignment horizontal="right" vertical="top"/>
    </xf>
    <xf numFmtId="0" fontId="45" fillId="0" borderId="36" xfId="0" applyFont="1" applyFill="1" applyBorder="1" applyAlignment="1">
      <alignment horizontal="right" vertical="top"/>
    </xf>
    <xf numFmtId="0" fontId="76" fillId="4" borderId="40" xfId="0" applyFont="1" applyFill="1" applyBorder="1" applyAlignment="1">
      <alignment vertical="top"/>
    </xf>
    <xf numFmtId="0" fontId="45" fillId="3" borderId="40" xfId="0" applyFont="1" applyFill="1" applyBorder="1" applyAlignment="1">
      <alignment vertical="top"/>
    </xf>
    <xf numFmtId="0" fontId="45" fillId="4" borderId="44" xfId="0" applyFont="1" applyFill="1" applyBorder="1" applyAlignment="1">
      <alignment horizontal="right" vertical="top"/>
    </xf>
    <xf numFmtId="0" fontId="79" fillId="11" borderId="36" xfId="0" applyFont="1" applyFill="1" applyBorder="1" applyAlignment="1">
      <alignment horizontal="right" vertical="top"/>
    </xf>
    <xf numFmtId="0" fontId="79" fillId="0" borderId="33" xfId="0" applyFont="1" applyFill="1" applyBorder="1" applyAlignment="1">
      <alignment horizontal="right" vertical="top"/>
    </xf>
    <xf numFmtId="0" fontId="85" fillId="0" borderId="42" xfId="0" applyFont="1" applyFill="1" applyBorder="1" applyAlignment="1">
      <alignment horizontal="right" vertical="top"/>
    </xf>
    <xf numFmtId="0" fontId="45" fillId="11" borderId="38" xfId="0" applyFont="1" applyFill="1" applyBorder="1" applyAlignment="1">
      <alignment horizontal="right" vertical="top"/>
    </xf>
    <xf numFmtId="0" fontId="45" fillId="4" borderId="36" xfId="0" applyFont="1" applyFill="1" applyBorder="1" applyAlignment="1">
      <alignment horizontal="right" vertical="top"/>
    </xf>
    <xf numFmtId="0" fontId="45" fillId="3" borderId="36" xfId="0" applyFont="1" applyFill="1" applyBorder="1" applyAlignment="1">
      <alignment horizontal="right" vertical="top"/>
    </xf>
    <xf numFmtId="0" fontId="45" fillId="2" borderId="40" xfId="0" applyFont="1" applyFill="1" applyBorder="1" applyAlignment="1">
      <alignment horizontal="right" vertical="top"/>
    </xf>
    <xf numFmtId="0" fontId="45" fillId="0" borderId="42" xfId="0" applyFont="1" applyBorder="1" applyAlignment="1">
      <alignment vertical="top"/>
    </xf>
    <xf numFmtId="0" fontId="76" fillId="4" borderId="21" xfId="0" applyFont="1" applyFill="1" applyBorder="1" applyAlignment="1">
      <alignment horizontal="right" vertical="top"/>
    </xf>
    <xf numFmtId="0" fontId="101" fillId="0" borderId="0" xfId="0" applyFont="1" applyFill="1" applyBorder="1" applyAlignment="1" applyProtection="1">
      <alignment horizontal="right"/>
      <protection locked="0"/>
    </xf>
    <xf numFmtId="0" fontId="100" fillId="11" borderId="0" xfId="0" applyFont="1" applyFill="1" applyBorder="1" applyAlignment="1">
      <alignment horizontal="right"/>
    </xf>
    <xf numFmtId="0" fontId="100" fillId="0" borderId="0" xfId="0" applyFont="1" applyBorder="1" applyAlignment="1">
      <alignment horizontal="right"/>
    </xf>
    <xf numFmtId="0" fontId="101" fillId="0" borderId="0" xfId="0" applyFont="1" applyBorder="1" applyAlignment="1" applyProtection="1">
      <alignment horizontal="right"/>
      <protection locked="0"/>
    </xf>
    <xf numFmtId="14" fontId="100" fillId="0" borderId="0" xfId="0" applyNumberFormat="1" applyFont="1" applyBorder="1"/>
    <xf numFmtId="0" fontId="100" fillId="0" borderId="0" xfId="0" applyFont="1" applyBorder="1" applyAlignment="1">
      <alignment horizontal="right" vertical="top"/>
    </xf>
    <xf numFmtId="14" fontId="101" fillId="0" borderId="0" xfId="0" applyNumberFormat="1" applyFont="1" applyBorder="1" applyAlignment="1" applyProtection="1">
      <alignment horizontal="right"/>
      <protection locked="0"/>
    </xf>
    <xf numFmtId="0" fontId="100" fillId="0" borderId="0" xfId="0" applyFont="1" applyFill="1" applyBorder="1" applyAlignment="1">
      <alignment horizontal="right"/>
    </xf>
    <xf numFmtId="0" fontId="100" fillId="0" borderId="0" xfId="0" applyFont="1" applyFill="1" applyBorder="1" applyAlignment="1">
      <alignment horizontal="right" vertical="top"/>
    </xf>
    <xf numFmtId="0" fontId="100" fillId="0" borderId="0" xfId="0" applyFont="1" applyFill="1" applyBorder="1" applyAlignment="1">
      <alignment vertical="top"/>
    </xf>
    <xf numFmtId="0" fontId="100" fillId="0" borderId="0" xfId="0" applyFont="1" applyBorder="1" applyAlignment="1">
      <alignment vertical="top"/>
    </xf>
    <xf numFmtId="0" fontId="100" fillId="4" borderId="0" xfId="0" applyFont="1" applyFill="1" applyBorder="1" applyAlignment="1">
      <alignment horizontal="right"/>
    </xf>
    <xf numFmtId="0" fontId="100" fillId="5" borderId="0" xfId="0" applyFont="1" applyFill="1" applyBorder="1" applyAlignment="1">
      <alignment horizontal="right" vertical="top"/>
    </xf>
    <xf numFmtId="0" fontId="100" fillId="2" borderId="0" xfId="0" applyFont="1" applyFill="1" applyBorder="1" applyAlignment="1">
      <alignment horizontal="right"/>
    </xf>
    <xf numFmtId="0" fontId="100" fillId="5" borderId="0" xfId="0" applyFont="1" applyFill="1" applyBorder="1" applyAlignment="1">
      <alignment horizontal="right"/>
    </xf>
    <xf numFmtId="0" fontId="100" fillId="0" borderId="0" xfId="0" applyFont="1" applyFill="1" applyBorder="1"/>
    <xf numFmtId="0" fontId="102" fillId="0" borderId="0" xfId="0" applyFont="1" applyBorder="1" applyAlignment="1">
      <alignment horizontal="right"/>
    </xf>
    <xf numFmtId="0" fontId="0" fillId="0" borderId="17" xfId="0" applyFill="1" applyBorder="1" applyAlignment="1">
      <alignment horizontal="right" vertical="top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top"/>
    </xf>
    <xf numFmtId="0" fontId="101" fillId="0" borderId="1" xfId="0" applyFont="1" applyBorder="1" applyAlignment="1" applyProtection="1">
      <alignment horizontal="right"/>
      <protection locked="0"/>
    </xf>
    <xf numFmtId="14" fontId="101" fillId="0" borderId="1" xfId="0" applyNumberFormat="1" applyFont="1" applyBorder="1" applyAlignment="1" applyProtection="1">
      <alignment horizontal="right"/>
      <protection locked="0"/>
    </xf>
    <xf numFmtId="14" fontId="103" fillId="0" borderId="0" xfId="0" applyNumberFormat="1" applyFont="1" applyBorder="1" applyAlignment="1" applyProtection="1">
      <alignment horizontal="right"/>
      <protection locked="0"/>
    </xf>
    <xf numFmtId="14" fontId="103" fillId="0" borderId="1" xfId="0" applyNumberFormat="1" applyFont="1" applyBorder="1" applyAlignment="1" applyProtection="1">
      <alignment horizontal="right"/>
      <protection locked="0"/>
    </xf>
    <xf numFmtId="0" fontId="100" fillId="0" borderId="1" xfId="0" applyFont="1" applyFill="1" applyBorder="1" applyAlignment="1">
      <alignment horizontal="right" vertical="top"/>
    </xf>
    <xf numFmtId="164" fontId="8" fillId="0" borderId="0" xfId="0" applyNumberFormat="1" applyFont="1" applyAlignment="1">
      <alignment horizontal="right" vertical="top"/>
    </xf>
    <xf numFmtId="164" fontId="0" fillId="0" borderId="14" xfId="0" applyNumberFormat="1" applyFill="1" applyBorder="1" applyAlignment="1">
      <alignment horizontal="right" vertical="top"/>
    </xf>
    <xf numFmtId="164" fontId="0" fillId="0" borderId="3" xfId="0" applyNumberFormat="1" applyFill="1" applyBorder="1" applyAlignment="1">
      <alignment horizontal="right" vertical="top"/>
    </xf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164" fontId="79" fillId="4" borderId="2" xfId="0" applyNumberFormat="1" applyFont="1" applyFill="1" applyBorder="1" applyAlignment="1">
      <alignment horizontal="center" vertical="top"/>
    </xf>
    <xf numFmtId="164" fontId="79" fillId="3" borderId="0" xfId="0" applyNumberFormat="1" applyFont="1" applyFill="1" applyBorder="1" applyAlignment="1">
      <alignment horizontal="center" vertical="top"/>
    </xf>
    <xf numFmtId="164" fontId="0" fillId="4" borderId="2" xfId="0" applyNumberFormat="1" applyFill="1" applyBorder="1" applyAlignment="1">
      <alignment horizontal="right" vertical="top"/>
    </xf>
    <xf numFmtId="164" fontId="0" fillId="11" borderId="2" xfId="0" applyNumberFormat="1" applyFill="1" applyBorder="1" applyAlignment="1">
      <alignment horizontal="right" vertical="top"/>
    </xf>
    <xf numFmtId="164" fontId="0" fillId="11" borderId="1" xfId="0" applyNumberFormat="1" applyFill="1" applyBorder="1" applyAlignment="1">
      <alignment horizontal="right" vertical="top"/>
    </xf>
    <xf numFmtId="164" fontId="0" fillId="11" borderId="0" xfId="0" applyNumberFormat="1" applyFill="1" applyBorder="1" applyAlignment="1">
      <alignment horizontal="right" vertical="top"/>
    </xf>
    <xf numFmtId="164" fontId="0" fillId="0" borderId="1" xfId="0" applyNumberFormat="1" applyBorder="1" applyAlignment="1">
      <alignment horizontal="right"/>
    </xf>
    <xf numFmtId="164" fontId="0" fillId="0" borderId="2" xfId="0" applyNumberFormat="1" applyBorder="1" applyAlignment="1">
      <alignment horizontal="right" vertical="top"/>
    </xf>
    <xf numFmtId="164" fontId="0" fillId="5" borderId="1" xfId="0" applyNumberFormat="1" applyFill="1" applyBorder="1" applyAlignment="1">
      <alignment horizontal="right" vertical="top"/>
    </xf>
    <xf numFmtId="164" fontId="0" fillId="2" borderId="2" xfId="0" applyNumberFormat="1" applyFill="1" applyBorder="1" applyAlignment="1">
      <alignment horizontal="right" vertical="top"/>
    </xf>
    <xf numFmtId="164" fontId="0" fillId="11" borderId="0" xfId="0" applyNumberFormat="1" applyFill="1" applyAlignment="1">
      <alignment horizontal="right" vertical="top"/>
    </xf>
    <xf numFmtId="164" fontId="0" fillId="5" borderId="2" xfId="0" applyNumberFormat="1" applyFill="1" applyBorder="1" applyAlignment="1">
      <alignment horizontal="right" vertical="top"/>
    </xf>
    <xf numFmtId="164" fontId="79" fillId="3" borderId="1" xfId="0" applyNumberFormat="1" applyFont="1" applyFill="1" applyBorder="1" applyAlignment="1">
      <alignment horizontal="center" vertical="top"/>
    </xf>
    <xf numFmtId="164" fontId="0" fillId="4" borderId="18" xfId="0" applyNumberFormat="1" applyFill="1" applyBorder="1" applyAlignment="1">
      <alignment horizontal="right" vertical="top"/>
    </xf>
    <xf numFmtId="164" fontId="36" fillId="0" borderId="0" xfId="0" applyNumberFormat="1" applyFont="1" applyFill="1" applyBorder="1" applyAlignment="1">
      <alignment horizontal="center" vertical="top"/>
    </xf>
    <xf numFmtId="164" fontId="0" fillId="0" borderId="30" xfId="0" applyNumberFormat="1" applyBorder="1" applyAlignment="1">
      <alignment horizontal="right"/>
    </xf>
    <xf numFmtId="164" fontId="79" fillId="0" borderId="2" xfId="0" applyNumberFormat="1" applyFont="1" applyFill="1" applyBorder="1" applyAlignment="1">
      <alignment horizontal="center" vertical="top"/>
    </xf>
    <xf numFmtId="164" fontId="0" fillId="11" borderId="18" xfId="0" applyNumberFormat="1" applyFill="1" applyBorder="1" applyAlignment="1">
      <alignment horizontal="right" vertical="top"/>
    </xf>
    <xf numFmtId="164" fontId="0" fillId="0" borderId="18" xfId="0" applyNumberFormat="1" applyFill="1" applyBorder="1" applyAlignment="1">
      <alignment horizontal="right"/>
    </xf>
    <xf numFmtId="164" fontId="0" fillId="0" borderId="0" xfId="0" applyNumberFormat="1" applyFill="1" applyBorder="1" applyAlignment="1">
      <alignment horizontal="right"/>
    </xf>
    <xf numFmtId="164" fontId="0" fillId="0" borderId="0" xfId="0" applyNumberFormat="1" applyAlignment="1">
      <alignment horizontal="right" vertical="top"/>
    </xf>
    <xf numFmtId="164" fontId="79" fillId="3" borderId="3" xfId="0" applyNumberFormat="1" applyFont="1" applyFill="1" applyBorder="1" applyAlignment="1">
      <alignment horizontal="center" vertical="top"/>
    </xf>
    <xf numFmtId="164" fontId="0" fillId="4" borderId="19" xfId="0" applyNumberFormat="1" applyFill="1" applyBorder="1" applyAlignment="1">
      <alignment horizontal="right"/>
    </xf>
    <xf numFmtId="164" fontId="13" fillId="11" borderId="19" xfId="0" applyNumberFormat="1" applyFont="1" applyFill="1" applyBorder="1" applyAlignment="1">
      <alignment horizontal="right"/>
    </xf>
    <xf numFmtId="164" fontId="15" fillId="3" borderId="2" xfId="0" applyNumberFormat="1" applyFont="1" applyFill="1" applyBorder="1" applyAlignment="1">
      <alignment horizontal="right" vertical="top"/>
    </xf>
    <xf numFmtId="164" fontId="0" fillId="0" borderId="0" xfId="0" applyNumberFormat="1" applyFill="1" applyBorder="1" applyAlignment="1">
      <alignment horizontal="right" vertical="top"/>
    </xf>
    <xf numFmtId="164" fontId="79" fillId="4" borderId="18" xfId="0" applyNumberFormat="1" applyFont="1" applyFill="1" applyBorder="1" applyAlignment="1">
      <alignment horizontal="center" vertical="top"/>
    </xf>
    <xf numFmtId="164" fontId="79" fillId="11" borderId="2" xfId="0" applyNumberFormat="1" applyFont="1" applyFill="1" applyBorder="1" applyAlignment="1">
      <alignment horizontal="center" vertical="top"/>
    </xf>
    <xf numFmtId="164" fontId="0" fillId="0" borderId="30" xfId="0" applyNumberFormat="1" applyFill="1" applyBorder="1" applyAlignment="1">
      <alignment horizontal="right" vertical="top"/>
    </xf>
    <xf numFmtId="164" fontId="79" fillId="0" borderId="0" xfId="0" applyNumberFormat="1" applyFont="1" applyFill="1" applyBorder="1" applyAlignment="1">
      <alignment horizontal="center" vertical="top"/>
    </xf>
    <xf numFmtId="164" fontId="45" fillId="4" borderId="34" xfId="0" applyNumberFormat="1" applyFont="1" applyFill="1" applyBorder="1" applyAlignment="1">
      <alignment horizontal="center" vertical="top"/>
    </xf>
    <xf numFmtId="164" fontId="79" fillId="11" borderId="19" xfId="0" applyNumberFormat="1" applyFont="1" applyFill="1" applyBorder="1" applyAlignment="1">
      <alignment horizontal="center" vertical="top"/>
    </xf>
    <xf numFmtId="164" fontId="45" fillId="11" borderId="1" xfId="0" applyNumberFormat="1" applyFont="1" applyFill="1" applyBorder="1" applyAlignment="1">
      <alignment vertical="top"/>
    </xf>
    <xf numFmtId="164" fontId="43" fillId="0" borderId="0" xfId="0" applyNumberFormat="1" applyFont="1" applyAlignment="1">
      <alignment horizontal="right"/>
    </xf>
    <xf numFmtId="164" fontId="0" fillId="0" borderId="3" xfId="0" applyNumberFormat="1" applyBorder="1" applyAlignment="1">
      <alignment horizontal="right" vertical="top"/>
    </xf>
    <xf numFmtId="164" fontId="79" fillId="4" borderId="19" xfId="0" applyNumberFormat="1" applyFont="1" applyFill="1" applyBorder="1" applyAlignment="1">
      <alignment horizontal="left" vertical="top"/>
    </xf>
    <xf numFmtId="164" fontId="79" fillId="3" borderId="1" xfId="0" applyNumberFormat="1" applyFont="1" applyFill="1" applyBorder="1" applyAlignment="1">
      <alignment vertical="top"/>
    </xf>
    <xf numFmtId="164" fontId="79" fillId="11" borderId="2" xfId="0" applyNumberFormat="1" applyFont="1" applyFill="1" applyBorder="1" applyAlignment="1">
      <alignment horizontal="left" vertical="top"/>
    </xf>
    <xf numFmtId="164" fontId="45" fillId="4" borderId="2" xfId="0" applyNumberFormat="1" applyFont="1" applyFill="1" applyBorder="1" applyAlignment="1">
      <alignment horizontal="center" vertical="top"/>
    </xf>
    <xf numFmtId="164" fontId="79" fillId="11" borderId="1" xfId="0" applyNumberFormat="1" applyFont="1" applyFill="1" applyBorder="1" applyAlignment="1">
      <alignment horizontal="center" vertical="top"/>
    </xf>
    <xf numFmtId="164" fontId="43" fillId="4" borderId="2" xfId="0" applyNumberFormat="1" applyFont="1" applyFill="1" applyBorder="1" applyAlignment="1">
      <alignment horizontal="right"/>
    </xf>
    <xf numFmtId="164" fontId="43" fillId="11" borderId="18" xfId="0" applyNumberFormat="1" applyFont="1" applyFill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164" fontId="79" fillId="4" borderId="1" xfId="0" applyNumberFormat="1" applyFont="1" applyFill="1" applyBorder="1" applyAlignment="1">
      <alignment horizontal="center" vertical="top"/>
    </xf>
    <xf numFmtId="164" fontId="45" fillId="0" borderId="0" xfId="0" applyNumberFormat="1" applyFont="1" applyFill="1" applyBorder="1" applyAlignment="1">
      <alignment horizontal="center" vertical="top"/>
    </xf>
    <xf numFmtId="164" fontId="45" fillId="4" borderId="19" xfId="0" applyNumberFormat="1" applyFont="1" applyFill="1" applyBorder="1" applyAlignment="1">
      <alignment horizontal="center" vertical="top"/>
    </xf>
    <xf numFmtId="164" fontId="79" fillId="11" borderId="0" xfId="0" applyNumberFormat="1" applyFont="1" applyFill="1" applyBorder="1" applyAlignment="1">
      <alignment horizontal="center" vertical="top"/>
    </xf>
    <xf numFmtId="164" fontId="79" fillId="2" borderId="2" xfId="0" applyNumberFormat="1" applyFont="1" applyFill="1" applyBorder="1" applyAlignment="1">
      <alignment horizontal="center" vertical="top"/>
    </xf>
    <xf numFmtId="164" fontId="13" fillId="0" borderId="0" xfId="0" applyNumberFormat="1" applyFont="1" applyAlignment="1">
      <alignment horizontal="right"/>
    </xf>
    <xf numFmtId="164" fontId="77" fillId="4" borderId="19" xfId="0" applyNumberFormat="1" applyFont="1" applyFill="1" applyBorder="1" applyAlignment="1">
      <alignment horizontal="center" vertical="top"/>
    </xf>
    <xf numFmtId="164" fontId="79" fillId="11" borderId="18" xfId="0" applyNumberFormat="1" applyFont="1" applyFill="1" applyBorder="1" applyAlignment="1">
      <alignment horizontal="center" vertical="top"/>
    </xf>
    <xf numFmtId="164" fontId="79" fillId="0" borderId="18" xfId="0" applyNumberFormat="1" applyFont="1" applyFill="1" applyBorder="1" applyAlignment="1">
      <alignment horizontal="center" vertical="top"/>
    </xf>
    <xf numFmtId="164" fontId="0" fillId="4" borderId="2" xfId="0" applyNumberFormat="1" applyFill="1" applyBorder="1" applyAlignment="1">
      <alignment horizontal="right"/>
    </xf>
    <xf numFmtId="164" fontId="13" fillId="11" borderId="2" xfId="0" applyNumberFormat="1" applyFont="1" applyFill="1" applyBorder="1" applyAlignment="1">
      <alignment horizontal="right"/>
    </xf>
    <xf numFmtId="164" fontId="0" fillId="12" borderId="2" xfId="0" applyNumberFormat="1" applyFill="1" applyBorder="1" applyAlignment="1">
      <alignment horizontal="right" vertical="top"/>
    </xf>
    <xf numFmtId="164" fontId="47" fillId="0" borderId="0" xfId="0" applyNumberFormat="1" applyFont="1" applyAlignment="1">
      <alignment horizontal="right"/>
    </xf>
    <xf numFmtId="1" fontId="76" fillId="4" borderId="2" xfId="0" applyNumberFormat="1" applyFont="1" applyFill="1" applyBorder="1" applyAlignment="1">
      <alignment vertical="top"/>
    </xf>
    <xf numFmtId="1" fontId="93" fillId="4" borderId="2" xfId="0" applyNumberFormat="1" applyFont="1" applyFill="1" applyBorder="1" applyAlignment="1">
      <alignment vertical="top"/>
    </xf>
    <xf numFmtId="1" fontId="77" fillId="4" borderId="2" xfId="0" applyNumberFormat="1" applyFont="1" applyFill="1" applyBorder="1" applyAlignment="1">
      <alignment horizontal="right" vertical="top"/>
    </xf>
    <xf numFmtId="1" fontId="76" fillId="4" borderId="18" xfId="0" applyNumberFormat="1" applyFont="1" applyFill="1" applyBorder="1" applyAlignment="1">
      <alignment vertical="top"/>
    </xf>
    <xf numFmtId="1" fontId="76" fillId="4" borderId="19" xfId="0" applyNumberFormat="1" applyFont="1" applyFill="1" applyBorder="1" applyAlignment="1">
      <alignment vertical="top"/>
    </xf>
    <xf numFmtId="1" fontId="76" fillId="4" borderId="19" xfId="0" applyNumberFormat="1" applyFont="1" applyFill="1" applyBorder="1" applyAlignment="1">
      <alignment horizontal="right" vertical="top"/>
    </xf>
    <xf numFmtId="1" fontId="76" fillId="4" borderId="34" xfId="0" applyNumberFormat="1" applyFont="1" applyFill="1" applyBorder="1" applyAlignment="1">
      <alignment vertical="top"/>
    </xf>
    <xf numFmtId="1" fontId="76" fillId="11" borderId="29" xfId="0" applyNumberFormat="1" applyFont="1" applyFill="1" applyBorder="1" applyAlignment="1">
      <alignment vertical="top"/>
    </xf>
    <xf numFmtId="1" fontId="76" fillId="11" borderId="1" xfId="0" applyNumberFormat="1" applyFont="1" applyFill="1" applyBorder="1" applyAlignment="1">
      <alignment vertical="top"/>
    </xf>
    <xf numFmtId="1" fontId="76" fillId="4" borderId="1" xfId="0" applyNumberFormat="1" applyFont="1" applyFill="1" applyBorder="1" applyAlignment="1">
      <alignment vertical="top"/>
    </xf>
    <xf numFmtId="1" fontId="76" fillId="3" borderId="1" xfId="0" applyNumberFormat="1" applyFont="1" applyFill="1" applyBorder="1" applyAlignment="1">
      <alignment vertical="top"/>
    </xf>
    <xf numFmtId="1" fontId="76" fillId="2" borderId="2" xfId="0" applyNumberFormat="1" applyFont="1" applyFill="1" applyBorder="1" applyAlignment="1">
      <alignment vertical="top"/>
    </xf>
    <xf numFmtId="0" fontId="92" fillId="0" borderId="0" xfId="0" applyFont="1" applyFill="1" applyBorder="1" applyAlignment="1">
      <alignment vertical="top"/>
    </xf>
    <xf numFmtId="2" fontId="45" fillId="0" borderId="0" xfId="0" applyNumberFormat="1" applyFont="1" applyFill="1" applyBorder="1" applyAlignment="1">
      <alignment vertical="top"/>
    </xf>
    <xf numFmtId="164" fontId="0" fillId="0" borderId="42" xfId="0" applyNumberFormat="1" applyBorder="1" applyAlignment="1">
      <alignment vertical="top"/>
    </xf>
    <xf numFmtId="2" fontId="0" fillId="0" borderId="42" xfId="0" applyNumberFormat="1" applyFill="1" applyBorder="1" applyAlignment="1">
      <alignment vertical="top"/>
    </xf>
    <xf numFmtId="2" fontId="0" fillId="0" borderId="0" xfId="0" applyNumberFormat="1" applyFill="1" applyBorder="1" applyAlignment="1">
      <alignment vertical="top"/>
    </xf>
    <xf numFmtId="1" fontId="0" fillId="0" borderId="0" xfId="0" applyNumberFormat="1" applyFill="1" applyBorder="1" applyAlignment="1">
      <alignment vertical="top"/>
    </xf>
    <xf numFmtId="164" fontId="0" fillId="0" borderId="0" xfId="0" applyNumberFormat="1" applyBorder="1" applyAlignment="1">
      <alignment vertical="top"/>
    </xf>
    <xf numFmtId="2" fontId="0" fillId="0" borderId="42" xfId="0" applyNumberFormat="1" applyBorder="1" applyAlignment="1">
      <alignment vertical="top"/>
    </xf>
    <xf numFmtId="0" fontId="0" fillId="0" borderId="3" xfId="0" applyBorder="1" applyAlignment="1">
      <alignment vertical="top"/>
    </xf>
    <xf numFmtId="0" fontId="8" fillId="0" borderId="0" xfId="0" applyFont="1" applyAlignment="1">
      <alignment horizontal="center" vertical="top"/>
    </xf>
    <xf numFmtId="0" fontId="0" fillId="0" borderId="16" xfId="0" applyFill="1" applyBorder="1" applyAlignment="1">
      <alignment horizontal="center" vertical="top"/>
    </xf>
    <xf numFmtId="0" fontId="0" fillId="11" borderId="0" xfId="0" applyFill="1" applyBorder="1" applyAlignment="1">
      <alignment vertical="justify"/>
    </xf>
    <xf numFmtId="0" fontId="58" fillId="0" borderId="0" xfId="0" applyFont="1" applyBorder="1" applyAlignment="1">
      <alignment horizontal="center" vertical="top"/>
    </xf>
    <xf numFmtId="164" fontId="0" fillId="4" borderId="0" xfId="0" applyNumberFormat="1" applyFill="1" applyBorder="1" applyAlignment="1">
      <alignment horizontal="right" vertical="top"/>
    </xf>
    <xf numFmtId="0" fontId="36" fillId="0" borderId="0" xfId="0" applyFont="1" applyBorder="1" applyAlignment="1">
      <alignment vertical="top"/>
    </xf>
    <xf numFmtId="0" fontId="9" fillId="0" borderId="0" xfId="0" applyFont="1" applyBorder="1" applyAlignment="1">
      <alignment vertical="top"/>
    </xf>
    <xf numFmtId="0" fontId="65" fillId="0" borderId="0" xfId="0" applyFont="1" applyBorder="1" applyAlignment="1">
      <alignment vertical="top"/>
    </xf>
    <xf numFmtId="0" fontId="9" fillId="0" borderId="0" xfId="0" applyFont="1" applyBorder="1" applyAlignment="1">
      <alignment vertical="justify"/>
    </xf>
    <xf numFmtId="0" fontId="36" fillId="0" borderId="0" xfId="0" applyFont="1" applyBorder="1" applyAlignment="1">
      <alignment vertical="justify"/>
    </xf>
    <xf numFmtId="0" fontId="79" fillId="0" borderId="0" xfId="0" applyFont="1" applyBorder="1"/>
    <xf numFmtId="0" fontId="82" fillId="0" borderId="0" xfId="0" applyFont="1" applyBorder="1" applyAlignment="1">
      <alignment vertical="top"/>
    </xf>
    <xf numFmtId="0" fontId="81" fillId="0" borderId="0" xfId="0" applyFont="1" applyFill="1" applyBorder="1" applyAlignment="1">
      <alignment horizontal="center" vertical="top"/>
    </xf>
    <xf numFmtId="0" fontId="77" fillId="0" borderId="0" xfId="0" applyFont="1" applyBorder="1" applyAlignment="1">
      <alignment vertical="top"/>
    </xf>
    <xf numFmtId="0" fontId="82" fillId="0" borderId="0" xfId="0" applyFont="1" applyBorder="1" applyAlignment="1">
      <alignment horizontal="left" vertical="top"/>
    </xf>
    <xf numFmtId="0" fontId="82" fillId="0" borderId="0" xfId="0" applyNumberFormat="1" applyFont="1" applyFill="1" applyBorder="1" applyAlignment="1">
      <alignment horizontal="center" vertical="top"/>
    </xf>
    <xf numFmtId="0" fontId="5" fillId="0" borderId="0" xfId="0" applyFont="1" applyBorder="1" applyAlignment="1">
      <alignment horizontal="left" vertical="top"/>
    </xf>
    <xf numFmtId="0" fontId="19" fillId="0" borderId="0" xfId="0" applyFont="1" applyFill="1" applyBorder="1" applyAlignment="1">
      <alignment horizontal="left" vertical="top"/>
    </xf>
    <xf numFmtId="0" fontId="26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left" vertical="top"/>
    </xf>
    <xf numFmtId="0" fontId="5" fillId="0" borderId="0" xfId="0" applyFont="1" applyBorder="1" applyAlignment="1">
      <alignment horizontal="center" vertical="top"/>
    </xf>
    <xf numFmtId="0" fontId="19" fillId="0" borderId="0" xfId="0" applyFont="1" applyFill="1" applyBorder="1" applyAlignment="1">
      <alignment horizontal="center" vertical="top"/>
    </xf>
    <xf numFmtId="0" fontId="26" fillId="0" borderId="0" xfId="0" applyFont="1" applyBorder="1" applyAlignment="1">
      <alignment horizontal="center" vertical="top"/>
    </xf>
    <xf numFmtId="0" fontId="11" fillId="3" borderId="0" xfId="0" applyNumberFormat="1" applyFont="1" applyFill="1" applyBorder="1" applyAlignment="1">
      <alignment horizontal="center" vertical="top"/>
    </xf>
    <xf numFmtId="0" fontId="82" fillId="0" borderId="0" xfId="0" applyFont="1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14" fontId="104" fillId="0" borderId="0" xfId="0" applyNumberFormat="1" applyFont="1"/>
    <xf numFmtId="0" fontId="79" fillId="15" borderId="18" xfId="0" applyNumberFormat="1" applyFont="1" applyFill="1" applyBorder="1" applyAlignment="1">
      <alignment horizontal="center" vertical="top"/>
    </xf>
    <xf numFmtId="0" fontId="54" fillId="0" borderId="18" xfId="0" applyFont="1" applyFill="1" applyBorder="1" applyAlignment="1">
      <alignment horizontal="left" vertical="top"/>
    </xf>
    <xf numFmtId="0" fontId="45" fillId="0" borderId="0" xfId="0" applyFont="1" applyFill="1" applyBorder="1" applyAlignment="1">
      <alignment vertical="justify"/>
    </xf>
    <xf numFmtId="14" fontId="45" fillId="0" borderId="0" xfId="0" applyNumberFormat="1" applyFont="1" applyAlignment="1">
      <alignment vertical="top"/>
    </xf>
    <xf numFmtId="164" fontId="45" fillId="0" borderId="0" xfId="0" applyNumberFormat="1" applyFont="1" applyAlignment="1">
      <alignment horizontal="right"/>
    </xf>
    <xf numFmtId="0" fontId="0" fillId="0" borderId="0" xfId="0" applyAlignment="1">
      <alignment horizontal="center"/>
    </xf>
    <xf numFmtId="9" fontId="45" fillId="0" borderId="0" xfId="0" applyNumberFormat="1" applyFont="1" applyFill="1" applyAlignment="1">
      <alignment vertical="top"/>
    </xf>
    <xf numFmtId="14" fontId="100" fillId="0" borderId="0" xfId="0" applyNumberFormat="1" applyFont="1" applyBorder="1" applyAlignment="1">
      <alignment vertical="top"/>
    </xf>
    <xf numFmtId="0" fontId="3" fillId="0" borderId="0" xfId="0" applyFont="1" applyFill="1" applyBorder="1" applyAlignment="1"/>
    <xf numFmtId="0" fontId="10" fillId="0" borderId="0" xfId="0" applyFont="1" applyBorder="1" applyAlignment="1">
      <alignment horizontal="left" vertical="top"/>
    </xf>
    <xf numFmtId="0" fontId="76" fillId="4" borderId="0" xfId="0" applyFont="1" applyFill="1" applyBorder="1" applyAlignment="1">
      <alignment vertical="top"/>
    </xf>
    <xf numFmtId="165" fontId="45" fillId="0" borderId="0" xfId="0" applyNumberFormat="1" applyFont="1" applyFill="1" applyBorder="1" applyAlignment="1">
      <alignment vertical="top"/>
    </xf>
    <xf numFmtId="2" fontId="45" fillId="0" borderId="0" xfId="0" applyNumberFormat="1" applyFont="1" applyFill="1" applyAlignment="1">
      <alignment horizontal="center" vertical="top"/>
    </xf>
    <xf numFmtId="2" fontId="2" fillId="0" borderId="0" xfId="0" applyNumberFormat="1" applyFont="1" applyAlignment="1">
      <alignment horizontal="center" vertical="top"/>
    </xf>
    <xf numFmtId="2" fontId="10" fillId="0" borderId="15" xfId="0" applyNumberFormat="1" applyFont="1" applyBorder="1" applyAlignment="1">
      <alignment horizontal="center"/>
    </xf>
    <xf numFmtId="2" fontId="2" fillId="0" borderId="17" xfId="0" applyNumberFormat="1" applyFont="1" applyBorder="1" applyAlignment="1">
      <alignment horizontal="center" vertical="top"/>
    </xf>
    <xf numFmtId="2" fontId="2" fillId="0" borderId="0" xfId="0" applyNumberFormat="1" applyFont="1" applyBorder="1" applyAlignment="1">
      <alignment horizontal="center" vertical="top"/>
    </xf>
    <xf numFmtId="2" fontId="45" fillId="0" borderId="0" xfId="0" applyNumberFormat="1" applyFont="1" applyAlignment="1">
      <alignment horizontal="center" vertical="top"/>
    </xf>
    <xf numFmtId="2" fontId="45" fillId="0" borderId="0" xfId="0" applyNumberFormat="1" applyFont="1" applyFill="1" applyBorder="1" applyAlignment="1">
      <alignment horizontal="center" vertical="top"/>
    </xf>
    <xf numFmtId="2" fontId="79" fillId="4" borderId="2" xfId="0" applyNumberFormat="1" applyFont="1" applyFill="1" applyBorder="1" applyAlignment="1">
      <alignment horizontal="left" vertical="top"/>
    </xf>
    <xf numFmtId="2" fontId="79" fillId="3" borderId="0" xfId="0" applyNumberFormat="1" applyFont="1" applyFill="1" applyBorder="1" applyAlignment="1">
      <alignment horizontal="left" vertical="top"/>
    </xf>
    <xf numFmtId="2" fontId="77" fillId="0" borderId="0" xfId="0" applyNumberFormat="1" applyFont="1" applyAlignment="1">
      <alignment horizontal="center" vertical="top"/>
    </xf>
    <xf numFmtId="2" fontId="79" fillId="0" borderId="0" xfId="0" applyNumberFormat="1" applyFont="1" applyFill="1" applyAlignment="1">
      <alignment horizontal="center" vertical="top"/>
    </xf>
    <xf numFmtId="2" fontId="79" fillId="0" borderId="0" xfId="0" applyNumberFormat="1" applyFont="1" applyFill="1" applyBorder="1" applyAlignment="1">
      <alignment horizontal="center" vertical="top"/>
    </xf>
    <xf numFmtId="2" fontId="77" fillId="4" borderId="2" xfId="0" applyNumberFormat="1" applyFont="1" applyFill="1" applyBorder="1" applyAlignment="1">
      <alignment horizontal="center" vertical="top"/>
    </xf>
    <xf numFmtId="2" fontId="79" fillId="3" borderId="2" xfId="0" applyNumberFormat="1" applyFont="1" applyFill="1" applyBorder="1" applyAlignment="1">
      <alignment horizontal="center" vertical="top"/>
    </xf>
    <xf numFmtId="2" fontId="79" fillId="3" borderId="1" xfId="0" applyNumberFormat="1" applyFont="1" applyFill="1" applyBorder="1" applyAlignment="1">
      <alignment horizontal="center" vertical="top"/>
    </xf>
    <xf numFmtId="2" fontId="79" fillId="3" borderId="0" xfId="0" applyNumberFormat="1" applyFont="1" applyFill="1" applyBorder="1" applyAlignment="1">
      <alignment horizontal="center" vertical="top"/>
    </xf>
    <xf numFmtId="2" fontId="79" fillId="0" borderId="0" xfId="0" applyNumberFormat="1" applyFont="1" applyFill="1" applyBorder="1" applyAlignment="1">
      <alignment vertical="top"/>
    </xf>
    <xf numFmtId="2" fontId="79" fillId="15" borderId="18" xfId="0" applyNumberFormat="1" applyFont="1" applyFill="1" applyBorder="1" applyAlignment="1">
      <alignment horizontal="center" vertical="top"/>
    </xf>
    <xf numFmtId="2" fontId="79" fillId="0" borderId="1" xfId="0" applyNumberFormat="1" applyFont="1" applyFill="1" applyBorder="1" applyAlignment="1">
      <alignment horizontal="center" vertical="top"/>
    </xf>
    <xf numFmtId="2" fontId="45" fillId="0" borderId="0" xfId="0" applyNumberFormat="1" applyFont="1" applyAlignment="1">
      <alignment vertical="top"/>
    </xf>
    <xf numFmtId="2" fontId="79" fillId="15" borderId="0" xfId="0" applyNumberFormat="1" applyFont="1" applyFill="1" applyBorder="1" applyAlignment="1">
      <alignment horizontal="center" vertical="top"/>
    </xf>
    <xf numFmtId="2" fontId="79" fillId="4" borderId="0" xfId="0" applyNumberFormat="1" applyFont="1" applyFill="1" applyBorder="1" applyAlignment="1">
      <alignment horizontal="center" vertical="top"/>
    </xf>
    <xf numFmtId="2" fontId="79" fillId="0" borderId="0" xfId="0" applyNumberFormat="1" applyFont="1" applyBorder="1" applyAlignment="1">
      <alignment horizontal="center" vertical="top"/>
    </xf>
    <xf numFmtId="2" fontId="82" fillId="0" borderId="0" xfId="0" applyNumberFormat="1" applyFont="1" applyFill="1" applyAlignment="1">
      <alignment horizontal="center" vertical="top"/>
    </xf>
    <xf numFmtId="2" fontId="79" fillId="0" borderId="2" xfId="0" applyNumberFormat="1" applyFont="1" applyFill="1" applyBorder="1" applyAlignment="1">
      <alignment horizontal="center" vertical="top"/>
    </xf>
    <xf numFmtId="2" fontId="79" fillId="3" borderId="0" xfId="0" applyNumberFormat="1" applyFont="1" applyFill="1" applyAlignment="1">
      <alignment horizontal="center" vertical="top"/>
    </xf>
    <xf numFmtId="2" fontId="79" fillId="3" borderId="18" xfId="0" applyNumberFormat="1" applyFont="1" applyFill="1" applyBorder="1" applyAlignment="1">
      <alignment horizontal="center" vertical="top"/>
    </xf>
    <xf numFmtId="2" fontId="77" fillId="4" borderId="0" xfId="0" applyNumberFormat="1" applyFont="1" applyFill="1" applyBorder="1" applyAlignment="1">
      <alignment horizontal="center" vertical="top"/>
    </xf>
    <xf numFmtId="2" fontId="79" fillId="0" borderId="0" xfId="0" applyNumberFormat="1" applyFont="1" applyAlignment="1">
      <alignment horizontal="center" vertical="top"/>
    </xf>
    <xf numFmtId="2" fontId="79" fillId="11" borderId="0" xfId="0" applyNumberFormat="1" applyFont="1" applyFill="1" applyAlignment="1">
      <alignment horizontal="center" vertical="top"/>
    </xf>
    <xf numFmtId="2" fontId="79" fillId="0" borderId="2" xfId="0" applyNumberFormat="1" applyFont="1" applyBorder="1" applyAlignment="1">
      <alignment horizontal="center" vertical="top"/>
    </xf>
    <xf numFmtId="2" fontId="2" fillId="3" borderId="0" xfId="0" applyNumberFormat="1" applyFont="1" applyFill="1" applyBorder="1" applyAlignment="1">
      <alignment horizontal="center" vertical="top"/>
    </xf>
    <xf numFmtId="2" fontId="77" fillId="0" borderId="0" xfId="0" applyNumberFormat="1" applyFont="1" applyBorder="1" applyAlignment="1">
      <alignment horizontal="center" vertical="top"/>
    </xf>
    <xf numFmtId="2" fontId="77" fillId="5" borderId="1" xfId="0" applyNumberFormat="1" applyFont="1" applyFill="1" applyBorder="1" applyAlignment="1">
      <alignment horizontal="center" vertical="top"/>
    </xf>
    <xf numFmtId="2" fontId="77" fillId="0" borderId="0" xfId="0" applyNumberFormat="1" applyFont="1" applyFill="1" applyAlignment="1">
      <alignment horizontal="center" vertical="top"/>
    </xf>
    <xf numFmtId="2" fontId="79" fillId="0" borderId="18" xfId="0" applyNumberFormat="1" applyFont="1" applyFill="1" applyBorder="1" applyAlignment="1">
      <alignment horizontal="center" vertical="top"/>
    </xf>
    <xf numFmtId="2" fontId="79" fillId="5" borderId="2" xfId="0" applyNumberFormat="1" applyFont="1" applyFill="1" applyBorder="1" applyAlignment="1">
      <alignment horizontal="center" vertical="top"/>
    </xf>
    <xf numFmtId="2" fontId="16" fillId="4" borderId="2" xfId="0" applyNumberFormat="1" applyFont="1" applyFill="1" applyBorder="1" applyAlignment="1">
      <alignment horizontal="center" vertical="top"/>
    </xf>
    <xf numFmtId="2" fontId="36" fillId="0" borderId="0" xfId="0" applyNumberFormat="1" applyFont="1" applyFill="1" applyBorder="1" applyAlignment="1">
      <alignment horizontal="center" vertical="top"/>
    </xf>
    <xf numFmtId="2" fontId="86" fillId="0" borderId="0" xfId="0" applyNumberFormat="1" applyFont="1" applyAlignment="1">
      <alignment horizontal="center" vertical="top"/>
    </xf>
    <xf numFmtId="2" fontId="81" fillId="0" borderId="0" xfId="0" applyNumberFormat="1" applyFont="1" applyAlignment="1">
      <alignment horizontal="center" vertical="top"/>
    </xf>
    <xf numFmtId="2" fontId="82" fillId="0" borderId="0" xfId="0" applyNumberFormat="1" applyFont="1" applyAlignment="1">
      <alignment horizontal="center" vertical="top"/>
    </xf>
    <xf numFmtId="2" fontId="82" fillId="0" borderId="0" xfId="0" applyNumberFormat="1" applyFont="1" applyBorder="1" applyAlignment="1">
      <alignment horizontal="center" vertical="top"/>
    </xf>
    <xf numFmtId="2" fontId="77" fillId="4" borderId="18" xfId="0" applyNumberFormat="1" applyFont="1" applyFill="1" applyBorder="1" applyAlignment="1">
      <alignment horizontal="center" vertical="top"/>
    </xf>
    <xf numFmtId="2" fontId="77" fillId="0" borderId="0" xfId="0" applyNumberFormat="1" applyFont="1" applyFill="1" applyBorder="1" applyAlignment="1">
      <alignment horizontal="center" vertical="top"/>
    </xf>
    <xf numFmtId="2" fontId="77" fillId="4" borderId="19" xfId="0" applyNumberFormat="1" applyFont="1" applyFill="1" applyBorder="1" applyAlignment="1">
      <alignment horizontal="center" vertical="top"/>
    </xf>
    <xf numFmtId="2" fontId="2" fillId="11" borderId="0" xfId="0" applyNumberFormat="1" applyFont="1" applyFill="1" applyBorder="1" applyAlignment="1">
      <alignment horizontal="center" vertical="top"/>
    </xf>
    <xf numFmtId="2" fontId="82" fillId="0" borderId="0" xfId="0" applyNumberFormat="1" applyFont="1" applyFill="1" applyBorder="1" applyAlignment="1">
      <alignment horizontal="center" vertical="top"/>
    </xf>
    <xf numFmtId="2" fontId="45" fillId="3" borderId="0" xfId="0" applyNumberFormat="1" applyFont="1" applyFill="1" applyBorder="1" applyAlignment="1">
      <alignment horizontal="center" vertical="top"/>
    </xf>
    <xf numFmtId="2" fontId="87" fillId="0" borderId="0" xfId="0" applyNumberFormat="1" applyFont="1" applyAlignment="1">
      <alignment horizontal="center" vertical="top"/>
    </xf>
    <xf numFmtId="2" fontId="88" fillId="0" borderId="0" xfId="0" applyNumberFormat="1" applyFont="1" applyAlignment="1">
      <alignment horizontal="center" vertical="top"/>
    </xf>
    <xf numFmtId="2" fontId="76" fillId="0" borderId="0" xfId="0" applyNumberFormat="1" applyFont="1" applyBorder="1" applyAlignment="1">
      <alignment horizontal="center" vertical="top"/>
    </xf>
    <xf numFmtId="2" fontId="79" fillId="11" borderId="0" xfId="0" applyNumberFormat="1" applyFont="1" applyFill="1" applyBorder="1" applyAlignment="1">
      <alignment horizontal="center" vertical="top"/>
    </xf>
    <xf numFmtId="2" fontId="76" fillId="0" borderId="0" xfId="0" applyNumberFormat="1" applyFont="1" applyFill="1" applyBorder="1" applyAlignment="1">
      <alignment horizontal="center" vertical="top"/>
    </xf>
    <xf numFmtId="2" fontId="45" fillId="4" borderId="19" xfId="0" applyNumberFormat="1" applyFont="1" applyFill="1" applyBorder="1" applyAlignment="1">
      <alignment vertical="top"/>
    </xf>
    <xf numFmtId="2" fontId="79" fillId="3" borderId="19" xfId="0" applyNumberFormat="1" applyFont="1" applyFill="1" applyBorder="1" applyAlignment="1">
      <alignment vertical="top"/>
    </xf>
    <xf numFmtId="2" fontId="45" fillId="11" borderId="1" xfId="0" applyNumberFormat="1" applyFont="1" applyFill="1" applyBorder="1" applyAlignment="1">
      <alignment vertical="top"/>
    </xf>
    <xf numFmtId="2" fontId="77" fillId="3" borderId="0" xfId="0" applyNumberFormat="1" applyFont="1" applyFill="1" applyAlignment="1">
      <alignment horizontal="center" vertical="top"/>
    </xf>
    <xf numFmtId="2" fontId="79" fillId="0" borderId="0" xfId="0" applyNumberFormat="1" applyFont="1" applyBorder="1" applyAlignment="1">
      <alignment horizontal="left" vertical="top"/>
    </xf>
    <xf numFmtId="2" fontId="79" fillId="0" borderId="3" xfId="0" applyNumberFormat="1" applyFont="1" applyBorder="1" applyAlignment="1">
      <alignment horizontal="center" vertical="top"/>
    </xf>
    <xf numFmtId="2" fontId="77" fillId="11" borderId="2" xfId="0" applyNumberFormat="1" applyFont="1" applyFill="1" applyBorder="1" applyAlignment="1">
      <alignment horizontal="center" vertical="top"/>
    </xf>
    <xf numFmtId="2" fontId="45" fillId="0" borderId="0" xfId="0" applyNumberFormat="1" applyFont="1" applyBorder="1" applyAlignment="1">
      <alignment horizontal="center" vertical="top"/>
    </xf>
    <xf numFmtId="2" fontId="76" fillId="4" borderId="18" xfId="0" applyNumberFormat="1" applyFont="1" applyFill="1" applyBorder="1" applyAlignment="1">
      <alignment horizontal="center" vertical="top"/>
    </xf>
    <xf numFmtId="2" fontId="76" fillId="4" borderId="2" xfId="0" applyNumberFormat="1" applyFont="1" applyFill="1" applyBorder="1" applyAlignment="1">
      <alignment horizontal="center" vertical="top"/>
    </xf>
    <xf numFmtId="2" fontId="2" fillId="15" borderId="0" xfId="0" applyNumberFormat="1" applyFont="1" applyFill="1" applyBorder="1" applyAlignment="1">
      <alignment horizontal="center" vertical="top"/>
    </xf>
    <xf numFmtId="2" fontId="79" fillId="4" borderId="2" xfId="0" applyNumberFormat="1" applyFont="1" applyFill="1" applyBorder="1" applyAlignment="1">
      <alignment horizontal="center" vertical="top"/>
    </xf>
    <xf numFmtId="2" fontId="79" fillId="11" borderId="18" xfId="0" applyNumberFormat="1" applyFont="1" applyFill="1" applyBorder="1" applyAlignment="1">
      <alignment horizontal="center" vertical="top"/>
    </xf>
    <xf numFmtId="2" fontId="79" fillId="2" borderId="2" xfId="0" applyNumberFormat="1" applyFont="1" applyFill="1" applyBorder="1" applyAlignment="1">
      <alignment horizontal="center" vertical="top"/>
    </xf>
    <xf numFmtId="2" fontId="79" fillId="4" borderId="1" xfId="0" applyNumberFormat="1" applyFont="1" applyFill="1" applyBorder="1" applyAlignment="1">
      <alignment horizontal="center" vertical="top"/>
    </xf>
    <xf numFmtId="2" fontId="61" fillId="4" borderId="19" xfId="0" applyNumberFormat="1" applyFont="1" applyFill="1" applyBorder="1" applyAlignment="1">
      <alignment horizontal="center" vertical="top"/>
    </xf>
    <xf numFmtId="2" fontId="45" fillId="4" borderId="2" xfId="0" applyNumberFormat="1" applyFont="1" applyFill="1" applyBorder="1" applyAlignment="1">
      <alignment horizontal="center" vertical="top"/>
    </xf>
    <xf numFmtId="2" fontId="45" fillId="3" borderId="0" xfId="0" applyNumberFormat="1" applyFont="1" applyFill="1" applyAlignment="1">
      <alignment horizontal="center" vertical="top"/>
    </xf>
    <xf numFmtId="2" fontId="45" fillId="12" borderId="2" xfId="0" applyNumberFormat="1" applyFont="1" applyFill="1" applyBorder="1" applyAlignment="1">
      <alignment horizontal="center" vertical="top"/>
    </xf>
    <xf numFmtId="2" fontId="89" fillId="0" borderId="0" xfId="0" applyNumberFormat="1" applyFont="1"/>
    <xf numFmtId="2" fontId="76" fillId="0" borderId="0" xfId="0" applyNumberFormat="1" applyFont="1" applyAlignment="1">
      <alignment vertical="top"/>
    </xf>
    <xf numFmtId="1" fontId="45" fillId="0" borderId="0" xfId="0" applyNumberFormat="1" applyFont="1" applyAlignment="1">
      <alignment horizontal="center" vertical="top"/>
    </xf>
    <xf numFmtId="1" fontId="79" fillId="0" borderId="0" xfId="0" applyNumberFormat="1" applyFont="1" applyFill="1" applyBorder="1" applyAlignment="1">
      <alignment horizontal="center" vertical="top"/>
    </xf>
    <xf numFmtId="1" fontId="79" fillId="0" borderId="0" xfId="0" applyNumberFormat="1" applyFont="1" applyFill="1" applyAlignment="1">
      <alignment horizontal="center" vertical="top"/>
    </xf>
    <xf numFmtId="1" fontId="79" fillId="0" borderId="1" xfId="0" applyNumberFormat="1" applyFont="1" applyFill="1" applyBorder="1" applyAlignment="1">
      <alignment horizontal="center" vertical="top"/>
    </xf>
    <xf numFmtId="1" fontId="79" fillId="3" borderId="0" xfId="0" applyNumberFormat="1" applyFont="1" applyFill="1" applyBorder="1" applyAlignment="1">
      <alignment horizontal="center" vertical="top"/>
    </xf>
    <xf numFmtId="1" fontId="79" fillId="15" borderId="0" xfId="0" applyNumberFormat="1" applyFont="1" applyFill="1" applyBorder="1" applyAlignment="1">
      <alignment horizontal="center" vertical="top"/>
    </xf>
    <xf numFmtId="1" fontId="79" fillId="0" borderId="0" xfId="0" applyNumberFormat="1" applyFont="1" applyBorder="1" applyAlignment="1">
      <alignment horizontal="center" vertical="top"/>
    </xf>
    <xf numFmtId="1" fontId="82" fillId="0" borderId="0" xfId="0" applyNumberFormat="1" applyFont="1" applyFill="1" applyAlignment="1">
      <alignment horizontal="center" vertical="top"/>
    </xf>
    <xf numFmtId="1" fontId="79" fillId="0" borderId="2" xfId="0" applyNumberFormat="1" applyFont="1" applyFill="1" applyBorder="1" applyAlignment="1">
      <alignment horizontal="center" vertical="top"/>
    </xf>
    <xf numFmtId="1" fontId="79" fillId="3" borderId="0" xfId="0" applyNumberFormat="1" applyFont="1" applyFill="1" applyAlignment="1">
      <alignment horizontal="center" vertical="top"/>
    </xf>
    <xf numFmtId="1" fontId="77" fillId="4" borderId="2" xfId="0" applyNumberFormat="1" applyFont="1" applyFill="1" applyBorder="1" applyAlignment="1">
      <alignment horizontal="center" vertical="top"/>
    </xf>
    <xf numFmtId="1" fontId="79" fillId="3" borderId="2" xfId="0" applyNumberFormat="1" applyFont="1" applyFill="1" applyBorder="1" applyAlignment="1">
      <alignment horizontal="center" vertical="top"/>
    </xf>
    <xf numFmtId="1" fontId="79" fillId="3" borderId="18" xfId="0" applyNumberFormat="1" applyFont="1" applyFill="1" applyBorder="1" applyAlignment="1">
      <alignment horizontal="center" vertical="top"/>
    </xf>
    <xf numFmtId="1" fontId="79" fillId="0" borderId="0" xfId="0" applyNumberFormat="1" applyFont="1" applyAlignment="1">
      <alignment horizontal="center" vertical="top"/>
    </xf>
    <xf numFmtId="1" fontId="79" fillId="15" borderId="0" xfId="0" applyNumberFormat="1" applyFont="1" applyFill="1" applyAlignment="1">
      <alignment horizontal="center" vertical="top"/>
    </xf>
    <xf numFmtId="1" fontId="79" fillId="3" borderId="1" xfId="0" applyNumberFormat="1" applyFont="1" applyFill="1" applyBorder="1" applyAlignment="1">
      <alignment horizontal="center" vertical="top"/>
    </xf>
    <xf numFmtId="1" fontId="77" fillId="0" borderId="0" xfId="0" applyNumberFormat="1" applyFont="1" applyFill="1" applyAlignment="1">
      <alignment horizontal="center" vertical="top"/>
    </xf>
    <xf numFmtId="1" fontId="77" fillId="4" borderId="18" xfId="0" applyNumberFormat="1" applyFont="1" applyFill="1" applyBorder="1" applyAlignment="1">
      <alignment horizontal="center" vertical="top"/>
    </xf>
    <xf numFmtId="1" fontId="77" fillId="0" borderId="0" xfId="0" applyNumberFormat="1" applyFont="1" applyFill="1" applyBorder="1" applyAlignment="1">
      <alignment horizontal="center" vertical="top"/>
    </xf>
    <xf numFmtId="1" fontId="95" fillId="0" borderId="0" xfId="0" applyNumberFormat="1" applyFont="1" applyFill="1" applyBorder="1" applyAlignment="1">
      <alignment horizontal="center" vertical="top"/>
    </xf>
    <xf numFmtId="1" fontId="77" fillId="3" borderId="0" xfId="0" applyNumberFormat="1" applyFont="1" applyFill="1" applyBorder="1" applyAlignment="1">
      <alignment horizontal="center" vertical="top"/>
    </xf>
    <xf numFmtId="1" fontId="77" fillId="4" borderId="19" xfId="0" applyNumberFormat="1" applyFont="1" applyFill="1" applyBorder="1" applyAlignment="1">
      <alignment horizontal="center" vertical="top"/>
    </xf>
    <xf numFmtId="1" fontId="45" fillId="0" borderId="0" xfId="0" applyNumberFormat="1" applyFont="1" applyAlignment="1">
      <alignment horizontal="center"/>
    </xf>
    <xf numFmtId="1" fontId="86" fillId="3" borderId="0" xfId="0" applyNumberFormat="1" applyFont="1" applyFill="1" applyBorder="1" applyAlignment="1">
      <alignment horizontal="center" vertical="top"/>
    </xf>
    <xf numFmtId="1" fontId="79" fillId="0" borderId="18" xfId="0" applyNumberFormat="1" applyFont="1" applyFill="1" applyBorder="1" applyAlignment="1">
      <alignment horizontal="center" vertical="top"/>
    </xf>
    <xf numFmtId="1" fontId="45" fillId="0" borderId="0" xfId="0" applyNumberFormat="1" applyFont="1" applyFill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46" xfId="0" applyFont="1" applyBorder="1" applyAlignment="1">
      <alignment horizontal="center" vertical="top"/>
    </xf>
    <xf numFmtId="0" fontId="105" fillId="0" borderId="0" xfId="0" applyFont="1" applyAlignment="1">
      <alignment vertical="top"/>
    </xf>
    <xf numFmtId="0" fontId="0" fillId="18" borderId="2" xfId="0" applyFill="1" applyBorder="1" applyAlignment="1">
      <alignment horizontal="center" vertical="top"/>
    </xf>
    <xf numFmtId="0" fontId="0" fillId="18" borderId="2" xfId="0" applyFont="1" applyFill="1" applyBorder="1" applyAlignment="1">
      <alignment horizontal="center" vertical="top"/>
    </xf>
    <xf numFmtId="0" fontId="2" fillId="18" borderId="2" xfId="0" applyFont="1" applyFill="1" applyBorder="1"/>
    <xf numFmtId="0" fontId="79" fillId="18" borderId="2" xfId="0" applyFont="1" applyFill="1" applyBorder="1" applyAlignment="1">
      <alignment vertical="top"/>
    </xf>
    <xf numFmtId="2" fontId="79" fillId="18" borderId="2" xfId="0" applyNumberFormat="1" applyFont="1" applyFill="1" applyBorder="1" applyAlignment="1">
      <alignment horizontal="center" vertical="top"/>
    </xf>
    <xf numFmtId="0" fontId="2" fillId="18" borderId="2" xfId="0" applyFont="1" applyFill="1" applyBorder="1" applyAlignment="1">
      <alignment horizontal="left" vertical="top"/>
    </xf>
    <xf numFmtId="0" fontId="2" fillId="18" borderId="2" xfId="0" applyFont="1" applyFill="1" applyBorder="1" applyAlignment="1">
      <alignment horizontal="center" vertical="top"/>
    </xf>
    <xf numFmtId="0" fontId="79" fillId="18" borderId="2" xfId="0" applyNumberFormat="1" applyFont="1" applyFill="1" applyBorder="1" applyAlignment="1">
      <alignment horizontal="center" vertical="top"/>
    </xf>
    <xf numFmtId="0" fontId="79" fillId="18" borderId="2" xfId="0" applyFont="1" applyFill="1" applyBorder="1" applyAlignment="1">
      <alignment horizontal="center" vertical="top"/>
    </xf>
    <xf numFmtId="164" fontId="0" fillId="18" borderId="2" xfId="0" applyNumberFormat="1" applyFill="1" applyBorder="1" applyAlignment="1">
      <alignment horizontal="right" vertical="top"/>
    </xf>
    <xf numFmtId="0" fontId="45" fillId="18" borderId="40" xfId="0" applyFont="1" applyFill="1" applyBorder="1" applyAlignment="1">
      <alignment horizontal="right" vertical="top"/>
    </xf>
    <xf numFmtId="0" fontId="45" fillId="18" borderId="2" xfId="0" applyFont="1" applyFill="1" applyBorder="1" applyAlignment="1">
      <alignment horizontal="right" vertical="top"/>
    </xf>
    <xf numFmtId="0" fontId="45" fillId="18" borderId="2" xfId="0" applyFont="1" applyFill="1" applyBorder="1" applyAlignment="1">
      <alignment vertical="top"/>
    </xf>
    <xf numFmtId="0" fontId="0" fillId="18" borderId="0" xfId="0" applyFill="1" applyBorder="1" applyAlignment="1">
      <alignment vertical="top"/>
    </xf>
    <xf numFmtId="0" fontId="58" fillId="18" borderId="2" xfId="0" applyFont="1" applyFill="1" applyBorder="1" applyAlignment="1">
      <alignment horizontal="center" vertical="top"/>
    </xf>
    <xf numFmtId="0" fontId="60" fillId="18" borderId="2" xfId="0" applyFont="1" applyFill="1" applyBorder="1"/>
    <xf numFmtId="0" fontId="60" fillId="18" borderId="2" xfId="0" applyFont="1" applyFill="1" applyBorder="1" applyAlignment="1">
      <alignment horizontal="left" vertical="top"/>
    </xf>
    <xf numFmtId="0" fontId="60" fillId="18" borderId="2" xfId="0" applyFont="1" applyFill="1" applyBorder="1" applyAlignment="1">
      <alignment horizontal="center" vertical="top"/>
    </xf>
    <xf numFmtId="0" fontId="79" fillId="18" borderId="1" xfId="0" applyFont="1" applyFill="1" applyBorder="1" applyAlignment="1">
      <alignment horizontal="center" vertical="top"/>
    </xf>
    <xf numFmtId="164" fontId="79" fillId="18" borderId="1" xfId="0" applyNumberFormat="1" applyFont="1" applyFill="1" applyBorder="1" applyAlignment="1">
      <alignment horizontal="center" vertical="top"/>
    </xf>
    <xf numFmtId="0" fontId="45" fillId="18" borderId="36" xfId="0" applyFont="1" applyFill="1" applyBorder="1" applyAlignment="1">
      <alignment horizontal="right" vertical="top"/>
    </xf>
    <xf numFmtId="0" fontId="45" fillId="18" borderId="1" xfId="0" applyFont="1" applyFill="1" applyBorder="1" applyAlignment="1">
      <alignment horizontal="right" vertical="top"/>
    </xf>
    <xf numFmtId="0" fontId="45" fillId="18" borderId="1" xfId="0" applyFont="1" applyFill="1" applyBorder="1" applyAlignment="1">
      <alignment vertical="top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vertical="top"/>
    </xf>
    <xf numFmtId="0" fontId="2" fillId="18" borderId="1" xfId="0" applyFont="1" applyFill="1" applyBorder="1" applyAlignment="1">
      <alignment horizontal="left" vertical="justify"/>
    </xf>
    <xf numFmtId="2" fontId="79" fillId="18" borderId="1" xfId="0" applyNumberFormat="1" applyFont="1" applyFill="1" applyBorder="1" applyAlignment="1">
      <alignment horizontal="center" vertical="top"/>
    </xf>
    <xf numFmtId="0" fontId="2" fillId="18" borderId="1" xfId="0" applyFont="1" applyFill="1" applyBorder="1" applyAlignment="1">
      <alignment horizontal="left" vertical="top"/>
    </xf>
    <xf numFmtId="0" fontId="2" fillId="18" borderId="1" xfId="0" applyFont="1" applyFill="1" applyBorder="1" applyAlignment="1">
      <alignment horizontal="center" vertical="top"/>
    </xf>
    <xf numFmtId="0" fontId="79" fillId="18" borderId="1" xfId="0" applyNumberFormat="1" applyFont="1" applyFill="1" applyBorder="1" applyAlignment="1">
      <alignment horizontal="center" vertical="top"/>
    </xf>
    <xf numFmtId="0" fontId="79" fillId="18" borderId="36" xfId="0" applyFont="1" applyFill="1" applyBorder="1" applyAlignment="1">
      <alignment horizontal="right" vertical="top"/>
    </xf>
    <xf numFmtId="0" fontId="79" fillId="18" borderId="1" xfId="0" applyFont="1" applyFill="1" applyBorder="1" applyAlignment="1">
      <alignment horizontal="right" vertical="top"/>
    </xf>
    <xf numFmtId="0" fontId="3" fillId="18" borderId="2" xfId="0" applyFont="1" applyFill="1" applyBorder="1"/>
    <xf numFmtId="0" fontId="79" fillId="18" borderId="2" xfId="0" applyFont="1" applyFill="1" applyBorder="1" applyAlignment="1">
      <alignment horizontal="left" vertical="top"/>
    </xf>
    <xf numFmtId="2" fontId="77" fillId="18" borderId="2" xfId="0" applyNumberFormat="1" applyFont="1" applyFill="1" applyBorder="1" applyAlignment="1">
      <alignment horizontal="center" vertical="top"/>
    </xf>
    <xf numFmtId="0" fontId="3" fillId="18" borderId="2" xfId="0" applyFont="1" applyFill="1" applyBorder="1" applyAlignment="1">
      <alignment horizontal="left" vertical="top"/>
    </xf>
    <xf numFmtId="0" fontId="3" fillId="18" borderId="2" xfId="0" applyFont="1" applyFill="1" applyBorder="1" applyAlignment="1">
      <alignment horizontal="center" vertical="top"/>
    </xf>
    <xf numFmtId="0" fontId="3" fillId="18" borderId="2" xfId="0" applyNumberFormat="1" applyFont="1" applyFill="1" applyBorder="1" applyAlignment="1">
      <alignment horizontal="center" vertical="top"/>
    </xf>
    <xf numFmtId="0" fontId="77" fillId="18" borderId="2" xfId="0" applyNumberFormat="1" applyFont="1" applyFill="1" applyBorder="1" applyAlignment="1">
      <alignment horizontal="center" vertical="top"/>
    </xf>
    <xf numFmtId="164" fontId="0" fillId="18" borderId="2" xfId="0" applyNumberFormat="1" applyFill="1" applyBorder="1" applyAlignment="1">
      <alignment horizontal="right"/>
    </xf>
    <xf numFmtId="0" fontId="79" fillId="18" borderId="40" xfId="0" applyFont="1" applyFill="1" applyBorder="1" applyAlignment="1">
      <alignment horizontal="right" vertical="top"/>
    </xf>
    <xf numFmtId="0" fontId="79" fillId="18" borderId="2" xfId="0" applyFont="1" applyFill="1" applyBorder="1" applyAlignment="1">
      <alignment horizontal="right" vertical="top"/>
    </xf>
    <xf numFmtId="0" fontId="76" fillId="18" borderId="2" xfId="0" applyFont="1" applyFill="1" applyBorder="1" applyAlignment="1">
      <alignment vertical="top"/>
    </xf>
    <xf numFmtId="0" fontId="0" fillId="18" borderId="0" xfId="0" applyFont="1" applyFill="1" applyBorder="1" applyAlignment="1">
      <alignment horizontal="center" vertical="top"/>
    </xf>
    <xf numFmtId="164" fontId="79" fillId="18" borderId="2" xfId="0" applyNumberFormat="1" applyFont="1" applyFill="1" applyBorder="1" applyAlignment="1">
      <alignment horizontal="center" vertical="top"/>
    </xf>
    <xf numFmtId="0" fontId="0" fillId="18" borderId="2" xfId="0" applyFill="1" applyBorder="1" applyAlignment="1">
      <alignment vertical="top"/>
    </xf>
    <xf numFmtId="0" fontId="0" fillId="18" borderId="2" xfId="0" applyFill="1" applyBorder="1" applyAlignment="1">
      <alignment vertical="justify"/>
    </xf>
    <xf numFmtId="0" fontId="45" fillId="18" borderId="0" xfId="0" applyFont="1" applyFill="1" applyBorder="1" applyAlignment="1">
      <alignment vertical="top"/>
    </xf>
    <xf numFmtId="0" fontId="9" fillId="15" borderId="0" xfId="0" applyFont="1" applyFill="1" applyBorder="1" applyAlignment="1">
      <alignment horizontal="center" vertical="top"/>
    </xf>
    <xf numFmtId="0" fontId="9" fillId="18" borderId="0" xfId="0" applyFont="1" applyFill="1" applyBorder="1" applyAlignment="1">
      <alignment horizontal="center" vertical="top"/>
    </xf>
    <xf numFmtId="0" fontId="9" fillId="18" borderId="2" xfId="0" applyFont="1" applyFill="1" applyBorder="1" applyAlignment="1">
      <alignment vertical="justify"/>
    </xf>
    <xf numFmtId="0" fontId="12" fillId="18" borderId="2" xfId="0" applyFont="1" applyFill="1" applyBorder="1"/>
    <xf numFmtId="0" fontId="12" fillId="18" borderId="2" xfId="0" applyFont="1" applyFill="1" applyBorder="1" applyAlignment="1">
      <alignment horizontal="left" vertical="top"/>
    </xf>
    <xf numFmtId="0" fontId="12" fillId="18" borderId="2" xfId="0" applyFont="1" applyFill="1" applyBorder="1" applyAlignment="1">
      <alignment horizontal="center" vertical="top"/>
    </xf>
    <xf numFmtId="1" fontId="76" fillId="18" borderId="2" xfId="0" applyNumberFormat="1" applyFont="1" applyFill="1" applyBorder="1" applyAlignment="1">
      <alignment vertical="top"/>
    </xf>
    <xf numFmtId="0" fontId="16" fillId="18" borderId="2" xfId="0" applyFont="1" applyFill="1" applyBorder="1"/>
    <xf numFmtId="0" fontId="77" fillId="18" borderId="2" xfId="0" applyFont="1" applyFill="1" applyBorder="1" applyAlignment="1">
      <alignment horizontal="center" vertical="top"/>
    </xf>
    <xf numFmtId="0" fontId="16" fillId="18" borderId="2" xfId="0" applyFont="1" applyFill="1" applyBorder="1" applyAlignment="1">
      <alignment horizontal="left" vertical="top"/>
    </xf>
    <xf numFmtId="0" fontId="16" fillId="18" borderId="2" xfId="0" applyFont="1" applyFill="1" applyBorder="1" applyAlignment="1">
      <alignment horizontal="center" vertical="top"/>
    </xf>
    <xf numFmtId="0" fontId="9" fillId="18" borderId="2" xfId="0" applyFont="1" applyFill="1" applyBorder="1" applyAlignment="1">
      <alignment horizontal="center" vertical="top"/>
    </xf>
    <xf numFmtId="0" fontId="9" fillId="18" borderId="2" xfId="0" applyFont="1" applyFill="1" applyBorder="1" applyAlignment="1">
      <alignment vertical="top"/>
    </xf>
    <xf numFmtId="2" fontId="45" fillId="18" borderId="2" xfId="0" applyNumberFormat="1" applyFont="1" applyFill="1" applyBorder="1" applyAlignment="1">
      <alignment vertical="top"/>
    </xf>
    <xf numFmtId="0" fontId="36" fillId="18" borderId="2" xfId="0" applyFont="1" applyFill="1" applyBorder="1" applyAlignment="1">
      <alignment vertical="top"/>
    </xf>
    <xf numFmtId="0" fontId="0" fillId="18" borderId="2" xfId="0" applyFill="1" applyBorder="1" applyAlignment="1">
      <alignment horizontal="right" vertical="top"/>
    </xf>
    <xf numFmtId="0" fontId="45" fillId="18" borderId="40" xfId="0" applyFont="1" applyFill="1" applyBorder="1" applyAlignment="1">
      <alignment vertical="top"/>
    </xf>
    <xf numFmtId="0" fontId="45" fillId="5" borderId="0" xfId="0" applyFont="1" applyFill="1" applyBorder="1" applyAlignment="1">
      <alignment vertical="top"/>
    </xf>
    <xf numFmtId="0" fontId="45" fillId="3" borderId="18" xfId="0" applyFont="1" applyFill="1" applyBorder="1" applyAlignment="1">
      <alignment vertical="top"/>
    </xf>
    <xf numFmtId="0" fontId="45" fillId="5" borderId="18" xfId="0" applyFont="1" applyFill="1" applyBorder="1" applyAlignment="1">
      <alignment vertical="top"/>
    </xf>
    <xf numFmtId="0" fontId="45" fillId="18" borderId="18" xfId="0" applyFont="1" applyFill="1" applyBorder="1" applyAlignment="1">
      <alignment vertical="top"/>
    </xf>
    <xf numFmtId="0" fontId="76" fillId="18" borderId="18" xfId="0" applyFont="1" applyFill="1" applyBorder="1" applyAlignment="1">
      <alignment vertical="top"/>
    </xf>
    <xf numFmtId="0" fontId="45" fillId="4" borderId="0" xfId="0" applyFont="1" applyFill="1" applyBorder="1" applyAlignment="1">
      <alignment vertical="top"/>
    </xf>
    <xf numFmtId="0" fontId="76" fillId="4" borderId="1" xfId="0" applyFont="1" applyFill="1" applyBorder="1" applyAlignment="1">
      <alignment vertical="top"/>
    </xf>
    <xf numFmtId="165" fontId="45" fillId="19" borderId="5" xfId="0" applyNumberFormat="1" applyFont="1" applyFill="1" applyBorder="1" applyAlignment="1">
      <alignment vertical="top"/>
    </xf>
    <xf numFmtId="0" fontId="45" fillId="19" borderId="5" xfId="0" applyFont="1" applyFill="1" applyBorder="1" applyAlignment="1">
      <alignment vertical="top"/>
    </xf>
    <xf numFmtId="0" fontId="76" fillId="19" borderId="5" xfId="0" applyFont="1" applyFill="1" applyBorder="1" applyAlignment="1">
      <alignment vertical="top"/>
    </xf>
    <xf numFmtId="0" fontId="0" fillId="14" borderId="0" xfId="0" applyFill="1" applyBorder="1" applyAlignment="1">
      <alignment vertical="top"/>
    </xf>
    <xf numFmtId="0" fontId="0" fillId="0" borderId="0" xfId="0" applyAlignment="1">
      <alignment horizontal="center"/>
    </xf>
    <xf numFmtId="0" fontId="93" fillId="0" borderId="0" xfId="0" applyFont="1" applyBorder="1" applyAlignment="1">
      <alignment vertical="top"/>
    </xf>
    <xf numFmtId="0" fontId="95" fillId="0" borderId="1" xfId="0" applyFont="1" applyBorder="1" applyAlignment="1">
      <alignment horizontal="left" vertical="top"/>
    </xf>
    <xf numFmtId="0" fontId="0" fillId="0" borderId="0" xfId="0" applyAlignment="1">
      <alignment vertical="center" wrapText="1"/>
    </xf>
    <xf numFmtId="165" fontId="45" fillId="19" borderId="0" xfId="0" applyNumberFormat="1" applyFont="1" applyFill="1" applyBorder="1" applyAlignment="1">
      <alignment vertical="top"/>
    </xf>
    <xf numFmtId="0" fontId="0" fillId="0" borderId="0" xfId="0" applyFont="1"/>
    <xf numFmtId="0" fontId="5" fillId="0" borderId="0" xfId="0" applyFont="1" applyBorder="1" applyAlignment="1">
      <alignment horizontal="center"/>
    </xf>
    <xf numFmtId="2" fontId="0" fillId="0" borderId="42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vertical="top"/>
    </xf>
    <xf numFmtId="2" fontId="45" fillId="0" borderId="42" xfId="0" applyNumberFormat="1" applyFont="1" applyFill="1" applyBorder="1" applyAlignment="1">
      <alignment vertical="top"/>
    </xf>
    <xf numFmtId="2" fontId="0" fillId="0" borderId="42" xfId="0" applyNumberFormat="1" applyBorder="1"/>
    <xf numFmtId="2" fontId="0" fillId="0" borderId="0" xfId="0" applyNumberFormat="1" applyBorder="1"/>
    <xf numFmtId="2" fontId="0" fillId="0" borderId="42" xfId="0" applyNumberFormat="1" applyFill="1" applyBorder="1"/>
    <xf numFmtId="2" fontId="0" fillId="0" borderId="0" xfId="0" applyNumberFormat="1" applyFill="1" applyBorder="1"/>
    <xf numFmtId="2" fontId="18" fillId="0" borderId="42" xfId="0" applyNumberFormat="1" applyFont="1" applyFill="1" applyBorder="1" applyAlignment="1">
      <alignment vertical="top"/>
    </xf>
    <xf numFmtId="2" fontId="106" fillId="0" borderId="0" xfId="0" applyNumberFormat="1" applyFont="1" applyFill="1" applyBorder="1" applyAlignment="1">
      <alignment vertical="top"/>
    </xf>
    <xf numFmtId="2" fontId="106" fillId="0" borderId="0" xfId="0" applyNumberFormat="1" applyFont="1" applyBorder="1" applyAlignment="1">
      <alignment vertical="top"/>
    </xf>
    <xf numFmtId="2" fontId="43" fillId="0" borderId="42" xfId="0" applyNumberFormat="1" applyFont="1" applyBorder="1"/>
    <xf numFmtId="2" fontId="43" fillId="0" borderId="0" xfId="0" applyNumberFormat="1" applyFont="1" applyBorder="1"/>
    <xf numFmtId="2" fontId="43" fillId="0" borderId="42" xfId="0" applyNumberFormat="1" applyFont="1" applyFill="1" applyBorder="1"/>
    <xf numFmtId="2" fontId="43" fillId="0" borderId="0" xfId="0" applyNumberFormat="1" applyFont="1" applyFill="1" applyBorder="1"/>
    <xf numFmtId="2" fontId="0" fillId="14" borderId="42" xfId="0" applyNumberFormat="1" applyFill="1" applyBorder="1" applyAlignment="1">
      <alignment vertical="top"/>
    </xf>
    <xf numFmtId="2" fontId="0" fillId="14" borderId="12" xfId="0" applyNumberFormat="1" applyFill="1" applyBorder="1" applyAlignment="1">
      <alignment vertical="top"/>
    </xf>
    <xf numFmtId="2" fontId="0" fillId="14" borderId="0" xfId="0" applyNumberFormat="1" applyFill="1" applyBorder="1" applyAlignment="1">
      <alignment vertical="top"/>
    </xf>
    <xf numFmtId="0" fontId="77" fillId="0" borderId="0" xfId="0" applyNumberFormat="1" applyFont="1" applyFill="1" applyBorder="1" applyAlignment="1">
      <alignment horizontal="right" vertical="top"/>
    </xf>
    <xf numFmtId="0" fontId="79" fillId="0" borderId="0" xfId="0" applyNumberFormat="1" applyFont="1" applyFill="1" applyBorder="1" applyAlignment="1">
      <alignment horizontal="right" vertical="top"/>
    </xf>
    <xf numFmtId="1" fontId="76" fillId="3" borderId="0" xfId="0" applyNumberFormat="1" applyFont="1" applyFill="1" applyBorder="1" applyAlignment="1">
      <alignment vertical="top"/>
    </xf>
    <xf numFmtId="0" fontId="0" fillId="0" borderId="49" xfId="0" applyBorder="1" applyAlignment="1">
      <alignment horizontal="center"/>
    </xf>
    <xf numFmtId="0" fontId="79" fillId="17" borderId="0" xfId="0" applyFont="1" applyFill="1" applyBorder="1" applyAlignment="1">
      <alignment vertical="top"/>
    </xf>
    <xf numFmtId="0" fontId="0" fillId="14" borderId="0" xfId="0" applyFill="1" applyAlignment="1">
      <alignment vertical="top"/>
    </xf>
    <xf numFmtId="0" fontId="0" fillId="14" borderId="0" xfId="0" applyFill="1" applyAlignment="1">
      <alignment horizontal="right" vertical="top"/>
    </xf>
    <xf numFmtId="0" fontId="65" fillId="14" borderId="0" xfId="0" applyFont="1" applyFill="1" applyBorder="1" applyAlignment="1">
      <alignment horizontal="center" vertical="top"/>
    </xf>
    <xf numFmtId="0" fontId="65" fillId="14" borderId="0" xfId="0" applyFont="1" applyFill="1" applyBorder="1" applyAlignment="1">
      <alignment vertical="top"/>
    </xf>
    <xf numFmtId="0" fontId="65" fillId="14" borderId="0" xfId="0" applyFont="1" applyFill="1" applyBorder="1" applyAlignment="1">
      <alignment vertical="justify"/>
    </xf>
    <xf numFmtId="0" fontId="2" fillId="14" borderId="0" xfId="0" applyFont="1" applyFill="1" applyBorder="1"/>
    <xf numFmtId="0" fontId="79" fillId="14" borderId="0" xfId="0" applyFont="1" applyFill="1" applyBorder="1" applyAlignment="1">
      <alignment horizontal="left" vertical="top"/>
    </xf>
    <xf numFmtId="0" fontId="79" fillId="14" borderId="0" xfId="0" applyNumberFormat="1" applyFont="1" applyFill="1" applyBorder="1" applyAlignment="1">
      <alignment horizontal="center" vertical="top"/>
    </xf>
    <xf numFmtId="0" fontId="2" fillId="14" borderId="0" xfId="0" applyFont="1" applyFill="1" applyBorder="1" applyAlignment="1">
      <alignment horizontal="left" vertical="top"/>
    </xf>
    <xf numFmtId="0" fontId="2" fillId="14" borderId="0" xfId="0" applyFont="1" applyFill="1" applyBorder="1" applyAlignment="1">
      <alignment horizontal="center" vertical="top"/>
    </xf>
    <xf numFmtId="0" fontId="79" fillId="14" borderId="0" xfId="0" applyFont="1" applyFill="1" applyBorder="1" applyAlignment="1">
      <alignment horizontal="center" vertical="top"/>
    </xf>
    <xf numFmtId="14" fontId="101" fillId="14" borderId="0" xfId="0" applyNumberFormat="1" applyFont="1" applyFill="1" applyBorder="1" applyAlignment="1" applyProtection="1">
      <alignment horizontal="right"/>
      <protection locked="0"/>
    </xf>
    <xf numFmtId="164" fontId="0" fillId="14" borderId="0" xfId="0" applyNumberFormat="1" applyFill="1" applyBorder="1" applyAlignment="1">
      <alignment horizontal="right"/>
    </xf>
    <xf numFmtId="0" fontId="79" fillId="14" borderId="42" xfId="0" applyFont="1" applyFill="1" applyBorder="1" applyAlignment="1">
      <alignment horizontal="right" vertical="top"/>
    </xf>
    <xf numFmtId="0" fontId="79" fillId="14" borderId="0" xfId="0" applyFont="1" applyFill="1" applyBorder="1" applyAlignment="1">
      <alignment horizontal="right" vertical="top"/>
    </xf>
    <xf numFmtId="0" fontId="45" fillId="14" borderId="0" xfId="0" applyFont="1" applyFill="1" applyBorder="1" applyAlignment="1">
      <alignment vertical="top"/>
    </xf>
    <xf numFmtId="165" fontId="45" fillId="14" borderId="5" xfId="0" applyNumberFormat="1" applyFont="1" applyFill="1" applyBorder="1" applyAlignment="1">
      <alignment vertical="top"/>
    </xf>
    <xf numFmtId="0" fontId="0" fillId="14" borderId="0" xfId="0" applyFill="1"/>
    <xf numFmtId="0" fontId="45" fillId="0" borderId="0" xfId="0" applyFont="1" applyAlignment="1">
      <alignment horizontal="left" vertical="top" wrapText="1"/>
    </xf>
    <xf numFmtId="0" fontId="0" fillId="0" borderId="0" xfId="0" applyNumberFormat="1" applyAlignment="1">
      <alignment horizontal="center" vertical="center"/>
    </xf>
    <xf numFmtId="0" fontId="5" fillId="0" borderId="0" xfId="0" applyFont="1" applyAlignment="1">
      <alignment wrapText="1"/>
    </xf>
    <xf numFmtId="0" fontId="77" fillId="0" borderId="0" xfId="0" applyFont="1" applyFill="1" applyAlignment="1"/>
    <xf numFmtId="0" fontId="0" fillId="14" borderId="5" xfId="0" applyFill="1" applyBorder="1" applyAlignment="1">
      <alignment horizontal="center" vertical="top"/>
    </xf>
    <xf numFmtId="0" fontId="0" fillId="14" borderId="5" xfId="0" applyFill="1" applyBorder="1" applyAlignment="1">
      <alignment horizontal="center" vertical="top" wrapText="1"/>
    </xf>
    <xf numFmtId="2" fontId="75" fillId="20" borderId="39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164" fontId="0" fillId="0" borderId="31" xfId="0" applyNumberFormat="1" applyBorder="1" applyAlignment="1">
      <alignment vertical="top"/>
    </xf>
    <xf numFmtId="0" fontId="1" fillId="0" borderId="0" xfId="0" applyFont="1" applyFill="1" applyBorder="1" applyAlignment="1">
      <alignment vertical="justify"/>
    </xf>
    <xf numFmtId="0" fontId="0" fillId="0" borderId="42" xfId="0" applyBorder="1" applyAlignment="1">
      <alignment vertical="top"/>
    </xf>
    <xf numFmtId="0" fontId="1" fillId="0" borderId="0" xfId="0" applyFont="1" applyBorder="1" applyAlignment="1">
      <alignment vertical="top"/>
    </xf>
    <xf numFmtId="0" fontId="101" fillId="0" borderId="18" xfId="0" applyFont="1" applyBorder="1" applyAlignment="1" applyProtection="1">
      <alignment horizontal="right"/>
      <protection locked="0"/>
    </xf>
    <xf numFmtId="164" fontId="0" fillId="0" borderId="18" xfId="0" applyNumberFormat="1" applyBorder="1" applyAlignment="1">
      <alignment horizontal="right"/>
    </xf>
    <xf numFmtId="0" fontId="0" fillId="2" borderId="0" xfId="0" applyFill="1" applyBorder="1" applyAlignment="1">
      <alignment horizontal="center"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justify"/>
    </xf>
    <xf numFmtId="0" fontId="3" fillId="2" borderId="0" xfId="0" applyFont="1" applyFill="1" applyBorder="1"/>
    <xf numFmtId="0" fontId="77" fillId="2" borderId="0" xfId="0" applyFont="1" applyFill="1" applyBorder="1" applyAlignment="1">
      <alignment horizontal="center" vertical="top"/>
    </xf>
    <xf numFmtId="0" fontId="77" fillId="2" borderId="0" xfId="0" applyNumberFormat="1" applyFont="1" applyFill="1" applyBorder="1" applyAlignment="1">
      <alignment horizontal="center" vertical="top"/>
    </xf>
    <xf numFmtId="0" fontId="3" fillId="2" borderId="0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center" vertical="top"/>
    </xf>
    <xf numFmtId="0" fontId="79" fillId="2" borderId="0" xfId="0" applyFont="1" applyFill="1" applyBorder="1" applyAlignment="1">
      <alignment horizontal="center" vertical="top"/>
    </xf>
    <xf numFmtId="164" fontId="79" fillId="2" borderId="0" xfId="0" applyNumberFormat="1" applyFont="1" applyFill="1" applyBorder="1" applyAlignment="1">
      <alignment horizontal="center" vertical="top"/>
    </xf>
    <xf numFmtId="0" fontId="79" fillId="2" borderId="42" xfId="0" applyFont="1" applyFill="1" applyBorder="1" applyAlignment="1">
      <alignment horizontal="right" vertical="top"/>
    </xf>
    <xf numFmtId="0" fontId="79" fillId="2" borderId="0" xfId="0" applyFont="1" applyFill="1" applyBorder="1" applyAlignment="1">
      <alignment horizontal="right" vertical="top"/>
    </xf>
    <xf numFmtId="0" fontId="45" fillId="2" borderId="0" xfId="0" applyFont="1" applyFill="1" applyBorder="1" applyAlignment="1">
      <alignment vertical="top"/>
    </xf>
    <xf numFmtId="0" fontId="79" fillId="0" borderId="18" xfId="0" applyFont="1" applyBorder="1" applyAlignment="1">
      <alignment horizontal="left" vertical="top"/>
    </xf>
    <xf numFmtId="0" fontId="79" fillId="0" borderId="18" xfId="0" applyFont="1" applyBorder="1" applyAlignment="1">
      <alignment horizontal="center" vertical="top"/>
    </xf>
    <xf numFmtId="0" fontId="100" fillId="0" borderId="18" xfId="0" applyFont="1" applyBorder="1" applyAlignment="1">
      <alignment vertical="top"/>
    </xf>
    <xf numFmtId="164" fontId="0" fillId="0" borderId="51" xfId="0" applyNumberFormat="1" applyBorder="1" applyAlignment="1">
      <alignment vertical="top"/>
    </xf>
    <xf numFmtId="0" fontId="0" fillId="0" borderId="31" xfId="0" applyBorder="1" applyAlignment="1">
      <alignment vertical="top"/>
    </xf>
    <xf numFmtId="0" fontId="1" fillId="4" borderId="2" xfId="0" applyFont="1" applyFill="1" applyBorder="1" applyAlignment="1">
      <alignment horizontal="center" vertical="top"/>
    </xf>
    <xf numFmtId="0" fontId="0" fillId="21" borderId="2" xfId="0" applyFill="1" applyBorder="1" applyAlignment="1">
      <alignment vertical="justify"/>
    </xf>
    <xf numFmtId="0" fontId="2" fillId="4" borderId="2" xfId="0" applyFont="1" applyFill="1" applyBorder="1" applyAlignment="1">
      <alignment horizontal="left" vertical="top"/>
    </xf>
    <xf numFmtId="0" fontId="2" fillId="4" borderId="2" xfId="0" applyFont="1" applyFill="1" applyBorder="1" applyAlignment="1">
      <alignment horizontal="center" vertical="top"/>
    </xf>
    <xf numFmtId="0" fontId="8" fillId="4" borderId="2" xfId="0" applyNumberFormat="1" applyFont="1" applyFill="1" applyBorder="1" applyAlignment="1">
      <alignment horizontal="center" vertical="top"/>
    </xf>
    <xf numFmtId="0" fontId="0" fillId="15" borderId="18" xfId="0" applyFill="1" applyBorder="1" applyAlignment="1">
      <alignment vertical="justify"/>
    </xf>
    <xf numFmtId="0" fontId="0" fillId="2" borderId="2" xfId="0" applyFont="1" applyFill="1" applyBorder="1" applyAlignment="1">
      <alignment horizontal="center" vertical="top"/>
    </xf>
    <xf numFmtId="0" fontId="0" fillId="0" borderId="18" xfId="0" applyBorder="1" applyAlignment="1">
      <alignment vertical="justify"/>
    </xf>
    <xf numFmtId="0" fontId="45" fillId="3" borderId="40" xfId="0" applyFont="1" applyFill="1" applyBorder="1" applyAlignment="1">
      <alignment horizontal="right" vertical="top"/>
    </xf>
    <xf numFmtId="0" fontId="45" fillId="3" borderId="2" xfId="0" applyFont="1" applyFill="1" applyBorder="1" applyAlignment="1">
      <alignment horizontal="right" vertical="top"/>
    </xf>
    <xf numFmtId="0" fontId="0" fillId="2" borderId="0" xfId="0" applyFont="1" applyFill="1" applyBorder="1" applyAlignment="1">
      <alignment horizontal="center" vertical="top"/>
    </xf>
    <xf numFmtId="0" fontId="2" fillId="2" borderId="0" xfId="0" applyFont="1" applyFill="1" applyBorder="1"/>
    <xf numFmtId="0" fontId="79" fillId="2" borderId="0" xfId="0" applyFont="1" applyFill="1" applyBorder="1" applyAlignment="1">
      <alignment vertical="top"/>
    </xf>
    <xf numFmtId="0" fontId="79" fillId="2" borderId="0" xfId="0" applyNumberFormat="1" applyFont="1" applyFill="1" applyBorder="1" applyAlignment="1">
      <alignment horizontal="center" vertical="top"/>
    </xf>
    <xf numFmtId="0" fontId="2" fillId="2" borderId="0" xfId="0" applyFont="1" applyFill="1" applyBorder="1" applyAlignment="1">
      <alignment horizontal="left" vertical="top"/>
    </xf>
    <xf numFmtId="0" fontId="2" fillId="2" borderId="0" xfId="0" applyFont="1" applyFill="1" applyBorder="1" applyAlignment="1">
      <alignment horizontal="center" vertical="top"/>
    </xf>
    <xf numFmtId="0" fontId="8" fillId="14" borderId="21" xfId="0" applyFont="1" applyFill="1" applyBorder="1" applyAlignment="1">
      <alignment horizontal="center" wrapText="1"/>
    </xf>
    <xf numFmtId="2" fontId="0" fillId="22" borderId="0" xfId="0" applyNumberFormat="1" applyFill="1" applyBorder="1" applyAlignment="1">
      <alignment vertical="top"/>
    </xf>
    <xf numFmtId="0" fontId="0" fillId="22" borderId="0" xfId="0" applyFill="1"/>
    <xf numFmtId="0" fontId="0" fillId="22" borderId="0" xfId="0" applyFill="1" applyAlignment="1">
      <alignment horizontal="center"/>
    </xf>
    <xf numFmtId="0" fontId="0" fillId="22" borderId="0" xfId="0" applyFill="1" applyAlignment="1">
      <alignment vertical="top"/>
    </xf>
    <xf numFmtId="0" fontId="0" fillId="22" borderId="0" xfId="0" applyFill="1" applyAlignment="1">
      <alignment horizontal="right" vertical="top"/>
    </xf>
    <xf numFmtId="0" fontId="0" fillId="22" borderId="0" xfId="0" applyFill="1" applyAlignment="1">
      <alignment vertical="justify"/>
    </xf>
    <xf numFmtId="0" fontId="2" fillId="22" borderId="1" xfId="0" applyFont="1" applyFill="1" applyBorder="1"/>
    <xf numFmtId="0" fontId="45" fillId="22" borderId="1" xfId="0" applyFont="1" applyFill="1" applyBorder="1" applyAlignment="1">
      <alignment vertical="top"/>
    </xf>
    <xf numFmtId="1" fontId="79" fillId="22" borderId="1" xfId="0" applyNumberFormat="1" applyFont="1" applyFill="1" applyBorder="1" applyAlignment="1">
      <alignment horizontal="center" vertical="top"/>
    </xf>
    <xf numFmtId="0" fontId="2" fillId="22" borderId="1" xfId="0" applyFont="1" applyFill="1" applyBorder="1" applyAlignment="1">
      <alignment horizontal="left" vertical="top"/>
    </xf>
    <xf numFmtId="0" fontId="2" fillId="22" borderId="0" xfId="0" applyFont="1" applyFill="1" applyAlignment="1">
      <alignment horizontal="center" vertical="top"/>
    </xf>
    <xf numFmtId="0" fontId="2" fillId="22" borderId="1" xfId="0" applyFont="1" applyFill="1" applyBorder="1" applyAlignment="1">
      <alignment horizontal="center" vertical="top"/>
    </xf>
    <xf numFmtId="0" fontId="79" fillId="22" borderId="1" xfId="0" applyNumberFormat="1" applyFont="1" applyFill="1" applyBorder="1" applyAlignment="1">
      <alignment horizontal="center" vertical="top"/>
    </xf>
    <xf numFmtId="0" fontId="45" fillId="22" borderId="1" xfId="0" applyFont="1" applyFill="1" applyBorder="1" applyAlignment="1">
      <alignment horizontal="center" vertical="top"/>
    </xf>
    <xf numFmtId="14" fontId="101" fillId="22" borderId="0" xfId="0" applyNumberFormat="1" applyFont="1" applyFill="1" applyBorder="1" applyAlignment="1" applyProtection="1">
      <alignment horizontal="right"/>
      <protection locked="0"/>
    </xf>
    <xf numFmtId="164" fontId="0" fillId="22" borderId="0" xfId="0" applyNumberFormat="1" applyFill="1" applyAlignment="1">
      <alignment horizontal="right"/>
    </xf>
    <xf numFmtId="0" fontId="79" fillId="22" borderId="42" xfId="0" applyFont="1" applyFill="1" applyBorder="1" applyAlignment="1">
      <alignment horizontal="right" vertical="top"/>
    </xf>
    <xf numFmtId="0" fontId="79" fillId="22" borderId="0" xfId="0" applyFont="1" applyFill="1" applyBorder="1" applyAlignment="1">
      <alignment horizontal="right" vertical="top"/>
    </xf>
    <xf numFmtId="0" fontId="45" fillId="22" borderId="0" xfId="0" applyFont="1" applyFill="1" applyAlignment="1">
      <alignment vertical="top"/>
    </xf>
    <xf numFmtId="0" fontId="45" fillId="22" borderId="0" xfId="0" applyFont="1" applyFill="1"/>
    <xf numFmtId="165" fontId="45" fillId="22" borderId="5" xfId="0" applyNumberFormat="1" applyFont="1" applyFill="1" applyBorder="1" applyAlignment="1">
      <alignment vertical="top"/>
    </xf>
    <xf numFmtId="0" fontId="0" fillId="22" borderId="0" xfId="0" applyFill="1" applyBorder="1" applyAlignment="1">
      <alignment vertical="top"/>
    </xf>
    <xf numFmtId="2" fontId="0" fillId="22" borderId="42" xfId="0" applyNumberFormat="1" applyFill="1" applyBorder="1" applyAlignment="1">
      <alignment vertical="top"/>
    </xf>
    <xf numFmtId="165" fontId="45" fillId="14" borderId="0" xfId="0" applyNumberFormat="1" applyFont="1" applyFill="1" applyBorder="1" applyAlignment="1">
      <alignment vertical="top"/>
    </xf>
    <xf numFmtId="1" fontId="0" fillId="0" borderId="0" xfId="0" applyNumberFormat="1" applyFill="1" applyBorder="1" applyAlignment="1"/>
    <xf numFmtId="0" fontId="109" fillId="23" borderId="0" xfId="329"/>
    <xf numFmtId="2" fontId="111" fillId="23" borderId="0" xfId="329" applyNumberFormat="1" applyFont="1"/>
    <xf numFmtId="1" fontId="79" fillId="14" borderId="0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15" borderId="0" xfId="0" applyNumberFormat="1" applyFill="1" applyBorder="1" applyAlignment="1">
      <alignment vertical="top"/>
    </xf>
    <xf numFmtId="2" fontId="0" fillId="0" borderId="0" xfId="0" applyNumberFormat="1" applyFill="1"/>
    <xf numFmtId="0" fontId="0" fillId="0" borderId="0" xfId="0" applyAlignment="1">
      <alignment wrapText="1"/>
    </xf>
    <xf numFmtId="0" fontId="75" fillId="0" borderId="0" xfId="0" applyFont="1" applyAlignment="1">
      <alignment horizontal="center" vertical="center" wrapText="1"/>
    </xf>
    <xf numFmtId="164" fontId="0" fillId="0" borderId="0" xfId="0" applyNumberFormat="1"/>
    <xf numFmtId="0" fontId="75" fillId="0" borderId="0" xfId="0" applyFont="1"/>
    <xf numFmtId="164" fontId="75" fillId="0" borderId="0" xfId="0" applyNumberFormat="1" applyFont="1"/>
    <xf numFmtId="2" fontId="0" fillId="15" borderId="0" xfId="0" applyNumberFormat="1" applyFill="1"/>
    <xf numFmtId="0" fontId="2" fillId="15" borderId="0" xfId="0" applyNumberFormat="1" applyFont="1" applyFill="1" applyBorder="1" applyAlignment="1">
      <alignment horizontal="center" vertical="top"/>
    </xf>
    <xf numFmtId="0" fontId="2" fillId="15" borderId="0" xfId="0" applyNumberFormat="1" applyFont="1" applyFill="1" applyAlignment="1">
      <alignment horizontal="center" vertical="top"/>
    </xf>
    <xf numFmtId="165" fontId="76" fillId="4" borderId="0" xfId="0" applyNumberFormat="1" applyFont="1" applyFill="1" applyBorder="1" applyAlignment="1">
      <alignment vertical="top"/>
    </xf>
    <xf numFmtId="165" fontId="76" fillId="4" borderId="1" xfId="0" applyNumberFormat="1" applyFont="1" applyFill="1" applyBorder="1" applyAlignment="1">
      <alignment vertical="top"/>
    </xf>
    <xf numFmtId="0" fontId="10" fillId="15" borderId="0" xfId="0" applyNumberFormat="1" applyFont="1" applyFill="1" applyAlignment="1">
      <alignment horizontal="center" vertical="top"/>
    </xf>
    <xf numFmtId="0" fontId="45" fillId="15" borderId="0" xfId="0" applyNumberFormat="1" applyFont="1" applyFill="1" applyAlignment="1">
      <alignment horizontal="center" vertical="top"/>
    </xf>
    <xf numFmtId="0" fontId="2" fillId="15" borderId="1" xfId="0" applyNumberFormat="1" applyFont="1" applyFill="1" applyBorder="1" applyAlignment="1">
      <alignment horizontal="center" vertical="top"/>
    </xf>
    <xf numFmtId="0" fontId="79" fillId="15" borderId="1" xfId="0" applyNumberFormat="1" applyFont="1" applyFill="1" applyBorder="1" applyAlignment="1">
      <alignment horizontal="center" vertical="top"/>
    </xf>
    <xf numFmtId="0" fontId="45" fillId="14" borderId="5" xfId="0" applyFont="1" applyFill="1" applyBorder="1" applyAlignment="1">
      <alignment vertical="top"/>
    </xf>
    <xf numFmtId="0" fontId="20" fillId="0" borderId="0" xfId="0" applyFont="1" applyBorder="1" applyAlignment="1">
      <alignment vertical="justify" wrapText="1"/>
    </xf>
    <xf numFmtId="0" fontId="45" fillId="14" borderId="0" xfId="0" applyFont="1" applyFill="1" applyAlignment="1">
      <alignment vertical="top"/>
    </xf>
    <xf numFmtId="0" fontId="45" fillId="14" borderId="5" xfId="0" applyFont="1" applyFill="1" applyBorder="1"/>
    <xf numFmtId="0" fontId="0" fillId="15" borderId="0" xfId="0" applyNumberFormat="1" applyFill="1" applyBorder="1" applyAlignment="1">
      <alignment horizontal="center" vertical="top"/>
    </xf>
    <xf numFmtId="0" fontId="45" fillId="15" borderId="0" xfId="0" applyNumberFormat="1" applyFont="1" applyFill="1" applyBorder="1" applyAlignment="1">
      <alignment horizontal="center" vertical="top"/>
    </xf>
    <xf numFmtId="165" fontId="76" fillId="4" borderId="2" xfId="0" applyNumberFormat="1" applyFont="1" applyFill="1" applyBorder="1" applyAlignment="1">
      <alignment vertical="top"/>
    </xf>
    <xf numFmtId="165" fontId="45" fillId="4" borderId="1" xfId="0" applyNumberFormat="1" applyFont="1" applyFill="1" applyBorder="1" applyAlignment="1">
      <alignment vertical="top"/>
    </xf>
    <xf numFmtId="0" fontId="0" fillId="4" borderId="18" xfId="0" applyFont="1" applyFill="1" applyBorder="1"/>
    <xf numFmtId="0" fontId="3" fillId="4" borderId="18" xfId="0" applyFont="1" applyFill="1" applyBorder="1"/>
    <xf numFmtId="0" fontId="0" fillId="0" borderId="0" xfId="0" applyAlignment="1">
      <alignment horizontal="center"/>
    </xf>
    <xf numFmtId="2" fontId="0" fillId="15" borderId="47" xfId="0" applyNumberFormat="1" applyFill="1" applyBorder="1" applyAlignment="1">
      <alignment vertical="top"/>
    </xf>
    <xf numFmtId="0" fontId="0" fillId="15" borderId="0" xfId="0" applyFill="1" applyBorder="1" applyAlignment="1">
      <alignment vertical="top"/>
    </xf>
    <xf numFmtId="0" fontId="0" fillId="15" borderId="0" xfId="0" applyFill="1" applyAlignment="1">
      <alignment vertical="top"/>
    </xf>
    <xf numFmtId="0" fontId="45" fillId="15" borderId="0" xfId="0" applyFont="1" applyFill="1" applyBorder="1" applyAlignment="1">
      <alignment vertical="top"/>
    </xf>
    <xf numFmtId="2" fontId="0" fillId="15" borderId="47" xfId="0" applyNumberFormat="1" applyFill="1" applyBorder="1"/>
    <xf numFmtId="2" fontId="43" fillId="15" borderId="47" xfId="0" applyNumberFormat="1" applyFont="1" applyFill="1" applyBorder="1"/>
    <xf numFmtId="2" fontId="0" fillId="24" borderId="11" xfId="0" applyNumberFormat="1" applyFill="1" applyBorder="1" applyAlignment="1">
      <alignment horizontal="center" vertical="center"/>
    </xf>
    <xf numFmtId="2" fontId="0" fillId="25" borderId="52" xfId="0" applyNumberFormat="1" applyFill="1" applyBorder="1" applyAlignment="1">
      <alignment horizontal="center" vertical="center" wrapText="1"/>
    </xf>
    <xf numFmtId="0" fontId="0" fillId="15" borderId="53" xfId="0" applyFill="1" applyBorder="1" applyAlignment="1">
      <alignment vertical="center" wrapText="1"/>
    </xf>
    <xf numFmtId="2" fontId="0" fillId="24" borderId="54" xfId="0" applyNumberFormat="1" applyFill="1" applyBorder="1" applyAlignment="1">
      <alignment horizontal="center" vertical="center"/>
    </xf>
    <xf numFmtId="2" fontId="0" fillId="25" borderId="55" xfId="0" applyNumberFormat="1" applyFill="1" applyBorder="1" applyAlignment="1">
      <alignment horizontal="center" vertical="center"/>
    </xf>
    <xf numFmtId="0" fontId="0" fillId="15" borderId="56" xfId="0" applyFill="1" applyBorder="1" applyAlignment="1">
      <alignment vertical="center" wrapText="1"/>
    </xf>
    <xf numFmtId="2" fontId="0" fillId="24" borderId="54" xfId="0" applyNumberFormat="1" applyFill="1" applyBorder="1"/>
    <xf numFmtId="2" fontId="0" fillId="25" borderId="55" xfId="0" applyNumberFormat="1" applyFill="1" applyBorder="1"/>
    <xf numFmtId="0" fontId="0" fillId="15" borderId="56" xfId="0" applyFill="1" applyBorder="1"/>
    <xf numFmtId="2" fontId="8" fillId="24" borderId="8" xfId="0" applyNumberFormat="1" applyFont="1" applyFill="1" applyBorder="1"/>
    <xf numFmtId="2" fontId="0" fillId="25" borderId="57" xfId="0" applyNumberFormat="1" applyFill="1" applyBorder="1"/>
    <xf numFmtId="0" fontId="8" fillId="15" borderId="58" xfId="0" applyFont="1" applyFill="1" applyBorder="1"/>
    <xf numFmtId="0" fontId="0" fillId="0" borderId="0" xfId="0" applyAlignment="1"/>
    <xf numFmtId="0" fontId="114" fillId="0" borderId="0" xfId="0" applyFont="1" applyAlignment="1">
      <alignment horizontal="center"/>
    </xf>
    <xf numFmtId="0" fontId="114" fillId="0" borderId="0" xfId="0" applyNumberFormat="1" applyFont="1" applyAlignment="1">
      <alignment horizontal="center"/>
    </xf>
    <xf numFmtId="49" fontId="114" fillId="0" borderId="0" xfId="0" applyNumberFormat="1" applyFont="1" applyAlignment="1">
      <alignment horizontal="center" vertical="center" wrapText="1"/>
    </xf>
    <xf numFmtId="1" fontId="0" fillId="0" borderId="0" xfId="0" applyNumberFormat="1" applyBorder="1" applyAlignment="1">
      <alignment vertical="top"/>
    </xf>
    <xf numFmtId="1" fontId="92" fillId="11" borderId="1" xfId="0" applyNumberFormat="1" applyFont="1" applyFill="1" applyBorder="1" applyAlignment="1">
      <alignment vertical="top"/>
    </xf>
    <xf numFmtId="1" fontId="45" fillId="11" borderId="1" xfId="0" applyNumberFormat="1" applyFont="1" applyFill="1" applyBorder="1" applyAlignment="1">
      <alignment vertical="top"/>
    </xf>
    <xf numFmtId="1" fontId="45" fillId="11" borderId="0" xfId="0" applyNumberFormat="1" applyFont="1" applyFill="1" applyBorder="1" applyAlignment="1">
      <alignment vertical="top"/>
    </xf>
    <xf numFmtId="1" fontId="45" fillId="3" borderId="0" xfId="0" applyNumberFormat="1" applyFont="1" applyFill="1" applyBorder="1" applyAlignment="1">
      <alignment vertical="top"/>
    </xf>
    <xf numFmtId="1" fontId="45" fillId="11" borderId="2" xfId="0" applyNumberFormat="1" applyFont="1" applyFill="1" applyBorder="1" applyAlignment="1">
      <alignment vertical="top"/>
    </xf>
    <xf numFmtId="1" fontId="77" fillId="0" borderId="2" xfId="0" applyNumberFormat="1" applyFont="1" applyFill="1" applyBorder="1" applyAlignment="1">
      <alignment horizontal="right" vertical="top"/>
    </xf>
    <xf numFmtId="1" fontId="79" fillId="0" borderId="18" xfId="0" applyNumberFormat="1" applyFont="1" applyFill="1" applyBorder="1" applyAlignment="1">
      <alignment horizontal="right" vertical="top"/>
    </xf>
    <xf numFmtId="1" fontId="45" fillId="14" borderId="0" xfId="0" applyNumberFormat="1" applyFont="1" applyFill="1" applyBorder="1" applyAlignment="1">
      <alignment vertical="top"/>
    </xf>
    <xf numFmtId="1" fontId="45" fillId="5" borderId="1" xfId="0" applyNumberFormat="1" applyFont="1" applyFill="1" applyBorder="1" applyAlignment="1">
      <alignment vertical="top"/>
    </xf>
    <xf numFmtId="1" fontId="45" fillId="3" borderId="2" xfId="0" applyNumberFormat="1" applyFont="1" applyFill="1" applyBorder="1" applyAlignment="1">
      <alignment vertical="top"/>
    </xf>
    <xf numFmtId="1" fontId="45" fillId="5" borderId="2" xfId="0" applyNumberFormat="1" applyFont="1" applyFill="1" applyBorder="1" applyAlignment="1">
      <alignment vertical="top"/>
    </xf>
    <xf numFmtId="1" fontId="45" fillId="0" borderId="2" xfId="0" applyNumberFormat="1" applyFont="1" applyFill="1" applyBorder="1" applyAlignment="1">
      <alignment vertical="top"/>
    </xf>
    <xf numFmtId="1" fontId="92" fillId="5" borderId="2" xfId="0" applyNumberFormat="1" applyFont="1" applyFill="1" applyBorder="1" applyAlignment="1">
      <alignment vertical="top"/>
    </xf>
    <xf numFmtId="1" fontId="45" fillId="18" borderId="2" xfId="0" applyNumberFormat="1" applyFont="1" applyFill="1" applyBorder="1" applyAlignment="1">
      <alignment vertical="top"/>
    </xf>
    <xf numFmtId="1" fontId="77" fillId="4" borderId="29" xfId="0" applyNumberFormat="1" applyFont="1" applyFill="1" applyBorder="1" applyAlignment="1">
      <alignment horizontal="center" vertical="top"/>
    </xf>
    <xf numFmtId="1" fontId="77" fillId="15" borderId="29" xfId="0" applyNumberFormat="1" applyFont="1" applyFill="1" applyBorder="1" applyAlignment="1">
      <alignment horizontal="center" vertical="top"/>
    </xf>
    <xf numFmtId="1" fontId="0" fillId="0" borderId="0" xfId="0" applyNumberFormat="1" applyAlignment="1">
      <alignment vertical="top"/>
    </xf>
    <xf numFmtId="1" fontId="92" fillId="3" borderId="2" xfId="0" applyNumberFormat="1" applyFont="1" applyFill="1" applyBorder="1" applyAlignment="1">
      <alignment vertical="top"/>
    </xf>
    <xf numFmtId="1" fontId="45" fillId="11" borderId="18" xfId="0" applyNumberFormat="1" applyFont="1" applyFill="1" applyBorder="1" applyAlignment="1">
      <alignment vertical="top"/>
    </xf>
    <xf numFmtId="1" fontId="45" fillId="0" borderId="18" xfId="0" applyNumberFormat="1" applyFont="1" applyFill="1" applyBorder="1" applyAlignment="1">
      <alignment vertical="top"/>
    </xf>
    <xf numFmtId="1" fontId="45" fillId="0" borderId="0" xfId="0" applyNumberFormat="1" applyFont="1" applyFill="1" applyBorder="1" applyAlignment="1">
      <alignment horizontal="right" vertical="top"/>
    </xf>
    <xf numFmtId="1" fontId="45" fillId="3" borderId="3" xfId="0" applyNumberFormat="1" applyFont="1" applyFill="1" applyBorder="1" applyAlignment="1">
      <alignment vertical="top"/>
    </xf>
    <xf numFmtId="1" fontId="76" fillId="11" borderId="19" xfId="0" applyNumberFormat="1" applyFont="1" applyFill="1" applyBorder="1" applyAlignment="1">
      <alignment vertical="top"/>
    </xf>
    <xf numFmtId="1" fontId="76" fillId="11" borderId="3" xfId="0" applyNumberFormat="1" applyFont="1" applyFill="1" applyBorder="1" applyAlignment="1">
      <alignment vertical="top"/>
    </xf>
    <xf numFmtId="1" fontId="45" fillId="22" borderId="0" xfId="0" applyNumberFormat="1" applyFont="1" applyFill="1" applyBorder="1" applyAlignment="1">
      <alignment vertical="top"/>
    </xf>
    <xf numFmtId="1" fontId="45" fillId="18" borderId="1" xfId="0" applyNumberFormat="1" applyFont="1" applyFill="1" applyBorder="1" applyAlignment="1">
      <alignment vertical="top"/>
    </xf>
    <xf numFmtId="1" fontId="76" fillId="11" borderId="19" xfId="0" applyNumberFormat="1" applyFont="1" applyFill="1" applyBorder="1" applyAlignment="1">
      <alignment horizontal="right" vertical="top"/>
    </xf>
    <xf numFmtId="1" fontId="45" fillId="0" borderId="3" xfId="0" applyNumberFormat="1" applyFont="1" applyFill="1" applyBorder="1" applyAlignment="1">
      <alignment vertical="top"/>
    </xf>
    <xf numFmtId="1" fontId="76" fillId="0" borderId="0" xfId="0" applyNumberFormat="1" applyFont="1" applyFill="1" applyBorder="1" applyAlignment="1">
      <alignment vertical="top"/>
    </xf>
    <xf numFmtId="1" fontId="92" fillId="0" borderId="0" xfId="0" applyNumberFormat="1" applyFont="1" applyFill="1" applyBorder="1" applyAlignment="1">
      <alignment vertical="top"/>
    </xf>
    <xf numFmtId="1" fontId="78" fillId="0" borderId="0" xfId="0" applyNumberFormat="1" applyFont="1" applyFill="1" applyBorder="1" applyAlignment="1">
      <alignment vertical="top"/>
    </xf>
    <xf numFmtId="1" fontId="45" fillId="8" borderId="0" xfId="0" applyNumberFormat="1" applyFont="1" applyFill="1" applyBorder="1" applyAlignment="1">
      <alignment vertical="top"/>
    </xf>
    <xf numFmtId="2" fontId="0" fillId="15" borderId="49" xfId="0" applyNumberFormat="1" applyFill="1" applyBorder="1" applyAlignment="1">
      <alignment horizontal="center"/>
    </xf>
    <xf numFmtId="2" fontId="75" fillId="15" borderId="50" xfId="0" applyNumberFormat="1" applyFont="1" applyFill="1" applyBorder="1" applyAlignment="1">
      <alignment horizontal="center"/>
    </xf>
    <xf numFmtId="2" fontId="0" fillId="0" borderId="55" xfId="0" applyNumberFormat="1" applyFill="1" applyBorder="1" applyAlignment="1">
      <alignment horizontal="center"/>
    </xf>
    <xf numFmtId="2" fontId="75" fillId="0" borderId="55" xfId="0" applyNumberFormat="1" applyFont="1" applyFill="1" applyBorder="1" applyAlignment="1">
      <alignment horizontal="center"/>
    </xf>
    <xf numFmtId="2" fontId="0" fillId="26" borderId="55" xfId="0" applyNumberFormat="1" applyFill="1" applyBorder="1" applyAlignment="1">
      <alignment horizontal="center"/>
    </xf>
    <xf numFmtId="2" fontId="0" fillId="26" borderId="0" xfId="0" applyNumberFormat="1" applyFill="1"/>
    <xf numFmtId="0" fontId="0" fillId="26" borderId="0" xfId="0" applyFill="1" applyAlignment="1">
      <alignment wrapText="1"/>
    </xf>
    <xf numFmtId="2" fontId="0" fillId="15" borderId="0" xfId="0" applyNumberFormat="1" applyFill="1" applyAlignment="1">
      <alignment wrapText="1"/>
    </xf>
    <xf numFmtId="164" fontId="0" fillId="0" borderId="0" xfId="0" applyNumberFormat="1" applyAlignment="1">
      <alignment horizontal="center"/>
    </xf>
    <xf numFmtId="164" fontId="0" fillId="15" borderId="0" xfId="0" applyNumberFormat="1" applyFill="1" applyAlignment="1">
      <alignment horizontal="center"/>
    </xf>
    <xf numFmtId="0" fontId="116" fillId="15" borderId="0" xfId="0" applyFont="1" applyFill="1" applyAlignment="1">
      <alignment horizontal="center" vertical="center"/>
    </xf>
    <xf numFmtId="0" fontId="116" fillId="26" borderId="0" xfId="0" applyFont="1" applyFill="1" applyAlignment="1">
      <alignment horizontal="center" vertical="center"/>
    </xf>
    <xf numFmtId="164" fontId="0" fillId="26" borderId="0" xfId="0" applyNumberFormat="1" applyFill="1" applyAlignment="1">
      <alignment horizontal="center"/>
    </xf>
    <xf numFmtId="2" fontId="8" fillId="26" borderId="0" xfId="0" applyNumberFormat="1" applyFont="1" applyFill="1"/>
    <xf numFmtId="2" fontId="8" fillId="15" borderId="0" xfId="0" applyNumberFormat="1" applyFont="1" applyFill="1"/>
    <xf numFmtId="2" fontId="75" fillId="0" borderId="39" xfId="0" applyNumberFormat="1" applyFont="1" applyFill="1" applyBorder="1" applyAlignment="1">
      <alignment horizontal="center"/>
    </xf>
    <xf numFmtId="165" fontId="45" fillId="19" borderId="56" xfId="0" applyNumberFormat="1" applyFont="1" applyFill="1" applyBorder="1" applyAlignment="1">
      <alignment vertical="top"/>
    </xf>
    <xf numFmtId="165" fontId="45" fillId="14" borderId="56" xfId="0" applyNumberFormat="1" applyFont="1" applyFill="1" applyBorder="1" applyAlignment="1">
      <alignment vertical="top"/>
    </xf>
    <xf numFmtId="0" fontId="45" fillId="19" borderId="56" xfId="0" applyFont="1" applyFill="1" applyBorder="1" applyAlignment="1">
      <alignment vertical="top"/>
    </xf>
    <xf numFmtId="0" fontId="45" fillId="14" borderId="56" xfId="0" applyFont="1" applyFill="1" applyBorder="1" applyAlignment="1">
      <alignment vertical="top"/>
    </xf>
    <xf numFmtId="0" fontId="76" fillId="19" borderId="56" xfId="0" applyFont="1" applyFill="1" applyBorder="1" applyAlignment="1">
      <alignment vertical="top"/>
    </xf>
    <xf numFmtId="165" fontId="45" fillId="22" borderId="56" xfId="0" applyNumberFormat="1" applyFont="1" applyFill="1" applyBorder="1" applyAlignment="1">
      <alignment vertical="top"/>
    </xf>
    <xf numFmtId="0" fontId="45" fillId="14" borderId="56" xfId="0" applyFont="1" applyFill="1" applyBorder="1"/>
    <xf numFmtId="2" fontId="75" fillId="0" borderId="49" xfId="0" applyNumberFormat="1" applyFont="1" applyFill="1" applyBorder="1" applyAlignment="1">
      <alignment horizontal="center"/>
    </xf>
    <xf numFmtId="2" fontId="0" fillId="20" borderId="47" xfId="0" applyNumberFormat="1" applyFill="1" applyBorder="1" applyAlignment="1">
      <alignment vertical="top"/>
    </xf>
    <xf numFmtId="0" fontId="0" fillId="20" borderId="47" xfId="0" applyFill="1" applyBorder="1" applyAlignment="1">
      <alignment vertical="top"/>
    </xf>
    <xf numFmtId="2" fontId="0" fillId="20" borderId="49" xfId="0" applyNumberFormat="1" applyFill="1" applyBorder="1" applyAlignment="1">
      <alignment horizontal="center"/>
    </xf>
    <xf numFmtId="0" fontId="107" fillId="0" borderId="47" xfId="0" applyFont="1" applyFill="1" applyBorder="1" applyAlignment="1">
      <alignment horizontal="center" vertical="center" wrapText="1"/>
    </xf>
    <xf numFmtId="2" fontId="0" fillId="0" borderId="47" xfId="0" applyNumberFormat="1" applyFill="1" applyBorder="1" applyAlignment="1">
      <alignment horizontal="center"/>
    </xf>
    <xf numFmtId="165" fontId="45" fillId="0" borderId="5" xfId="0" applyNumberFormat="1" applyFont="1" applyFill="1" applyBorder="1" applyAlignment="1">
      <alignment vertical="top"/>
    </xf>
    <xf numFmtId="165" fontId="45" fillId="0" borderId="56" xfId="0" applyNumberFormat="1" applyFont="1" applyFill="1" applyBorder="1" applyAlignment="1">
      <alignment vertical="top"/>
    </xf>
    <xf numFmtId="0" fontId="45" fillId="0" borderId="56" xfId="0" applyFont="1" applyFill="1" applyBorder="1" applyAlignment="1">
      <alignment vertical="top"/>
    </xf>
    <xf numFmtId="0" fontId="45" fillId="0" borderId="5" xfId="0" applyFont="1" applyFill="1" applyBorder="1" applyAlignment="1">
      <alignment vertical="top"/>
    </xf>
    <xf numFmtId="2" fontId="0" fillId="27" borderId="0" xfId="0" applyNumberFormat="1" applyFill="1" applyBorder="1"/>
    <xf numFmtId="2" fontId="0" fillId="27" borderId="0" xfId="0" applyNumberFormat="1" applyFill="1" applyBorder="1" applyAlignment="1">
      <alignment vertical="top"/>
    </xf>
    <xf numFmtId="164" fontId="0" fillId="0" borderId="0" xfId="0" applyNumberFormat="1" applyFill="1" applyBorder="1" applyAlignment="1">
      <alignment vertical="top"/>
    </xf>
    <xf numFmtId="0" fontId="0" fillId="0" borderId="12" xfId="0" applyFill="1" applyBorder="1" applyAlignment="1">
      <alignment vertical="top"/>
    </xf>
    <xf numFmtId="164" fontId="0" fillId="0" borderId="47" xfId="0" applyNumberFormat="1" applyFill="1" applyBorder="1" applyAlignment="1">
      <alignment vertical="top"/>
    </xf>
    <xf numFmtId="0" fontId="0" fillId="0" borderId="47" xfId="0" applyFill="1" applyBorder="1" applyAlignment="1">
      <alignment vertical="top"/>
    </xf>
    <xf numFmtId="0" fontId="0" fillId="0" borderId="47" xfId="0" applyNumberFormat="1" applyFill="1" applyBorder="1" applyAlignment="1">
      <alignment vertical="top"/>
    </xf>
    <xf numFmtId="2" fontId="0" fillId="15" borderId="61" xfId="0" applyNumberFormat="1" applyFill="1" applyBorder="1" applyAlignment="1">
      <alignment vertical="top"/>
    </xf>
    <xf numFmtId="2" fontId="0" fillId="15" borderId="62" xfId="0" applyNumberFormat="1" applyFill="1" applyBorder="1" applyAlignment="1">
      <alignment vertical="top"/>
    </xf>
    <xf numFmtId="0" fontId="0" fillId="0" borderId="61" xfId="0" applyFill="1" applyBorder="1" applyAlignment="1">
      <alignment vertical="top"/>
    </xf>
    <xf numFmtId="0" fontId="0" fillId="13" borderId="0" xfId="0" applyFill="1" applyBorder="1" applyAlignment="1">
      <alignment vertical="top"/>
    </xf>
    <xf numFmtId="0" fontId="0" fillId="0" borderId="63" xfId="0" applyFill="1" applyBorder="1" applyAlignment="1">
      <alignment vertical="top"/>
    </xf>
    <xf numFmtId="0" fontId="0" fillId="28" borderId="0" xfId="0" applyFill="1"/>
    <xf numFmtId="2" fontId="0" fillId="28" borderId="0" xfId="0" applyNumberFormat="1" applyFill="1" applyBorder="1" applyAlignment="1">
      <alignment vertical="top"/>
    </xf>
    <xf numFmtId="2" fontId="0" fillId="28" borderId="42" xfId="0" applyNumberFormat="1" applyFill="1" applyBorder="1" applyAlignment="1">
      <alignment vertical="top"/>
    </xf>
    <xf numFmtId="2" fontId="75" fillId="0" borderId="39" xfId="0" applyNumberFormat="1" applyFont="1" applyFill="1" applyBorder="1" applyAlignment="1">
      <alignment horizontal="right"/>
    </xf>
    <xf numFmtId="2" fontId="117" fillId="20" borderId="39" xfId="0" applyNumberFormat="1" applyFont="1" applyFill="1" applyBorder="1" applyAlignment="1">
      <alignment horizontal="right"/>
    </xf>
    <xf numFmtId="2" fontId="0" fillId="0" borderId="47" xfId="0" applyNumberFormat="1" applyFill="1" applyBorder="1" applyAlignment="1">
      <alignment vertical="top"/>
    </xf>
    <xf numFmtId="164" fontId="76" fillId="4" borderId="2" xfId="0" applyNumberFormat="1" applyFont="1" applyFill="1" applyBorder="1" applyAlignment="1">
      <alignment vertical="top"/>
    </xf>
    <xf numFmtId="2" fontId="76" fillId="4" borderId="2" xfId="0" applyNumberFormat="1" applyFont="1" applyFill="1" applyBorder="1" applyAlignment="1">
      <alignment vertical="top"/>
    </xf>
    <xf numFmtId="165" fontId="76" fillId="0" borderId="2" xfId="0" applyNumberFormat="1" applyFont="1" applyFill="1" applyBorder="1" applyAlignment="1">
      <alignment vertical="top"/>
    </xf>
    <xf numFmtId="2" fontId="0" fillId="14" borderId="47" xfId="0" applyNumberFormat="1" applyFill="1" applyBorder="1" applyAlignment="1">
      <alignment vertical="top"/>
    </xf>
    <xf numFmtId="0" fontId="0" fillId="4" borderId="23" xfId="0" applyFont="1" applyFill="1" applyBorder="1" applyAlignment="1">
      <alignment horizontal="center" vertical="top"/>
    </xf>
    <xf numFmtId="1" fontId="93" fillId="0" borderId="0" xfId="0" applyNumberFormat="1" applyFont="1" applyFill="1" applyBorder="1" applyAlignment="1">
      <alignment vertical="top"/>
    </xf>
    <xf numFmtId="1" fontId="77" fillId="0" borderId="0" xfId="0" applyNumberFormat="1" applyFont="1" applyFill="1" applyBorder="1" applyAlignment="1">
      <alignment horizontal="right" vertical="top"/>
    </xf>
    <xf numFmtId="0" fontId="76" fillId="0" borderId="0" xfId="0" applyFont="1" applyFill="1" applyBorder="1" applyAlignment="1">
      <alignment horizontal="right" vertical="top"/>
    </xf>
    <xf numFmtId="1" fontId="76" fillId="0" borderId="0" xfId="0" applyNumberFormat="1" applyFont="1" applyFill="1" applyBorder="1" applyAlignment="1">
      <alignment horizontal="right" vertical="top"/>
    </xf>
    <xf numFmtId="0" fontId="76" fillId="0" borderId="0" xfId="0" applyNumberFormat="1" applyFont="1" applyFill="1" applyBorder="1" applyAlignment="1">
      <alignment horizontal="right" vertical="top"/>
    </xf>
    <xf numFmtId="1" fontId="61" fillId="0" borderId="0" xfId="0" applyNumberFormat="1" applyFont="1" applyFill="1" applyBorder="1" applyAlignment="1">
      <alignment horizontal="center" vertical="top"/>
    </xf>
    <xf numFmtId="165" fontId="45" fillId="19" borderId="4" xfId="0" applyNumberFormat="1" applyFont="1" applyFill="1" applyBorder="1" applyAlignment="1">
      <alignment vertical="top"/>
    </xf>
    <xf numFmtId="165" fontId="45" fillId="19" borderId="58" xfId="0" applyNumberFormat="1" applyFont="1" applyFill="1" applyBorder="1" applyAlignment="1">
      <alignment vertical="top"/>
    </xf>
    <xf numFmtId="2" fontId="0" fillId="20" borderId="60" xfId="0" applyNumberFormat="1" applyFill="1" applyBorder="1" applyAlignment="1">
      <alignment vertical="top"/>
    </xf>
    <xf numFmtId="165" fontId="45" fillId="19" borderId="52" xfId="0" applyNumberFormat="1" applyFont="1" applyFill="1" applyBorder="1" applyAlignment="1">
      <alignment vertical="top"/>
    </xf>
    <xf numFmtId="165" fontId="45" fillId="19" borderId="53" xfId="0" applyNumberFormat="1" applyFont="1" applyFill="1" applyBorder="1" applyAlignment="1">
      <alignment vertical="top"/>
    </xf>
    <xf numFmtId="2" fontId="0" fillId="20" borderId="63" xfId="0" applyNumberFormat="1" applyFill="1" applyBorder="1" applyAlignment="1">
      <alignment vertical="top"/>
    </xf>
    <xf numFmtId="2" fontId="93" fillId="4" borderId="2" xfId="0" applyNumberFormat="1" applyFont="1" applyFill="1" applyBorder="1" applyAlignment="1">
      <alignment vertical="top"/>
    </xf>
    <xf numFmtId="2" fontId="77" fillId="4" borderId="2" xfId="0" applyNumberFormat="1" applyFont="1" applyFill="1" applyBorder="1" applyAlignment="1">
      <alignment horizontal="right" vertical="top"/>
    </xf>
    <xf numFmtId="2" fontId="77" fillId="4" borderId="29" xfId="0" applyNumberFormat="1" applyFont="1" applyFill="1" applyBorder="1" applyAlignment="1">
      <alignment horizontal="center" vertical="top"/>
    </xf>
    <xf numFmtId="165" fontId="45" fillId="11" borderId="0" xfId="0" applyNumberFormat="1" applyFont="1" applyFill="1" applyBorder="1" applyAlignment="1">
      <alignment vertical="top"/>
    </xf>
    <xf numFmtId="165" fontId="93" fillId="4" borderId="2" xfId="0" applyNumberFormat="1" applyFont="1" applyFill="1" applyBorder="1" applyAlignment="1">
      <alignment vertical="top"/>
    </xf>
    <xf numFmtId="165" fontId="45" fillId="11" borderId="18" xfId="0" applyNumberFormat="1" applyFont="1" applyFill="1" applyBorder="1" applyAlignment="1">
      <alignment vertical="top"/>
    </xf>
    <xf numFmtId="165" fontId="77" fillId="4" borderId="2" xfId="0" applyNumberFormat="1" applyFont="1" applyFill="1" applyBorder="1" applyAlignment="1">
      <alignment horizontal="right" vertical="top"/>
    </xf>
    <xf numFmtId="165" fontId="45" fillId="11" borderId="2" xfId="0" applyNumberFormat="1" applyFont="1" applyFill="1" applyBorder="1" applyAlignment="1">
      <alignment vertical="top"/>
    </xf>
    <xf numFmtId="165" fontId="45" fillId="5" borderId="0" xfId="0" applyNumberFormat="1" applyFont="1" applyFill="1" applyBorder="1" applyAlignment="1">
      <alignment vertical="top"/>
    </xf>
    <xf numFmtId="165" fontId="45" fillId="3" borderId="18" xfId="0" applyNumberFormat="1" applyFont="1" applyFill="1" applyBorder="1" applyAlignment="1">
      <alignment vertical="top"/>
    </xf>
    <xf numFmtId="165" fontId="45" fillId="0" borderId="0" xfId="0" applyNumberFormat="1" applyFont="1" applyFill="1" applyAlignment="1">
      <alignment vertical="top"/>
    </xf>
    <xf numFmtId="165" fontId="45" fillId="5" borderId="18" xfId="0" applyNumberFormat="1" applyFont="1" applyFill="1" applyBorder="1" applyAlignment="1">
      <alignment vertical="top"/>
    </xf>
    <xf numFmtId="165" fontId="45" fillId="0" borderId="1" xfId="0" applyNumberFormat="1" applyFont="1" applyFill="1" applyBorder="1" applyAlignment="1">
      <alignment vertical="top"/>
    </xf>
    <xf numFmtId="165" fontId="0" fillId="0" borderId="42" xfId="0" applyNumberFormat="1" applyBorder="1" applyAlignment="1">
      <alignment vertical="top"/>
    </xf>
    <xf numFmtId="165" fontId="45" fillId="11" borderId="1" xfId="0" applyNumberFormat="1" applyFont="1" applyFill="1" applyBorder="1" applyAlignment="1">
      <alignment vertical="top"/>
    </xf>
    <xf numFmtId="165" fontId="45" fillId="18" borderId="18" xfId="0" applyNumberFormat="1" applyFont="1" applyFill="1" applyBorder="1" applyAlignment="1">
      <alignment vertical="top"/>
    </xf>
    <xf numFmtId="165" fontId="77" fillId="4" borderId="29" xfId="0" applyNumberFormat="1" applyFont="1" applyFill="1" applyBorder="1" applyAlignment="1">
      <alignment horizontal="center" vertical="top"/>
    </xf>
    <xf numFmtId="164" fontId="0" fillId="19" borderId="59" xfId="0" applyNumberFormat="1" applyFill="1" applyBorder="1" applyAlignment="1">
      <alignment vertical="top"/>
    </xf>
    <xf numFmtId="164" fontId="0" fillId="14" borderId="59" xfId="0" applyNumberFormat="1" applyFill="1" applyBorder="1" applyAlignment="1">
      <alignment vertical="top"/>
    </xf>
    <xf numFmtId="164" fontId="0" fillId="0" borderId="59" xfId="0" applyNumberFormat="1" applyBorder="1" applyAlignment="1">
      <alignment vertical="top"/>
    </xf>
    <xf numFmtId="164" fontId="76" fillId="4" borderId="1" xfId="0" applyNumberFormat="1" applyFont="1" applyFill="1" applyBorder="1" applyAlignment="1">
      <alignment vertical="top"/>
    </xf>
    <xf numFmtId="164" fontId="0" fillId="0" borderId="59" xfId="0" applyNumberFormat="1" applyFill="1" applyBorder="1" applyAlignment="1">
      <alignment vertical="top"/>
    </xf>
    <xf numFmtId="164" fontId="0" fillId="0" borderId="59" xfId="0" applyNumberFormat="1" applyFill="1" applyBorder="1"/>
    <xf numFmtId="164" fontId="0" fillId="19" borderId="64" xfId="0" applyNumberFormat="1" applyFill="1" applyBorder="1" applyAlignment="1">
      <alignment vertical="top"/>
    </xf>
    <xf numFmtId="164" fontId="0" fillId="19" borderId="65" xfId="0" applyNumberFormat="1" applyFill="1" applyBorder="1" applyAlignment="1">
      <alignment vertical="top"/>
    </xf>
    <xf numFmtId="164" fontId="0" fillId="22" borderId="59" xfId="0" applyNumberFormat="1" applyFill="1" applyBorder="1" applyAlignment="1">
      <alignment vertical="top"/>
    </xf>
    <xf numFmtId="164" fontId="0" fillId="18" borderId="59" xfId="0" applyNumberFormat="1" applyFill="1" applyBorder="1" applyAlignment="1">
      <alignment vertical="top"/>
    </xf>
    <xf numFmtId="164" fontId="43" fillId="0" borderId="59" xfId="0" applyNumberFormat="1" applyFont="1" applyBorder="1"/>
    <xf numFmtId="2" fontId="76" fillId="4" borderId="0" xfId="0" applyNumberFormat="1" applyFont="1" applyFill="1" applyBorder="1" applyAlignment="1">
      <alignment vertical="top"/>
    </xf>
    <xf numFmtId="0" fontId="76" fillId="0" borderId="5" xfId="0" applyFont="1" applyFill="1" applyBorder="1" applyAlignment="1">
      <alignment vertical="top"/>
    </xf>
    <xf numFmtId="0" fontId="76" fillId="0" borderId="56" xfId="0" applyFont="1" applyFill="1" applyBorder="1" applyAlignment="1">
      <alignment vertical="top"/>
    </xf>
    <xf numFmtId="164" fontId="76" fillId="0" borderId="1" xfId="0" applyNumberFormat="1" applyFont="1" applyFill="1" applyBorder="1" applyAlignment="1">
      <alignment vertical="top"/>
    </xf>
    <xf numFmtId="2" fontId="76" fillId="4" borderId="19" xfId="0" applyNumberFormat="1" applyFont="1" applyFill="1" applyBorder="1" applyAlignment="1">
      <alignment vertical="top"/>
    </xf>
    <xf numFmtId="165" fontId="76" fillId="4" borderId="19" xfId="0" applyNumberFormat="1" applyFont="1" applyFill="1" applyBorder="1" applyAlignment="1">
      <alignment vertical="top"/>
    </xf>
    <xf numFmtId="2" fontId="76" fillId="4" borderId="1" xfId="0" applyNumberFormat="1" applyFont="1" applyFill="1" applyBorder="1" applyAlignment="1">
      <alignment vertical="top"/>
    </xf>
    <xf numFmtId="2" fontId="76" fillId="4" borderId="19" xfId="0" applyNumberFormat="1" applyFont="1" applyFill="1" applyBorder="1" applyAlignment="1">
      <alignment horizontal="right" vertical="top"/>
    </xf>
    <xf numFmtId="165" fontId="76" fillId="4" borderId="19" xfId="0" applyNumberFormat="1" applyFont="1" applyFill="1" applyBorder="1" applyAlignment="1">
      <alignment horizontal="right" vertical="top"/>
    </xf>
    <xf numFmtId="164" fontId="43" fillId="0" borderId="59" xfId="0" applyNumberFormat="1" applyFont="1" applyFill="1" applyBorder="1"/>
    <xf numFmtId="2" fontId="76" fillId="4" borderId="34" xfId="0" applyNumberFormat="1" applyFont="1" applyFill="1" applyBorder="1" applyAlignment="1">
      <alignment vertical="top"/>
    </xf>
    <xf numFmtId="165" fontId="76" fillId="4" borderId="34" xfId="0" applyNumberFormat="1" applyFont="1" applyFill="1" applyBorder="1" applyAlignment="1">
      <alignment vertical="top"/>
    </xf>
    <xf numFmtId="0" fontId="0" fillId="0" borderId="5" xfId="0" applyFill="1" applyBorder="1"/>
    <xf numFmtId="0" fontId="0" fillId="0" borderId="56" xfId="0" applyFill="1" applyBorder="1"/>
    <xf numFmtId="2" fontId="0" fillId="0" borderId="47" xfId="0" applyNumberFormat="1" applyFill="1" applyBorder="1"/>
    <xf numFmtId="0" fontId="43" fillId="0" borderId="0" xfId="0" applyFont="1" applyFill="1"/>
    <xf numFmtId="2" fontId="45" fillId="4" borderId="1" xfId="0" applyNumberFormat="1" applyFont="1" applyFill="1" applyBorder="1" applyAlignment="1">
      <alignment vertical="top"/>
    </xf>
    <xf numFmtId="165" fontId="61" fillId="4" borderId="19" xfId="0" applyNumberFormat="1" applyFont="1" applyFill="1" applyBorder="1" applyAlignment="1">
      <alignment horizontal="center" vertical="top"/>
    </xf>
    <xf numFmtId="1" fontId="61" fillId="15" borderId="19" xfId="0" applyNumberFormat="1" applyFont="1" applyFill="1" applyBorder="1" applyAlignment="1">
      <alignment horizontal="center" vertical="top"/>
    </xf>
    <xf numFmtId="166" fontId="76" fillId="4" borderId="2" xfId="0" applyNumberFormat="1" applyFont="1" applyFill="1" applyBorder="1" applyAlignment="1">
      <alignment vertical="top"/>
    </xf>
    <xf numFmtId="0" fontId="8" fillId="4" borderId="2" xfId="0" applyFont="1" applyFill="1" applyBorder="1" applyAlignment="1">
      <alignment vertical="justify"/>
    </xf>
    <xf numFmtId="0" fontId="0" fillId="3" borderId="2" xfId="0" applyFont="1" applyFill="1" applyBorder="1" applyAlignment="1">
      <alignment vertical="justify"/>
    </xf>
    <xf numFmtId="0" fontId="0" fillId="0" borderId="0" xfId="0" applyAlignment="1">
      <alignment shrinkToFit="1"/>
    </xf>
    <xf numFmtId="0" fontId="77" fillId="0" borderId="0" xfId="0" applyFont="1" applyAlignment="1"/>
    <xf numFmtId="2" fontId="0" fillId="14" borderId="0" xfId="0" applyNumberFormat="1" applyFont="1" applyFill="1" applyBorder="1" applyAlignment="1">
      <alignment vertical="top"/>
    </xf>
    <xf numFmtId="2" fontId="0" fillId="0" borderId="31" xfId="0" applyNumberFormat="1" applyBorder="1" applyAlignment="1">
      <alignment vertical="top"/>
    </xf>
    <xf numFmtId="2" fontId="0" fillId="0" borderId="0" xfId="0" applyNumberFormat="1" applyFill="1" applyAlignment="1">
      <alignment vertical="top"/>
    </xf>
    <xf numFmtId="0" fontId="75" fillId="0" borderId="0" xfId="0" applyFont="1" applyFill="1" applyAlignment="1">
      <alignment horizontal="center"/>
    </xf>
    <xf numFmtId="0" fontId="0" fillId="22" borderId="0" xfId="0" applyFill="1" applyAlignment="1"/>
    <xf numFmtId="1" fontId="75" fillId="17" borderId="0" xfId="0" applyNumberFormat="1" applyFont="1" applyFill="1" applyBorder="1" applyAlignment="1">
      <alignment vertical="top"/>
    </xf>
    <xf numFmtId="0" fontId="75" fillId="0" borderId="0" xfId="0" applyFont="1" applyAlignment="1">
      <alignment horizontal="right"/>
    </xf>
    <xf numFmtId="2" fontId="0" fillId="14" borderId="0" xfId="0" applyNumberFormat="1" applyFill="1"/>
    <xf numFmtId="0" fontId="0" fillId="14" borderId="0" xfId="0" applyFill="1" applyAlignment="1">
      <alignment horizontal="center" vertical="center"/>
    </xf>
    <xf numFmtId="2" fontId="0" fillId="14" borderId="0" xfId="0" applyNumberFormat="1" applyFill="1" applyAlignment="1">
      <alignment wrapText="1"/>
    </xf>
    <xf numFmtId="1" fontId="0" fillId="14" borderId="0" xfId="0" applyNumberFormat="1" applyFill="1"/>
    <xf numFmtId="0" fontId="0" fillId="14" borderId="0" xfId="0" applyFill="1" applyAlignment="1">
      <alignment horizontal="center"/>
    </xf>
    <xf numFmtId="2" fontId="8" fillId="14" borderId="0" xfId="0" applyNumberFormat="1" applyFont="1" applyFill="1"/>
    <xf numFmtId="0" fontId="77" fillId="21" borderId="0" xfId="0" applyNumberFormat="1" applyFont="1" applyFill="1" applyBorder="1" applyAlignment="1">
      <alignment horizontal="center" vertical="top"/>
    </xf>
    <xf numFmtId="0" fontId="79" fillId="21" borderId="0" xfId="0" applyFont="1" applyFill="1" applyBorder="1" applyAlignment="1">
      <alignment horizontal="center" vertical="top"/>
    </xf>
    <xf numFmtId="0" fontId="9" fillId="21" borderId="18" xfId="0" applyFont="1" applyFill="1" applyBorder="1" applyAlignment="1">
      <alignment vertical="justify"/>
    </xf>
    <xf numFmtId="0" fontId="0" fillId="21" borderId="2" xfId="0" applyFill="1" applyBorder="1" applyAlignment="1">
      <alignment horizontal="center" vertical="top"/>
    </xf>
    <xf numFmtId="0" fontId="0" fillId="21" borderId="2" xfId="0" applyFill="1" applyBorder="1" applyAlignment="1">
      <alignment vertical="top"/>
    </xf>
    <xf numFmtId="0" fontId="2" fillId="21" borderId="2" xfId="0" applyFont="1" applyFill="1" applyBorder="1"/>
    <xf numFmtId="0" fontId="76" fillId="21" borderId="2" xfId="0" applyNumberFormat="1" applyFont="1" applyFill="1" applyBorder="1" applyAlignment="1">
      <alignment horizontal="center" vertical="top"/>
    </xf>
    <xf numFmtId="1" fontId="79" fillId="21" borderId="2" xfId="0" applyNumberFormat="1" applyFont="1" applyFill="1" applyBorder="1" applyAlignment="1">
      <alignment horizontal="center" vertical="top"/>
    </xf>
    <xf numFmtId="0" fontId="2" fillId="21" borderId="2" xfId="0" applyFont="1" applyFill="1" applyBorder="1" applyAlignment="1">
      <alignment horizontal="left" vertical="top"/>
    </xf>
    <xf numFmtId="0" fontId="2" fillId="21" borderId="2" xfId="0" applyFont="1" applyFill="1" applyBorder="1" applyAlignment="1">
      <alignment horizontal="center" vertical="top"/>
    </xf>
    <xf numFmtId="0" fontId="2" fillId="21" borderId="2" xfId="0" applyNumberFormat="1" applyFont="1" applyFill="1" applyBorder="1" applyAlignment="1">
      <alignment horizontal="center" vertical="top"/>
    </xf>
    <xf numFmtId="0" fontId="79" fillId="21" borderId="2" xfId="0" applyNumberFormat="1" applyFont="1" applyFill="1" applyBorder="1" applyAlignment="1">
      <alignment horizontal="center" vertical="top"/>
    </xf>
    <xf numFmtId="0" fontId="45" fillId="21" borderId="2" xfId="0" applyFont="1" applyFill="1" applyBorder="1" applyAlignment="1">
      <alignment horizontal="center" vertical="top"/>
    </xf>
    <xf numFmtId="164" fontId="0" fillId="21" borderId="2" xfId="0" applyNumberFormat="1" applyFill="1" applyBorder="1" applyAlignment="1">
      <alignment horizontal="right" vertical="top"/>
    </xf>
    <xf numFmtId="0" fontId="45" fillId="21" borderId="40" xfId="0" applyFont="1" applyFill="1" applyBorder="1" applyAlignment="1">
      <alignment horizontal="right" vertical="top"/>
    </xf>
    <xf numFmtId="0" fontId="45" fillId="21" borderId="2" xfId="0" applyFont="1" applyFill="1" applyBorder="1" applyAlignment="1">
      <alignment horizontal="right" vertical="top"/>
    </xf>
    <xf numFmtId="1" fontId="76" fillId="21" borderId="2" xfId="0" applyNumberFormat="1" applyFont="1" applyFill="1" applyBorder="1" applyAlignment="1">
      <alignment horizontal="right" vertical="top"/>
    </xf>
    <xf numFmtId="0" fontId="45" fillId="21" borderId="1" xfId="0" applyFont="1" applyFill="1" applyBorder="1" applyAlignment="1">
      <alignment horizontal="right" vertical="top"/>
    </xf>
    <xf numFmtId="165" fontId="76" fillId="21" borderId="1" xfId="0" applyNumberFormat="1" applyFont="1" applyFill="1" applyBorder="1" applyAlignment="1">
      <alignment horizontal="right" vertical="top"/>
    </xf>
    <xf numFmtId="2" fontId="76" fillId="21" borderId="1" xfId="0" applyNumberFormat="1" applyFont="1" applyFill="1" applyBorder="1" applyAlignment="1">
      <alignment horizontal="right" vertical="top"/>
    </xf>
    <xf numFmtId="0" fontId="0" fillId="4" borderId="1" xfId="0" applyFont="1" applyFill="1" applyBorder="1" applyAlignment="1">
      <alignment horizontal="center" vertical="top"/>
    </xf>
    <xf numFmtId="0" fontId="0" fillId="4" borderId="2" xfId="0" applyFont="1" applyFill="1" applyBorder="1" applyAlignment="1">
      <alignment horizontal="center" vertical="top"/>
    </xf>
    <xf numFmtId="0" fontId="0" fillId="21" borderId="0" xfId="0" applyFont="1" applyFill="1" applyBorder="1" applyAlignment="1">
      <alignment horizontal="center" vertical="top"/>
    </xf>
    <xf numFmtId="0" fontId="2" fillId="21" borderId="0" xfId="0" applyFont="1" applyFill="1" applyBorder="1"/>
    <xf numFmtId="0" fontId="0" fillId="0" borderId="0" xfId="0" applyAlignment="1">
      <alignment horizontal="center" vertical="center" wrapText="1"/>
    </xf>
    <xf numFmtId="0" fontId="0" fillId="4" borderId="2" xfId="0" applyFont="1" applyFill="1" applyBorder="1" applyAlignment="1">
      <alignment vertical="justify"/>
    </xf>
    <xf numFmtId="1" fontId="75" fillId="21" borderId="0" xfId="0" applyNumberFormat="1" applyFont="1" applyFill="1" applyBorder="1" applyAlignment="1">
      <alignment horizontal="center" vertical="top"/>
    </xf>
    <xf numFmtId="0" fontId="12" fillId="15" borderId="1" xfId="0" applyFont="1" applyFill="1" applyBorder="1" applyAlignment="1">
      <alignment horizontal="center" vertical="top"/>
    </xf>
    <xf numFmtId="2" fontId="0" fillId="15" borderId="42" xfId="0" applyNumberFormat="1" applyFill="1" applyBorder="1" applyAlignment="1">
      <alignment vertical="top"/>
    </xf>
    <xf numFmtId="2" fontId="0" fillId="29" borderId="0" xfId="0" applyNumberFormat="1" applyFill="1" applyAlignment="1">
      <alignment vertical="top"/>
    </xf>
    <xf numFmtId="0" fontId="107" fillId="15" borderId="50" xfId="0" applyFont="1" applyFill="1" applyBorder="1" applyAlignment="1">
      <alignment horizontal="center" vertical="center" wrapText="1"/>
    </xf>
    <xf numFmtId="0" fontId="8" fillId="20" borderId="3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0" fillId="14" borderId="55" xfId="0" applyFill="1" applyBorder="1" applyAlignment="1">
      <alignment horizontal="center" vertical="top"/>
    </xf>
    <xf numFmtId="0" fontId="0" fillId="14" borderId="0" xfId="0" applyFill="1" applyBorder="1" applyAlignment="1">
      <alignment horizontal="center" vertical="top" wrapText="1"/>
    </xf>
    <xf numFmtId="0" fontId="107" fillId="19" borderId="0" xfId="0" applyFont="1" applyFill="1" applyBorder="1" applyAlignment="1">
      <alignment horizontal="center" wrapText="1"/>
    </xf>
    <xf numFmtId="3" fontId="120" fillId="15" borderId="42" xfId="0" applyNumberFormat="1" applyFont="1" applyFill="1" applyBorder="1" applyAlignment="1">
      <alignment horizontal="center" vertical="center"/>
    </xf>
    <xf numFmtId="167" fontId="120" fillId="15" borderId="21" xfId="0" applyNumberFormat="1" applyFont="1" applyFill="1" applyBorder="1" applyAlignment="1">
      <alignment horizontal="center" vertical="center"/>
    </xf>
    <xf numFmtId="3" fontId="121" fillId="30" borderId="0" xfId="0" applyNumberFormat="1" applyFont="1" applyFill="1" applyAlignment="1">
      <alignment horizontal="center" vertical="center"/>
    </xf>
    <xf numFmtId="167" fontId="121" fillId="30" borderId="0" xfId="0" applyNumberFormat="1" applyFont="1" applyFill="1" applyAlignment="1">
      <alignment horizontal="center" vertical="center"/>
    </xf>
    <xf numFmtId="0" fontId="8" fillId="26" borderId="14" xfId="0" applyFont="1" applyFill="1" applyBorder="1" applyAlignment="1">
      <alignment horizontal="center" wrapText="1"/>
    </xf>
    <xf numFmtId="0" fontId="8" fillId="26" borderId="0" xfId="0" applyFont="1" applyFill="1" applyBorder="1" applyAlignment="1">
      <alignment horizontal="center" wrapText="1"/>
    </xf>
    <xf numFmtId="0" fontId="77" fillId="0" borderId="0" xfId="0" applyFont="1" applyAlignment="1"/>
    <xf numFmtId="0" fontId="0" fillId="0" borderId="0" xfId="0" applyAlignment="1"/>
    <xf numFmtId="0" fontId="0" fillId="19" borderId="4" xfId="0" applyFill="1" applyBorder="1" applyAlignment="1">
      <alignment horizontal="center" vertical="center"/>
    </xf>
    <xf numFmtId="0" fontId="0" fillId="19" borderId="6" xfId="0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top" wrapText="1"/>
    </xf>
    <xf numFmtId="0" fontId="0" fillId="19" borderId="6" xfId="0" applyFill="1" applyBorder="1" applyAlignment="1">
      <alignment horizontal="center" vertical="top" wrapText="1"/>
    </xf>
    <xf numFmtId="0" fontId="107" fillId="15" borderId="49" xfId="0" applyFont="1" applyFill="1" applyBorder="1" applyAlignment="1">
      <alignment horizontal="center" vertical="center" wrapText="1"/>
    </xf>
    <xf numFmtId="0" fontId="107" fillId="15" borderId="50" xfId="0" applyFont="1" applyFill="1" applyBorder="1" applyAlignment="1">
      <alignment horizontal="center" vertical="center" wrapText="1"/>
    </xf>
    <xf numFmtId="0" fontId="107" fillId="15" borderId="48" xfId="0" applyFont="1" applyFill="1" applyBorder="1" applyAlignment="1">
      <alignment horizontal="center" vertical="center" wrapText="1"/>
    </xf>
    <xf numFmtId="0" fontId="107" fillId="19" borderId="49" xfId="0" applyFont="1" applyFill="1" applyBorder="1" applyAlignment="1">
      <alignment horizontal="center" wrapText="1"/>
    </xf>
    <xf numFmtId="0" fontId="107" fillId="19" borderId="50" xfId="0" applyFont="1" applyFill="1" applyBorder="1" applyAlignment="1">
      <alignment horizontal="center" wrapText="1"/>
    </xf>
    <xf numFmtId="0" fontId="107" fillId="19" borderId="48" xfId="0" applyFont="1" applyFill="1" applyBorder="1" applyAlignment="1">
      <alignment horizontal="center" wrapText="1"/>
    </xf>
    <xf numFmtId="0" fontId="8" fillId="20" borderId="45" xfId="0" applyFont="1" applyFill="1" applyBorder="1" applyAlignment="1">
      <alignment horizontal="center" wrapText="1"/>
    </xf>
    <xf numFmtId="0" fontId="8" fillId="20" borderId="31" xfId="0" applyFont="1" applyFill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0" fillId="0" borderId="45" xfId="0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41" xfId="0" applyBorder="1" applyAlignment="1">
      <alignment horizontal="center"/>
    </xf>
    <xf numFmtId="0" fontId="107" fillId="20" borderId="49" xfId="0" applyFont="1" applyFill="1" applyBorder="1" applyAlignment="1">
      <alignment horizontal="center" vertical="center" wrapText="1"/>
    </xf>
    <xf numFmtId="0" fontId="107" fillId="20" borderId="50" xfId="0" applyFont="1" applyFill="1" applyBorder="1" applyAlignment="1">
      <alignment horizontal="center" vertical="center" wrapText="1"/>
    </xf>
    <xf numFmtId="0" fontId="8" fillId="15" borderId="49" xfId="0" applyFont="1" applyFill="1" applyBorder="1" applyAlignment="1">
      <alignment horizontal="center" wrapText="1"/>
    </xf>
    <xf numFmtId="0" fontId="8" fillId="15" borderId="50" xfId="0" applyFont="1" applyFill="1" applyBorder="1" applyAlignment="1">
      <alignment horizontal="center" wrapText="1"/>
    </xf>
    <xf numFmtId="0" fontId="8" fillId="15" borderId="48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top"/>
    </xf>
  </cellXfs>
  <cellStyles count="342">
    <cellStyle name="Гиперссылка" xfId="1" builtinId="8" hidden="1"/>
    <cellStyle name="Гиперссылка" xfId="4" builtinId="8" hidden="1"/>
    <cellStyle name="Гиперссылка" xfId="6" builtinId="8" hidden="1"/>
    <cellStyle name="Гиперссылка" xfId="8" builtinId="8" hidden="1"/>
    <cellStyle name="Гиперссылка" xfId="10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32" builtinId="8" hidden="1"/>
    <cellStyle name="Гиперссылка" xfId="334" builtinId="8" hidden="1"/>
    <cellStyle name="Гиперссылка" xfId="336" builtinId="8" hidden="1"/>
    <cellStyle name="Гиперссылка" xfId="338" builtinId="8" hidden="1"/>
    <cellStyle name="Гиперссылка" xfId="340" builtinId="8" hidden="1"/>
    <cellStyle name="Обычный" xfId="0" builtinId="0"/>
    <cellStyle name="Открывавшаяся гиперссылка" xfId="2" builtinId="9" hidden="1"/>
    <cellStyle name="Открывавшаяся гиперссылка" xfId="5" builtinId="9" hidden="1"/>
    <cellStyle name="Открывавшаяся гиперссылка" xfId="7" builtinId="9" hidden="1"/>
    <cellStyle name="Открывавшаяся гиперссылка" xfId="9" builtinId="9" hidden="1"/>
    <cellStyle name="Открывавшаяся гиперссылка" xfId="11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3" builtinId="9" hidden="1"/>
    <cellStyle name="Открывавшаяся гиперссылка" xfId="335" builtinId="9" hidden="1"/>
    <cellStyle name="Открывавшаяся гиперссылка" xfId="337" builtinId="9" hidden="1"/>
    <cellStyle name="Открывавшаяся гиперссылка" xfId="339" builtinId="9" hidden="1"/>
    <cellStyle name="Открывавшаяся гиперссылка" xfId="341" builtinId="9" hidden="1"/>
    <cellStyle name="Хороший" xfId="329" builtinId="26"/>
    <cellStyle name="Normal 2" xfId="3"/>
    <cellStyle name="Normal 2 2" xfId="331"/>
    <cellStyle name="Normal 3" xfId="12"/>
    <cellStyle name="Style 1" xfId="33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99CC"/>
      <color rgb="FF95C25E"/>
      <color rgb="FF919B53"/>
      <color rgb="FFCCFF99"/>
      <color rgb="FF559553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58505564387917"/>
          <c:y val="0.0260102232157858"/>
          <c:w val="0.637519872814002"/>
          <c:h val="0.799814363885413"/>
        </c:manualLayout>
      </c:layout>
      <c:lineChart>
        <c:grouping val="standard"/>
        <c:varyColors val="0"/>
        <c:ser>
          <c:idx val="0"/>
          <c:order val="0"/>
          <c:tx>
            <c:strRef>
              <c:f>diagrams!$C$2:$C$4</c:f>
              <c:strCache>
                <c:ptCount val="3"/>
                <c:pt idx="0">
                  <c:v>Нач.отдела</c:v>
                </c:pt>
                <c:pt idx="1">
                  <c:v>2009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square"/>
            <c:size val="5"/>
          </c:marker>
          <c:val>
            <c:numRef>
              <c:f>diagrams!$C$5:$C$17</c:f>
              <c:numCache>
                <c:formatCode>General</c:formatCode>
                <c:ptCount val="13"/>
                <c:pt idx="0">
                  <c:v>27500.0</c:v>
                </c:pt>
                <c:pt idx="1">
                  <c:v>27000.0</c:v>
                </c:pt>
                <c:pt idx="2">
                  <c:v>28000.0</c:v>
                </c:pt>
                <c:pt idx="3">
                  <c:v>28000.0</c:v>
                </c:pt>
                <c:pt idx="4">
                  <c:v>28000.0</c:v>
                </c:pt>
                <c:pt idx="5">
                  <c:v>28000.0</c:v>
                </c:pt>
                <c:pt idx="6">
                  <c:v>27000.0</c:v>
                </c:pt>
                <c:pt idx="7">
                  <c:v>28000.0</c:v>
                </c:pt>
                <c:pt idx="8">
                  <c:v>28000.0</c:v>
                </c:pt>
                <c:pt idx="9">
                  <c:v>28000.0</c:v>
                </c:pt>
                <c:pt idx="10">
                  <c:v>28000.0</c:v>
                </c:pt>
                <c:pt idx="11">
                  <c:v>27000.0</c:v>
                </c:pt>
                <c:pt idx="12">
                  <c:v>25000.0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diagrams!$D$2:$D$4</c:f>
              <c:strCache>
                <c:ptCount val="3"/>
                <c:pt idx="0">
                  <c:v>Нач.отдела</c:v>
                </c:pt>
                <c:pt idx="1">
                  <c:v>2009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square"/>
            <c:size val="5"/>
          </c:marker>
          <c:val>
            <c:numRef>
              <c:f>diagrams!$D$5:$D$17</c:f>
              <c:numCache>
                <c:formatCode>General</c:formatCode>
                <c:ptCount val="13"/>
                <c:pt idx="0">
                  <c:v>33500.0</c:v>
                </c:pt>
                <c:pt idx="1">
                  <c:v>30000.0</c:v>
                </c:pt>
                <c:pt idx="2">
                  <c:v>36500.0</c:v>
                </c:pt>
                <c:pt idx="3">
                  <c:v>36500.0</c:v>
                </c:pt>
                <c:pt idx="4">
                  <c:v>34000.0</c:v>
                </c:pt>
                <c:pt idx="5">
                  <c:v>36000.0</c:v>
                </c:pt>
                <c:pt idx="6">
                  <c:v>34500.0</c:v>
                </c:pt>
                <c:pt idx="7">
                  <c:v>40500.0</c:v>
                </c:pt>
                <c:pt idx="8">
                  <c:v>33800.0</c:v>
                </c:pt>
                <c:pt idx="9">
                  <c:v>35000.0</c:v>
                </c:pt>
                <c:pt idx="10">
                  <c:v>30000.0</c:v>
                </c:pt>
                <c:pt idx="11">
                  <c:v>30000.0</c:v>
                </c:pt>
                <c:pt idx="12">
                  <c:v>27300.0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diagrams!$E$2:$E$4</c:f>
              <c:strCache>
                <c:ptCount val="3"/>
                <c:pt idx="0">
                  <c:v>Нач.отдела</c:v>
                </c:pt>
                <c:pt idx="1">
                  <c:v>2013</c:v>
                </c:pt>
                <c:pt idx="2">
                  <c:v>- оклад</c:v>
                </c:pt>
              </c:strCache>
            </c:strRef>
          </c:tx>
          <c:marker>
            <c:symbol val="triangle"/>
            <c:size val="7"/>
          </c:marker>
          <c:val>
            <c:numRef>
              <c:f>diagrams!$E$5:$E$17</c:f>
              <c:numCache>
                <c:formatCode>General</c:formatCode>
                <c:ptCount val="13"/>
                <c:pt idx="0">
                  <c:v>37000.0</c:v>
                </c:pt>
                <c:pt idx="1">
                  <c:v>37000.0</c:v>
                </c:pt>
                <c:pt idx="2">
                  <c:v>41000.0</c:v>
                </c:pt>
                <c:pt idx="3">
                  <c:v>41000.0</c:v>
                </c:pt>
                <c:pt idx="4">
                  <c:v>39000.0</c:v>
                </c:pt>
                <c:pt idx="5">
                  <c:v>40000.0</c:v>
                </c:pt>
                <c:pt idx="6">
                  <c:v>39000.0</c:v>
                </c:pt>
                <c:pt idx="7">
                  <c:v>40000.0</c:v>
                </c:pt>
                <c:pt idx="8">
                  <c:v>36000.0</c:v>
                </c:pt>
                <c:pt idx="9">
                  <c:v>38000.0</c:v>
                </c:pt>
                <c:pt idx="10">
                  <c:v>38000.0</c:v>
                </c:pt>
                <c:pt idx="11">
                  <c:v>40000.0</c:v>
                </c:pt>
                <c:pt idx="12">
                  <c:v>35000.0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diagrams!$F$2:$F$4</c:f>
              <c:strCache>
                <c:ptCount val="3"/>
                <c:pt idx="0">
                  <c:v>Нач.отдела</c:v>
                </c:pt>
                <c:pt idx="1">
                  <c:v>2013</c:v>
                </c:pt>
                <c:pt idx="2">
                  <c:v>- зарплата</c:v>
                </c:pt>
              </c:strCache>
            </c:strRef>
          </c:tx>
          <c:marker>
            <c:symbol val="triangle"/>
            <c:size val="5"/>
          </c:marker>
          <c:val>
            <c:numRef>
              <c:f>diagrams!$F$5:$F$17</c:f>
              <c:numCache>
                <c:formatCode>General</c:formatCode>
                <c:ptCount val="13"/>
                <c:pt idx="0">
                  <c:v>43700.0</c:v>
                </c:pt>
                <c:pt idx="1">
                  <c:v>43700.0</c:v>
                </c:pt>
                <c:pt idx="2">
                  <c:v>47600.0</c:v>
                </c:pt>
                <c:pt idx="3">
                  <c:v>47600.0</c:v>
                </c:pt>
                <c:pt idx="4">
                  <c:v>45000.0</c:v>
                </c:pt>
                <c:pt idx="5">
                  <c:v>46800.0</c:v>
                </c:pt>
                <c:pt idx="6" formatCode="0">
                  <c:v>45900.0</c:v>
                </c:pt>
                <c:pt idx="7">
                  <c:v>55000.0</c:v>
                </c:pt>
                <c:pt idx="8">
                  <c:v>42600.0</c:v>
                </c:pt>
                <c:pt idx="9">
                  <c:v>48000.0</c:v>
                </c:pt>
                <c:pt idx="10" formatCode="0">
                  <c:v>46300.0</c:v>
                </c:pt>
                <c:pt idx="11">
                  <c:v>52000.0</c:v>
                </c:pt>
                <c:pt idx="12">
                  <c:v>38400.0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148592"/>
        <c:axId val="1789384096"/>
      </c:lineChart>
      <c:catAx>
        <c:axId val="178914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38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9384096"/>
        <c:scaling>
          <c:orientation val="minMax"/>
          <c:max val="55000.0"/>
          <c:min val="24000.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1485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4499205087441"/>
          <c:y val="0.416163571452574"/>
          <c:w val="0.208267090620035"/>
          <c:h val="0.221086897334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7545513045128"/>
          <c:w val="0.590076248078695"/>
          <c:h val="0.805706256570003"/>
        </c:manualLayout>
      </c:layout>
      <c:lineChart>
        <c:grouping val="standard"/>
        <c:varyColors val="0"/>
        <c:ser>
          <c:idx val="0"/>
          <c:order val="0"/>
          <c:tx>
            <c:strRef>
              <c:f>diagrams!$H$2:$H$4</c:f>
              <c:strCache>
                <c:ptCount val="3"/>
                <c:pt idx="0">
                  <c:v>Нач.сектора</c:v>
                </c:pt>
                <c:pt idx="1">
                  <c:v>2009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diagrams!$H$5:$H$46</c:f>
              <c:numCache>
                <c:formatCode>General</c:formatCode>
                <c:ptCount val="42"/>
                <c:pt idx="0">
                  <c:v>18000.0</c:v>
                </c:pt>
                <c:pt idx="1">
                  <c:v>20000.0</c:v>
                </c:pt>
                <c:pt idx="2">
                  <c:v>20000.0</c:v>
                </c:pt>
                <c:pt idx="3">
                  <c:v>20000.0</c:v>
                </c:pt>
                <c:pt idx="4">
                  <c:v>20000.0</c:v>
                </c:pt>
                <c:pt idx="5">
                  <c:v>20000.0</c:v>
                </c:pt>
                <c:pt idx="6">
                  <c:v>20000.0</c:v>
                </c:pt>
                <c:pt idx="7">
                  <c:v>20000.0</c:v>
                </c:pt>
                <c:pt idx="8">
                  <c:v>20000.0</c:v>
                </c:pt>
                <c:pt idx="9">
                  <c:v>20300.0</c:v>
                </c:pt>
                <c:pt idx="10">
                  <c:v>20000.0</c:v>
                </c:pt>
                <c:pt idx="11">
                  <c:v>20000.0</c:v>
                </c:pt>
                <c:pt idx="12">
                  <c:v>20000.0</c:v>
                </c:pt>
                <c:pt idx="13">
                  <c:v>20000.0</c:v>
                </c:pt>
                <c:pt idx="14">
                  <c:v>20000.0</c:v>
                </c:pt>
                <c:pt idx="15">
                  <c:v>17900.0</c:v>
                </c:pt>
                <c:pt idx="16">
                  <c:v>20000.0</c:v>
                </c:pt>
                <c:pt idx="17">
                  <c:v>20000.0</c:v>
                </c:pt>
                <c:pt idx="18">
                  <c:v>20000.0</c:v>
                </c:pt>
                <c:pt idx="19">
                  <c:v>20000.0</c:v>
                </c:pt>
                <c:pt idx="20">
                  <c:v>20000.0</c:v>
                </c:pt>
                <c:pt idx="21">
                  <c:v>20000.0</c:v>
                </c:pt>
                <c:pt idx="22">
                  <c:v>20000.0</c:v>
                </c:pt>
                <c:pt idx="23">
                  <c:v>20000.0</c:v>
                </c:pt>
                <c:pt idx="24">
                  <c:v>20000.0</c:v>
                </c:pt>
                <c:pt idx="25">
                  <c:v>20500.0</c:v>
                </c:pt>
                <c:pt idx="26">
                  <c:v>20000.0</c:v>
                </c:pt>
                <c:pt idx="27">
                  <c:v>20000.0</c:v>
                </c:pt>
                <c:pt idx="28">
                  <c:v>20000.0</c:v>
                </c:pt>
                <c:pt idx="29">
                  <c:v>20000.0</c:v>
                </c:pt>
                <c:pt idx="30">
                  <c:v>20000.0</c:v>
                </c:pt>
                <c:pt idx="31">
                  <c:v>20000.0</c:v>
                </c:pt>
                <c:pt idx="32">
                  <c:v>20000.0</c:v>
                </c:pt>
                <c:pt idx="33">
                  <c:v>20000.0</c:v>
                </c:pt>
                <c:pt idx="34">
                  <c:v>20000.0</c:v>
                </c:pt>
                <c:pt idx="35">
                  <c:v>20000.0</c:v>
                </c:pt>
                <c:pt idx="36">
                  <c:v>20000.0</c:v>
                </c:pt>
                <c:pt idx="37">
                  <c:v>19000.0</c:v>
                </c:pt>
                <c:pt idx="38">
                  <c:v>20000.0</c:v>
                </c:pt>
                <c:pt idx="39">
                  <c:v>20000.0</c:v>
                </c:pt>
                <c:pt idx="40">
                  <c:v>20000.0</c:v>
                </c:pt>
                <c:pt idx="41">
                  <c:v>18500.0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diagrams!$I$2:$I$4</c:f>
              <c:strCache>
                <c:ptCount val="3"/>
                <c:pt idx="0">
                  <c:v>Нач.сектора</c:v>
                </c:pt>
                <c:pt idx="1">
                  <c:v>2009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diagrams!$I$5:$I$46</c:f>
              <c:numCache>
                <c:formatCode>General</c:formatCode>
                <c:ptCount val="42"/>
                <c:pt idx="0">
                  <c:v>23500.0</c:v>
                </c:pt>
                <c:pt idx="1">
                  <c:v>24500.0</c:v>
                </c:pt>
                <c:pt idx="2">
                  <c:v>24500.0</c:v>
                </c:pt>
                <c:pt idx="3">
                  <c:v>31000.0</c:v>
                </c:pt>
                <c:pt idx="4">
                  <c:v>29000.0</c:v>
                </c:pt>
                <c:pt idx="5">
                  <c:v>28000.0</c:v>
                </c:pt>
                <c:pt idx="6">
                  <c:v>23000.0</c:v>
                </c:pt>
                <c:pt idx="7">
                  <c:v>29500.0</c:v>
                </c:pt>
                <c:pt idx="8">
                  <c:v>31000.0</c:v>
                </c:pt>
                <c:pt idx="9">
                  <c:v>25300.0</c:v>
                </c:pt>
                <c:pt idx="10">
                  <c:v>27300.0</c:v>
                </c:pt>
                <c:pt idx="11">
                  <c:v>24000.0</c:v>
                </c:pt>
                <c:pt idx="12">
                  <c:v>25000.0</c:v>
                </c:pt>
                <c:pt idx="13">
                  <c:v>31100.0</c:v>
                </c:pt>
                <c:pt idx="14">
                  <c:v>37700.0</c:v>
                </c:pt>
                <c:pt idx="15">
                  <c:v>20900.0</c:v>
                </c:pt>
                <c:pt idx="16">
                  <c:v>32000.0</c:v>
                </c:pt>
                <c:pt idx="17">
                  <c:v>31000.0</c:v>
                </c:pt>
                <c:pt idx="18">
                  <c:v>31000.0</c:v>
                </c:pt>
                <c:pt idx="19">
                  <c:v>30000.0</c:v>
                </c:pt>
                <c:pt idx="20">
                  <c:v>23000.0</c:v>
                </c:pt>
                <c:pt idx="21">
                  <c:v>33000.0</c:v>
                </c:pt>
                <c:pt idx="22">
                  <c:v>32000.0</c:v>
                </c:pt>
                <c:pt idx="23">
                  <c:v>30500.0</c:v>
                </c:pt>
                <c:pt idx="24">
                  <c:v>33000.0</c:v>
                </c:pt>
                <c:pt idx="25">
                  <c:v>27000.0</c:v>
                </c:pt>
                <c:pt idx="26">
                  <c:v>23000.0</c:v>
                </c:pt>
                <c:pt idx="27">
                  <c:v>25000.0</c:v>
                </c:pt>
                <c:pt idx="28">
                  <c:v>25000.0</c:v>
                </c:pt>
                <c:pt idx="29">
                  <c:v>31400.0</c:v>
                </c:pt>
                <c:pt idx="30">
                  <c:v>35400.0</c:v>
                </c:pt>
                <c:pt idx="31">
                  <c:v>27000.0</c:v>
                </c:pt>
                <c:pt idx="32">
                  <c:v>24000.0</c:v>
                </c:pt>
                <c:pt idx="33">
                  <c:v>27000.0</c:v>
                </c:pt>
                <c:pt idx="34">
                  <c:v>28000.0</c:v>
                </c:pt>
                <c:pt idx="35">
                  <c:v>28000.0</c:v>
                </c:pt>
                <c:pt idx="36">
                  <c:v>27500.0</c:v>
                </c:pt>
                <c:pt idx="37">
                  <c:v>22000.0</c:v>
                </c:pt>
                <c:pt idx="38">
                  <c:v>25000.0</c:v>
                </c:pt>
                <c:pt idx="39">
                  <c:v>28000.0</c:v>
                </c:pt>
                <c:pt idx="40">
                  <c:v>24000.0</c:v>
                </c:pt>
                <c:pt idx="41">
                  <c:v>21500.0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diagrams!$J$2:$J$4</c:f>
              <c:strCache>
                <c:ptCount val="3"/>
                <c:pt idx="0">
                  <c:v>Нач.сектора</c:v>
                </c:pt>
                <c:pt idx="1">
                  <c:v>2013</c:v>
                </c:pt>
                <c:pt idx="2">
                  <c:v>- оклад</c:v>
                </c:pt>
              </c:strCache>
            </c:strRef>
          </c:tx>
          <c:marker>
            <c:symbol val="none"/>
          </c:marker>
          <c:val>
            <c:numRef>
              <c:f>diagrams!$J$5:$J$46</c:f>
              <c:numCache>
                <c:formatCode>General</c:formatCode>
                <c:ptCount val="42"/>
                <c:pt idx="0">
                  <c:v>24000.0</c:v>
                </c:pt>
                <c:pt idx="1">
                  <c:v>27400.0</c:v>
                </c:pt>
                <c:pt idx="2">
                  <c:v>28400.0</c:v>
                </c:pt>
                <c:pt idx="3">
                  <c:v>28500.0</c:v>
                </c:pt>
                <c:pt idx="4">
                  <c:v>28000.0</c:v>
                </c:pt>
                <c:pt idx="5">
                  <c:v>27500.0</c:v>
                </c:pt>
                <c:pt idx="6">
                  <c:v>27500.0</c:v>
                </c:pt>
                <c:pt idx="7">
                  <c:v>29000.0</c:v>
                </c:pt>
                <c:pt idx="8" formatCode="0">
                  <c:v>30000.0</c:v>
                </c:pt>
                <c:pt idx="9">
                  <c:v>28000.0</c:v>
                </c:pt>
                <c:pt idx="10">
                  <c:v>28000.0</c:v>
                </c:pt>
                <c:pt idx="11">
                  <c:v>28900.0</c:v>
                </c:pt>
                <c:pt idx="12">
                  <c:v>28500.0</c:v>
                </c:pt>
                <c:pt idx="13">
                  <c:v>30000.0</c:v>
                </c:pt>
                <c:pt idx="14">
                  <c:v>28500.0</c:v>
                </c:pt>
                <c:pt idx="15">
                  <c:v>30000.0</c:v>
                </c:pt>
                <c:pt idx="16">
                  <c:v>30000.0</c:v>
                </c:pt>
                <c:pt idx="17">
                  <c:v>23000.0</c:v>
                </c:pt>
                <c:pt idx="18">
                  <c:v>30000.0</c:v>
                </c:pt>
                <c:pt idx="19">
                  <c:v>30000.0</c:v>
                </c:pt>
                <c:pt idx="20">
                  <c:v>26000.0</c:v>
                </c:pt>
                <c:pt idx="21">
                  <c:v>26000.0</c:v>
                </c:pt>
                <c:pt idx="22">
                  <c:v>29000.0</c:v>
                </c:pt>
                <c:pt idx="23">
                  <c:v>28000.0</c:v>
                </c:pt>
                <c:pt idx="24">
                  <c:v>36000.0</c:v>
                </c:pt>
                <c:pt idx="25">
                  <c:v>29000.0</c:v>
                </c:pt>
                <c:pt idx="26">
                  <c:v>27500.0</c:v>
                </c:pt>
                <c:pt idx="27">
                  <c:v>26500.0</c:v>
                </c:pt>
                <c:pt idx="28">
                  <c:v>27200.0</c:v>
                </c:pt>
                <c:pt idx="29">
                  <c:v>28500.0</c:v>
                </c:pt>
                <c:pt idx="30">
                  <c:v>26000.0</c:v>
                </c:pt>
                <c:pt idx="31">
                  <c:v>27500.0</c:v>
                </c:pt>
                <c:pt idx="32">
                  <c:v>26950.0</c:v>
                </c:pt>
                <c:pt idx="33">
                  <c:v>28000.0</c:v>
                </c:pt>
                <c:pt idx="34">
                  <c:v>30000.0</c:v>
                </c:pt>
                <c:pt idx="35">
                  <c:v>28300.0</c:v>
                </c:pt>
                <c:pt idx="36">
                  <c:v>31000.0</c:v>
                </c:pt>
                <c:pt idx="37">
                  <c:v>25000.0</c:v>
                </c:pt>
                <c:pt idx="38">
                  <c:v>28000.0</c:v>
                </c:pt>
                <c:pt idx="39">
                  <c:v>25000.0</c:v>
                </c:pt>
                <c:pt idx="40">
                  <c:v>25000.0</c:v>
                </c:pt>
                <c:pt idx="41">
                  <c:v>30000.0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diagrams!$K$2:$K$4</c:f>
              <c:strCache>
                <c:ptCount val="3"/>
                <c:pt idx="0">
                  <c:v>Нач.сектора</c:v>
                </c:pt>
                <c:pt idx="1">
                  <c:v>2013</c:v>
                </c:pt>
                <c:pt idx="2">
                  <c:v>- зарплата</c:v>
                </c:pt>
              </c:strCache>
            </c:strRef>
          </c:tx>
          <c:marker>
            <c:symbol val="none"/>
          </c:marker>
          <c:val>
            <c:numRef>
              <c:f>diagrams!$K$5:$K$46</c:f>
              <c:numCache>
                <c:formatCode>General</c:formatCode>
                <c:ptCount val="42"/>
                <c:pt idx="0">
                  <c:v>30400.0</c:v>
                </c:pt>
                <c:pt idx="1">
                  <c:v>33140.0</c:v>
                </c:pt>
                <c:pt idx="2">
                  <c:v>34240.0</c:v>
                </c:pt>
                <c:pt idx="3">
                  <c:v>41350.0</c:v>
                </c:pt>
                <c:pt idx="4">
                  <c:v>39300.0</c:v>
                </c:pt>
                <c:pt idx="5">
                  <c:v>38250.0</c:v>
                </c:pt>
                <c:pt idx="6">
                  <c:v>30500.0</c:v>
                </c:pt>
                <c:pt idx="7">
                  <c:v>38900.0</c:v>
                </c:pt>
                <c:pt idx="8">
                  <c:v>41000.0</c:v>
                </c:pt>
                <c:pt idx="9">
                  <c:v>33800.0</c:v>
                </c:pt>
                <c:pt idx="10">
                  <c:v>34800.0</c:v>
                </c:pt>
                <c:pt idx="11">
                  <c:v>31790.0</c:v>
                </c:pt>
                <c:pt idx="12">
                  <c:v>36500.0</c:v>
                </c:pt>
                <c:pt idx="13">
                  <c:v>42300.0</c:v>
                </c:pt>
                <c:pt idx="14">
                  <c:v>42350.0</c:v>
                </c:pt>
                <c:pt idx="15">
                  <c:v>42100.0</c:v>
                </c:pt>
                <c:pt idx="16">
                  <c:v>44900.0</c:v>
                </c:pt>
                <c:pt idx="17">
                  <c:v>28300.0</c:v>
                </c:pt>
                <c:pt idx="18">
                  <c:v>45000.0</c:v>
                </c:pt>
                <c:pt idx="19">
                  <c:v>45000.0</c:v>
                </c:pt>
                <c:pt idx="20">
                  <c:v>40000.0</c:v>
                </c:pt>
                <c:pt idx="21">
                  <c:v>37600.0</c:v>
                </c:pt>
                <c:pt idx="22">
                  <c:v>39000.0</c:v>
                </c:pt>
                <c:pt idx="23">
                  <c:v>41500.0</c:v>
                </c:pt>
                <c:pt idx="24">
                  <c:v>53800.0</c:v>
                </c:pt>
                <c:pt idx="25">
                  <c:v>47200.0</c:v>
                </c:pt>
                <c:pt idx="26">
                  <c:v>33250.0</c:v>
                </c:pt>
                <c:pt idx="27">
                  <c:v>29500.0</c:v>
                </c:pt>
                <c:pt idx="28">
                  <c:v>38800.0</c:v>
                </c:pt>
                <c:pt idx="29">
                  <c:v>45550.0</c:v>
                </c:pt>
                <c:pt idx="30">
                  <c:v>35600.0</c:v>
                </c:pt>
                <c:pt idx="31">
                  <c:v>33250.0</c:v>
                </c:pt>
                <c:pt idx="32">
                  <c:v>36645.0</c:v>
                </c:pt>
                <c:pt idx="33" formatCode="0">
                  <c:v>31000.0</c:v>
                </c:pt>
                <c:pt idx="34" formatCode="0">
                  <c:v>33000.0</c:v>
                </c:pt>
                <c:pt idx="35">
                  <c:v>37430.0</c:v>
                </c:pt>
                <c:pt idx="36">
                  <c:v>49500.0</c:v>
                </c:pt>
                <c:pt idx="37">
                  <c:v>35500.0</c:v>
                </c:pt>
                <c:pt idx="38">
                  <c:v>38800.0</c:v>
                </c:pt>
                <c:pt idx="39">
                  <c:v>30500.0</c:v>
                </c:pt>
                <c:pt idx="40">
                  <c:v>32500.0</c:v>
                </c:pt>
                <c:pt idx="41">
                  <c:v>39200.0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734112"/>
        <c:axId val="1789736400"/>
      </c:lineChart>
      <c:catAx>
        <c:axId val="178973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73640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789736400"/>
        <c:scaling>
          <c:orientation val="minMax"/>
          <c:max val="55000.0"/>
          <c:min val="16000.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734112"/>
        <c:crosses val="autoZero"/>
        <c:crossBetween val="between"/>
        <c:majorUnit val="2000.0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0146818891741"/>
          <c:y val="0.368421236978585"/>
          <c:w val="0.214140573899526"/>
          <c:h val="0.2341368608835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7545513045128"/>
          <c:w val="0.710629460051763"/>
          <c:h val="0.805706256570003"/>
        </c:manualLayout>
      </c:layout>
      <c:lineChart>
        <c:grouping val="standard"/>
        <c:varyColors val="0"/>
        <c:ser>
          <c:idx val="0"/>
          <c:order val="0"/>
          <c:tx>
            <c:strRef>
              <c:f>diagrams!$M$2:$M$4</c:f>
              <c:strCache>
                <c:ptCount val="3"/>
                <c:pt idx="0">
                  <c:v>ГНС</c:v>
                </c:pt>
                <c:pt idx="1">
                  <c:v>2009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diagrams!$M$5:$M$23</c:f>
              <c:numCache>
                <c:formatCode>General</c:formatCode>
                <c:ptCount val="19"/>
                <c:pt idx="0">
                  <c:v>18000.0</c:v>
                </c:pt>
                <c:pt idx="1">
                  <c:v>11500.0</c:v>
                </c:pt>
                <c:pt idx="2">
                  <c:v>14800.0</c:v>
                </c:pt>
                <c:pt idx="3">
                  <c:v>19000.0</c:v>
                </c:pt>
                <c:pt idx="4">
                  <c:v>19000.0</c:v>
                </c:pt>
                <c:pt idx="5">
                  <c:v>19000.0</c:v>
                </c:pt>
                <c:pt idx="6">
                  <c:v>22100.0</c:v>
                </c:pt>
                <c:pt idx="7">
                  <c:v>10800.0</c:v>
                </c:pt>
                <c:pt idx="8">
                  <c:v>18900.0</c:v>
                </c:pt>
                <c:pt idx="9">
                  <c:v>13000.0</c:v>
                </c:pt>
                <c:pt idx="10">
                  <c:v>14100.0</c:v>
                </c:pt>
                <c:pt idx="11">
                  <c:v>14500.0</c:v>
                </c:pt>
                <c:pt idx="12">
                  <c:v>16800.0</c:v>
                </c:pt>
                <c:pt idx="13">
                  <c:v>26500.0</c:v>
                </c:pt>
                <c:pt idx="14">
                  <c:v>19000.0</c:v>
                </c:pt>
                <c:pt idx="15">
                  <c:v>17800.0</c:v>
                </c:pt>
                <c:pt idx="16">
                  <c:v>12600.0</c:v>
                </c:pt>
                <c:pt idx="17">
                  <c:v>19000.0</c:v>
                </c:pt>
                <c:pt idx="18">
                  <c:v>19000.0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diagrams!$N$2:$N$4</c:f>
              <c:strCache>
                <c:ptCount val="3"/>
                <c:pt idx="0">
                  <c:v>ГНС</c:v>
                </c:pt>
                <c:pt idx="1">
                  <c:v>2009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diagrams!$N$5:$N$23</c:f>
              <c:numCache>
                <c:formatCode>General</c:formatCode>
                <c:ptCount val="19"/>
                <c:pt idx="0">
                  <c:v>9000.0</c:v>
                </c:pt>
                <c:pt idx="1">
                  <c:v>2875.0</c:v>
                </c:pt>
                <c:pt idx="2">
                  <c:v>21800.0</c:v>
                </c:pt>
                <c:pt idx="3">
                  <c:v>36500.0</c:v>
                </c:pt>
                <c:pt idx="4">
                  <c:v>37800.0</c:v>
                </c:pt>
                <c:pt idx="5">
                  <c:v>30700.0</c:v>
                </c:pt>
                <c:pt idx="6">
                  <c:v>19550.0</c:v>
                </c:pt>
                <c:pt idx="7">
                  <c:v>17800.0</c:v>
                </c:pt>
                <c:pt idx="8">
                  <c:v>21150.0</c:v>
                </c:pt>
                <c:pt idx="9">
                  <c:v>10000.0</c:v>
                </c:pt>
                <c:pt idx="10">
                  <c:v>21100.0</c:v>
                </c:pt>
                <c:pt idx="11">
                  <c:v>25500.0</c:v>
                </c:pt>
                <c:pt idx="12">
                  <c:v>13300.0</c:v>
                </c:pt>
                <c:pt idx="13">
                  <c:v>33250.0</c:v>
                </c:pt>
                <c:pt idx="14">
                  <c:v>21800.0</c:v>
                </c:pt>
                <c:pt idx="15">
                  <c:v>24800.0</c:v>
                </c:pt>
                <c:pt idx="16">
                  <c:v>19050.0</c:v>
                </c:pt>
                <c:pt idx="17">
                  <c:v>31500.0</c:v>
                </c:pt>
                <c:pt idx="18">
                  <c:v>14000.0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diagrams!$O$2:$O$4</c:f>
              <c:strCache>
                <c:ptCount val="3"/>
                <c:pt idx="0">
                  <c:v>ГНС</c:v>
                </c:pt>
                <c:pt idx="1">
                  <c:v>2013</c:v>
                </c:pt>
                <c:pt idx="2">
                  <c:v>- оклад</c:v>
                </c:pt>
              </c:strCache>
            </c:strRef>
          </c:tx>
          <c:marker>
            <c:symbol val="none"/>
          </c:marker>
          <c:val>
            <c:numRef>
              <c:f>diagrams!$O$5:$O$23</c:f>
              <c:numCache>
                <c:formatCode>General</c:formatCode>
                <c:ptCount val="19"/>
                <c:pt idx="0">
                  <c:v>24800.0</c:v>
                </c:pt>
                <c:pt idx="1">
                  <c:v>24800.0</c:v>
                </c:pt>
                <c:pt idx="2">
                  <c:v>32000.0</c:v>
                </c:pt>
                <c:pt idx="3">
                  <c:v>33000.0</c:v>
                </c:pt>
                <c:pt idx="4">
                  <c:v>26600.0</c:v>
                </c:pt>
                <c:pt idx="5">
                  <c:v>32400.0</c:v>
                </c:pt>
                <c:pt idx="6">
                  <c:v>25800.0</c:v>
                </c:pt>
                <c:pt idx="7">
                  <c:v>31000.0</c:v>
                </c:pt>
                <c:pt idx="8">
                  <c:v>24800.0</c:v>
                </c:pt>
                <c:pt idx="9">
                  <c:v>27600.0</c:v>
                </c:pt>
                <c:pt idx="10">
                  <c:v>27000.0</c:v>
                </c:pt>
                <c:pt idx="11">
                  <c:v>28500.0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diagrams!$P$2:$P$4</c:f>
              <c:strCache>
                <c:ptCount val="3"/>
                <c:pt idx="0">
                  <c:v>ГНС</c:v>
                </c:pt>
                <c:pt idx="1">
                  <c:v>2013</c:v>
                </c:pt>
                <c:pt idx="2">
                  <c:v>- зарплата</c:v>
                </c:pt>
              </c:strCache>
            </c:strRef>
          </c:tx>
          <c:marker>
            <c:symbol val="none"/>
          </c:marker>
          <c:val>
            <c:numRef>
              <c:f>diagrams!$P$5:$P$23</c:f>
              <c:numCache>
                <c:formatCode>General</c:formatCode>
                <c:ptCount val="19"/>
                <c:pt idx="0">
                  <c:v>6200.0</c:v>
                </c:pt>
                <c:pt idx="1">
                  <c:v>31800.0</c:v>
                </c:pt>
                <c:pt idx="2">
                  <c:v>47200.0</c:v>
                </c:pt>
                <c:pt idx="3">
                  <c:v>27100.0</c:v>
                </c:pt>
                <c:pt idx="4">
                  <c:v>38960.0</c:v>
                </c:pt>
                <c:pt idx="5">
                  <c:v>38120.0</c:v>
                </c:pt>
                <c:pt idx="6">
                  <c:v>32800.0</c:v>
                </c:pt>
                <c:pt idx="7">
                  <c:v>53300.0</c:v>
                </c:pt>
                <c:pt idx="8">
                  <c:v>40900.0</c:v>
                </c:pt>
                <c:pt idx="9">
                  <c:v>17800.0</c:v>
                </c:pt>
                <c:pt idx="10">
                  <c:v>40000.0</c:v>
                </c:pt>
                <c:pt idx="11">
                  <c:v>35500.0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874992"/>
        <c:axId val="1789877824"/>
      </c:lineChart>
      <c:catAx>
        <c:axId val="178987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877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9877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87499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2492292511626"/>
          <c:y val="0.416625884807564"/>
          <c:w val="0.169726232646296"/>
          <c:h val="0.2341368608835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60102232157858"/>
          <c:w val="0.647180401118586"/>
          <c:h val="0.799814363885413"/>
        </c:manualLayout>
      </c:layout>
      <c:lineChart>
        <c:grouping val="standard"/>
        <c:varyColors val="0"/>
        <c:ser>
          <c:idx val="0"/>
          <c:order val="0"/>
          <c:tx>
            <c:strRef>
              <c:f>diagrams!$AA$2:$AA$4</c:f>
              <c:strCache>
                <c:ptCount val="3"/>
                <c:pt idx="0">
                  <c:v>ВНС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diagrams!$AA$5:$AA$74</c:f>
              <c:numCache>
                <c:formatCode>General</c:formatCode>
                <c:ptCount val="70"/>
                <c:pt idx="0">
                  <c:v>15500.0</c:v>
                </c:pt>
                <c:pt idx="1">
                  <c:v>20000.0</c:v>
                </c:pt>
                <c:pt idx="2">
                  <c:v>17500.0</c:v>
                </c:pt>
                <c:pt idx="3">
                  <c:v>5500.0</c:v>
                </c:pt>
                <c:pt idx="4">
                  <c:v>17500.0</c:v>
                </c:pt>
                <c:pt idx="5">
                  <c:v>17500.0</c:v>
                </c:pt>
                <c:pt idx="6">
                  <c:v>17000.0</c:v>
                </c:pt>
                <c:pt idx="7">
                  <c:v>12500.0</c:v>
                </c:pt>
                <c:pt idx="8">
                  <c:v>16000.0</c:v>
                </c:pt>
                <c:pt idx="9">
                  <c:v>17500.0</c:v>
                </c:pt>
                <c:pt idx="10">
                  <c:v>17500.0</c:v>
                </c:pt>
                <c:pt idx="11">
                  <c:v>17500.0</c:v>
                </c:pt>
                <c:pt idx="12">
                  <c:v>16000.0</c:v>
                </c:pt>
                <c:pt idx="13">
                  <c:v>17500.0</c:v>
                </c:pt>
                <c:pt idx="14">
                  <c:v>17500.0</c:v>
                </c:pt>
                <c:pt idx="15">
                  <c:v>16000.0</c:v>
                </c:pt>
                <c:pt idx="16">
                  <c:v>14500.0</c:v>
                </c:pt>
                <c:pt idx="17">
                  <c:v>17500.0</c:v>
                </c:pt>
                <c:pt idx="18">
                  <c:v>17500.0</c:v>
                </c:pt>
                <c:pt idx="19">
                  <c:v>17700.0</c:v>
                </c:pt>
                <c:pt idx="20">
                  <c:v>11000.0</c:v>
                </c:pt>
                <c:pt idx="21">
                  <c:v>17500.0</c:v>
                </c:pt>
                <c:pt idx="22">
                  <c:v>3000.0</c:v>
                </c:pt>
                <c:pt idx="23">
                  <c:v>16000.0</c:v>
                </c:pt>
                <c:pt idx="24">
                  <c:v>16000.0</c:v>
                </c:pt>
                <c:pt idx="25">
                  <c:v>14500.0</c:v>
                </c:pt>
                <c:pt idx="26">
                  <c:v>17000.0</c:v>
                </c:pt>
                <c:pt idx="27">
                  <c:v>17500.0</c:v>
                </c:pt>
                <c:pt idx="28">
                  <c:v>17500.0</c:v>
                </c:pt>
                <c:pt idx="29">
                  <c:v>15500.0</c:v>
                </c:pt>
                <c:pt idx="30">
                  <c:v>17000.0</c:v>
                </c:pt>
                <c:pt idx="31">
                  <c:v>16000.0</c:v>
                </c:pt>
                <c:pt idx="32">
                  <c:v>17500.0</c:v>
                </c:pt>
                <c:pt idx="33">
                  <c:v>17500.0</c:v>
                </c:pt>
                <c:pt idx="34">
                  <c:v>17500.0</c:v>
                </c:pt>
                <c:pt idx="35">
                  <c:v>17500.0</c:v>
                </c:pt>
                <c:pt idx="36">
                  <c:v>17900.0</c:v>
                </c:pt>
                <c:pt idx="37">
                  <c:v>17300.0</c:v>
                </c:pt>
                <c:pt idx="38">
                  <c:v>17000.0</c:v>
                </c:pt>
                <c:pt idx="39">
                  <c:v>17500.0</c:v>
                </c:pt>
                <c:pt idx="40">
                  <c:v>17500.0</c:v>
                </c:pt>
                <c:pt idx="41">
                  <c:v>6000.0</c:v>
                </c:pt>
                <c:pt idx="42">
                  <c:v>17500.0</c:v>
                </c:pt>
                <c:pt idx="43">
                  <c:v>17500.0</c:v>
                </c:pt>
                <c:pt idx="44">
                  <c:v>17000.0</c:v>
                </c:pt>
                <c:pt idx="45">
                  <c:v>17000.0</c:v>
                </c:pt>
                <c:pt idx="46">
                  <c:v>17500.0</c:v>
                </c:pt>
                <c:pt idx="47">
                  <c:v>17500.0</c:v>
                </c:pt>
                <c:pt idx="48">
                  <c:v>17500.0</c:v>
                </c:pt>
                <c:pt idx="49">
                  <c:v>16000.0</c:v>
                </c:pt>
                <c:pt idx="50">
                  <c:v>16000.0</c:v>
                </c:pt>
                <c:pt idx="51">
                  <c:v>10000.0</c:v>
                </c:pt>
                <c:pt idx="52">
                  <c:v>4800.0</c:v>
                </c:pt>
                <c:pt idx="53">
                  <c:v>17300.0</c:v>
                </c:pt>
                <c:pt idx="54">
                  <c:v>16100.0</c:v>
                </c:pt>
                <c:pt idx="55">
                  <c:v>4000.0</c:v>
                </c:pt>
                <c:pt idx="56">
                  <c:v>17000.0</c:v>
                </c:pt>
                <c:pt idx="57">
                  <c:v>15000.0</c:v>
                </c:pt>
                <c:pt idx="58">
                  <c:v>17500.0</c:v>
                </c:pt>
                <c:pt idx="59">
                  <c:v>16700.0</c:v>
                </c:pt>
                <c:pt idx="60">
                  <c:v>10500.0</c:v>
                </c:pt>
                <c:pt idx="61">
                  <c:v>15800.0</c:v>
                </c:pt>
                <c:pt idx="62">
                  <c:v>17500.0</c:v>
                </c:pt>
                <c:pt idx="63">
                  <c:v>14800.0</c:v>
                </c:pt>
                <c:pt idx="64">
                  <c:v>17500.0</c:v>
                </c:pt>
                <c:pt idx="65">
                  <c:v>7200.0</c:v>
                </c:pt>
                <c:pt idx="66">
                  <c:v>10600.0</c:v>
                </c:pt>
                <c:pt idx="67">
                  <c:v>10900.0</c:v>
                </c:pt>
                <c:pt idx="68">
                  <c:v>12000.0</c:v>
                </c:pt>
                <c:pt idx="69">
                  <c:v>17500.0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diagrams!$AB$2:$AB$4</c:f>
              <c:strCache>
                <c:ptCount val="3"/>
                <c:pt idx="0">
                  <c:v>ВНС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diagrams!$AB$5:$AB$74</c:f>
              <c:numCache>
                <c:formatCode>General</c:formatCode>
                <c:ptCount val="70"/>
                <c:pt idx="0">
                  <c:v>12950.0</c:v>
                </c:pt>
                <c:pt idx="1">
                  <c:v>35500.0</c:v>
                </c:pt>
                <c:pt idx="2">
                  <c:v>14250.0</c:v>
                </c:pt>
                <c:pt idx="3">
                  <c:v>12500.0</c:v>
                </c:pt>
                <c:pt idx="4">
                  <c:v>21900.0</c:v>
                </c:pt>
                <c:pt idx="5">
                  <c:v>20500.0</c:v>
                </c:pt>
                <c:pt idx="6">
                  <c:v>26300.0</c:v>
                </c:pt>
                <c:pt idx="7">
                  <c:v>7750.0</c:v>
                </c:pt>
                <c:pt idx="8">
                  <c:v>6720.0</c:v>
                </c:pt>
                <c:pt idx="9">
                  <c:v>30500.0</c:v>
                </c:pt>
                <c:pt idx="10">
                  <c:v>30000.0</c:v>
                </c:pt>
                <c:pt idx="11">
                  <c:v>35500.0</c:v>
                </c:pt>
                <c:pt idx="12">
                  <c:v>13300.0</c:v>
                </c:pt>
                <c:pt idx="13">
                  <c:v>35500.0</c:v>
                </c:pt>
                <c:pt idx="14">
                  <c:v>22100.0</c:v>
                </c:pt>
                <c:pt idx="15">
                  <c:v>19900.0</c:v>
                </c:pt>
                <c:pt idx="16">
                  <c:v>21500.0</c:v>
                </c:pt>
                <c:pt idx="17">
                  <c:v>21500.0</c:v>
                </c:pt>
                <c:pt idx="18">
                  <c:v>29000.0</c:v>
                </c:pt>
                <c:pt idx="19">
                  <c:v>17350.0</c:v>
                </c:pt>
                <c:pt idx="20">
                  <c:v>18000.0</c:v>
                </c:pt>
                <c:pt idx="21">
                  <c:v>21300.0</c:v>
                </c:pt>
                <c:pt idx="22">
                  <c:v>1000.0</c:v>
                </c:pt>
                <c:pt idx="23">
                  <c:v>19000.0</c:v>
                </c:pt>
                <c:pt idx="24">
                  <c:v>23000.0</c:v>
                </c:pt>
                <c:pt idx="25">
                  <c:v>17500.0</c:v>
                </c:pt>
                <c:pt idx="26">
                  <c:v>20000.0</c:v>
                </c:pt>
                <c:pt idx="27">
                  <c:v>22000.0</c:v>
                </c:pt>
                <c:pt idx="28">
                  <c:v>21250.0</c:v>
                </c:pt>
                <c:pt idx="29">
                  <c:v>18500.0</c:v>
                </c:pt>
                <c:pt idx="30">
                  <c:v>26300.0</c:v>
                </c:pt>
                <c:pt idx="31">
                  <c:v>23000.0</c:v>
                </c:pt>
                <c:pt idx="32">
                  <c:v>21500.0</c:v>
                </c:pt>
                <c:pt idx="33">
                  <c:v>21200.0</c:v>
                </c:pt>
                <c:pt idx="34">
                  <c:v>20500.0</c:v>
                </c:pt>
                <c:pt idx="35">
                  <c:v>16250.0</c:v>
                </c:pt>
                <c:pt idx="36">
                  <c:v>24900.0</c:v>
                </c:pt>
                <c:pt idx="37">
                  <c:v>24300.0</c:v>
                </c:pt>
                <c:pt idx="38">
                  <c:v>15500.0</c:v>
                </c:pt>
                <c:pt idx="39">
                  <c:v>31500.0</c:v>
                </c:pt>
                <c:pt idx="40">
                  <c:v>31900.0</c:v>
                </c:pt>
                <c:pt idx="41">
                  <c:v>900.0</c:v>
                </c:pt>
                <c:pt idx="42">
                  <c:v>28200.0</c:v>
                </c:pt>
                <c:pt idx="43">
                  <c:v>22000.0</c:v>
                </c:pt>
                <c:pt idx="44">
                  <c:v>14500.0</c:v>
                </c:pt>
                <c:pt idx="45">
                  <c:v>24000.0</c:v>
                </c:pt>
                <c:pt idx="46">
                  <c:v>23500.0</c:v>
                </c:pt>
                <c:pt idx="47">
                  <c:v>24500.0</c:v>
                </c:pt>
                <c:pt idx="48">
                  <c:v>25000.0</c:v>
                </c:pt>
                <c:pt idx="49">
                  <c:v>23000.0</c:v>
                </c:pt>
                <c:pt idx="50">
                  <c:v>19000.0</c:v>
                </c:pt>
                <c:pt idx="51">
                  <c:v>13000.0</c:v>
                </c:pt>
                <c:pt idx="52">
                  <c:v>7800.0</c:v>
                </c:pt>
                <c:pt idx="53">
                  <c:v>12150.0</c:v>
                </c:pt>
                <c:pt idx="54">
                  <c:v>19100.0</c:v>
                </c:pt>
                <c:pt idx="55">
                  <c:v>7000.0</c:v>
                </c:pt>
                <c:pt idx="56">
                  <c:v>11800.0</c:v>
                </c:pt>
                <c:pt idx="57">
                  <c:v>18000.0</c:v>
                </c:pt>
                <c:pt idx="58">
                  <c:v>15450.0</c:v>
                </c:pt>
                <c:pt idx="59">
                  <c:v>19700.0</c:v>
                </c:pt>
                <c:pt idx="60">
                  <c:v>13500.0</c:v>
                </c:pt>
                <c:pt idx="61">
                  <c:v>22800.0</c:v>
                </c:pt>
                <c:pt idx="62">
                  <c:v>29400.0</c:v>
                </c:pt>
                <c:pt idx="63">
                  <c:v>17800.0</c:v>
                </c:pt>
                <c:pt idx="64">
                  <c:v>27200.0</c:v>
                </c:pt>
                <c:pt idx="65">
                  <c:v>14200.0</c:v>
                </c:pt>
                <c:pt idx="66">
                  <c:v>14200.0</c:v>
                </c:pt>
                <c:pt idx="67">
                  <c:v>6950.0</c:v>
                </c:pt>
                <c:pt idx="68">
                  <c:v>15000.0</c:v>
                </c:pt>
                <c:pt idx="69">
                  <c:v>23500.0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900224"/>
        <c:axId val="1788938064"/>
      </c:lineChart>
      <c:catAx>
        <c:axId val="1789900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893806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788938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90022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47386618318"/>
          <c:y val="0.416163571452574"/>
          <c:w val="0.106277173713098"/>
          <c:h val="0.156061339294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58505564387917"/>
          <c:y val="0.027545513045128"/>
          <c:w val="0.650238473767895"/>
          <c:h val="0.802263067439346"/>
        </c:manualLayout>
      </c:layout>
      <c:lineChart>
        <c:grouping val="standard"/>
        <c:varyColors val="0"/>
        <c:ser>
          <c:idx val="0"/>
          <c:order val="0"/>
          <c:tx>
            <c:strRef>
              <c:f>diagrams!$AD$2:$AD$4</c:f>
              <c:strCache>
                <c:ptCount val="3"/>
                <c:pt idx="0">
                  <c:v>СНС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diagrams!$AD$5:$AD$89</c:f>
              <c:numCache>
                <c:formatCode>General</c:formatCode>
                <c:ptCount val="85"/>
                <c:pt idx="0">
                  <c:v>14400.0</c:v>
                </c:pt>
                <c:pt idx="1">
                  <c:v>16000.0</c:v>
                </c:pt>
                <c:pt idx="2">
                  <c:v>16000.0</c:v>
                </c:pt>
                <c:pt idx="3">
                  <c:v>16000.0</c:v>
                </c:pt>
                <c:pt idx="4">
                  <c:v>16000.0</c:v>
                </c:pt>
                <c:pt idx="5">
                  <c:v>16000.0</c:v>
                </c:pt>
                <c:pt idx="6">
                  <c:v>16000.0</c:v>
                </c:pt>
                <c:pt idx="7">
                  <c:v>17000.0</c:v>
                </c:pt>
                <c:pt idx="8">
                  <c:v>14000.0</c:v>
                </c:pt>
                <c:pt idx="9">
                  <c:v>10300.0</c:v>
                </c:pt>
                <c:pt idx="10">
                  <c:v>17500.0</c:v>
                </c:pt>
                <c:pt idx="11">
                  <c:v>16000.0</c:v>
                </c:pt>
                <c:pt idx="12">
                  <c:v>16000.0</c:v>
                </c:pt>
                <c:pt idx="13">
                  <c:v>20000.0</c:v>
                </c:pt>
                <c:pt idx="14">
                  <c:v>17000.0</c:v>
                </c:pt>
                <c:pt idx="15">
                  <c:v>16500.0</c:v>
                </c:pt>
                <c:pt idx="16">
                  <c:v>10000.0</c:v>
                </c:pt>
                <c:pt idx="17">
                  <c:v>14200.0</c:v>
                </c:pt>
                <c:pt idx="18">
                  <c:v>17000.0</c:v>
                </c:pt>
                <c:pt idx="19">
                  <c:v>16000.0</c:v>
                </c:pt>
                <c:pt idx="20">
                  <c:v>16300.0</c:v>
                </c:pt>
                <c:pt idx="21">
                  <c:v>14700.0</c:v>
                </c:pt>
                <c:pt idx="22">
                  <c:v>6300.0</c:v>
                </c:pt>
                <c:pt idx="23">
                  <c:v>16000.0</c:v>
                </c:pt>
                <c:pt idx="24">
                  <c:v>15800.0</c:v>
                </c:pt>
                <c:pt idx="25">
                  <c:v>16000.0</c:v>
                </c:pt>
                <c:pt idx="26">
                  <c:v>17700.0</c:v>
                </c:pt>
                <c:pt idx="27">
                  <c:v>9500.0</c:v>
                </c:pt>
                <c:pt idx="28">
                  <c:v>17000.0</c:v>
                </c:pt>
                <c:pt idx="29">
                  <c:v>16000.0</c:v>
                </c:pt>
                <c:pt idx="30">
                  <c:v>17000.0</c:v>
                </c:pt>
                <c:pt idx="31">
                  <c:v>16000.0</c:v>
                </c:pt>
                <c:pt idx="32">
                  <c:v>12000.0</c:v>
                </c:pt>
                <c:pt idx="33">
                  <c:v>15000.0</c:v>
                </c:pt>
                <c:pt idx="34">
                  <c:v>16000.0</c:v>
                </c:pt>
                <c:pt idx="35">
                  <c:v>10000.0</c:v>
                </c:pt>
                <c:pt idx="36">
                  <c:v>16000.0</c:v>
                </c:pt>
                <c:pt idx="37">
                  <c:v>16000.0</c:v>
                </c:pt>
                <c:pt idx="38">
                  <c:v>11500.0</c:v>
                </c:pt>
                <c:pt idx="39">
                  <c:v>14000.0</c:v>
                </c:pt>
                <c:pt idx="40">
                  <c:v>14000.0</c:v>
                </c:pt>
                <c:pt idx="41">
                  <c:v>16000.0</c:v>
                </c:pt>
                <c:pt idx="42">
                  <c:v>15000.0</c:v>
                </c:pt>
                <c:pt idx="43">
                  <c:v>15500.0</c:v>
                </c:pt>
                <c:pt idx="44">
                  <c:v>10000.0</c:v>
                </c:pt>
                <c:pt idx="45">
                  <c:v>15500.0</c:v>
                </c:pt>
                <c:pt idx="46">
                  <c:v>8000.0</c:v>
                </c:pt>
                <c:pt idx="47">
                  <c:v>14700.0</c:v>
                </c:pt>
                <c:pt idx="48">
                  <c:v>7000.0</c:v>
                </c:pt>
                <c:pt idx="49">
                  <c:v>12000.0</c:v>
                </c:pt>
                <c:pt idx="50">
                  <c:v>9100.0</c:v>
                </c:pt>
                <c:pt idx="51">
                  <c:v>16000.0</c:v>
                </c:pt>
                <c:pt idx="52">
                  <c:v>16000.0</c:v>
                </c:pt>
                <c:pt idx="53">
                  <c:v>16000.0</c:v>
                </c:pt>
                <c:pt idx="54">
                  <c:v>16000.0</c:v>
                </c:pt>
                <c:pt idx="55">
                  <c:v>16000.0</c:v>
                </c:pt>
                <c:pt idx="56">
                  <c:v>16000.0</c:v>
                </c:pt>
                <c:pt idx="57">
                  <c:v>15000.0</c:v>
                </c:pt>
                <c:pt idx="58">
                  <c:v>17000.0</c:v>
                </c:pt>
                <c:pt idx="59">
                  <c:v>10800.0</c:v>
                </c:pt>
                <c:pt idx="60">
                  <c:v>6000.0</c:v>
                </c:pt>
                <c:pt idx="61">
                  <c:v>16700.0</c:v>
                </c:pt>
                <c:pt idx="62">
                  <c:v>13800.0</c:v>
                </c:pt>
                <c:pt idx="63">
                  <c:v>11000.0</c:v>
                </c:pt>
                <c:pt idx="64">
                  <c:v>14000.0</c:v>
                </c:pt>
                <c:pt idx="65">
                  <c:v>12000.0</c:v>
                </c:pt>
                <c:pt idx="66">
                  <c:v>16000.0</c:v>
                </c:pt>
                <c:pt idx="67">
                  <c:v>16000.0</c:v>
                </c:pt>
                <c:pt idx="68">
                  <c:v>3700.0</c:v>
                </c:pt>
                <c:pt idx="69">
                  <c:v>11000.0</c:v>
                </c:pt>
                <c:pt idx="70">
                  <c:v>14700.0</c:v>
                </c:pt>
                <c:pt idx="71">
                  <c:v>14500.0</c:v>
                </c:pt>
                <c:pt idx="72">
                  <c:v>3700.0</c:v>
                </c:pt>
                <c:pt idx="73">
                  <c:v>5500.0</c:v>
                </c:pt>
                <c:pt idx="74">
                  <c:v>16500.0</c:v>
                </c:pt>
                <c:pt idx="75">
                  <c:v>16000.0</c:v>
                </c:pt>
                <c:pt idx="76">
                  <c:v>9300.0</c:v>
                </c:pt>
                <c:pt idx="77">
                  <c:v>9300.0</c:v>
                </c:pt>
                <c:pt idx="78">
                  <c:v>8850.0</c:v>
                </c:pt>
                <c:pt idx="79">
                  <c:v>14700.0</c:v>
                </c:pt>
                <c:pt idx="80">
                  <c:v>10400.0</c:v>
                </c:pt>
                <c:pt idx="81">
                  <c:v>11000.0</c:v>
                </c:pt>
                <c:pt idx="82">
                  <c:v>3500.0</c:v>
                </c:pt>
                <c:pt idx="83">
                  <c:v>12600.0</c:v>
                </c:pt>
                <c:pt idx="84">
                  <c:v>15100.0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diagrams!$AE$2:$AE$4</c:f>
              <c:strCache>
                <c:ptCount val="3"/>
                <c:pt idx="0">
                  <c:v>СНС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diagrams!$AE$5:$AE$89</c:f>
              <c:numCache>
                <c:formatCode>General</c:formatCode>
                <c:ptCount val="85"/>
                <c:pt idx="0">
                  <c:v>7200.0</c:v>
                </c:pt>
                <c:pt idx="1">
                  <c:v>9350.0</c:v>
                </c:pt>
                <c:pt idx="2">
                  <c:v>9250.0</c:v>
                </c:pt>
                <c:pt idx="3">
                  <c:v>9250.0</c:v>
                </c:pt>
                <c:pt idx="4">
                  <c:v>7400.0</c:v>
                </c:pt>
                <c:pt idx="5">
                  <c:v>9250.0</c:v>
                </c:pt>
                <c:pt idx="6">
                  <c:v>19500.0</c:v>
                </c:pt>
                <c:pt idx="7">
                  <c:v>24000.0</c:v>
                </c:pt>
                <c:pt idx="8">
                  <c:v>17000.0</c:v>
                </c:pt>
                <c:pt idx="9">
                  <c:v>10300.0</c:v>
                </c:pt>
                <c:pt idx="10">
                  <c:v>29000.0</c:v>
                </c:pt>
                <c:pt idx="11">
                  <c:v>14000.0</c:v>
                </c:pt>
                <c:pt idx="12">
                  <c:v>18000.0</c:v>
                </c:pt>
                <c:pt idx="13">
                  <c:v>22000.0</c:v>
                </c:pt>
                <c:pt idx="14">
                  <c:v>14500.0</c:v>
                </c:pt>
                <c:pt idx="15">
                  <c:v>8250.0</c:v>
                </c:pt>
                <c:pt idx="16">
                  <c:v>9300.0</c:v>
                </c:pt>
                <c:pt idx="17">
                  <c:v>14200.0</c:v>
                </c:pt>
                <c:pt idx="18">
                  <c:v>27000.0</c:v>
                </c:pt>
                <c:pt idx="19">
                  <c:v>19200.0</c:v>
                </c:pt>
                <c:pt idx="20">
                  <c:v>28300.0</c:v>
                </c:pt>
                <c:pt idx="21">
                  <c:v>21200.0</c:v>
                </c:pt>
                <c:pt idx="22">
                  <c:v>6300.0</c:v>
                </c:pt>
                <c:pt idx="23">
                  <c:v>29500.0</c:v>
                </c:pt>
                <c:pt idx="24">
                  <c:v>18800.0</c:v>
                </c:pt>
                <c:pt idx="25">
                  <c:v>31000.0</c:v>
                </c:pt>
                <c:pt idx="26">
                  <c:v>25700.0</c:v>
                </c:pt>
                <c:pt idx="27">
                  <c:v>4750.0</c:v>
                </c:pt>
                <c:pt idx="28">
                  <c:v>8500.0</c:v>
                </c:pt>
                <c:pt idx="29">
                  <c:v>8000.0</c:v>
                </c:pt>
                <c:pt idx="30">
                  <c:v>28800.0</c:v>
                </c:pt>
                <c:pt idx="31">
                  <c:v>18400.0</c:v>
                </c:pt>
                <c:pt idx="32">
                  <c:v>15000.0</c:v>
                </c:pt>
                <c:pt idx="33">
                  <c:v>10000.0</c:v>
                </c:pt>
                <c:pt idx="34">
                  <c:v>23000.0</c:v>
                </c:pt>
                <c:pt idx="35">
                  <c:v>10000.0</c:v>
                </c:pt>
                <c:pt idx="36">
                  <c:v>16700.0</c:v>
                </c:pt>
                <c:pt idx="37">
                  <c:v>16000.0</c:v>
                </c:pt>
                <c:pt idx="38">
                  <c:v>14500.0</c:v>
                </c:pt>
                <c:pt idx="39">
                  <c:v>8500.0</c:v>
                </c:pt>
                <c:pt idx="40">
                  <c:v>17000.0</c:v>
                </c:pt>
                <c:pt idx="41">
                  <c:v>5700.0</c:v>
                </c:pt>
                <c:pt idx="42">
                  <c:v>18000.0</c:v>
                </c:pt>
                <c:pt idx="43">
                  <c:v>15500.0</c:v>
                </c:pt>
                <c:pt idx="44">
                  <c:v>13000.0</c:v>
                </c:pt>
                <c:pt idx="45">
                  <c:v>15500.0</c:v>
                </c:pt>
                <c:pt idx="46">
                  <c:v>15000.0</c:v>
                </c:pt>
                <c:pt idx="47">
                  <c:v>12050.0</c:v>
                </c:pt>
                <c:pt idx="48">
                  <c:v>5000.0</c:v>
                </c:pt>
                <c:pt idx="49">
                  <c:v>12000.0</c:v>
                </c:pt>
                <c:pt idx="50">
                  <c:v>15100.0</c:v>
                </c:pt>
                <c:pt idx="51">
                  <c:v>23700.0</c:v>
                </c:pt>
                <c:pt idx="52">
                  <c:v>16000.0</c:v>
                </c:pt>
                <c:pt idx="53">
                  <c:v>20000.0</c:v>
                </c:pt>
                <c:pt idx="54">
                  <c:v>19000.0</c:v>
                </c:pt>
                <c:pt idx="55">
                  <c:v>17000.0</c:v>
                </c:pt>
                <c:pt idx="56">
                  <c:v>17000.0</c:v>
                </c:pt>
                <c:pt idx="57">
                  <c:v>3600.0</c:v>
                </c:pt>
                <c:pt idx="58">
                  <c:v>27400.0</c:v>
                </c:pt>
                <c:pt idx="59">
                  <c:v>13800.0</c:v>
                </c:pt>
                <c:pt idx="60">
                  <c:v>900.0</c:v>
                </c:pt>
                <c:pt idx="61">
                  <c:v>22500.0</c:v>
                </c:pt>
                <c:pt idx="62">
                  <c:v>13800.0</c:v>
                </c:pt>
                <c:pt idx="63">
                  <c:v>14000.0</c:v>
                </c:pt>
                <c:pt idx="64">
                  <c:v>13800.0</c:v>
                </c:pt>
                <c:pt idx="65">
                  <c:v>15000.0</c:v>
                </c:pt>
                <c:pt idx="66">
                  <c:v>17000.0</c:v>
                </c:pt>
                <c:pt idx="67">
                  <c:v>17000.0</c:v>
                </c:pt>
                <c:pt idx="68">
                  <c:v>670.0</c:v>
                </c:pt>
                <c:pt idx="69">
                  <c:v>14000.0</c:v>
                </c:pt>
                <c:pt idx="70">
                  <c:v>11550.0</c:v>
                </c:pt>
                <c:pt idx="71">
                  <c:v>14500.0</c:v>
                </c:pt>
                <c:pt idx="72">
                  <c:v>3350.0</c:v>
                </c:pt>
                <c:pt idx="73">
                  <c:v>8500.0</c:v>
                </c:pt>
                <c:pt idx="74">
                  <c:v>29400.0</c:v>
                </c:pt>
                <c:pt idx="75">
                  <c:v>18700.0</c:v>
                </c:pt>
                <c:pt idx="76">
                  <c:v>12300.0</c:v>
                </c:pt>
                <c:pt idx="77">
                  <c:v>12300.0</c:v>
                </c:pt>
                <c:pt idx="78">
                  <c:v>3170.0</c:v>
                </c:pt>
                <c:pt idx="79">
                  <c:v>8850.0</c:v>
                </c:pt>
                <c:pt idx="80">
                  <c:v>13400.0</c:v>
                </c:pt>
                <c:pt idx="81">
                  <c:v>11000.0</c:v>
                </c:pt>
                <c:pt idx="82">
                  <c:v>650.0</c:v>
                </c:pt>
                <c:pt idx="83">
                  <c:v>15600.0</c:v>
                </c:pt>
                <c:pt idx="84">
                  <c:v>15100.0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131904"/>
        <c:axId val="1789137744"/>
      </c:lineChart>
      <c:catAx>
        <c:axId val="17891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13774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1789137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13190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96502384737655"/>
          <c:y val="0.409739506546272"/>
          <c:w val="0.108108108108108"/>
          <c:h val="0.1652730782707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7545513045128"/>
          <c:w val="0.666215118798536"/>
          <c:h val="0.802263067439346"/>
        </c:manualLayout>
      </c:layout>
      <c:lineChart>
        <c:grouping val="standard"/>
        <c:varyColors val="0"/>
        <c:ser>
          <c:idx val="0"/>
          <c:order val="0"/>
          <c:tx>
            <c:strRef>
              <c:f>diagrams!$AG$2:$AG$4</c:f>
              <c:strCache>
                <c:ptCount val="3"/>
                <c:pt idx="0">
                  <c:v>НС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diagrams!$AG$5:$AG$53</c:f>
              <c:numCache>
                <c:formatCode>General</c:formatCode>
                <c:ptCount val="49"/>
                <c:pt idx="0">
                  <c:v>14500.0</c:v>
                </c:pt>
                <c:pt idx="1">
                  <c:v>14400.0</c:v>
                </c:pt>
                <c:pt idx="2">
                  <c:v>12500.0</c:v>
                </c:pt>
                <c:pt idx="3">
                  <c:v>15000.0</c:v>
                </c:pt>
                <c:pt idx="4">
                  <c:v>14500.0</c:v>
                </c:pt>
                <c:pt idx="5">
                  <c:v>10000.0</c:v>
                </c:pt>
                <c:pt idx="6">
                  <c:v>13500.0</c:v>
                </c:pt>
                <c:pt idx="7">
                  <c:v>10000.0</c:v>
                </c:pt>
                <c:pt idx="8">
                  <c:v>13000.0</c:v>
                </c:pt>
                <c:pt idx="9">
                  <c:v>13500.0</c:v>
                </c:pt>
                <c:pt idx="10">
                  <c:v>14200.0</c:v>
                </c:pt>
                <c:pt idx="11">
                  <c:v>13000.0</c:v>
                </c:pt>
                <c:pt idx="12">
                  <c:v>13800.0</c:v>
                </c:pt>
                <c:pt idx="13">
                  <c:v>14500.0</c:v>
                </c:pt>
                <c:pt idx="14">
                  <c:v>14500.0</c:v>
                </c:pt>
                <c:pt idx="15">
                  <c:v>14500.0</c:v>
                </c:pt>
                <c:pt idx="16">
                  <c:v>14500.0</c:v>
                </c:pt>
                <c:pt idx="17">
                  <c:v>14500.0</c:v>
                </c:pt>
                <c:pt idx="18">
                  <c:v>11000.0</c:v>
                </c:pt>
                <c:pt idx="19">
                  <c:v>11000.0</c:v>
                </c:pt>
                <c:pt idx="20">
                  <c:v>14500.0</c:v>
                </c:pt>
                <c:pt idx="21">
                  <c:v>14500.0</c:v>
                </c:pt>
                <c:pt idx="22">
                  <c:v>3700.0</c:v>
                </c:pt>
                <c:pt idx="23">
                  <c:v>15000.0</c:v>
                </c:pt>
                <c:pt idx="24">
                  <c:v>15000.0</c:v>
                </c:pt>
                <c:pt idx="25">
                  <c:v>13500.0</c:v>
                </c:pt>
                <c:pt idx="26">
                  <c:v>14500.0</c:v>
                </c:pt>
                <c:pt idx="27">
                  <c:v>14000.0</c:v>
                </c:pt>
                <c:pt idx="28">
                  <c:v>10300.0</c:v>
                </c:pt>
                <c:pt idx="29">
                  <c:v>11500.0</c:v>
                </c:pt>
                <c:pt idx="30">
                  <c:v>12200.0</c:v>
                </c:pt>
                <c:pt idx="31">
                  <c:v>14500.0</c:v>
                </c:pt>
                <c:pt idx="32">
                  <c:v>14500.0</c:v>
                </c:pt>
                <c:pt idx="33">
                  <c:v>14000.0</c:v>
                </c:pt>
                <c:pt idx="34">
                  <c:v>14500.0</c:v>
                </c:pt>
                <c:pt idx="35">
                  <c:v>14500.0</c:v>
                </c:pt>
                <c:pt idx="36">
                  <c:v>8000.0</c:v>
                </c:pt>
                <c:pt idx="37">
                  <c:v>7500.0</c:v>
                </c:pt>
                <c:pt idx="38">
                  <c:v>8000.0</c:v>
                </c:pt>
                <c:pt idx="39">
                  <c:v>11800.0</c:v>
                </c:pt>
                <c:pt idx="40">
                  <c:v>14500.0</c:v>
                </c:pt>
                <c:pt idx="41">
                  <c:v>11500.0</c:v>
                </c:pt>
                <c:pt idx="42">
                  <c:v>14500.0</c:v>
                </c:pt>
                <c:pt idx="43">
                  <c:v>14500.0</c:v>
                </c:pt>
                <c:pt idx="44">
                  <c:v>14500.0</c:v>
                </c:pt>
                <c:pt idx="45">
                  <c:v>6000.0</c:v>
                </c:pt>
                <c:pt idx="46">
                  <c:v>17000.0</c:v>
                </c:pt>
                <c:pt idx="47">
                  <c:v>6100.0</c:v>
                </c:pt>
                <c:pt idx="48">
                  <c:v>7000.0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diagrams!$AH$2:$AH$4</c:f>
              <c:strCache>
                <c:ptCount val="3"/>
                <c:pt idx="0">
                  <c:v>НС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diagrams!$AH$5:$AH$53</c:f>
              <c:numCache>
                <c:formatCode>General</c:formatCode>
                <c:ptCount val="49"/>
                <c:pt idx="0">
                  <c:v>7500.0</c:v>
                </c:pt>
                <c:pt idx="1">
                  <c:v>7200.0</c:v>
                </c:pt>
                <c:pt idx="2">
                  <c:v>6250.0</c:v>
                </c:pt>
                <c:pt idx="3">
                  <c:v>19300.0</c:v>
                </c:pt>
                <c:pt idx="4">
                  <c:v>16000.0</c:v>
                </c:pt>
                <c:pt idx="5">
                  <c:v>10400.0</c:v>
                </c:pt>
                <c:pt idx="6">
                  <c:v>14500.0</c:v>
                </c:pt>
                <c:pt idx="7">
                  <c:v>12400.0</c:v>
                </c:pt>
                <c:pt idx="8">
                  <c:v>25000.0</c:v>
                </c:pt>
                <c:pt idx="9">
                  <c:v>13500.0</c:v>
                </c:pt>
                <c:pt idx="10">
                  <c:v>14200.0</c:v>
                </c:pt>
                <c:pt idx="11">
                  <c:v>13000.0</c:v>
                </c:pt>
                <c:pt idx="12">
                  <c:v>16800.0</c:v>
                </c:pt>
                <c:pt idx="13">
                  <c:v>14500.0</c:v>
                </c:pt>
                <c:pt idx="14">
                  <c:v>14500.0</c:v>
                </c:pt>
                <c:pt idx="15">
                  <c:v>14500.0</c:v>
                </c:pt>
                <c:pt idx="16">
                  <c:v>19600.0</c:v>
                </c:pt>
                <c:pt idx="17">
                  <c:v>15800.0</c:v>
                </c:pt>
                <c:pt idx="18">
                  <c:v>11000.0</c:v>
                </c:pt>
                <c:pt idx="19">
                  <c:v>11000.0</c:v>
                </c:pt>
                <c:pt idx="20">
                  <c:v>1750.0</c:v>
                </c:pt>
                <c:pt idx="21">
                  <c:v>14500.0</c:v>
                </c:pt>
                <c:pt idx="22">
                  <c:v>670.0</c:v>
                </c:pt>
                <c:pt idx="23">
                  <c:v>15000.0</c:v>
                </c:pt>
                <c:pt idx="24">
                  <c:v>16900.0</c:v>
                </c:pt>
                <c:pt idx="25">
                  <c:v>16500.0</c:v>
                </c:pt>
                <c:pt idx="26">
                  <c:v>17400.0</c:v>
                </c:pt>
                <c:pt idx="27">
                  <c:v>15700.0</c:v>
                </c:pt>
                <c:pt idx="28">
                  <c:v>13300.0</c:v>
                </c:pt>
                <c:pt idx="29">
                  <c:v>14500.0</c:v>
                </c:pt>
                <c:pt idx="30">
                  <c:v>12200.0</c:v>
                </c:pt>
                <c:pt idx="31">
                  <c:v>14500.0</c:v>
                </c:pt>
                <c:pt idx="32">
                  <c:v>14500.0</c:v>
                </c:pt>
                <c:pt idx="33">
                  <c:v>14000.0</c:v>
                </c:pt>
                <c:pt idx="34">
                  <c:v>19400.0</c:v>
                </c:pt>
                <c:pt idx="35">
                  <c:v>17000.0</c:v>
                </c:pt>
                <c:pt idx="36">
                  <c:v>8000.0</c:v>
                </c:pt>
                <c:pt idx="37">
                  <c:v>11100.0</c:v>
                </c:pt>
                <c:pt idx="38">
                  <c:v>8000.0</c:v>
                </c:pt>
                <c:pt idx="39">
                  <c:v>11800.0</c:v>
                </c:pt>
                <c:pt idx="40">
                  <c:v>17000.0</c:v>
                </c:pt>
                <c:pt idx="41">
                  <c:v>11500.0</c:v>
                </c:pt>
                <c:pt idx="42">
                  <c:v>10500.0</c:v>
                </c:pt>
                <c:pt idx="43">
                  <c:v>16500.0</c:v>
                </c:pt>
                <c:pt idx="44">
                  <c:v>6500.0</c:v>
                </c:pt>
                <c:pt idx="45">
                  <c:v>600.0</c:v>
                </c:pt>
                <c:pt idx="46">
                  <c:v>18000.0</c:v>
                </c:pt>
                <c:pt idx="47">
                  <c:v>610.0</c:v>
                </c:pt>
                <c:pt idx="48">
                  <c:v>3500.0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771936"/>
        <c:axId val="1789023696"/>
      </c:lineChart>
      <c:catAx>
        <c:axId val="178977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02369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789023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77193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74078518984954"/>
          <c:y val="0.409739506546272"/>
          <c:w val="0.0999322678197789"/>
          <c:h val="0.1652730782707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61388707198316"/>
          <c:y val="0.0274108125260372"/>
          <c:w val="0.640835495225251"/>
          <c:h val="0.80519261795232"/>
        </c:manualLayout>
      </c:layout>
      <c:lineChart>
        <c:grouping val="standard"/>
        <c:varyColors val="0"/>
        <c:ser>
          <c:idx val="0"/>
          <c:order val="0"/>
          <c:tx>
            <c:strRef>
              <c:f>diagrams!$AJ$2:$AJ$4</c:f>
              <c:strCache>
                <c:ptCount val="3"/>
                <c:pt idx="0">
                  <c:v>МНС</c:v>
                </c:pt>
                <c:pt idx="2">
                  <c:v>- оклад</c:v>
                </c:pt>
              </c:strCache>
            </c:strRef>
          </c:tx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val>
            <c:numRef>
              <c:f>diagrams!$AJ$5:$AJ$45</c:f>
              <c:numCache>
                <c:formatCode>General</c:formatCode>
                <c:ptCount val="41"/>
                <c:pt idx="0">
                  <c:v>10800.0</c:v>
                </c:pt>
                <c:pt idx="1">
                  <c:v>13000.0</c:v>
                </c:pt>
                <c:pt idx="2">
                  <c:v>13500.0</c:v>
                </c:pt>
                <c:pt idx="3">
                  <c:v>11600.0</c:v>
                </c:pt>
                <c:pt idx="4">
                  <c:v>13000.0</c:v>
                </c:pt>
                <c:pt idx="5">
                  <c:v>13000.0</c:v>
                </c:pt>
                <c:pt idx="6">
                  <c:v>8900.0</c:v>
                </c:pt>
                <c:pt idx="7">
                  <c:v>13000.0</c:v>
                </c:pt>
                <c:pt idx="8">
                  <c:v>13000.0</c:v>
                </c:pt>
                <c:pt idx="9">
                  <c:v>6700.0</c:v>
                </c:pt>
                <c:pt idx="10">
                  <c:v>8000.0</c:v>
                </c:pt>
                <c:pt idx="11">
                  <c:v>13000.0</c:v>
                </c:pt>
                <c:pt idx="12">
                  <c:v>8500.0</c:v>
                </c:pt>
                <c:pt idx="13">
                  <c:v>11500.0</c:v>
                </c:pt>
                <c:pt idx="14">
                  <c:v>12000.0</c:v>
                </c:pt>
                <c:pt idx="15">
                  <c:v>11500.0</c:v>
                </c:pt>
                <c:pt idx="16">
                  <c:v>13000.0</c:v>
                </c:pt>
                <c:pt idx="17">
                  <c:v>13000.0</c:v>
                </c:pt>
                <c:pt idx="18">
                  <c:v>13000.0</c:v>
                </c:pt>
                <c:pt idx="19">
                  <c:v>12000.0</c:v>
                </c:pt>
                <c:pt idx="20">
                  <c:v>13000.0</c:v>
                </c:pt>
                <c:pt idx="21">
                  <c:v>13700.0</c:v>
                </c:pt>
                <c:pt idx="22">
                  <c:v>13000.0</c:v>
                </c:pt>
                <c:pt idx="23">
                  <c:v>13000.0</c:v>
                </c:pt>
                <c:pt idx="24">
                  <c:v>13000.0</c:v>
                </c:pt>
                <c:pt idx="25">
                  <c:v>13000.0</c:v>
                </c:pt>
                <c:pt idx="26">
                  <c:v>13000.0</c:v>
                </c:pt>
                <c:pt idx="27">
                  <c:v>11500.0</c:v>
                </c:pt>
                <c:pt idx="28">
                  <c:v>13000.0</c:v>
                </c:pt>
                <c:pt idx="29">
                  <c:v>12100.0</c:v>
                </c:pt>
                <c:pt idx="30">
                  <c:v>7000.0</c:v>
                </c:pt>
                <c:pt idx="31">
                  <c:v>13000.0</c:v>
                </c:pt>
                <c:pt idx="32">
                  <c:v>6300.0</c:v>
                </c:pt>
                <c:pt idx="33">
                  <c:v>8800.0</c:v>
                </c:pt>
                <c:pt idx="34">
                  <c:v>13500.0</c:v>
                </c:pt>
                <c:pt idx="35">
                  <c:v>12500.0</c:v>
                </c:pt>
                <c:pt idx="36">
                  <c:v>12500.0</c:v>
                </c:pt>
                <c:pt idx="37">
                  <c:v>10600.0</c:v>
                </c:pt>
                <c:pt idx="38">
                  <c:v>7700.0</c:v>
                </c:pt>
                <c:pt idx="39">
                  <c:v>13000.0</c:v>
                </c:pt>
                <c:pt idx="40">
                  <c:v>13800.0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diagrams!$AK$2:$AK$4</c:f>
              <c:strCache>
                <c:ptCount val="3"/>
                <c:pt idx="0">
                  <c:v>МНС</c:v>
                </c:pt>
                <c:pt idx="2">
                  <c:v>- зарплата</c:v>
                </c:pt>
              </c:strCache>
            </c:strRef>
          </c:tx>
          <c:spPr>
            <a:ln w="25400">
              <a:solidFill>
                <a:srgbClr val="993366"/>
              </a:solidFill>
              <a:prstDash val="solid"/>
            </a:ln>
          </c:spPr>
          <c:marker>
            <c:symbol val="none"/>
          </c:marker>
          <c:val>
            <c:numRef>
              <c:f>diagrams!$AK$5:$AK$45</c:f>
              <c:numCache>
                <c:formatCode>General</c:formatCode>
                <c:ptCount val="41"/>
                <c:pt idx="0">
                  <c:v>5400.0</c:v>
                </c:pt>
                <c:pt idx="1">
                  <c:v>16000.0</c:v>
                </c:pt>
                <c:pt idx="2">
                  <c:v>25500.0</c:v>
                </c:pt>
                <c:pt idx="3">
                  <c:v>9600.0</c:v>
                </c:pt>
                <c:pt idx="4">
                  <c:v>18000.0</c:v>
                </c:pt>
                <c:pt idx="5">
                  <c:v>20600.0</c:v>
                </c:pt>
                <c:pt idx="6">
                  <c:v>8900.0</c:v>
                </c:pt>
                <c:pt idx="7">
                  <c:v>14600.0</c:v>
                </c:pt>
                <c:pt idx="8">
                  <c:v>17000.0</c:v>
                </c:pt>
                <c:pt idx="9">
                  <c:v>6700.0</c:v>
                </c:pt>
                <c:pt idx="10">
                  <c:v>4000.0</c:v>
                </c:pt>
                <c:pt idx="11">
                  <c:v>17000.0</c:v>
                </c:pt>
                <c:pt idx="12">
                  <c:v>4250.0</c:v>
                </c:pt>
                <c:pt idx="13">
                  <c:v>11500.0</c:v>
                </c:pt>
                <c:pt idx="14">
                  <c:v>6700.0</c:v>
                </c:pt>
                <c:pt idx="15">
                  <c:v>11500.0</c:v>
                </c:pt>
                <c:pt idx="16">
                  <c:v>13700.0</c:v>
                </c:pt>
                <c:pt idx="17">
                  <c:v>15200.0</c:v>
                </c:pt>
                <c:pt idx="18">
                  <c:v>6500.0</c:v>
                </c:pt>
                <c:pt idx="19">
                  <c:v>6000.0</c:v>
                </c:pt>
                <c:pt idx="20">
                  <c:v>14000.0</c:v>
                </c:pt>
                <c:pt idx="21">
                  <c:v>16500.0</c:v>
                </c:pt>
                <c:pt idx="22">
                  <c:v>14000.0</c:v>
                </c:pt>
                <c:pt idx="23">
                  <c:v>14500.0</c:v>
                </c:pt>
                <c:pt idx="24">
                  <c:v>14500.0</c:v>
                </c:pt>
                <c:pt idx="25">
                  <c:v>13800.0</c:v>
                </c:pt>
                <c:pt idx="26">
                  <c:v>13800.0</c:v>
                </c:pt>
                <c:pt idx="27">
                  <c:v>11500.0</c:v>
                </c:pt>
                <c:pt idx="28">
                  <c:v>16000.0</c:v>
                </c:pt>
                <c:pt idx="29">
                  <c:v>12100.0</c:v>
                </c:pt>
                <c:pt idx="30">
                  <c:v>700.0</c:v>
                </c:pt>
                <c:pt idx="31">
                  <c:v>12700.0</c:v>
                </c:pt>
                <c:pt idx="32">
                  <c:v>9300.0</c:v>
                </c:pt>
                <c:pt idx="33">
                  <c:v>4400.0</c:v>
                </c:pt>
                <c:pt idx="34">
                  <c:v>21500.0</c:v>
                </c:pt>
                <c:pt idx="35">
                  <c:v>15000.0</c:v>
                </c:pt>
                <c:pt idx="36">
                  <c:v>15500.0</c:v>
                </c:pt>
                <c:pt idx="37">
                  <c:v>10600.0</c:v>
                </c:pt>
                <c:pt idx="38">
                  <c:v>7700.0</c:v>
                </c:pt>
                <c:pt idx="39">
                  <c:v>14100.0</c:v>
                </c:pt>
                <c:pt idx="40">
                  <c:v>13800.0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050272"/>
        <c:axId val="1789052592"/>
      </c:lineChart>
      <c:catAx>
        <c:axId val="178905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05259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789052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8905027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8216254251655"/>
          <c:y val="0.42144124258781"/>
          <c:w val="0.112622079606418"/>
          <c:h val="0.1644648751562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37924219083265"/>
          <c:y val="0.0185246481331617"/>
          <c:w val="0.8487861267562"/>
          <c:h val="0.84750265209215"/>
        </c:manualLayout>
      </c:layout>
      <c:lineChart>
        <c:grouping val="stacked"/>
        <c:varyColors val="0"/>
        <c:ser>
          <c:idx val="0"/>
          <c:order val="0"/>
          <c:cat>
            <c:numRef>
              <c:f>diagrams!$C$38:$C$77</c:f>
              <c:numCache>
                <c:formatCode>General</c:formatCode>
                <c:ptCount val="40"/>
                <c:pt idx="0">
                  <c:v>0.0</c:v>
                </c:pt>
                <c:pt idx="1">
                  <c:v>2000.0</c:v>
                </c:pt>
                <c:pt idx="2">
                  <c:v>4000.0</c:v>
                </c:pt>
                <c:pt idx="3">
                  <c:v>6000.0</c:v>
                </c:pt>
                <c:pt idx="4">
                  <c:v>8000.0</c:v>
                </c:pt>
                <c:pt idx="5">
                  <c:v>10000.0</c:v>
                </c:pt>
                <c:pt idx="6">
                  <c:v>12000.0</c:v>
                </c:pt>
                <c:pt idx="7">
                  <c:v>14000.0</c:v>
                </c:pt>
                <c:pt idx="8">
                  <c:v>16000.0</c:v>
                </c:pt>
                <c:pt idx="9">
                  <c:v>18000.0</c:v>
                </c:pt>
                <c:pt idx="10">
                  <c:v>20000.0</c:v>
                </c:pt>
                <c:pt idx="11">
                  <c:v>22000.0</c:v>
                </c:pt>
                <c:pt idx="12">
                  <c:v>24000.0</c:v>
                </c:pt>
                <c:pt idx="13">
                  <c:v>26000.0</c:v>
                </c:pt>
                <c:pt idx="14">
                  <c:v>28000.0</c:v>
                </c:pt>
                <c:pt idx="15">
                  <c:v>30000.0</c:v>
                </c:pt>
                <c:pt idx="16">
                  <c:v>32000.0</c:v>
                </c:pt>
                <c:pt idx="17">
                  <c:v>34000.0</c:v>
                </c:pt>
                <c:pt idx="18">
                  <c:v>36000.0</c:v>
                </c:pt>
                <c:pt idx="19">
                  <c:v>38000.0</c:v>
                </c:pt>
                <c:pt idx="20">
                  <c:v>40000.0</c:v>
                </c:pt>
                <c:pt idx="21">
                  <c:v>42000.0</c:v>
                </c:pt>
                <c:pt idx="22">
                  <c:v>44000.0</c:v>
                </c:pt>
                <c:pt idx="23">
                  <c:v>46000.0</c:v>
                </c:pt>
                <c:pt idx="24">
                  <c:v>48000.0</c:v>
                </c:pt>
                <c:pt idx="25">
                  <c:v>50000.0</c:v>
                </c:pt>
                <c:pt idx="26">
                  <c:v>52000.0</c:v>
                </c:pt>
                <c:pt idx="27">
                  <c:v>54000.0</c:v>
                </c:pt>
                <c:pt idx="28">
                  <c:v>56000.0</c:v>
                </c:pt>
                <c:pt idx="29">
                  <c:v>58000.0</c:v>
                </c:pt>
                <c:pt idx="30">
                  <c:v>60000.0</c:v>
                </c:pt>
                <c:pt idx="31">
                  <c:v>62000.0</c:v>
                </c:pt>
                <c:pt idx="32">
                  <c:v>64000.0</c:v>
                </c:pt>
                <c:pt idx="33">
                  <c:v>66000.0</c:v>
                </c:pt>
                <c:pt idx="34">
                  <c:v>68000.0</c:v>
                </c:pt>
                <c:pt idx="35">
                  <c:v>70000.0</c:v>
                </c:pt>
                <c:pt idx="36">
                  <c:v>72000.0</c:v>
                </c:pt>
                <c:pt idx="37">
                  <c:v>74000.0</c:v>
                </c:pt>
                <c:pt idx="38">
                  <c:v>76000.0</c:v>
                </c:pt>
                <c:pt idx="39">
                  <c:v>78000.0</c:v>
                </c:pt>
              </c:numCache>
            </c:numRef>
          </c:cat>
          <c:val>
            <c:numRef>
              <c:f>diagrams!$D$38:$D$77</c:f>
              <c:numCache>
                <c:formatCode>General</c:formatCode>
                <c:ptCount val="4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8.0</c:v>
                </c:pt>
                <c:pt idx="5">
                  <c:v>25.0</c:v>
                </c:pt>
                <c:pt idx="6">
                  <c:v>49.0</c:v>
                </c:pt>
                <c:pt idx="7">
                  <c:v>96.0</c:v>
                </c:pt>
                <c:pt idx="8">
                  <c:v>127.0</c:v>
                </c:pt>
                <c:pt idx="9">
                  <c:v>110.0</c:v>
                </c:pt>
                <c:pt idx="10">
                  <c:v>98.0</c:v>
                </c:pt>
                <c:pt idx="11">
                  <c:v>106.0</c:v>
                </c:pt>
                <c:pt idx="12">
                  <c:v>63.0</c:v>
                </c:pt>
                <c:pt idx="13">
                  <c:v>53.0</c:v>
                </c:pt>
                <c:pt idx="14">
                  <c:v>40.0</c:v>
                </c:pt>
                <c:pt idx="15">
                  <c:v>40.0</c:v>
                </c:pt>
                <c:pt idx="16">
                  <c:v>34.0</c:v>
                </c:pt>
                <c:pt idx="17">
                  <c:v>19.0</c:v>
                </c:pt>
                <c:pt idx="18">
                  <c:v>18.0</c:v>
                </c:pt>
                <c:pt idx="19">
                  <c:v>20.0</c:v>
                </c:pt>
                <c:pt idx="20">
                  <c:v>23.0</c:v>
                </c:pt>
                <c:pt idx="21">
                  <c:v>11.0</c:v>
                </c:pt>
                <c:pt idx="22">
                  <c:v>11.0</c:v>
                </c:pt>
                <c:pt idx="23">
                  <c:v>7.0</c:v>
                </c:pt>
                <c:pt idx="24">
                  <c:v>5.0</c:v>
                </c:pt>
                <c:pt idx="25">
                  <c:v>6.0</c:v>
                </c:pt>
                <c:pt idx="26">
                  <c:v>5.0</c:v>
                </c:pt>
                <c:pt idx="27">
                  <c:v>2.0</c:v>
                </c:pt>
                <c:pt idx="28">
                  <c:v>0.0</c:v>
                </c:pt>
                <c:pt idx="29">
                  <c:v>2.0</c:v>
                </c:pt>
                <c:pt idx="30">
                  <c:v>1.0</c:v>
                </c:pt>
                <c:pt idx="31">
                  <c:v>0.0</c:v>
                </c:pt>
                <c:pt idx="32">
                  <c:v>2.0</c:v>
                </c:pt>
                <c:pt idx="33">
                  <c:v>0.0</c:v>
                </c:pt>
                <c:pt idx="34">
                  <c:v>0.0</c:v>
                </c:pt>
                <c:pt idx="35">
                  <c:v>1.0</c:v>
                </c:pt>
                <c:pt idx="36">
                  <c:v>3.0</c:v>
                </c:pt>
                <c:pt idx="37">
                  <c:v>0.0</c:v>
                </c:pt>
                <c:pt idx="38">
                  <c:v>2.0</c:v>
                </c:pt>
                <c:pt idx="3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066656"/>
        <c:axId val="1789068976"/>
      </c:lineChart>
      <c:catAx>
        <c:axId val="178906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ru-RU"/>
          </a:p>
        </c:txPr>
        <c:crossAx val="1789068976"/>
        <c:crosses val="autoZero"/>
        <c:auto val="1"/>
        <c:lblAlgn val="ctr"/>
        <c:lblOffset val="100"/>
        <c:noMultiLvlLbl val="0"/>
      </c:catAx>
      <c:valAx>
        <c:axId val="178906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ru-RU"/>
          </a:p>
        </c:txPr>
        <c:crossAx val="17890666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04444233428749"/>
          <c:y val="0.470062946378979"/>
          <c:w val="0.0665909490546435"/>
          <c:h val="0.0555739443994852"/>
        </c:manualLayout>
      </c:layout>
      <c:overlay val="0"/>
      <c:txPr>
        <a:bodyPr/>
        <a:lstStyle/>
        <a:p>
          <a:pPr>
            <a:defRPr lang="en-US"/>
          </a:pPr>
          <a:endParaRPr lang="ru-RU"/>
        </a:p>
      </c:txPr>
    </c:legend>
    <c:plotVisOnly val="1"/>
    <c:dispBlanksAs val="zero"/>
    <c:showDLblsOverMax val="0"/>
  </c:chart>
  <c:printSettings>
    <c:headerFooter/>
    <c:pageMargins b="0.750000000000011" l="0.700000000000002" r="0.700000000000002" t="0.750000000000011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6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LHEP age distribution</a:t>
            </a:r>
          </a:p>
        </c:rich>
      </c:tx>
      <c:layout>
        <c:manualLayout>
          <c:xMode val="edge"/>
          <c:yMode val="edge"/>
          <c:x val="0.349620563733891"/>
          <c:y val="0.064771518944747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2717724820161"/>
          <c:y val="0.31624019609207"/>
          <c:w val="0.868207097729955"/>
          <c:h val="0.51851996115995"/>
        </c:manualLayout>
      </c:layout>
      <c:barChart>
        <c:barDir val="col"/>
        <c:grouping val="clustered"/>
        <c:varyColors val="0"/>
        <c:ser>
          <c:idx val="2"/>
          <c:order val="0"/>
          <c:tx>
            <c:v>Без нормировки</c:v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strRef>
              <c:f>age_new!$C$16:$C$30</c:f>
              <c:strCache>
                <c:ptCount val="15"/>
                <c:pt idx="0">
                  <c:v>возраст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45</c:v>
                </c:pt>
                <c:pt idx="7">
                  <c:v>50</c:v>
                </c:pt>
                <c:pt idx="8">
                  <c:v>55</c:v>
                </c:pt>
                <c:pt idx="9">
                  <c:v>60</c:v>
                </c:pt>
                <c:pt idx="10">
                  <c:v>65</c:v>
                </c:pt>
                <c:pt idx="11">
                  <c:v>70</c:v>
                </c:pt>
                <c:pt idx="12">
                  <c:v>75</c:v>
                </c:pt>
                <c:pt idx="13">
                  <c:v>80</c:v>
                </c:pt>
                <c:pt idx="14">
                  <c:v>85</c:v>
                </c:pt>
              </c:strCache>
            </c:strRef>
          </c:cat>
          <c:val>
            <c:numRef>
              <c:f>age_new!$E$16:$E$30</c:f>
              <c:numCache>
                <c:formatCode>0</c:formatCode>
                <c:ptCount val="15"/>
              </c:numCache>
            </c:numRef>
          </c:val>
        </c:ser>
        <c:ser>
          <c:idx val="1"/>
          <c:order val="1"/>
          <c:tx>
            <c:v>Age</c:v>
          </c:tx>
          <c:spPr>
            <a:solidFill>
              <a:srgbClr val="558ED5"/>
            </a:solidFill>
            <a:ln w="25400">
              <a:noFill/>
            </a:ln>
          </c:spPr>
          <c:invertIfNegative val="0"/>
          <c:cat>
            <c:strRef>
              <c:f>age_new!$C$16:$C$30</c:f>
              <c:strCache>
                <c:ptCount val="15"/>
                <c:pt idx="0">
                  <c:v>возраст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45</c:v>
                </c:pt>
                <c:pt idx="7">
                  <c:v>50</c:v>
                </c:pt>
                <c:pt idx="8">
                  <c:v>55</c:v>
                </c:pt>
                <c:pt idx="9">
                  <c:v>60</c:v>
                </c:pt>
                <c:pt idx="10">
                  <c:v>65</c:v>
                </c:pt>
                <c:pt idx="11">
                  <c:v>70</c:v>
                </c:pt>
                <c:pt idx="12">
                  <c:v>75</c:v>
                </c:pt>
                <c:pt idx="13">
                  <c:v>80</c:v>
                </c:pt>
                <c:pt idx="14">
                  <c:v>85</c:v>
                </c:pt>
              </c:strCache>
            </c:strRef>
          </c:cat>
          <c:val>
            <c:numRef>
              <c:f>age_new!$D$16:$D$30</c:f>
              <c:numCache>
                <c:formatCode>0.00</c:formatCode>
                <c:ptCount val="15"/>
                <c:pt idx="0" formatCode="General">
                  <c:v>0.0</c:v>
                </c:pt>
                <c:pt idx="1">
                  <c:v>0.0</c:v>
                </c:pt>
                <c:pt idx="2">
                  <c:v>83.583</c:v>
                </c:pt>
                <c:pt idx="3">
                  <c:v>88.375</c:v>
                </c:pt>
                <c:pt idx="4">
                  <c:v>60.6</c:v>
                </c:pt>
                <c:pt idx="5">
                  <c:v>63.6</c:v>
                </c:pt>
                <c:pt idx="6">
                  <c:v>60.75</c:v>
                </c:pt>
                <c:pt idx="7">
                  <c:v>83.0</c:v>
                </c:pt>
                <c:pt idx="8">
                  <c:v>103.335</c:v>
                </c:pt>
                <c:pt idx="9">
                  <c:v>128.0</c:v>
                </c:pt>
                <c:pt idx="10">
                  <c:v>123.0</c:v>
                </c:pt>
                <c:pt idx="11">
                  <c:v>67.0</c:v>
                </c:pt>
                <c:pt idx="12">
                  <c:v>54.5</c:v>
                </c:pt>
                <c:pt idx="13">
                  <c:v>17.634</c:v>
                </c:pt>
                <c:pt idx="14">
                  <c:v>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2208688"/>
        <c:axId val="1778244512"/>
      </c:barChart>
      <c:catAx>
        <c:axId val="177220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1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Age</a:t>
                </a:r>
              </a:p>
            </c:rich>
          </c:tx>
          <c:layout>
            <c:manualLayout>
              <c:xMode val="edge"/>
              <c:yMode val="edge"/>
              <c:x val="0.512625670432514"/>
              <c:y val="0.9047571617650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78244512"/>
        <c:crosses val="autoZero"/>
        <c:auto val="0"/>
        <c:lblAlgn val="ctr"/>
        <c:lblOffset val="100"/>
        <c:tickLblSkip val="1"/>
        <c:tickMarkSkip val="5"/>
        <c:noMultiLvlLbl val="0"/>
      </c:catAx>
      <c:valAx>
        <c:axId val="1778244512"/>
        <c:scaling>
          <c:orientation val="minMax"/>
        </c:scaling>
        <c:delete val="1"/>
        <c:axPos val="l"/>
        <c:title>
          <c:tx>
            <c:rich>
              <a:bodyPr/>
              <a:lstStyle/>
              <a:p>
                <a:pPr>
                  <a:defRPr lang="en-US" sz="105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N/5 years</a:t>
                </a:r>
              </a:p>
            </c:rich>
          </c:tx>
          <c:layout>
            <c:manualLayout>
              <c:xMode val="edge"/>
              <c:yMode val="edge"/>
              <c:x val="0.0279481912587014"/>
              <c:y val="0.40853773620177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one"/>
        <c:crossAx val="177220868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937500570580851"/>
          <c:y val="0.794873888627171"/>
          <c:w val="0.0312500000000052"/>
          <c:h val="0.0484330484330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3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50000000000012" l="0.700000000000002" r="0.700000000000002" t="0.750000000000012" header="0.314960629921272" footer="0.314960629921272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ru-RU" sz="1000" b="1" i="0" u="none" strike="noStrike" baseline="0">
                <a:solidFill>
                  <a:srgbClr val="000000"/>
                </a:solidFill>
                <a:latin typeface="Calibri"/>
              </a:rPr>
              <a:t>Распределение по возрасту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 sz="800" b="1" i="0" u="none" strike="noStrike" baseline="0">
              <a:solidFill>
                <a:srgbClr val="000000"/>
              </a:solidFill>
              <a:latin typeface="Calibri"/>
            </a:endParaRP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ru-RU" sz="800" b="1" i="0" u="none" strike="noStrike" baseline="0">
                <a:solidFill>
                  <a:srgbClr val="000000"/>
                </a:solidFill>
                <a:latin typeface="Calibri"/>
              </a:rPr>
              <a:t>Учтенных человек -  935 (всего  - 966)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ru-RU" sz="800" b="1" i="0" u="none" strike="noStrike" baseline="0">
                <a:solidFill>
                  <a:srgbClr val="333399"/>
                </a:solidFill>
                <a:latin typeface="Calibri"/>
              </a:rPr>
              <a:t>Средний возраст - </a:t>
            </a:r>
            <a:r>
              <a:rPr lang="ru-RU" sz="800" b="1" i="0" u="none" strike="noStrike" baseline="0">
                <a:solidFill>
                  <a:srgbClr val="DD0806"/>
                </a:solidFill>
                <a:latin typeface="Calibri"/>
              </a:rPr>
              <a:t>53,8 </a:t>
            </a:r>
            <a:r>
              <a:rPr lang="ru-RU" sz="800" b="1" i="0" u="none" strike="noStrike" baseline="0">
                <a:solidFill>
                  <a:srgbClr val="333399"/>
                </a:solidFill>
                <a:latin typeface="Calibri"/>
              </a:rPr>
              <a:t>года 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ru-RU" sz="800" b="1" i="0" u="none" strike="noStrike" baseline="0">
                <a:solidFill>
                  <a:srgbClr val="000000"/>
                </a:solidFill>
                <a:latin typeface="Calibri"/>
              </a:rPr>
              <a:t>полная ставка     - 52,9 года</a:t>
            </a:r>
          </a:p>
        </c:rich>
      </c:tx>
      <c:layout>
        <c:manualLayout>
          <c:xMode val="edge"/>
          <c:yMode val="edge"/>
          <c:x val="0.611841124361064"/>
          <c:y val="0.0011200358749126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6838310178767"/>
          <c:y val="0.255169609384063"/>
          <c:w val="0.730976113444654"/>
          <c:h val="0.55136287905731"/>
        </c:manualLayout>
      </c:layout>
      <c:barChart>
        <c:barDir val="col"/>
        <c:grouping val="clustered"/>
        <c:varyColors val="0"/>
        <c:ser>
          <c:idx val="2"/>
          <c:order val="0"/>
          <c:tx>
            <c:v>Без нормировки</c:v>
          </c:tx>
          <c:spPr>
            <a:solidFill>
              <a:srgbClr val="C00000"/>
            </a:solidFill>
            <a:ln w="25400">
              <a:noFill/>
            </a:ln>
          </c:spPr>
          <c:invertIfNegative val="0"/>
          <c:cat>
            <c:strRef>
              <c:f>age_new!$C$16:$C$30</c:f>
              <c:strCache>
                <c:ptCount val="15"/>
                <c:pt idx="0">
                  <c:v>возраст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45</c:v>
                </c:pt>
                <c:pt idx="7">
                  <c:v>50</c:v>
                </c:pt>
                <c:pt idx="8">
                  <c:v>55</c:v>
                </c:pt>
                <c:pt idx="9">
                  <c:v>60</c:v>
                </c:pt>
                <c:pt idx="10">
                  <c:v>65</c:v>
                </c:pt>
                <c:pt idx="11">
                  <c:v>70</c:v>
                </c:pt>
                <c:pt idx="12">
                  <c:v>75</c:v>
                </c:pt>
                <c:pt idx="13">
                  <c:v>80</c:v>
                </c:pt>
                <c:pt idx="14">
                  <c:v>85</c:v>
                </c:pt>
              </c:strCache>
            </c:strRef>
          </c:cat>
          <c:val>
            <c:numRef>
              <c:f>age_new!$E$16:$E$30</c:f>
              <c:numCache>
                <c:formatCode>0</c:formatCode>
                <c:ptCount val="15"/>
              </c:numCache>
            </c:numRef>
          </c:val>
        </c:ser>
        <c:ser>
          <c:idx val="1"/>
          <c:order val="1"/>
          <c:tx>
            <c:v>С нормировкой на ставку</c:v>
          </c:tx>
          <c:spPr>
            <a:solidFill>
              <a:srgbClr val="558ED5"/>
            </a:solidFill>
            <a:ln w="25400">
              <a:noFill/>
            </a:ln>
          </c:spPr>
          <c:invertIfNegative val="0"/>
          <c:cat>
            <c:strRef>
              <c:f>age_new!$C$16:$C$30</c:f>
              <c:strCache>
                <c:ptCount val="15"/>
                <c:pt idx="0">
                  <c:v>возраст</c:v>
                </c:pt>
                <c:pt idx="1">
                  <c:v>20</c:v>
                </c:pt>
                <c:pt idx="2">
                  <c:v>25</c:v>
                </c:pt>
                <c:pt idx="3">
                  <c:v>30</c:v>
                </c:pt>
                <c:pt idx="4">
                  <c:v>35</c:v>
                </c:pt>
                <c:pt idx="5">
                  <c:v>40</c:v>
                </c:pt>
                <c:pt idx="6">
                  <c:v>45</c:v>
                </c:pt>
                <c:pt idx="7">
                  <c:v>50</c:v>
                </c:pt>
                <c:pt idx="8">
                  <c:v>55</c:v>
                </c:pt>
                <c:pt idx="9">
                  <c:v>60</c:v>
                </c:pt>
                <c:pt idx="10">
                  <c:v>65</c:v>
                </c:pt>
                <c:pt idx="11">
                  <c:v>70</c:v>
                </c:pt>
                <c:pt idx="12">
                  <c:v>75</c:v>
                </c:pt>
                <c:pt idx="13">
                  <c:v>80</c:v>
                </c:pt>
                <c:pt idx="14">
                  <c:v>85</c:v>
                </c:pt>
              </c:strCache>
            </c:strRef>
          </c:cat>
          <c:val>
            <c:numRef>
              <c:f>age_new!$D$16:$D$29</c:f>
              <c:numCache>
                <c:formatCode>0.00</c:formatCode>
                <c:ptCount val="14"/>
                <c:pt idx="0" formatCode="General">
                  <c:v>0.0</c:v>
                </c:pt>
                <c:pt idx="1">
                  <c:v>0.0</c:v>
                </c:pt>
                <c:pt idx="2">
                  <c:v>83.583</c:v>
                </c:pt>
                <c:pt idx="3">
                  <c:v>88.375</c:v>
                </c:pt>
                <c:pt idx="4">
                  <c:v>60.6</c:v>
                </c:pt>
                <c:pt idx="5">
                  <c:v>63.6</c:v>
                </c:pt>
                <c:pt idx="6">
                  <c:v>60.75</c:v>
                </c:pt>
                <c:pt idx="7">
                  <c:v>83.0</c:v>
                </c:pt>
                <c:pt idx="8">
                  <c:v>103.335</c:v>
                </c:pt>
                <c:pt idx="9">
                  <c:v>128.0</c:v>
                </c:pt>
                <c:pt idx="10">
                  <c:v>123.0</c:v>
                </c:pt>
                <c:pt idx="11">
                  <c:v>67.0</c:v>
                </c:pt>
                <c:pt idx="12">
                  <c:v>54.5</c:v>
                </c:pt>
                <c:pt idx="13">
                  <c:v>17.634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8265808"/>
        <c:axId val="1778269200"/>
      </c:barChart>
      <c:catAx>
        <c:axId val="177826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 sz="11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78269200"/>
        <c:crosses val="autoZero"/>
        <c:auto val="0"/>
        <c:lblAlgn val="ctr"/>
        <c:lblOffset val="100"/>
        <c:tickLblSkip val="1"/>
        <c:tickMarkSkip val="5"/>
        <c:noMultiLvlLbl val="0"/>
      </c:catAx>
      <c:valAx>
        <c:axId val="17782692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lang="en-US" sz="105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ru-RU"/>
                  <a:t>Количество</a:t>
                </a:r>
              </a:p>
            </c:rich>
          </c:tx>
          <c:layout>
            <c:manualLayout>
              <c:xMode val="edge"/>
              <c:yMode val="edge"/>
              <c:x val="0.0140351587884312"/>
              <c:y val="0.4085377016315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778265808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1018220793141"/>
          <c:y val="0.746231155778896"/>
          <c:w val="0.0557341907824223"/>
          <c:h val="0.0502512562814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3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ru-RU"/>
    </a:p>
  </c:txPr>
  <c:printSettings>
    <c:headerFooter alignWithMargins="0"/>
    <c:pageMargins b="0.748031496063011" l="0.70866141732285" r="0.70866141732285" t="0.748031496063011" header="0.314960629921272" footer="0.314960629921272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(4 -3)</a:t>
            </a:r>
          </a:p>
        </c:rich>
      </c:tx>
      <c:layout>
        <c:manualLayout>
          <c:xMode val="edge"/>
          <c:yMode val="edge"/>
          <c:x val="0.463436753241666"/>
          <c:y val="0.0497218743645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81780402449694"/>
          <c:y val="0.240412509165099"/>
          <c:w val="0.784515893846602"/>
          <c:h val="0.675626421994964"/>
        </c:manualLayout>
      </c:layout>
      <c:barChart>
        <c:barDir val="bar"/>
        <c:grouping val="clustered"/>
        <c:varyColors val="0"/>
        <c:ser>
          <c:idx val="1"/>
          <c:order val="0"/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FTE!$C$6:$C$26</c:f>
              <c:strCache>
                <c:ptCount val="20"/>
                <c:pt idx="1">
                  <c:v>НЭОФТИ</c:v>
                </c:pt>
                <c:pt idx="2">
                  <c:v>НЭОСФМС</c:v>
                </c:pt>
                <c:pt idx="3">
                  <c:v>СФСКЯ</c:v>
                </c:pt>
                <c:pt idx="5">
                  <c:v>НЭОМД (MPD)</c:v>
                </c:pt>
                <c:pt idx="6">
                  <c:v>НЭОФЛКЛ</c:v>
                </c:pt>
                <c:pt idx="7">
                  <c:v>СНЭО</c:v>
                </c:pt>
                <c:pt idx="9">
                  <c:v>НЭОФТИ на RHIC</c:v>
                </c:pt>
                <c:pt idx="10">
                  <c:v>НЭОФТИ на LHC</c:v>
                </c:pt>
                <c:pt idx="11">
                  <c:v>НЭО ФCMS</c:v>
                </c:pt>
                <c:pt idx="12">
                  <c:v>СФ АТЛАС</c:v>
                </c:pt>
                <c:pt idx="14">
                  <c:v>НЭОАФИ</c:v>
                </c:pt>
                <c:pt idx="15">
                  <c:v>ССД</c:v>
                </c:pt>
                <c:pt idx="16">
                  <c:v>СДС</c:v>
                </c:pt>
                <c:pt idx="17">
                  <c:v>СРС</c:v>
                </c:pt>
                <c:pt idx="18">
                  <c:v>НМО КТС</c:v>
                </c:pt>
                <c:pt idx="19">
                  <c:v>СКИ</c:v>
                </c:pt>
              </c:strCache>
            </c:strRef>
          </c:cat>
          <c:val>
            <c:numRef>
              <c:f>FTE!$H$6:$H$26</c:f>
              <c:numCache>
                <c:formatCode>0.00</c:formatCode>
                <c:ptCount val="21"/>
                <c:pt idx="1">
                  <c:v>-8.391297453496797</c:v>
                </c:pt>
                <c:pt idx="2">
                  <c:v>-11.98897840772541</c:v>
                </c:pt>
                <c:pt idx="3">
                  <c:v>-1.216463244289896</c:v>
                </c:pt>
                <c:pt idx="5">
                  <c:v>-31.5113864343695</c:v>
                </c:pt>
                <c:pt idx="6">
                  <c:v>-9.152805718031796</c:v>
                </c:pt>
                <c:pt idx="7">
                  <c:v>-5.950141172943908</c:v>
                </c:pt>
                <c:pt idx="9">
                  <c:v>-3.980503296218586</c:v>
                </c:pt>
                <c:pt idx="10">
                  <c:v>-20.89966219521437</c:v>
                </c:pt>
                <c:pt idx="11">
                  <c:v>-2.391601268606617</c:v>
                </c:pt>
                <c:pt idx="12">
                  <c:v>-1.23013909991402</c:v>
                </c:pt>
                <c:pt idx="14">
                  <c:v>-8.74418869881341</c:v>
                </c:pt>
                <c:pt idx="15">
                  <c:v>-0.246735188261352</c:v>
                </c:pt>
                <c:pt idx="16">
                  <c:v>-3.811031833150385</c:v>
                </c:pt>
                <c:pt idx="17">
                  <c:v>-3.8</c:v>
                </c:pt>
                <c:pt idx="18">
                  <c:v>-21.69569783939591</c:v>
                </c:pt>
                <c:pt idx="19">
                  <c:v>-6.4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88525232"/>
        <c:axId val="1788462816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FTE!$I$6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tint val="100000"/>
                          <a:shade val="100000"/>
                          <a:satMod val="130000"/>
                        </a:schemeClr>
                      </a:gs>
                      <a:gs pos="100000">
                        <a:schemeClr val="accent2">
                          <a:tint val="50000"/>
                          <a:shade val="100000"/>
                          <a:satMod val="350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FTE!$C$6:$C$26</c15:sqref>
                        </c15:formulaRef>
                      </c:ext>
                    </c:extLst>
                    <c:strCache>
                      <c:ptCount val="20"/>
                      <c:pt idx="1">
                        <c:v>НЭОФТИ</c:v>
                      </c:pt>
                      <c:pt idx="2">
                        <c:v>НЭОСФМС</c:v>
                      </c:pt>
                      <c:pt idx="3">
                        <c:v>СФСКЯ</c:v>
                      </c:pt>
                      <c:pt idx="5">
                        <c:v>НЭОМД (MPD)</c:v>
                      </c:pt>
                      <c:pt idx="6">
                        <c:v>НЭОФЛКЛ</c:v>
                      </c:pt>
                      <c:pt idx="7">
                        <c:v>СНЭО</c:v>
                      </c:pt>
                      <c:pt idx="9">
                        <c:v>НЭОФТИ на RHIC</c:v>
                      </c:pt>
                      <c:pt idx="10">
                        <c:v>НЭОФТИ на LHC</c:v>
                      </c:pt>
                      <c:pt idx="11">
                        <c:v>НЭО ФCMS</c:v>
                      </c:pt>
                      <c:pt idx="12">
                        <c:v>СФ АТЛАС</c:v>
                      </c:pt>
                      <c:pt idx="14">
                        <c:v>НЭОАФИ</c:v>
                      </c:pt>
                      <c:pt idx="15">
                        <c:v>ССД</c:v>
                      </c:pt>
                      <c:pt idx="16">
                        <c:v>СДС</c:v>
                      </c:pt>
                      <c:pt idx="17">
                        <c:v>СРС</c:v>
                      </c:pt>
                      <c:pt idx="18">
                        <c:v>НМО КТС</c:v>
                      </c:pt>
                      <c:pt idx="19">
                        <c:v>СКИ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FTE!$I$6:$I$26</c15:sqref>
                        </c15:formulaRef>
                      </c:ext>
                    </c:extLst>
                    <c:numCache>
                      <c:formatCode>0.0</c:formatCode>
                      <c:ptCount val="21"/>
                      <c:pt idx="1">
                        <c:v>-19.24110939933518</c:v>
                      </c:pt>
                      <c:pt idx="2">
                        <c:v>-41.74583871862369</c:v>
                      </c:pt>
                      <c:pt idx="3">
                        <c:v>-7.32083131293251</c:v>
                      </c:pt>
                      <c:pt idx="5">
                        <c:v>-32.38201364608238</c:v>
                      </c:pt>
                      <c:pt idx="6">
                        <c:v>-25.05366214868674</c:v>
                      </c:pt>
                      <c:pt idx="7">
                        <c:v>-26.5038029253678</c:v>
                      </c:pt>
                      <c:pt idx="9">
                        <c:v>-10.62019702552975</c:v>
                      </c:pt>
                      <c:pt idx="10">
                        <c:v>-52.2495967421316</c:v>
                      </c:pt>
                      <c:pt idx="11">
                        <c:v>-8.990441005628563</c:v>
                      </c:pt>
                      <c:pt idx="12">
                        <c:v>-12.6425643794228</c:v>
                      </c:pt>
                      <c:pt idx="14">
                        <c:v>-30.63386663771919</c:v>
                      </c:pt>
                      <c:pt idx="15">
                        <c:v>-1.891164223853869</c:v>
                      </c:pt>
                      <c:pt idx="16">
                        <c:v>-57.64655093687995</c:v>
                      </c:pt>
                      <c:pt idx="17">
                        <c:v>-50.66666666666666</c:v>
                      </c:pt>
                      <c:pt idx="18">
                        <c:v>-48.56263894833718</c:v>
                      </c:pt>
                      <c:pt idx="19">
                        <c:v>-86.48648648648648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78852523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8462816"/>
        <c:crosses val="autoZero"/>
        <c:auto val="1"/>
        <c:lblAlgn val="ctr"/>
        <c:lblOffset val="100"/>
        <c:tickLblSkip val="1"/>
        <c:noMultiLvlLbl val="0"/>
      </c:catAx>
      <c:valAx>
        <c:axId val="17884628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8525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(4 -3)/3,  %</a:t>
            </a:r>
          </a:p>
        </c:rich>
      </c:tx>
      <c:layout>
        <c:manualLayout>
          <c:xMode val="edge"/>
          <c:yMode val="edge"/>
          <c:x val="0.463436753241666"/>
          <c:y val="0.03023953029705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81780402449694"/>
          <c:y val="0.240412509165099"/>
          <c:w val="0.784515893846602"/>
          <c:h val="0.7076345136757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FTE!$I$6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FTE!$C$6:$C$26</c:f>
              <c:strCache>
                <c:ptCount val="20"/>
                <c:pt idx="1">
                  <c:v>НЭОФТИ</c:v>
                </c:pt>
                <c:pt idx="2">
                  <c:v>НЭОСФМС</c:v>
                </c:pt>
                <c:pt idx="3">
                  <c:v>СФСКЯ</c:v>
                </c:pt>
                <c:pt idx="5">
                  <c:v>НЭОМД (MPD)</c:v>
                </c:pt>
                <c:pt idx="6">
                  <c:v>НЭОФЛКЛ</c:v>
                </c:pt>
                <c:pt idx="7">
                  <c:v>СНЭО</c:v>
                </c:pt>
                <c:pt idx="9">
                  <c:v>НЭОФТИ на RHIC</c:v>
                </c:pt>
                <c:pt idx="10">
                  <c:v>НЭОФТИ на LHC</c:v>
                </c:pt>
                <c:pt idx="11">
                  <c:v>НЭО ФCMS</c:v>
                </c:pt>
                <c:pt idx="12">
                  <c:v>СФ АТЛАС</c:v>
                </c:pt>
                <c:pt idx="14">
                  <c:v>НЭОАФИ</c:v>
                </c:pt>
                <c:pt idx="15">
                  <c:v>ССД</c:v>
                </c:pt>
                <c:pt idx="16">
                  <c:v>СДС</c:v>
                </c:pt>
                <c:pt idx="17">
                  <c:v>СРС</c:v>
                </c:pt>
                <c:pt idx="18">
                  <c:v>НМО КТС</c:v>
                </c:pt>
                <c:pt idx="19">
                  <c:v>СКИ</c:v>
                </c:pt>
              </c:strCache>
            </c:strRef>
          </c:cat>
          <c:val>
            <c:numRef>
              <c:f>FTE!$I$6:$I$26</c:f>
              <c:numCache>
                <c:formatCode>0.0</c:formatCode>
                <c:ptCount val="21"/>
                <c:pt idx="1">
                  <c:v>-19.24110939933518</c:v>
                </c:pt>
                <c:pt idx="2">
                  <c:v>-41.74583871862369</c:v>
                </c:pt>
                <c:pt idx="3">
                  <c:v>-7.32083131293251</c:v>
                </c:pt>
                <c:pt idx="5">
                  <c:v>-32.38201364608238</c:v>
                </c:pt>
                <c:pt idx="6">
                  <c:v>-25.05366214868674</c:v>
                </c:pt>
                <c:pt idx="7">
                  <c:v>-26.5038029253678</c:v>
                </c:pt>
                <c:pt idx="9">
                  <c:v>-10.62019702552975</c:v>
                </c:pt>
                <c:pt idx="10">
                  <c:v>-52.2495967421316</c:v>
                </c:pt>
                <c:pt idx="11">
                  <c:v>-8.990441005628563</c:v>
                </c:pt>
                <c:pt idx="12">
                  <c:v>-12.6425643794228</c:v>
                </c:pt>
                <c:pt idx="14">
                  <c:v>-30.63386663771919</c:v>
                </c:pt>
                <c:pt idx="15">
                  <c:v>-1.891164223853869</c:v>
                </c:pt>
                <c:pt idx="16">
                  <c:v>-57.64655093687995</c:v>
                </c:pt>
                <c:pt idx="17">
                  <c:v>-50.66666666666666</c:v>
                </c:pt>
                <c:pt idx="18">
                  <c:v>-48.56263894833718</c:v>
                </c:pt>
                <c:pt idx="19">
                  <c:v>-86.48648648648648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77273920"/>
        <c:axId val="1777253152"/>
      </c:barChart>
      <c:catAx>
        <c:axId val="17772739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7253152"/>
        <c:crosses val="autoZero"/>
        <c:auto val="1"/>
        <c:lblAlgn val="ctr"/>
        <c:lblOffset val="100"/>
        <c:tickLblSkip val="1"/>
        <c:noMultiLvlLbl val="0"/>
      </c:catAx>
      <c:valAx>
        <c:axId val="177725315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727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500" b="1">
                <a:solidFill>
                  <a:schemeClr val="bg2">
                    <a:lumMod val="50000"/>
                  </a:schemeClr>
                </a:solidFill>
              </a:rPr>
              <a:t>Число</a:t>
            </a:r>
            <a:r>
              <a:rPr lang="ru-RU" sz="1500" b="1" baseline="0">
                <a:solidFill>
                  <a:schemeClr val="bg2">
                    <a:lumMod val="50000"/>
                  </a:schemeClr>
                </a:solidFill>
              </a:rPr>
              <a:t> шт. единиц</a:t>
            </a:r>
            <a:r>
              <a:rPr lang="en-US" sz="1500" b="1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US" sz="1500" b="1" baseline="0"/>
              <a:t>+ </a:t>
            </a:r>
            <a:r>
              <a:rPr lang="en-US" sz="1500" b="1" baseline="0">
                <a:solidFill>
                  <a:srgbClr val="00B050"/>
                </a:solidFill>
              </a:rPr>
              <a:t>FTE</a:t>
            </a:r>
            <a:r>
              <a:rPr lang="en-US" sz="1500" b="1" baseline="-25000">
                <a:solidFill>
                  <a:srgbClr val="00B050"/>
                </a:solidFill>
              </a:rPr>
              <a:t>A</a:t>
            </a:r>
            <a:endParaRPr lang="ru-RU" sz="1500" b="1" baseline="-25000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92898879533942"/>
          <c:y val="0.154743467268797"/>
          <c:w val="0.768879553283548"/>
          <c:h val="0.81155555233904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FTE!$E$6</c:f>
              <c:strCache>
                <c:ptCount val="1"/>
              </c:strCache>
            </c:strRef>
          </c:tx>
          <c:spPr>
            <a:solidFill>
              <a:schemeClr val="bg2">
                <a:lumMod val="90000"/>
              </a:schemeClr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</c:dPt>
          <c:cat>
            <c:strRef>
              <c:f>FTE!$C$6:$C$26</c:f>
              <c:strCache>
                <c:ptCount val="20"/>
                <c:pt idx="1">
                  <c:v>НЭОФТИ</c:v>
                </c:pt>
                <c:pt idx="2">
                  <c:v>НЭОСФМС</c:v>
                </c:pt>
                <c:pt idx="3">
                  <c:v>СФСКЯ</c:v>
                </c:pt>
                <c:pt idx="5">
                  <c:v>НЭОМД (MPD)</c:v>
                </c:pt>
                <c:pt idx="6">
                  <c:v>НЭОФЛКЛ</c:v>
                </c:pt>
                <c:pt idx="7">
                  <c:v>СНЭО</c:v>
                </c:pt>
                <c:pt idx="9">
                  <c:v>НЭОФТИ на RHIC</c:v>
                </c:pt>
                <c:pt idx="10">
                  <c:v>НЭОФТИ на LHC</c:v>
                </c:pt>
                <c:pt idx="11">
                  <c:v>НЭО ФCMS</c:v>
                </c:pt>
                <c:pt idx="12">
                  <c:v>СФ АТЛАС</c:v>
                </c:pt>
                <c:pt idx="14">
                  <c:v>НЭОАФИ</c:v>
                </c:pt>
                <c:pt idx="15">
                  <c:v>ССД</c:v>
                </c:pt>
                <c:pt idx="16">
                  <c:v>СДС</c:v>
                </c:pt>
                <c:pt idx="17">
                  <c:v>СРС</c:v>
                </c:pt>
                <c:pt idx="18">
                  <c:v>НМО КТС</c:v>
                </c:pt>
                <c:pt idx="19">
                  <c:v>СКИ</c:v>
                </c:pt>
              </c:strCache>
            </c:strRef>
          </c:cat>
          <c:val>
            <c:numRef>
              <c:f>FTE!$E$6:$E$26</c:f>
              <c:numCache>
                <c:formatCode>0.00</c:formatCode>
                <c:ptCount val="21"/>
                <c:pt idx="1">
                  <c:v>36.875</c:v>
                </c:pt>
                <c:pt idx="2">
                  <c:v>27.166</c:v>
                </c:pt>
                <c:pt idx="3">
                  <c:v>15.5</c:v>
                </c:pt>
                <c:pt idx="5">
                  <c:v>78.1</c:v>
                </c:pt>
                <c:pt idx="6">
                  <c:v>34.034</c:v>
                </c:pt>
                <c:pt idx="7">
                  <c:v>21.4</c:v>
                </c:pt>
                <c:pt idx="9">
                  <c:v>33.5</c:v>
                </c:pt>
                <c:pt idx="10">
                  <c:v>38.7</c:v>
                </c:pt>
                <c:pt idx="11">
                  <c:v>26.21</c:v>
                </c:pt>
                <c:pt idx="12">
                  <c:v>9.5</c:v>
                </c:pt>
                <c:pt idx="14">
                  <c:v>25.0</c:v>
                </c:pt>
                <c:pt idx="15">
                  <c:v>12.5</c:v>
                </c:pt>
                <c:pt idx="16">
                  <c:v>6.0</c:v>
                </c:pt>
                <c:pt idx="17">
                  <c:v>7.5</c:v>
                </c:pt>
                <c:pt idx="18">
                  <c:v>41.85</c:v>
                </c:pt>
                <c:pt idx="19">
                  <c:v>7.4</c:v>
                </c:pt>
              </c:numCache>
            </c:numRef>
          </c:val>
        </c:ser>
        <c:ser>
          <c:idx val="1"/>
          <c:order val="1"/>
          <c:tx>
            <c:strRef>
              <c:f>FTE!$F$6</c:f>
              <c:strCache>
                <c:ptCount val="1"/>
              </c:strCache>
            </c:strRef>
          </c:tx>
          <c:spPr>
            <a:solidFill>
              <a:schemeClr val="accent3">
                <a:lumMod val="75000"/>
              </a:schemeClr>
            </a:soli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cat>
            <c:strRef>
              <c:f>FTE!$C$6:$C$26</c:f>
              <c:strCache>
                <c:ptCount val="20"/>
                <c:pt idx="1">
                  <c:v>НЭОФТИ</c:v>
                </c:pt>
                <c:pt idx="2">
                  <c:v>НЭОСФМС</c:v>
                </c:pt>
                <c:pt idx="3">
                  <c:v>СФСКЯ</c:v>
                </c:pt>
                <c:pt idx="5">
                  <c:v>НЭОМД (MPD)</c:v>
                </c:pt>
                <c:pt idx="6">
                  <c:v>НЭОФЛКЛ</c:v>
                </c:pt>
                <c:pt idx="7">
                  <c:v>СНЭО</c:v>
                </c:pt>
                <c:pt idx="9">
                  <c:v>НЭОФТИ на RHIC</c:v>
                </c:pt>
                <c:pt idx="10">
                  <c:v>НЭОФТИ на LHC</c:v>
                </c:pt>
                <c:pt idx="11">
                  <c:v>НЭО ФCMS</c:v>
                </c:pt>
                <c:pt idx="12">
                  <c:v>СФ АТЛАС</c:v>
                </c:pt>
                <c:pt idx="14">
                  <c:v>НЭОАФИ</c:v>
                </c:pt>
                <c:pt idx="15">
                  <c:v>ССД</c:v>
                </c:pt>
                <c:pt idx="16">
                  <c:v>СДС</c:v>
                </c:pt>
                <c:pt idx="17">
                  <c:v>СРС</c:v>
                </c:pt>
                <c:pt idx="18">
                  <c:v>НМО КТС</c:v>
                </c:pt>
                <c:pt idx="19">
                  <c:v>СКИ</c:v>
                </c:pt>
              </c:strCache>
            </c:strRef>
          </c:cat>
          <c:val>
            <c:numRef>
              <c:f>FTE!$F$6:$F$26</c:f>
              <c:numCache>
                <c:formatCode>0.00</c:formatCode>
                <c:ptCount val="21"/>
                <c:pt idx="1">
                  <c:v>43.6112974534968</c:v>
                </c:pt>
                <c:pt idx="2">
                  <c:v>28.71897840772541</c:v>
                </c:pt>
                <c:pt idx="3">
                  <c:v>16.6164632442899</c:v>
                </c:pt>
                <c:pt idx="5">
                  <c:v>97.31138643436951</c:v>
                </c:pt>
                <c:pt idx="6">
                  <c:v>36.5328057180318</c:v>
                </c:pt>
                <c:pt idx="7">
                  <c:v>22.45014117294391</c:v>
                </c:pt>
                <c:pt idx="9">
                  <c:v>37.48050329621859</c:v>
                </c:pt>
                <c:pt idx="10">
                  <c:v>39.99966219521438</c:v>
                </c:pt>
                <c:pt idx="11">
                  <c:v>26.60160126860662</c:v>
                </c:pt>
                <c:pt idx="12">
                  <c:v>9.73013909991402</c:v>
                </c:pt>
                <c:pt idx="14">
                  <c:v>28.54418869881341</c:v>
                </c:pt>
                <c:pt idx="15">
                  <c:v>13.04673518826135</c:v>
                </c:pt>
                <c:pt idx="16">
                  <c:v>6.611031833150385</c:v>
                </c:pt>
                <c:pt idx="17">
                  <c:v>7.5</c:v>
                </c:pt>
                <c:pt idx="18">
                  <c:v>44.67569783939591</c:v>
                </c:pt>
                <c:pt idx="19">
                  <c:v>7.4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777128864"/>
        <c:axId val="1777130912"/>
      </c:barChart>
      <c:catAx>
        <c:axId val="177712886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7130912"/>
        <c:crosses val="autoZero"/>
        <c:auto val="1"/>
        <c:lblAlgn val="ctr"/>
        <c:lblOffset val="100"/>
        <c:tickLblSkip val="1"/>
        <c:noMultiLvlLbl val="0"/>
      </c:catAx>
      <c:valAx>
        <c:axId val="17771309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712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Σ </a:t>
            </a:r>
            <a:r>
              <a:rPr lang="en-US"/>
              <a:t>FTE </a:t>
            </a:r>
            <a:r>
              <a:rPr lang="bg-BG"/>
              <a:t>по данному проекту</a:t>
            </a:r>
            <a:endParaRPr lang="en-US"/>
          </a:p>
        </c:rich>
      </c:tx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4532674291626"/>
          <c:y val="0.144117741861215"/>
          <c:w val="0.79984366917639"/>
          <c:h val="0.8237185154487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FTE!$E$62</c:f>
              <c:strCache>
                <c:ptCount val="1"/>
              </c:strCache>
            </c:strRef>
          </c:tx>
          <c:spPr>
            <a:solidFill>
              <a:srgbClr val="919B53"/>
            </a:solidFill>
            <a:ln>
              <a:noFill/>
            </a:ln>
            <a:effectLst/>
          </c:spPr>
          <c:invertIfNegative val="0"/>
          <c:cat>
            <c:strRef>
              <c:f>FTE!$C$63:$C$85</c:f>
              <c:strCache>
                <c:ptCount val="23"/>
                <c:pt idx="0">
                  <c:v>CMS</c:v>
                </c:pt>
                <c:pt idx="1">
                  <c:v>ALICE</c:v>
                </c:pt>
                <c:pt idx="2">
                  <c:v>PANDA</c:v>
                </c:pt>
                <c:pt idx="3">
                  <c:v>ATLAS</c:v>
                </c:pt>
                <c:pt idx="4">
                  <c:v>COMPASS-II</c:v>
                </c:pt>
                <c:pt idx="5">
                  <c:v>NA62</c:v>
                </c:pt>
                <c:pt idx="6">
                  <c:v>NA61-Shine</c:v>
                </c:pt>
                <c:pt idx="7">
                  <c:v>STAR</c:v>
                </c:pt>
                <c:pt idx="8">
                  <c:v>E+T RAW</c:v>
                </c:pt>
                <c:pt idx="9">
                  <c:v>CBM</c:v>
                </c:pt>
                <c:pt idx="10">
                  <c:v>HADES</c:v>
                </c:pt>
                <c:pt idx="11">
                  <c:v>БЕККЕРЕЛЬ</c:v>
                </c:pt>
                <c:pt idx="12">
                  <c:v>СКАН-3</c:v>
                </c:pt>
                <c:pt idx="13">
                  <c:v>BM@N</c:v>
                </c:pt>
                <c:pt idx="14">
                  <c:v>MPD</c:v>
                </c:pt>
                <c:pt idx="15">
                  <c:v>Acc. R&amp;D</c:v>
                </c:pt>
                <c:pt idx="16">
                  <c:v>HyperNIS</c:v>
                </c:pt>
                <c:pt idx="17">
                  <c:v>АЛПОМ-2</c:v>
                </c:pt>
                <c:pt idx="18">
                  <c:v>DSS</c:v>
                </c:pt>
                <c:pt idx="19">
                  <c:v>ИРЕН</c:v>
                </c:pt>
                <c:pt idx="20">
                  <c:v>TANGRA</c:v>
                </c:pt>
                <c:pt idx="21">
                  <c:v>Education</c:v>
                </c:pt>
                <c:pt idx="22">
                  <c:v>ФАЗА</c:v>
                </c:pt>
              </c:strCache>
            </c:strRef>
          </c:cat>
          <c:val>
            <c:numRef>
              <c:f>FTE!$E$63:$E$85</c:f>
              <c:numCache>
                <c:formatCode>0.00</c:formatCode>
                <c:ptCount val="23"/>
                <c:pt idx="0">
                  <c:v>24.66</c:v>
                </c:pt>
                <c:pt idx="1">
                  <c:v>9.840000000000001</c:v>
                </c:pt>
                <c:pt idx="2">
                  <c:v>1.8</c:v>
                </c:pt>
                <c:pt idx="3">
                  <c:v>9.899999999999998</c:v>
                </c:pt>
                <c:pt idx="4">
                  <c:v>14.5</c:v>
                </c:pt>
                <c:pt idx="5">
                  <c:v>7.98</c:v>
                </c:pt>
                <c:pt idx="6">
                  <c:v>2</c:v>
                </c:pt>
                <c:pt idx="7">
                  <c:v>22.8</c:v>
                </c:pt>
                <c:pt idx="8">
                  <c:v>16.57</c:v>
                </c:pt>
                <c:pt idx="9">
                  <c:v>3.450000000000001</c:v>
                </c:pt>
                <c:pt idx="10">
                  <c:v>2.2</c:v>
                </c:pt>
                <c:pt idx="11">
                  <c:v>11.9</c:v>
                </c:pt>
                <c:pt idx="12">
                  <c:v>6.239999999999998</c:v>
                </c:pt>
                <c:pt idx="13">
                  <c:v>59.37999999999999</c:v>
                </c:pt>
                <c:pt idx="14">
                  <c:v>104.2699999999999</c:v>
                </c:pt>
                <c:pt idx="15">
                  <c:v>9.1</c:v>
                </c:pt>
                <c:pt idx="16">
                  <c:v>20.45</c:v>
                </c:pt>
                <c:pt idx="17">
                  <c:v>7.050000000000001</c:v>
                </c:pt>
                <c:pt idx="18">
                  <c:v>7.43</c:v>
                </c:pt>
                <c:pt idx="19">
                  <c:v>11.4</c:v>
                </c:pt>
                <c:pt idx="20">
                  <c:v>3.0</c:v>
                </c:pt>
                <c:pt idx="21">
                  <c:v>0.0</c:v>
                </c:pt>
                <c:pt idx="22">
                  <c:v>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8126752"/>
        <c:axId val="1788129072"/>
      </c:barChart>
      <c:catAx>
        <c:axId val="17881267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8129072"/>
        <c:crosses val="autoZero"/>
        <c:auto val="1"/>
        <c:lblAlgn val="ctr"/>
        <c:lblOffset val="100"/>
        <c:tickLblSkip val="1"/>
        <c:noMultiLvlLbl val="0"/>
      </c:catAx>
      <c:valAx>
        <c:axId val="178812907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8812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Зарплата</a:t>
            </a:r>
            <a:r>
              <a:rPr lang="en-US"/>
              <a:t> </a:t>
            </a:r>
            <a:r>
              <a:rPr lang="ru-RU"/>
              <a:t>по</a:t>
            </a:r>
            <a:r>
              <a:rPr lang="ru-RU" baseline="0"/>
              <a:t> данному проекту, тыс. р.</a:t>
            </a:r>
            <a:endParaRPr lang="en-US"/>
          </a:p>
        </c:rich>
      </c:tx>
      <c:overlay val="0"/>
      <c:spPr>
        <a:solidFill>
          <a:srgbClr val="F79646">
            <a:lumMod val="20000"/>
            <a:lumOff val="80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4532674291626"/>
          <c:y val="0.144117741861215"/>
          <c:w val="0.79984366917639"/>
          <c:h val="0.8237185154487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FTE!$G$62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FTE!$C$63:$C$85</c:f>
              <c:strCache>
                <c:ptCount val="23"/>
                <c:pt idx="0">
                  <c:v>CMS</c:v>
                </c:pt>
                <c:pt idx="1">
                  <c:v>ALICE</c:v>
                </c:pt>
                <c:pt idx="2">
                  <c:v>PANDA</c:v>
                </c:pt>
                <c:pt idx="3">
                  <c:v>ATLAS</c:v>
                </c:pt>
                <c:pt idx="4">
                  <c:v>COMPASS-II</c:v>
                </c:pt>
                <c:pt idx="5">
                  <c:v>NA62</c:v>
                </c:pt>
                <c:pt idx="6">
                  <c:v>NA61-Shine</c:v>
                </c:pt>
                <c:pt idx="7">
                  <c:v>STAR</c:v>
                </c:pt>
                <c:pt idx="8">
                  <c:v>E+T RAW</c:v>
                </c:pt>
                <c:pt idx="9">
                  <c:v>CBM</c:v>
                </c:pt>
                <c:pt idx="10">
                  <c:v>HADES</c:v>
                </c:pt>
                <c:pt idx="11">
                  <c:v>БЕККЕРЕЛЬ</c:v>
                </c:pt>
                <c:pt idx="12">
                  <c:v>СКАН-3</c:v>
                </c:pt>
                <c:pt idx="13">
                  <c:v>BM@N</c:v>
                </c:pt>
                <c:pt idx="14">
                  <c:v>MPD</c:v>
                </c:pt>
                <c:pt idx="15">
                  <c:v>Acc. R&amp;D</c:v>
                </c:pt>
                <c:pt idx="16">
                  <c:v>HyperNIS</c:v>
                </c:pt>
                <c:pt idx="17">
                  <c:v>АЛПОМ-2</c:v>
                </c:pt>
                <c:pt idx="18">
                  <c:v>DSS</c:v>
                </c:pt>
                <c:pt idx="19">
                  <c:v>ИРЕН</c:v>
                </c:pt>
                <c:pt idx="20">
                  <c:v>TANGRA</c:v>
                </c:pt>
                <c:pt idx="21">
                  <c:v>Education</c:v>
                </c:pt>
                <c:pt idx="22">
                  <c:v>ФАЗА</c:v>
                </c:pt>
              </c:strCache>
            </c:strRef>
          </c:cat>
          <c:val>
            <c:numRef>
              <c:f>FTE!$G$63:$G$85</c:f>
              <c:numCache>
                <c:formatCode>0.00</c:formatCode>
                <c:ptCount val="23"/>
                <c:pt idx="0">
                  <c:v>1043.856916</c:v>
                </c:pt>
                <c:pt idx="1">
                  <c:v>388.9637</c:v>
                </c:pt>
                <c:pt idx="2">
                  <c:v>81.49975</c:v>
                </c:pt>
                <c:pt idx="3">
                  <c:v>374.5513</c:v>
                </c:pt>
                <c:pt idx="4">
                  <c:v>630.6559999999999</c:v>
                </c:pt>
                <c:pt idx="5">
                  <c:v>382.308861</c:v>
                </c:pt>
                <c:pt idx="6">
                  <c:v>125.98</c:v>
                </c:pt>
                <c:pt idx="7">
                  <c:v>874.46075</c:v>
                </c:pt>
                <c:pt idx="8">
                  <c:v>752.9348200000001</c:v>
                </c:pt>
                <c:pt idx="9">
                  <c:v>200.7926</c:v>
                </c:pt>
                <c:pt idx="10">
                  <c:v>77.497</c:v>
                </c:pt>
                <c:pt idx="11">
                  <c:v>366.3109</c:v>
                </c:pt>
                <c:pt idx="12">
                  <c:v>210.88085</c:v>
                </c:pt>
                <c:pt idx="13">
                  <c:v>2580.469525</c:v>
                </c:pt>
                <c:pt idx="14">
                  <c:v>4664.8423</c:v>
                </c:pt>
                <c:pt idx="15">
                  <c:v>302.8725</c:v>
                </c:pt>
                <c:pt idx="16">
                  <c:v>698.877625</c:v>
                </c:pt>
                <c:pt idx="17">
                  <c:v>274.7055</c:v>
                </c:pt>
                <c:pt idx="18">
                  <c:v>289.653</c:v>
                </c:pt>
                <c:pt idx="19">
                  <c:v>409.7625</c:v>
                </c:pt>
                <c:pt idx="20">
                  <c:v>100.3</c:v>
                </c:pt>
                <c:pt idx="21">
                  <c:v>0.0</c:v>
                </c:pt>
                <c:pt idx="22">
                  <c:v>10.2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77189520"/>
        <c:axId val="1777191568"/>
      </c:barChart>
      <c:catAx>
        <c:axId val="17771895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7191568"/>
        <c:crosses val="autoZero"/>
        <c:auto val="1"/>
        <c:lblAlgn val="ctr"/>
        <c:lblOffset val="100"/>
        <c:tickLblSkip val="1"/>
        <c:noMultiLvlLbl val="0"/>
      </c:catAx>
      <c:valAx>
        <c:axId val="17771915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718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0</xdr:row>
      <xdr:rowOff>123825</xdr:rowOff>
    </xdr:from>
    <xdr:to>
      <xdr:col>25</xdr:col>
      <xdr:colOff>161925</xdr:colOff>
      <xdr:row>18</xdr:row>
      <xdr:rowOff>114300</xdr:rowOff>
    </xdr:to>
    <xdr:graphicFrame macro="">
      <xdr:nvGraphicFramePr>
        <xdr:cNvPr id="409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285750</xdr:colOff>
      <xdr:row>18</xdr:row>
      <xdr:rowOff>114300</xdr:rowOff>
    </xdr:from>
    <xdr:to>
      <xdr:col>25</xdr:col>
      <xdr:colOff>190500</xdr:colOff>
      <xdr:row>35</xdr:row>
      <xdr:rowOff>95250</xdr:rowOff>
    </xdr:to>
    <xdr:graphicFrame macro="">
      <xdr:nvGraphicFramePr>
        <xdr:cNvPr id="409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333375</xdr:colOff>
      <xdr:row>36</xdr:row>
      <xdr:rowOff>114300</xdr:rowOff>
    </xdr:from>
    <xdr:to>
      <xdr:col>25</xdr:col>
      <xdr:colOff>238125</xdr:colOff>
      <xdr:row>53</xdr:row>
      <xdr:rowOff>95250</xdr:rowOff>
    </xdr:to>
    <xdr:graphicFrame macro="">
      <xdr:nvGraphicFramePr>
        <xdr:cNvPr id="409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1</xdr:row>
      <xdr:rowOff>47625</xdr:rowOff>
    </xdr:from>
    <xdr:to>
      <xdr:col>44</xdr:col>
      <xdr:colOff>666750</xdr:colOff>
      <xdr:row>19</xdr:row>
      <xdr:rowOff>38100</xdr:rowOff>
    </xdr:to>
    <xdr:graphicFrame macro="">
      <xdr:nvGraphicFramePr>
        <xdr:cNvPr id="410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28575</xdr:colOff>
      <xdr:row>20</xdr:row>
      <xdr:rowOff>0</xdr:rowOff>
    </xdr:from>
    <xdr:to>
      <xdr:col>44</xdr:col>
      <xdr:colOff>685800</xdr:colOff>
      <xdr:row>36</xdr:row>
      <xdr:rowOff>152400</xdr:rowOff>
    </xdr:to>
    <xdr:graphicFrame macro="">
      <xdr:nvGraphicFramePr>
        <xdr:cNvPr id="410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295275</xdr:colOff>
      <xdr:row>38</xdr:row>
      <xdr:rowOff>0</xdr:rowOff>
    </xdr:from>
    <xdr:to>
      <xdr:col>45</xdr:col>
      <xdr:colOff>200025</xdr:colOff>
      <xdr:row>54</xdr:row>
      <xdr:rowOff>152400</xdr:rowOff>
    </xdr:to>
    <xdr:graphicFrame macro="">
      <xdr:nvGraphicFramePr>
        <xdr:cNvPr id="410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371475</xdr:colOff>
      <xdr:row>56</xdr:row>
      <xdr:rowOff>95250</xdr:rowOff>
    </xdr:from>
    <xdr:to>
      <xdr:col>45</xdr:col>
      <xdr:colOff>276225</xdr:colOff>
      <xdr:row>73</xdr:row>
      <xdr:rowOff>95250</xdr:rowOff>
    </xdr:to>
    <xdr:graphicFrame macro="">
      <xdr:nvGraphicFramePr>
        <xdr:cNvPr id="410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419100</xdr:colOff>
      <xdr:row>45</xdr:row>
      <xdr:rowOff>95250</xdr:rowOff>
    </xdr:from>
    <xdr:to>
      <xdr:col>18</xdr:col>
      <xdr:colOff>95250</xdr:colOff>
      <xdr:row>70</xdr:row>
      <xdr:rowOff>123825</xdr:rowOff>
    </xdr:to>
    <xdr:graphicFrame macro="">
      <xdr:nvGraphicFramePr>
        <xdr:cNvPr id="410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17</xdr:row>
      <xdr:rowOff>76200</xdr:rowOff>
    </xdr:from>
    <xdr:to>
      <xdr:col>14</xdr:col>
      <xdr:colOff>276225</xdr:colOff>
      <xdr:row>38</xdr:row>
      <xdr:rowOff>9525</xdr:rowOff>
    </xdr:to>
    <xdr:graphicFrame macro="">
      <xdr:nvGraphicFramePr>
        <xdr:cNvPr id="1331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457200</xdr:colOff>
      <xdr:row>41</xdr:row>
      <xdr:rowOff>0</xdr:rowOff>
    </xdr:from>
    <xdr:to>
      <xdr:col>13</xdr:col>
      <xdr:colOff>95250</xdr:colOff>
      <xdr:row>64</xdr:row>
      <xdr:rowOff>66675</xdr:rowOff>
    </xdr:to>
    <xdr:graphicFrame macro="">
      <xdr:nvGraphicFramePr>
        <xdr:cNvPr id="1331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240030</xdr:colOff>
      <xdr:row>30</xdr:row>
      <xdr:rowOff>152399</xdr:rowOff>
    </xdr:from>
    <xdr:to>
      <xdr:col>19</xdr:col>
      <xdr:colOff>315686</xdr:colOff>
      <xdr:row>57</xdr:row>
      <xdr:rowOff>43542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318951</xdr:colOff>
      <xdr:row>31</xdr:row>
      <xdr:rowOff>7620</xdr:rowOff>
    </xdr:from>
    <xdr:to>
      <xdr:col>9</xdr:col>
      <xdr:colOff>402771</xdr:colOff>
      <xdr:row>57</xdr:row>
      <xdr:rowOff>21771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346710</xdr:colOff>
      <xdr:row>4</xdr:row>
      <xdr:rowOff>175260</xdr:rowOff>
    </xdr:from>
    <xdr:to>
      <xdr:col>19</xdr:col>
      <xdr:colOff>304800</xdr:colOff>
      <xdr:row>27</xdr:row>
      <xdr:rowOff>130628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308066</xdr:colOff>
      <xdr:row>59</xdr:row>
      <xdr:rowOff>161108</xdr:rowOff>
    </xdr:from>
    <xdr:to>
      <xdr:col>16</xdr:col>
      <xdr:colOff>563880</xdr:colOff>
      <xdr:row>85</xdr:row>
      <xdr:rowOff>141515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60</xdr:row>
      <xdr:rowOff>21771</xdr:rowOff>
    </xdr:from>
    <xdr:to>
      <xdr:col>26</xdr:col>
      <xdr:colOff>375557</xdr:colOff>
      <xdr:row>86</xdr:row>
      <xdr:rowOff>2178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M1862"/>
  <sheetViews>
    <sheetView workbookViewId="0">
      <selection activeCell="B67" sqref="B67"/>
    </sheetView>
  </sheetViews>
  <sheetFormatPr baseColWidth="10" defaultColWidth="8.6640625" defaultRowHeight="13" x14ac:dyDescent="0.15"/>
  <cols>
    <col min="1" max="1" width="5.1640625" style="163" customWidth="1"/>
    <col min="2" max="2" width="21.83203125" style="163" customWidth="1"/>
    <col min="3" max="3" width="14.1640625" style="163" customWidth="1"/>
    <col min="4" max="4" width="8.6640625" style="163"/>
    <col min="5" max="5" width="12.1640625" style="163" customWidth="1"/>
    <col min="6" max="8" width="8.6640625" style="163"/>
    <col min="9" max="9" width="11.1640625" style="163" customWidth="1"/>
    <col min="10" max="16384" width="8.6640625" style="163"/>
  </cols>
  <sheetData>
    <row r="1" spans="1:13" ht="14" thickBot="1" x14ac:dyDescent="0.2">
      <c r="A1" s="478"/>
      <c r="B1" s="479" t="s">
        <v>381</v>
      </c>
      <c r="C1" s="488" t="s">
        <v>608</v>
      </c>
    </row>
    <row r="2" spans="1:13" hidden="1" x14ac:dyDescent="0.15">
      <c r="A2" s="66">
        <v>0</v>
      </c>
      <c r="B2" s="66" t="s">
        <v>1611</v>
      </c>
      <c r="C2" s="491">
        <v>63500</v>
      </c>
    </row>
    <row r="3" spans="1:13" hidden="1" x14ac:dyDescent="0.15">
      <c r="A3" s="66">
        <v>10</v>
      </c>
      <c r="B3" s="66" t="s">
        <v>902</v>
      </c>
      <c r="C3" s="491">
        <v>60700</v>
      </c>
    </row>
    <row r="4" spans="1:13" x14ac:dyDescent="0.15">
      <c r="A4" s="66">
        <v>11</v>
      </c>
      <c r="B4" s="75" t="s">
        <v>190</v>
      </c>
      <c r="C4" s="480">
        <v>42000</v>
      </c>
      <c r="E4" s="163" t="s">
        <v>938</v>
      </c>
      <c r="G4" s="494">
        <v>3177500</v>
      </c>
    </row>
    <row r="5" spans="1:13" x14ac:dyDescent="0.15">
      <c r="A5" s="66">
        <v>12</v>
      </c>
      <c r="B5" s="75" t="s">
        <v>191</v>
      </c>
      <c r="C5" s="480">
        <v>39000</v>
      </c>
      <c r="E5" s="493" t="s">
        <v>1197</v>
      </c>
      <c r="G5" s="163">
        <v>700000</v>
      </c>
    </row>
    <row r="6" spans="1:13" x14ac:dyDescent="0.15">
      <c r="A6" s="66">
        <v>13</v>
      </c>
      <c r="B6" s="75" t="s">
        <v>1364</v>
      </c>
      <c r="C6" s="480">
        <v>34000</v>
      </c>
      <c r="E6" s="493" t="s">
        <v>939</v>
      </c>
      <c r="G6" s="163">
        <v>320600</v>
      </c>
    </row>
    <row r="7" spans="1:13" x14ac:dyDescent="0.15">
      <c r="A7" s="66">
        <v>14</v>
      </c>
      <c r="B7" s="75" t="s">
        <v>901</v>
      </c>
      <c r="C7" s="480">
        <v>37000</v>
      </c>
      <c r="E7" s="493" t="s">
        <v>944</v>
      </c>
      <c r="G7" s="163">
        <v>168296</v>
      </c>
    </row>
    <row r="8" spans="1:13" x14ac:dyDescent="0.15">
      <c r="A8" s="66">
        <v>15</v>
      </c>
      <c r="B8" s="75" t="s">
        <v>903</v>
      </c>
      <c r="C8" s="480">
        <v>30000</v>
      </c>
      <c r="E8" s="495">
        <v>0.05</v>
      </c>
      <c r="G8" s="163">
        <v>400000</v>
      </c>
      <c r="H8" s="493" t="s">
        <v>945</v>
      </c>
    </row>
    <row r="9" spans="1:13" x14ac:dyDescent="0.15">
      <c r="A9" s="66">
        <v>2</v>
      </c>
      <c r="B9" s="75" t="s">
        <v>192</v>
      </c>
      <c r="C9" s="480"/>
    </row>
    <row r="10" spans="1:13" x14ac:dyDescent="0.15">
      <c r="A10" s="66">
        <v>3</v>
      </c>
      <c r="B10" s="75" t="s">
        <v>695</v>
      </c>
      <c r="C10" s="480">
        <v>36000</v>
      </c>
      <c r="E10" s="163" t="s">
        <v>940</v>
      </c>
      <c r="G10" s="494">
        <f>G4-G5-G6-G7-G8</f>
        <v>1588604</v>
      </c>
    </row>
    <row r="11" spans="1:13" x14ac:dyDescent="0.15">
      <c r="A11" s="66">
        <v>4</v>
      </c>
      <c r="B11" s="83" t="s">
        <v>1612</v>
      </c>
      <c r="C11" s="490">
        <v>28000</v>
      </c>
      <c r="H11" s="163">
        <v>0.08</v>
      </c>
      <c r="I11" s="486">
        <f>H19/G4*0.22</f>
        <v>7.6513888276947287E-2</v>
      </c>
    </row>
    <row r="12" spans="1:13" x14ac:dyDescent="0.15">
      <c r="A12" s="66">
        <v>41</v>
      </c>
      <c r="B12" s="83" t="s">
        <v>904</v>
      </c>
      <c r="C12" s="481"/>
      <c r="E12" s="493" t="s">
        <v>934</v>
      </c>
      <c r="G12" s="163">
        <v>1127495</v>
      </c>
      <c r="H12" s="494">
        <f>ROUND(G12*$H$11,-2)</f>
        <v>90200</v>
      </c>
    </row>
    <row r="13" spans="1:13" x14ac:dyDescent="0.15">
      <c r="A13" s="66">
        <f>A11+1</f>
        <v>5</v>
      </c>
      <c r="B13" s="83" t="s">
        <v>32</v>
      </c>
      <c r="C13" s="480">
        <v>20000</v>
      </c>
      <c r="E13" s="163" t="s">
        <v>937</v>
      </c>
      <c r="G13" s="163">
        <v>701805</v>
      </c>
      <c r="H13" s="494">
        <f>ROUND(G13*$H$11,-2)</f>
        <v>56100</v>
      </c>
    </row>
    <row r="14" spans="1:13" x14ac:dyDescent="0.15">
      <c r="A14" s="66">
        <v>51</v>
      </c>
      <c r="B14" s="83" t="s">
        <v>917</v>
      </c>
      <c r="C14" s="480"/>
      <c r="E14" s="163" t="s">
        <v>935</v>
      </c>
      <c r="G14" s="163">
        <v>3608852</v>
      </c>
      <c r="H14" s="494">
        <f>ROUND(G14*$H$11,-2)</f>
        <v>288700</v>
      </c>
      <c r="M14" s="163">
        <f>M23-H14+M20</f>
        <v>73300</v>
      </c>
    </row>
    <row r="15" spans="1:13" x14ac:dyDescent="0.15">
      <c r="A15" s="66">
        <f>A13+1</f>
        <v>6</v>
      </c>
      <c r="B15" s="66" t="s">
        <v>696</v>
      </c>
      <c r="C15" s="490">
        <v>19000</v>
      </c>
      <c r="E15" s="163" t="s">
        <v>936</v>
      </c>
      <c r="G15" s="163">
        <f>251000+F16*0.07/H11</f>
        <v>356000</v>
      </c>
      <c r="H15" s="494">
        <f>ROUND(G15*$H$11,-2)</f>
        <v>28500</v>
      </c>
    </row>
    <row r="16" spans="1:13" x14ac:dyDescent="0.15">
      <c r="A16" s="66">
        <f t="shared" ref="A16:A51" si="0">A15+1</f>
        <v>7</v>
      </c>
      <c r="B16" s="66" t="s">
        <v>767</v>
      </c>
      <c r="C16" s="490">
        <v>17500</v>
      </c>
      <c r="E16" s="495">
        <v>7.0000000000000007E-2</v>
      </c>
      <c r="F16" s="163">
        <v>120000</v>
      </c>
    </row>
    <row r="17" spans="1:13" x14ac:dyDescent="0.15">
      <c r="A17" s="66">
        <f t="shared" si="0"/>
        <v>8</v>
      </c>
      <c r="B17" s="66" t="s">
        <v>769</v>
      </c>
      <c r="C17" s="490">
        <v>16000</v>
      </c>
      <c r="H17" s="494">
        <f>SUM(H12:H15)</f>
        <v>463500</v>
      </c>
    </row>
    <row r="18" spans="1:13" x14ac:dyDescent="0.15">
      <c r="A18" s="66">
        <f t="shared" si="0"/>
        <v>9</v>
      </c>
      <c r="B18" s="66" t="s">
        <v>990</v>
      </c>
      <c r="C18" s="490">
        <v>14500</v>
      </c>
      <c r="E18" s="163" t="s">
        <v>943</v>
      </c>
      <c r="H18" s="163">
        <v>20000</v>
      </c>
    </row>
    <row r="19" spans="1:13" ht="14" x14ac:dyDescent="0.15">
      <c r="A19" s="66">
        <f t="shared" si="0"/>
        <v>10</v>
      </c>
      <c r="B19" s="323" t="s">
        <v>770</v>
      </c>
      <c r="C19" s="490">
        <v>13000</v>
      </c>
      <c r="E19" s="493" t="s">
        <v>941</v>
      </c>
      <c r="H19" s="494">
        <f>G10-H17-H18</f>
        <v>1105104</v>
      </c>
      <c r="L19" s="494">
        <f>H19+H14</f>
        <v>1393804</v>
      </c>
    </row>
    <row r="20" spans="1:13" x14ac:dyDescent="0.15">
      <c r="A20" s="66">
        <f t="shared" si="0"/>
        <v>11</v>
      </c>
      <c r="B20" s="324" t="s">
        <v>771</v>
      </c>
      <c r="C20" s="491">
        <v>17000</v>
      </c>
      <c r="J20" s="497">
        <v>1067</v>
      </c>
      <c r="K20" s="497">
        <v>13</v>
      </c>
      <c r="L20" s="497">
        <f>ROUND($L$19*K20/$K$65,-3)</f>
        <v>44000</v>
      </c>
      <c r="M20" s="498">
        <f>L20</f>
        <v>44000</v>
      </c>
    </row>
    <row r="21" spans="1:13" x14ac:dyDescent="0.15">
      <c r="A21" s="66">
        <f t="shared" si="0"/>
        <v>12</v>
      </c>
      <c r="B21" s="324" t="s">
        <v>772</v>
      </c>
      <c r="C21" s="491">
        <v>15500</v>
      </c>
      <c r="E21" s="163" t="s">
        <v>942</v>
      </c>
      <c r="F21" s="163">
        <v>1097</v>
      </c>
      <c r="G21" s="163">
        <v>32</v>
      </c>
      <c r="H21" s="163">
        <f>ROUND($H$19*G21/$G$65,-3)</f>
        <v>117000</v>
      </c>
      <c r="J21" s="163">
        <v>1097</v>
      </c>
      <c r="K21" s="163">
        <v>32</v>
      </c>
      <c r="L21" s="163">
        <f>ROUND($L$19*K21/$K$65,-3)</f>
        <v>107000</v>
      </c>
    </row>
    <row r="22" spans="1:13" x14ac:dyDescent="0.15">
      <c r="A22" s="66">
        <f t="shared" si="0"/>
        <v>13</v>
      </c>
      <c r="B22" s="83" t="s">
        <v>773</v>
      </c>
      <c r="C22" s="491">
        <v>13500</v>
      </c>
      <c r="F22" s="163">
        <v>1087</v>
      </c>
      <c r="G22" s="163">
        <v>38</v>
      </c>
      <c r="H22" s="163">
        <f t="shared" ref="H22:H64" si="1">ROUND($H$19*G22/$G$65,-3)</f>
        <v>139000</v>
      </c>
      <c r="J22" s="163">
        <v>1087</v>
      </c>
      <c r="K22" s="163">
        <v>38</v>
      </c>
      <c r="L22" s="163">
        <f t="shared" ref="L22:L64" si="2">ROUND($L$19*K22/$K$65,-3)</f>
        <v>127000</v>
      </c>
    </row>
    <row r="23" spans="1:13" x14ac:dyDescent="0.15">
      <c r="A23" s="66">
        <f t="shared" si="0"/>
        <v>14</v>
      </c>
      <c r="B23" s="83" t="s">
        <v>774</v>
      </c>
      <c r="C23" s="491">
        <v>11500</v>
      </c>
      <c r="F23" s="163">
        <v>1065</v>
      </c>
      <c r="G23" s="163">
        <v>55</v>
      </c>
      <c r="H23" s="163">
        <f t="shared" si="1"/>
        <v>201000</v>
      </c>
      <c r="J23" s="498">
        <v>1065</v>
      </c>
      <c r="K23" s="498">
        <v>155</v>
      </c>
      <c r="L23" s="498">
        <f t="shared" si="2"/>
        <v>519000</v>
      </c>
      <c r="M23" s="498">
        <f>L23-H23</f>
        <v>318000</v>
      </c>
    </row>
    <row r="24" spans="1:13" hidden="1" x14ac:dyDescent="0.15">
      <c r="A24" s="66">
        <f t="shared" si="0"/>
        <v>15</v>
      </c>
      <c r="B24" s="165" t="s">
        <v>775</v>
      </c>
      <c r="C24" s="482"/>
      <c r="H24" s="163">
        <f t="shared" si="1"/>
        <v>0</v>
      </c>
      <c r="L24" s="163">
        <f t="shared" si="2"/>
        <v>0</v>
      </c>
    </row>
    <row r="25" spans="1:13" hidden="1" x14ac:dyDescent="0.15">
      <c r="A25" s="66">
        <f t="shared" si="0"/>
        <v>16</v>
      </c>
      <c r="B25" s="66" t="s">
        <v>776</v>
      </c>
      <c r="C25" s="419"/>
      <c r="H25" s="163">
        <f t="shared" si="1"/>
        <v>0</v>
      </c>
      <c r="L25" s="163">
        <f t="shared" si="2"/>
        <v>0</v>
      </c>
    </row>
    <row r="26" spans="1:13" hidden="1" x14ac:dyDescent="0.15">
      <c r="A26" s="66">
        <f t="shared" si="0"/>
        <v>17</v>
      </c>
      <c r="B26" s="66" t="s">
        <v>777</v>
      </c>
      <c r="C26" s="419"/>
      <c r="H26" s="163">
        <f t="shared" si="1"/>
        <v>0</v>
      </c>
      <c r="L26" s="163">
        <f t="shared" si="2"/>
        <v>0</v>
      </c>
    </row>
    <row r="27" spans="1:13" hidden="1" x14ac:dyDescent="0.15">
      <c r="A27" s="66">
        <v>171</v>
      </c>
      <c r="B27" s="66" t="s">
        <v>974</v>
      </c>
      <c r="C27" s="419"/>
      <c r="H27" s="163">
        <f t="shared" si="1"/>
        <v>0</v>
      </c>
      <c r="L27" s="163">
        <f t="shared" si="2"/>
        <v>0</v>
      </c>
    </row>
    <row r="28" spans="1:13" hidden="1" x14ac:dyDescent="0.15">
      <c r="A28" s="66">
        <f>A26+1</f>
        <v>18</v>
      </c>
      <c r="B28" s="66" t="s">
        <v>886</v>
      </c>
      <c r="C28" s="419"/>
      <c r="H28" s="163">
        <f t="shared" si="1"/>
        <v>0</v>
      </c>
      <c r="L28" s="163">
        <f t="shared" si="2"/>
        <v>0</v>
      </c>
    </row>
    <row r="29" spans="1:13" hidden="1" x14ac:dyDescent="0.15">
      <c r="A29" s="66">
        <f t="shared" si="0"/>
        <v>19</v>
      </c>
      <c r="B29" s="66" t="s">
        <v>1074</v>
      </c>
      <c r="C29" s="419"/>
      <c r="H29" s="163">
        <f t="shared" si="1"/>
        <v>0</v>
      </c>
      <c r="L29" s="163">
        <f t="shared" si="2"/>
        <v>0</v>
      </c>
    </row>
    <row r="30" spans="1:13" hidden="1" x14ac:dyDescent="0.15">
      <c r="A30" s="66">
        <f t="shared" si="0"/>
        <v>20</v>
      </c>
      <c r="B30" s="66" t="s">
        <v>1075</v>
      </c>
      <c r="C30" s="419"/>
      <c r="H30" s="163">
        <f t="shared" si="1"/>
        <v>0</v>
      </c>
      <c r="L30" s="163">
        <f t="shared" si="2"/>
        <v>0</v>
      </c>
    </row>
    <row r="31" spans="1:13" hidden="1" x14ac:dyDescent="0.15">
      <c r="A31" s="66">
        <f t="shared" si="0"/>
        <v>21</v>
      </c>
      <c r="B31" s="66" t="s">
        <v>1076</v>
      </c>
      <c r="C31" s="419"/>
      <c r="H31" s="163">
        <f t="shared" si="1"/>
        <v>0</v>
      </c>
      <c r="L31" s="163">
        <f t="shared" si="2"/>
        <v>0</v>
      </c>
    </row>
    <row r="32" spans="1:13" hidden="1" x14ac:dyDescent="0.15">
      <c r="A32" s="66">
        <f t="shared" si="0"/>
        <v>22</v>
      </c>
      <c r="B32" s="66" t="s">
        <v>1077</v>
      </c>
      <c r="C32" s="419"/>
      <c r="H32" s="163">
        <f t="shared" si="1"/>
        <v>0</v>
      </c>
      <c r="L32" s="163">
        <f t="shared" si="2"/>
        <v>0</v>
      </c>
    </row>
    <row r="33" spans="1:12" hidden="1" x14ac:dyDescent="0.15">
      <c r="A33" s="66">
        <f t="shared" si="0"/>
        <v>23</v>
      </c>
      <c r="B33" s="66" t="s">
        <v>1078</v>
      </c>
      <c r="C33" s="419">
        <v>15500</v>
      </c>
      <c r="H33" s="163">
        <f t="shared" si="1"/>
        <v>0</v>
      </c>
      <c r="L33" s="163">
        <f t="shared" si="2"/>
        <v>0</v>
      </c>
    </row>
    <row r="34" spans="1:12" hidden="1" x14ac:dyDescent="0.15">
      <c r="A34" s="66">
        <f t="shared" si="0"/>
        <v>24</v>
      </c>
      <c r="B34" s="66" t="s">
        <v>1079</v>
      </c>
      <c r="C34" s="419">
        <v>10000</v>
      </c>
      <c r="H34" s="163">
        <f t="shared" si="1"/>
        <v>0</v>
      </c>
      <c r="L34" s="163">
        <f t="shared" si="2"/>
        <v>0</v>
      </c>
    </row>
    <row r="35" spans="1:12" hidden="1" x14ac:dyDescent="0.15">
      <c r="A35" s="66">
        <f t="shared" si="0"/>
        <v>25</v>
      </c>
      <c r="B35" s="66" t="s">
        <v>851</v>
      </c>
      <c r="C35" s="419">
        <v>10500</v>
      </c>
      <c r="H35" s="163">
        <f t="shared" si="1"/>
        <v>0</v>
      </c>
      <c r="L35" s="163">
        <f t="shared" si="2"/>
        <v>0</v>
      </c>
    </row>
    <row r="36" spans="1:12" hidden="1" x14ac:dyDescent="0.15">
      <c r="A36" s="66">
        <v>261</v>
      </c>
      <c r="B36" s="66" t="s">
        <v>378</v>
      </c>
      <c r="C36" s="419">
        <v>12500</v>
      </c>
      <c r="H36" s="163">
        <f t="shared" si="1"/>
        <v>0</v>
      </c>
      <c r="L36" s="163">
        <f t="shared" si="2"/>
        <v>0</v>
      </c>
    </row>
    <row r="37" spans="1:12" hidden="1" x14ac:dyDescent="0.15">
      <c r="A37" s="66">
        <v>262</v>
      </c>
      <c r="B37" s="66" t="s">
        <v>1174</v>
      </c>
      <c r="C37" s="419">
        <v>11000</v>
      </c>
      <c r="H37" s="163">
        <f t="shared" si="1"/>
        <v>0</v>
      </c>
      <c r="L37" s="163">
        <f t="shared" si="2"/>
        <v>0</v>
      </c>
    </row>
    <row r="38" spans="1:12" hidden="1" x14ac:dyDescent="0.15">
      <c r="A38" s="66">
        <v>26</v>
      </c>
      <c r="B38" s="66" t="s">
        <v>395</v>
      </c>
      <c r="C38" s="419">
        <v>10000</v>
      </c>
      <c r="H38" s="163">
        <f t="shared" si="1"/>
        <v>0</v>
      </c>
      <c r="L38" s="163">
        <f t="shared" si="2"/>
        <v>0</v>
      </c>
    </row>
    <row r="39" spans="1:12" hidden="1" x14ac:dyDescent="0.15">
      <c r="A39" s="66">
        <v>27</v>
      </c>
      <c r="B39" s="66" t="s">
        <v>853</v>
      </c>
      <c r="C39" s="419">
        <v>19500</v>
      </c>
      <c r="H39" s="163">
        <f t="shared" si="1"/>
        <v>0</v>
      </c>
      <c r="L39" s="163">
        <f t="shared" si="2"/>
        <v>0</v>
      </c>
    </row>
    <row r="40" spans="1:12" hidden="1" x14ac:dyDescent="0.15">
      <c r="A40" s="66">
        <f t="shared" si="0"/>
        <v>28</v>
      </c>
      <c r="B40" s="66" t="s">
        <v>1081</v>
      </c>
      <c r="C40" s="487">
        <v>12000</v>
      </c>
      <c r="H40" s="163">
        <f t="shared" si="1"/>
        <v>0</v>
      </c>
      <c r="L40" s="163">
        <f t="shared" si="2"/>
        <v>0</v>
      </c>
    </row>
    <row r="41" spans="1:12" hidden="1" x14ac:dyDescent="0.15">
      <c r="A41" s="66">
        <f t="shared" si="0"/>
        <v>29</v>
      </c>
      <c r="B41" s="66" t="s">
        <v>1082</v>
      </c>
      <c r="C41" s="487">
        <v>14000</v>
      </c>
      <c r="H41" s="163">
        <f t="shared" si="1"/>
        <v>0</v>
      </c>
      <c r="L41" s="163">
        <f t="shared" si="2"/>
        <v>0</v>
      </c>
    </row>
    <row r="42" spans="1:12" hidden="1" x14ac:dyDescent="0.15">
      <c r="A42" s="66">
        <f t="shared" si="0"/>
        <v>30</v>
      </c>
      <c r="B42" s="66" t="s">
        <v>1083</v>
      </c>
      <c r="C42" s="419">
        <v>14000</v>
      </c>
      <c r="H42" s="163">
        <f t="shared" si="1"/>
        <v>0</v>
      </c>
      <c r="L42" s="163">
        <f t="shared" si="2"/>
        <v>0</v>
      </c>
    </row>
    <row r="43" spans="1:12" hidden="1" x14ac:dyDescent="0.15">
      <c r="A43" s="66">
        <f t="shared" si="0"/>
        <v>31</v>
      </c>
      <c r="B43" s="66" t="s">
        <v>1084</v>
      </c>
      <c r="C43" s="419"/>
      <c r="H43" s="163">
        <f t="shared" si="1"/>
        <v>0</v>
      </c>
      <c r="L43" s="163">
        <f t="shared" si="2"/>
        <v>0</v>
      </c>
    </row>
    <row r="44" spans="1:12" hidden="1" x14ac:dyDescent="0.15">
      <c r="A44" s="66">
        <f t="shared" si="0"/>
        <v>32</v>
      </c>
      <c r="B44" s="66" t="s">
        <v>245</v>
      </c>
      <c r="C44" s="419">
        <v>14500</v>
      </c>
      <c r="H44" s="163">
        <f t="shared" si="1"/>
        <v>0</v>
      </c>
      <c r="L44" s="163">
        <f t="shared" si="2"/>
        <v>0</v>
      </c>
    </row>
    <row r="45" spans="1:12" hidden="1" x14ac:dyDescent="0.15">
      <c r="A45" s="66">
        <f t="shared" si="0"/>
        <v>33</v>
      </c>
      <c r="B45" s="66" t="s">
        <v>1450</v>
      </c>
      <c r="C45" s="419"/>
      <c r="H45" s="163">
        <f t="shared" si="1"/>
        <v>0</v>
      </c>
      <c r="L45" s="163">
        <f t="shared" si="2"/>
        <v>0</v>
      </c>
    </row>
    <row r="46" spans="1:12" hidden="1" x14ac:dyDescent="0.15">
      <c r="A46" s="66">
        <f t="shared" si="0"/>
        <v>34</v>
      </c>
      <c r="B46" s="66" t="s">
        <v>571</v>
      </c>
      <c r="C46" s="419"/>
      <c r="H46" s="163">
        <f t="shared" si="1"/>
        <v>0</v>
      </c>
      <c r="L46" s="163">
        <f t="shared" si="2"/>
        <v>0</v>
      </c>
    </row>
    <row r="47" spans="1:12" hidden="1" x14ac:dyDescent="0.15">
      <c r="A47" s="66">
        <f t="shared" si="0"/>
        <v>35</v>
      </c>
      <c r="B47" s="66" t="s">
        <v>1264</v>
      </c>
      <c r="C47" s="419"/>
      <c r="H47" s="163">
        <f t="shared" si="1"/>
        <v>0</v>
      </c>
      <c r="L47" s="163">
        <f t="shared" si="2"/>
        <v>0</v>
      </c>
    </row>
    <row r="48" spans="1:12" hidden="1" x14ac:dyDescent="0.15">
      <c r="A48" s="66">
        <f t="shared" si="0"/>
        <v>36</v>
      </c>
      <c r="B48" s="66" t="s">
        <v>1553</v>
      </c>
      <c r="C48" s="419"/>
      <c r="H48" s="163">
        <f t="shared" si="1"/>
        <v>0</v>
      </c>
      <c r="L48" s="163">
        <f t="shared" si="2"/>
        <v>0</v>
      </c>
    </row>
    <row r="49" spans="1:12" hidden="1" x14ac:dyDescent="0.15">
      <c r="A49" s="66">
        <f t="shared" si="0"/>
        <v>37</v>
      </c>
      <c r="B49" s="66" t="s">
        <v>1554</v>
      </c>
      <c r="C49" s="419"/>
      <c r="H49" s="163">
        <f t="shared" si="1"/>
        <v>0</v>
      </c>
      <c r="L49" s="163">
        <f t="shared" si="2"/>
        <v>0</v>
      </c>
    </row>
    <row r="50" spans="1:12" hidden="1" x14ac:dyDescent="0.15">
      <c r="A50" s="66">
        <f t="shared" si="0"/>
        <v>38</v>
      </c>
      <c r="B50" s="66" t="s">
        <v>755</v>
      </c>
      <c r="C50" s="419"/>
      <c r="H50" s="163">
        <f t="shared" si="1"/>
        <v>0</v>
      </c>
      <c r="L50" s="163">
        <f t="shared" si="2"/>
        <v>0</v>
      </c>
    </row>
    <row r="51" spans="1:12" hidden="1" x14ac:dyDescent="0.15">
      <c r="A51" s="66">
        <f t="shared" si="0"/>
        <v>39</v>
      </c>
      <c r="B51" s="66" t="s">
        <v>894</v>
      </c>
      <c r="C51" s="419"/>
      <c r="H51" s="163">
        <f t="shared" si="1"/>
        <v>0</v>
      </c>
      <c r="L51" s="163">
        <f t="shared" si="2"/>
        <v>0</v>
      </c>
    </row>
    <row r="52" spans="1:12" hidden="1" x14ac:dyDescent="0.15">
      <c r="A52" s="66"/>
      <c r="B52" s="66"/>
      <c r="C52" s="419"/>
      <c r="H52" s="163">
        <f t="shared" si="1"/>
        <v>0</v>
      </c>
      <c r="L52" s="163">
        <f t="shared" si="2"/>
        <v>0</v>
      </c>
    </row>
    <row r="53" spans="1:12" hidden="1" x14ac:dyDescent="0.15">
      <c r="A53" s="66"/>
      <c r="B53" s="66"/>
      <c r="C53" s="419"/>
      <c r="H53" s="163">
        <f t="shared" si="1"/>
        <v>0</v>
      </c>
      <c r="L53" s="163">
        <f t="shared" si="2"/>
        <v>0</v>
      </c>
    </row>
    <row r="54" spans="1:12" x14ac:dyDescent="0.15">
      <c r="A54" s="66"/>
      <c r="B54" s="66"/>
      <c r="C54" s="419"/>
      <c r="F54" s="163">
        <v>1086</v>
      </c>
      <c r="G54" s="163">
        <v>28</v>
      </c>
      <c r="H54" s="163">
        <f t="shared" si="1"/>
        <v>102000</v>
      </c>
      <c r="J54" s="163">
        <v>1086</v>
      </c>
      <c r="K54" s="163">
        <v>28</v>
      </c>
      <c r="L54" s="163">
        <f t="shared" si="2"/>
        <v>94000</v>
      </c>
    </row>
    <row r="55" spans="1:12" x14ac:dyDescent="0.15">
      <c r="A55" s="66"/>
      <c r="B55" s="492" t="s">
        <v>933</v>
      </c>
      <c r="C55" s="419"/>
      <c r="F55" s="163">
        <v>1066</v>
      </c>
      <c r="G55" s="163">
        <v>25</v>
      </c>
      <c r="H55" s="163">
        <f t="shared" si="1"/>
        <v>91000</v>
      </c>
      <c r="J55" s="163">
        <v>1066</v>
      </c>
      <c r="K55" s="163">
        <v>25</v>
      </c>
      <c r="L55" s="163">
        <f t="shared" si="2"/>
        <v>84000</v>
      </c>
    </row>
    <row r="56" spans="1:12" x14ac:dyDescent="0.15">
      <c r="A56" s="66"/>
      <c r="B56" s="66" t="s">
        <v>1103</v>
      </c>
      <c r="C56" s="491">
        <v>65000</v>
      </c>
      <c r="F56" s="163">
        <v>1085</v>
      </c>
      <c r="G56" s="163">
        <v>18</v>
      </c>
      <c r="H56" s="163">
        <f t="shared" si="1"/>
        <v>66000</v>
      </c>
      <c r="J56" s="163">
        <v>1085</v>
      </c>
      <c r="K56" s="163">
        <v>18</v>
      </c>
      <c r="L56" s="163">
        <f t="shared" si="2"/>
        <v>60000</v>
      </c>
    </row>
    <row r="57" spans="1:12" x14ac:dyDescent="0.15">
      <c r="A57" s="66"/>
      <c r="B57" s="66" t="s">
        <v>928</v>
      </c>
      <c r="C57" s="491">
        <v>10000</v>
      </c>
      <c r="F57" s="163">
        <v>1083</v>
      </c>
      <c r="G57" s="163">
        <v>27</v>
      </c>
      <c r="H57" s="163">
        <f t="shared" si="1"/>
        <v>98000</v>
      </c>
      <c r="J57" s="163">
        <v>1083</v>
      </c>
      <c r="K57" s="163">
        <v>27</v>
      </c>
      <c r="L57" s="163">
        <f t="shared" si="2"/>
        <v>90000</v>
      </c>
    </row>
    <row r="58" spans="1:12" x14ac:dyDescent="0.15">
      <c r="A58" s="66"/>
      <c r="B58" s="66" t="s">
        <v>929</v>
      </c>
      <c r="C58" s="491">
        <v>10000</v>
      </c>
      <c r="F58" s="163">
        <v>1089</v>
      </c>
      <c r="G58" s="163">
        <v>14</v>
      </c>
      <c r="H58" s="496">
        <f t="shared" si="1"/>
        <v>51000</v>
      </c>
      <c r="J58" s="163">
        <v>1089</v>
      </c>
      <c r="K58" s="163">
        <v>14</v>
      </c>
      <c r="L58" s="163">
        <f t="shared" si="2"/>
        <v>47000</v>
      </c>
    </row>
    <row r="59" spans="1:12" x14ac:dyDescent="0.15">
      <c r="A59" s="66"/>
      <c r="B59" s="66" t="s">
        <v>930</v>
      </c>
      <c r="C59" s="491">
        <v>5000</v>
      </c>
      <c r="F59" s="163">
        <v>1088</v>
      </c>
      <c r="G59" s="163">
        <v>15</v>
      </c>
      <c r="H59" s="163">
        <f t="shared" si="1"/>
        <v>55000</v>
      </c>
      <c r="J59" s="163">
        <v>1088</v>
      </c>
      <c r="K59" s="163">
        <v>15</v>
      </c>
      <c r="L59" s="163">
        <f t="shared" si="2"/>
        <v>50000</v>
      </c>
    </row>
    <row r="60" spans="1:12" x14ac:dyDescent="0.15">
      <c r="A60" s="66"/>
      <c r="B60" s="66" t="s">
        <v>931</v>
      </c>
      <c r="C60" s="491">
        <v>10000</v>
      </c>
      <c r="F60" s="163">
        <v>1059</v>
      </c>
      <c r="G60" s="163">
        <v>16</v>
      </c>
      <c r="H60" s="163">
        <f t="shared" si="1"/>
        <v>58000</v>
      </c>
      <c r="J60" s="163">
        <v>1059</v>
      </c>
      <c r="K60" s="163">
        <v>16</v>
      </c>
      <c r="L60" s="163">
        <f t="shared" si="2"/>
        <v>54000</v>
      </c>
    </row>
    <row r="61" spans="1:12" x14ac:dyDescent="0.15">
      <c r="A61" s="66"/>
      <c r="B61" s="66" t="s">
        <v>932</v>
      </c>
      <c r="C61" s="491">
        <v>20000</v>
      </c>
      <c r="F61" s="163">
        <v>1096</v>
      </c>
      <c r="G61" s="163">
        <v>20</v>
      </c>
      <c r="H61" s="163">
        <f t="shared" si="1"/>
        <v>73000</v>
      </c>
      <c r="J61" s="163">
        <v>1096</v>
      </c>
      <c r="K61" s="163">
        <v>20</v>
      </c>
      <c r="L61" s="163">
        <f t="shared" si="2"/>
        <v>67000</v>
      </c>
    </row>
    <row r="62" spans="1:12" x14ac:dyDescent="0.15">
      <c r="A62" s="66"/>
      <c r="B62" s="66"/>
      <c r="C62" s="419"/>
      <c r="F62" s="163">
        <v>1093</v>
      </c>
      <c r="G62" s="163">
        <v>7</v>
      </c>
      <c r="H62" s="496">
        <f t="shared" si="1"/>
        <v>26000</v>
      </c>
      <c r="J62" s="163">
        <v>1093</v>
      </c>
      <c r="K62" s="163">
        <v>7</v>
      </c>
      <c r="L62" s="163">
        <f t="shared" si="2"/>
        <v>23000</v>
      </c>
    </row>
    <row r="63" spans="1:12" x14ac:dyDescent="0.15">
      <c r="A63" s="66"/>
      <c r="B63" s="66"/>
      <c r="C63" s="419"/>
      <c r="F63" s="163">
        <v>1081</v>
      </c>
      <c r="G63" s="163">
        <v>6</v>
      </c>
      <c r="H63" s="163">
        <f t="shared" si="1"/>
        <v>22000</v>
      </c>
      <c r="J63" s="163">
        <v>1081</v>
      </c>
      <c r="K63" s="163">
        <v>6</v>
      </c>
      <c r="L63" s="163">
        <f t="shared" si="2"/>
        <v>20000</v>
      </c>
    </row>
    <row r="64" spans="1:12" x14ac:dyDescent="0.15">
      <c r="A64" s="66"/>
      <c r="B64" s="66"/>
      <c r="C64" s="419"/>
      <c r="F64" s="163">
        <v>1091</v>
      </c>
      <c r="G64" s="163">
        <v>2</v>
      </c>
      <c r="H64" s="163">
        <f t="shared" si="1"/>
        <v>7000</v>
      </c>
      <c r="J64" s="163">
        <v>1091</v>
      </c>
      <c r="K64" s="163">
        <v>2</v>
      </c>
      <c r="L64" s="163">
        <f t="shared" si="2"/>
        <v>7000</v>
      </c>
    </row>
    <row r="65" spans="1:13" x14ac:dyDescent="0.15">
      <c r="A65" s="66"/>
      <c r="B65" s="66"/>
      <c r="C65" s="419"/>
      <c r="G65" s="494">
        <f>SUM(G21:G64)</f>
        <v>303</v>
      </c>
      <c r="H65" s="494">
        <f>SUM(H21:H64)</f>
        <v>1106000</v>
      </c>
      <c r="I65" s="455">
        <f>H65/G65/0.12</f>
        <v>30418.041804180422</v>
      </c>
      <c r="K65" s="494">
        <f>SUM(K20:K64)</f>
        <v>416</v>
      </c>
      <c r="L65" s="494">
        <f>SUM(L20:L64)</f>
        <v>1393000</v>
      </c>
      <c r="M65" s="455">
        <f>L65/K65/0.22</f>
        <v>15220.716783216783</v>
      </c>
    </row>
    <row r="66" spans="1:13" x14ac:dyDescent="0.15">
      <c r="A66" s="66"/>
      <c r="B66" s="66"/>
      <c r="C66" s="419"/>
    </row>
    <row r="67" spans="1:13" x14ac:dyDescent="0.15">
      <c r="A67" s="66"/>
      <c r="B67" s="66"/>
      <c r="C67" s="419"/>
    </row>
    <row r="68" spans="1:13" x14ac:dyDescent="0.15">
      <c r="A68" s="66"/>
      <c r="B68" s="66"/>
      <c r="C68" s="419"/>
    </row>
    <row r="69" spans="1:13" x14ac:dyDescent="0.15">
      <c r="A69" s="66"/>
      <c r="B69" s="66"/>
      <c r="C69" s="419"/>
    </row>
    <row r="70" spans="1:13" x14ac:dyDescent="0.15">
      <c r="A70" s="66"/>
      <c r="B70" s="66"/>
      <c r="C70" s="419"/>
    </row>
    <row r="71" spans="1:13" x14ac:dyDescent="0.15">
      <c r="A71" s="66"/>
      <c r="B71" s="66"/>
      <c r="C71" s="419"/>
    </row>
    <row r="72" spans="1:13" x14ac:dyDescent="0.15">
      <c r="A72" s="66"/>
      <c r="B72" s="66"/>
      <c r="C72" s="419"/>
    </row>
    <row r="73" spans="1:13" x14ac:dyDescent="0.15">
      <c r="A73" s="66"/>
      <c r="B73" s="66"/>
      <c r="C73" s="419"/>
    </row>
    <row r="74" spans="1:13" x14ac:dyDescent="0.15">
      <c r="A74" s="66"/>
      <c r="B74" s="66"/>
      <c r="C74" s="419"/>
    </row>
    <row r="75" spans="1:13" x14ac:dyDescent="0.15">
      <c r="A75" s="66"/>
      <c r="B75" s="66"/>
      <c r="C75" s="419"/>
    </row>
    <row r="76" spans="1:13" x14ac:dyDescent="0.15">
      <c r="A76" s="66"/>
      <c r="B76" s="66"/>
      <c r="C76" s="419"/>
    </row>
    <row r="77" spans="1:13" x14ac:dyDescent="0.15">
      <c r="A77" s="66"/>
      <c r="B77" s="66"/>
      <c r="C77" s="419"/>
    </row>
    <row r="78" spans="1:13" x14ac:dyDescent="0.15">
      <c r="A78" s="66"/>
      <c r="B78" s="66"/>
      <c r="C78" s="419"/>
    </row>
    <row r="79" spans="1:13" x14ac:dyDescent="0.15">
      <c r="A79" s="66"/>
      <c r="B79" s="66"/>
      <c r="C79" s="419"/>
    </row>
    <row r="80" spans="1:13" x14ac:dyDescent="0.15">
      <c r="A80" s="66"/>
      <c r="B80" s="66"/>
      <c r="C80" s="419"/>
    </row>
    <row r="81" spans="1:3" x14ac:dyDescent="0.15">
      <c r="A81" s="66"/>
      <c r="B81" s="66"/>
      <c r="C81" s="419"/>
    </row>
    <row r="82" spans="1:3" x14ac:dyDescent="0.15">
      <c r="A82" s="66"/>
      <c r="B82" s="66"/>
      <c r="C82" s="419"/>
    </row>
    <row r="83" spans="1:3" x14ac:dyDescent="0.15">
      <c r="A83" s="66"/>
      <c r="B83" s="66"/>
      <c r="C83" s="419"/>
    </row>
    <row r="84" spans="1:3" x14ac:dyDescent="0.15">
      <c r="A84" s="66"/>
      <c r="B84" s="66"/>
      <c r="C84" s="419"/>
    </row>
    <row r="85" spans="1:3" x14ac:dyDescent="0.15">
      <c r="A85" s="66"/>
      <c r="B85" s="66"/>
      <c r="C85" s="419"/>
    </row>
    <row r="86" spans="1:3" x14ac:dyDescent="0.15">
      <c r="A86" s="66"/>
      <c r="B86" s="66"/>
      <c r="C86" s="419"/>
    </row>
    <row r="87" spans="1:3" x14ac:dyDescent="0.15">
      <c r="A87" s="66"/>
      <c r="B87" s="66"/>
      <c r="C87" s="419"/>
    </row>
    <row r="88" spans="1:3" x14ac:dyDescent="0.15">
      <c r="A88" s="66"/>
      <c r="B88" s="66"/>
      <c r="C88" s="419"/>
    </row>
    <row r="89" spans="1:3" x14ac:dyDescent="0.15">
      <c r="A89" s="66"/>
      <c r="B89" s="66"/>
      <c r="C89" s="419"/>
    </row>
    <row r="90" spans="1:3" x14ac:dyDescent="0.15">
      <c r="A90" s="66"/>
      <c r="B90" s="66"/>
      <c r="C90" s="419"/>
    </row>
    <row r="91" spans="1:3" x14ac:dyDescent="0.15">
      <c r="A91" s="66"/>
      <c r="B91" s="66"/>
      <c r="C91" s="419"/>
    </row>
    <row r="92" spans="1:3" x14ac:dyDescent="0.15">
      <c r="A92" s="66"/>
      <c r="B92" s="66"/>
      <c r="C92" s="419"/>
    </row>
    <row r="93" spans="1:3" x14ac:dyDescent="0.15">
      <c r="A93" s="66"/>
      <c r="B93" s="66"/>
      <c r="C93" s="419"/>
    </row>
    <row r="94" spans="1:3" x14ac:dyDescent="0.15">
      <c r="A94" s="66"/>
      <c r="B94" s="66"/>
      <c r="C94" s="419"/>
    </row>
    <row r="95" spans="1:3" x14ac:dyDescent="0.15">
      <c r="A95" s="66"/>
      <c r="B95" s="66"/>
      <c r="C95" s="419"/>
    </row>
    <row r="96" spans="1:3" x14ac:dyDescent="0.15">
      <c r="A96" s="66"/>
      <c r="B96" s="66"/>
      <c r="C96" s="419"/>
    </row>
    <row r="97" spans="1:3" x14ac:dyDescent="0.15">
      <c r="A97" s="66"/>
      <c r="B97" s="66"/>
      <c r="C97" s="419"/>
    </row>
    <row r="98" spans="1:3" x14ac:dyDescent="0.15">
      <c r="A98" s="66"/>
      <c r="B98" s="66"/>
      <c r="C98" s="419"/>
    </row>
    <row r="99" spans="1:3" x14ac:dyDescent="0.15">
      <c r="A99" s="66"/>
      <c r="B99" s="66"/>
      <c r="C99" s="419"/>
    </row>
    <row r="100" spans="1:3" x14ac:dyDescent="0.15">
      <c r="A100" s="66"/>
      <c r="B100" s="66"/>
      <c r="C100" s="419"/>
    </row>
    <row r="101" spans="1:3" x14ac:dyDescent="0.15">
      <c r="A101" s="66"/>
      <c r="B101" s="66"/>
      <c r="C101" s="419"/>
    </row>
    <row r="102" spans="1:3" x14ac:dyDescent="0.15">
      <c r="A102" s="66"/>
      <c r="B102" s="66"/>
      <c r="C102" s="419"/>
    </row>
    <row r="103" spans="1:3" x14ac:dyDescent="0.15">
      <c r="A103" s="66"/>
      <c r="B103" s="66"/>
      <c r="C103" s="419"/>
    </row>
    <row r="104" spans="1:3" x14ac:dyDescent="0.15">
      <c r="A104" s="66"/>
      <c r="B104" s="66"/>
      <c r="C104" s="419"/>
    </row>
    <row r="105" spans="1:3" x14ac:dyDescent="0.15">
      <c r="A105" s="66"/>
      <c r="B105" s="66"/>
      <c r="C105" s="419"/>
    </row>
    <row r="106" spans="1:3" x14ac:dyDescent="0.15">
      <c r="A106" s="66"/>
      <c r="B106" s="66"/>
      <c r="C106" s="419"/>
    </row>
    <row r="107" spans="1:3" x14ac:dyDescent="0.15">
      <c r="A107" s="66"/>
      <c r="B107" s="66"/>
      <c r="C107" s="419"/>
    </row>
    <row r="108" spans="1:3" x14ac:dyDescent="0.15">
      <c r="A108" s="66"/>
      <c r="B108" s="66"/>
      <c r="C108" s="419"/>
    </row>
    <row r="109" spans="1:3" x14ac:dyDescent="0.15">
      <c r="A109" s="66"/>
      <c r="B109" s="66"/>
      <c r="C109" s="419"/>
    </row>
    <row r="110" spans="1:3" x14ac:dyDescent="0.15">
      <c r="A110" s="66"/>
      <c r="B110" s="66"/>
      <c r="C110" s="419"/>
    </row>
    <row r="111" spans="1:3" x14ac:dyDescent="0.15">
      <c r="A111" s="66"/>
      <c r="B111" s="66"/>
      <c r="C111" s="419"/>
    </row>
    <row r="112" spans="1:3" x14ac:dyDescent="0.15">
      <c r="A112" s="66"/>
      <c r="B112" s="66"/>
      <c r="C112" s="419"/>
    </row>
    <row r="113" spans="1:3" x14ac:dyDescent="0.15">
      <c r="A113" s="66"/>
      <c r="B113" s="66"/>
      <c r="C113" s="419"/>
    </row>
    <row r="114" spans="1:3" x14ac:dyDescent="0.15">
      <c r="A114" s="66"/>
      <c r="B114" s="66"/>
      <c r="C114" s="419"/>
    </row>
    <row r="115" spans="1:3" x14ac:dyDescent="0.15">
      <c r="A115" s="66"/>
      <c r="B115" s="66"/>
      <c r="C115" s="419"/>
    </row>
    <row r="116" spans="1:3" x14ac:dyDescent="0.15">
      <c r="A116" s="66"/>
      <c r="B116" s="66"/>
      <c r="C116" s="419"/>
    </row>
    <row r="117" spans="1:3" x14ac:dyDescent="0.15">
      <c r="A117" s="66"/>
      <c r="B117" s="66"/>
      <c r="C117" s="419"/>
    </row>
    <row r="118" spans="1:3" x14ac:dyDescent="0.15">
      <c r="A118" s="66"/>
      <c r="B118" s="66"/>
      <c r="C118" s="419"/>
    </row>
    <row r="119" spans="1:3" x14ac:dyDescent="0.15">
      <c r="A119" s="66"/>
      <c r="B119" s="66"/>
      <c r="C119" s="419"/>
    </row>
    <row r="120" spans="1:3" x14ac:dyDescent="0.15">
      <c r="A120" s="66"/>
      <c r="B120" s="66"/>
      <c r="C120" s="419"/>
    </row>
    <row r="121" spans="1:3" x14ac:dyDescent="0.15">
      <c r="A121" s="66"/>
      <c r="B121" s="66"/>
      <c r="C121" s="419"/>
    </row>
    <row r="122" spans="1:3" x14ac:dyDescent="0.15">
      <c r="A122" s="66"/>
      <c r="B122" s="66"/>
      <c r="C122" s="419"/>
    </row>
    <row r="123" spans="1:3" x14ac:dyDescent="0.15">
      <c r="A123" s="66"/>
      <c r="B123" s="66"/>
      <c r="C123" s="419"/>
    </row>
    <row r="124" spans="1:3" x14ac:dyDescent="0.15">
      <c r="A124" s="66"/>
      <c r="B124" s="66"/>
      <c r="C124" s="419"/>
    </row>
    <row r="125" spans="1:3" x14ac:dyDescent="0.15">
      <c r="A125" s="66"/>
      <c r="B125" s="66"/>
      <c r="C125" s="419"/>
    </row>
    <row r="126" spans="1:3" x14ac:dyDescent="0.15">
      <c r="A126" s="66"/>
      <c r="B126" s="66"/>
      <c r="C126" s="419"/>
    </row>
    <row r="127" spans="1:3" x14ac:dyDescent="0.15">
      <c r="A127" s="66"/>
      <c r="B127" s="66"/>
      <c r="C127" s="419"/>
    </row>
    <row r="128" spans="1:3" x14ac:dyDescent="0.15">
      <c r="A128" s="66"/>
      <c r="B128" s="66"/>
      <c r="C128" s="419"/>
    </row>
    <row r="129" spans="1:3" x14ac:dyDescent="0.15">
      <c r="A129" s="66"/>
      <c r="B129" s="66"/>
      <c r="C129" s="419"/>
    </row>
    <row r="130" spans="1:3" x14ac:dyDescent="0.15">
      <c r="A130" s="66"/>
      <c r="B130" s="66"/>
      <c r="C130" s="419"/>
    </row>
    <row r="131" spans="1:3" x14ac:dyDescent="0.15">
      <c r="A131" s="66"/>
      <c r="B131" s="66"/>
      <c r="C131" s="419"/>
    </row>
    <row r="132" spans="1:3" x14ac:dyDescent="0.15">
      <c r="A132" s="66"/>
      <c r="B132" s="66"/>
      <c r="C132" s="419"/>
    </row>
    <row r="133" spans="1:3" x14ac:dyDescent="0.15">
      <c r="A133" s="66"/>
      <c r="B133" s="66"/>
      <c r="C133" s="419"/>
    </row>
    <row r="134" spans="1:3" x14ac:dyDescent="0.15">
      <c r="A134" s="66"/>
      <c r="B134" s="66"/>
      <c r="C134" s="419"/>
    </row>
    <row r="135" spans="1:3" x14ac:dyDescent="0.15">
      <c r="A135" s="66"/>
      <c r="B135" s="66"/>
      <c r="C135" s="419"/>
    </row>
    <row r="136" spans="1:3" x14ac:dyDescent="0.15">
      <c r="A136" s="66"/>
      <c r="B136" s="66"/>
      <c r="C136" s="419"/>
    </row>
    <row r="137" spans="1:3" x14ac:dyDescent="0.15">
      <c r="A137" s="66"/>
      <c r="B137" s="66"/>
      <c r="C137" s="419"/>
    </row>
    <row r="138" spans="1:3" x14ac:dyDescent="0.15">
      <c r="A138" s="66"/>
      <c r="B138" s="66"/>
      <c r="C138" s="419"/>
    </row>
    <row r="139" spans="1:3" x14ac:dyDescent="0.15">
      <c r="A139" s="66"/>
      <c r="B139" s="66"/>
      <c r="C139" s="419"/>
    </row>
    <row r="140" spans="1:3" x14ac:dyDescent="0.15">
      <c r="A140" s="66"/>
      <c r="B140" s="66"/>
      <c r="C140" s="419"/>
    </row>
    <row r="141" spans="1:3" x14ac:dyDescent="0.15">
      <c r="A141" s="66"/>
      <c r="B141" s="66"/>
      <c r="C141" s="419"/>
    </row>
    <row r="142" spans="1:3" x14ac:dyDescent="0.15">
      <c r="A142" s="66"/>
      <c r="B142" s="66"/>
      <c r="C142" s="419"/>
    </row>
    <row r="143" spans="1:3" x14ac:dyDescent="0.15">
      <c r="A143" s="66"/>
      <c r="B143" s="66"/>
      <c r="C143" s="419"/>
    </row>
    <row r="144" spans="1:3" x14ac:dyDescent="0.15">
      <c r="A144" s="66"/>
      <c r="B144" s="66"/>
      <c r="C144" s="419"/>
    </row>
    <row r="145" spans="1:3" x14ac:dyDescent="0.15">
      <c r="A145" s="66"/>
      <c r="B145" s="66"/>
      <c r="C145" s="419"/>
    </row>
    <row r="146" spans="1:3" x14ac:dyDescent="0.15">
      <c r="A146" s="66"/>
      <c r="B146" s="66"/>
      <c r="C146" s="419"/>
    </row>
    <row r="147" spans="1:3" x14ac:dyDescent="0.15">
      <c r="A147" s="66"/>
      <c r="B147" s="66"/>
      <c r="C147" s="419"/>
    </row>
    <row r="148" spans="1:3" x14ac:dyDescent="0.15">
      <c r="A148" s="66"/>
      <c r="B148" s="66"/>
      <c r="C148" s="419"/>
    </row>
    <row r="149" spans="1:3" x14ac:dyDescent="0.15">
      <c r="A149" s="66"/>
      <c r="B149" s="66"/>
      <c r="C149" s="419"/>
    </row>
    <row r="150" spans="1:3" x14ac:dyDescent="0.15">
      <c r="A150" s="66"/>
      <c r="B150" s="66"/>
      <c r="C150" s="419"/>
    </row>
    <row r="151" spans="1:3" x14ac:dyDescent="0.15">
      <c r="A151" s="66"/>
      <c r="B151" s="66"/>
      <c r="C151" s="419"/>
    </row>
    <row r="152" spans="1:3" x14ac:dyDescent="0.15">
      <c r="A152" s="66"/>
      <c r="B152" s="66"/>
      <c r="C152" s="419"/>
    </row>
    <row r="153" spans="1:3" x14ac:dyDescent="0.15">
      <c r="A153" s="66"/>
      <c r="B153" s="66"/>
      <c r="C153" s="419"/>
    </row>
    <row r="154" spans="1:3" x14ac:dyDescent="0.15">
      <c r="A154" s="66"/>
      <c r="B154" s="66"/>
      <c r="C154" s="419"/>
    </row>
    <row r="155" spans="1:3" x14ac:dyDescent="0.15">
      <c r="A155" s="66"/>
      <c r="B155" s="66"/>
      <c r="C155" s="419"/>
    </row>
    <row r="156" spans="1:3" x14ac:dyDescent="0.15">
      <c r="A156" s="66"/>
      <c r="B156" s="66"/>
      <c r="C156" s="419"/>
    </row>
    <row r="157" spans="1:3" x14ac:dyDescent="0.15">
      <c r="A157" s="66"/>
      <c r="B157" s="66"/>
      <c r="C157" s="419"/>
    </row>
    <row r="158" spans="1:3" x14ac:dyDescent="0.15">
      <c r="A158" s="66"/>
      <c r="B158" s="66"/>
      <c r="C158" s="419"/>
    </row>
    <row r="159" spans="1:3" x14ac:dyDescent="0.15">
      <c r="A159" s="66"/>
      <c r="B159" s="66"/>
      <c r="C159" s="419"/>
    </row>
    <row r="160" spans="1:3" x14ac:dyDescent="0.15">
      <c r="A160" s="66"/>
      <c r="B160" s="66"/>
      <c r="C160" s="419"/>
    </row>
    <row r="161" spans="1:3" x14ac:dyDescent="0.15">
      <c r="A161" s="66"/>
      <c r="B161" s="66"/>
      <c r="C161" s="419"/>
    </row>
    <row r="162" spans="1:3" x14ac:dyDescent="0.15">
      <c r="A162" s="66"/>
      <c r="B162" s="66"/>
      <c r="C162" s="419"/>
    </row>
    <row r="163" spans="1:3" x14ac:dyDescent="0.15">
      <c r="A163" s="66"/>
      <c r="B163" s="66"/>
      <c r="C163" s="419"/>
    </row>
    <row r="164" spans="1:3" x14ac:dyDescent="0.15">
      <c r="A164" s="66"/>
      <c r="B164" s="66"/>
      <c r="C164" s="419"/>
    </row>
    <row r="165" spans="1:3" x14ac:dyDescent="0.15">
      <c r="A165" s="66"/>
      <c r="B165" s="66"/>
      <c r="C165" s="419"/>
    </row>
    <row r="166" spans="1:3" x14ac:dyDescent="0.15">
      <c r="A166" s="66"/>
      <c r="B166" s="66"/>
      <c r="C166" s="419"/>
    </row>
    <row r="167" spans="1:3" x14ac:dyDescent="0.15">
      <c r="A167" s="66"/>
      <c r="B167" s="66"/>
      <c r="C167" s="419"/>
    </row>
    <row r="168" spans="1:3" x14ac:dyDescent="0.15">
      <c r="A168" s="66"/>
      <c r="B168" s="66"/>
      <c r="C168" s="419"/>
    </row>
    <row r="169" spans="1:3" x14ac:dyDescent="0.15">
      <c r="A169" s="66"/>
      <c r="B169" s="66"/>
      <c r="C169" s="419"/>
    </row>
    <row r="170" spans="1:3" x14ac:dyDescent="0.15">
      <c r="A170" s="66"/>
      <c r="B170" s="66"/>
      <c r="C170" s="419"/>
    </row>
    <row r="171" spans="1:3" x14ac:dyDescent="0.15">
      <c r="A171" s="66"/>
      <c r="B171" s="66"/>
      <c r="C171" s="419"/>
    </row>
    <row r="172" spans="1:3" x14ac:dyDescent="0.15">
      <c r="A172" s="66"/>
      <c r="B172" s="66"/>
      <c r="C172" s="419"/>
    </row>
    <row r="173" spans="1:3" x14ac:dyDescent="0.15">
      <c r="A173" s="66"/>
      <c r="B173" s="66"/>
      <c r="C173" s="419"/>
    </row>
    <row r="174" spans="1:3" x14ac:dyDescent="0.15">
      <c r="A174" s="66"/>
      <c r="B174" s="66"/>
      <c r="C174" s="419"/>
    </row>
    <row r="175" spans="1:3" x14ac:dyDescent="0.15">
      <c r="A175" s="66"/>
      <c r="B175" s="66"/>
      <c r="C175" s="419"/>
    </row>
    <row r="176" spans="1:3" x14ac:dyDescent="0.15">
      <c r="A176" s="66"/>
      <c r="B176" s="66"/>
      <c r="C176" s="419"/>
    </row>
    <row r="177" spans="1:3" x14ac:dyDescent="0.15">
      <c r="A177" s="66"/>
      <c r="B177" s="66"/>
      <c r="C177" s="419"/>
    </row>
    <row r="178" spans="1:3" x14ac:dyDescent="0.15">
      <c r="A178" s="66"/>
      <c r="B178" s="66"/>
      <c r="C178" s="419"/>
    </row>
    <row r="179" spans="1:3" x14ac:dyDescent="0.15">
      <c r="A179" s="66"/>
      <c r="B179" s="66"/>
      <c r="C179" s="419"/>
    </row>
    <row r="180" spans="1:3" x14ac:dyDescent="0.15">
      <c r="A180" s="66"/>
      <c r="B180" s="66"/>
      <c r="C180" s="419"/>
    </row>
    <row r="181" spans="1:3" x14ac:dyDescent="0.15">
      <c r="A181" s="66"/>
      <c r="B181" s="66"/>
      <c r="C181" s="419"/>
    </row>
    <row r="182" spans="1:3" x14ac:dyDescent="0.15">
      <c r="A182" s="66"/>
      <c r="B182" s="66"/>
      <c r="C182" s="419"/>
    </row>
    <row r="183" spans="1:3" x14ac:dyDescent="0.15">
      <c r="A183" s="66"/>
      <c r="B183" s="66"/>
      <c r="C183" s="419"/>
    </row>
    <row r="184" spans="1:3" x14ac:dyDescent="0.15">
      <c r="A184" s="66"/>
      <c r="B184" s="66"/>
      <c r="C184" s="419"/>
    </row>
    <row r="185" spans="1:3" x14ac:dyDescent="0.15">
      <c r="A185" s="66"/>
      <c r="B185" s="66"/>
      <c r="C185" s="419"/>
    </row>
    <row r="186" spans="1:3" x14ac:dyDescent="0.15">
      <c r="A186" s="66"/>
      <c r="B186" s="66"/>
      <c r="C186" s="419"/>
    </row>
    <row r="187" spans="1:3" x14ac:dyDescent="0.15">
      <c r="A187" s="66"/>
      <c r="B187" s="66"/>
      <c r="C187" s="419"/>
    </row>
    <row r="188" spans="1:3" x14ac:dyDescent="0.15">
      <c r="A188" s="66"/>
      <c r="B188" s="66"/>
      <c r="C188" s="419"/>
    </row>
    <row r="189" spans="1:3" x14ac:dyDescent="0.15">
      <c r="A189" s="66"/>
      <c r="B189" s="66"/>
      <c r="C189" s="419"/>
    </row>
    <row r="190" spans="1:3" x14ac:dyDescent="0.15">
      <c r="A190" s="66"/>
      <c r="B190" s="66"/>
      <c r="C190" s="419"/>
    </row>
    <row r="191" spans="1:3" x14ac:dyDescent="0.15">
      <c r="A191" s="66"/>
      <c r="B191" s="66"/>
      <c r="C191" s="419"/>
    </row>
    <row r="192" spans="1:3" x14ac:dyDescent="0.15">
      <c r="A192" s="66"/>
      <c r="B192" s="66"/>
      <c r="C192" s="419"/>
    </row>
    <row r="193" spans="1:3" x14ac:dyDescent="0.15">
      <c r="A193" s="66"/>
      <c r="B193" s="66"/>
      <c r="C193" s="419"/>
    </row>
    <row r="194" spans="1:3" x14ac:dyDescent="0.15">
      <c r="A194" s="66"/>
      <c r="B194" s="66"/>
      <c r="C194" s="419"/>
    </row>
    <row r="195" spans="1:3" x14ac:dyDescent="0.15">
      <c r="A195" s="66"/>
      <c r="B195" s="66"/>
      <c r="C195" s="419"/>
    </row>
    <row r="196" spans="1:3" x14ac:dyDescent="0.15">
      <c r="A196" s="66"/>
      <c r="B196" s="66"/>
      <c r="C196" s="419"/>
    </row>
    <row r="197" spans="1:3" x14ac:dyDescent="0.15">
      <c r="A197" s="66"/>
      <c r="B197" s="66"/>
      <c r="C197" s="419"/>
    </row>
    <row r="198" spans="1:3" x14ac:dyDescent="0.15">
      <c r="A198" s="66"/>
      <c r="B198" s="66"/>
      <c r="C198" s="419"/>
    </row>
    <row r="199" spans="1:3" x14ac:dyDescent="0.15">
      <c r="A199" s="66"/>
      <c r="B199" s="66"/>
      <c r="C199" s="419"/>
    </row>
    <row r="200" spans="1:3" x14ac:dyDescent="0.15">
      <c r="A200" s="66"/>
      <c r="B200" s="66"/>
      <c r="C200" s="419"/>
    </row>
    <row r="201" spans="1:3" x14ac:dyDescent="0.15">
      <c r="A201" s="66"/>
      <c r="B201" s="66"/>
      <c r="C201" s="419"/>
    </row>
    <row r="202" spans="1:3" x14ac:dyDescent="0.15">
      <c r="A202" s="66"/>
      <c r="B202" s="66"/>
      <c r="C202" s="419"/>
    </row>
    <row r="203" spans="1:3" x14ac:dyDescent="0.15">
      <c r="A203" s="66"/>
      <c r="B203" s="66"/>
      <c r="C203" s="419"/>
    </row>
    <row r="204" spans="1:3" x14ac:dyDescent="0.15">
      <c r="A204" s="66"/>
      <c r="B204" s="66"/>
      <c r="C204" s="419"/>
    </row>
    <row r="205" spans="1:3" x14ac:dyDescent="0.15">
      <c r="A205" s="66"/>
      <c r="B205" s="66"/>
      <c r="C205" s="419"/>
    </row>
    <row r="206" spans="1:3" x14ac:dyDescent="0.15">
      <c r="A206" s="66"/>
      <c r="B206" s="66"/>
      <c r="C206" s="419"/>
    </row>
    <row r="207" spans="1:3" x14ac:dyDescent="0.15">
      <c r="A207" s="66"/>
      <c r="B207" s="66"/>
      <c r="C207" s="419"/>
    </row>
    <row r="208" spans="1:3" x14ac:dyDescent="0.15">
      <c r="A208" s="66"/>
      <c r="B208" s="66"/>
      <c r="C208" s="419"/>
    </row>
    <row r="209" spans="1:3" x14ac:dyDescent="0.15">
      <c r="A209" s="66"/>
      <c r="B209" s="66"/>
      <c r="C209" s="419"/>
    </row>
    <row r="210" spans="1:3" x14ac:dyDescent="0.15">
      <c r="A210" s="66"/>
      <c r="B210" s="66"/>
      <c r="C210" s="419"/>
    </row>
    <row r="211" spans="1:3" x14ac:dyDescent="0.15">
      <c r="A211" s="66"/>
      <c r="B211" s="66"/>
      <c r="C211" s="419"/>
    </row>
    <row r="212" spans="1:3" x14ac:dyDescent="0.15">
      <c r="A212" s="66"/>
      <c r="B212" s="66"/>
      <c r="C212" s="419"/>
    </row>
    <row r="213" spans="1:3" x14ac:dyDescent="0.15">
      <c r="A213" s="66"/>
      <c r="B213" s="66"/>
      <c r="C213" s="419"/>
    </row>
    <row r="214" spans="1:3" x14ac:dyDescent="0.15">
      <c r="A214" s="66"/>
      <c r="B214" s="66"/>
      <c r="C214" s="419"/>
    </row>
    <row r="215" spans="1:3" x14ac:dyDescent="0.15">
      <c r="A215" s="66"/>
      <c r="B215" s="66"/>
      <c r="C215" s="419"/>
    </row>
    <row r="216" spans="1:3" x14ac:dyDescent="0.15">
      <c r="A216" s="66"/>
      <c r="B216" s="66"/>
      <c r="C216" s="419"/>
    </row>
    <row r="217" spans="1:3" x14ac:dyDescent="0.15">
      <c r="A217" s="66"/>
      <c r="B217" s="66"/>
      <c r="C217" s="419"/>
    </row>
    <row r="218" spans="1:3" x14ac:dyDescent="0.15">
      <c r="A218" s="66"/>
      <c r="B218" s="66"/>
      <c r="C218" s="419"/>
    </row>
    <row r="219" spans="1:3" x14ac:dyDescent="0.15">
      <c r="A219" s="66"/>
      <c r="B219" s="66"/>
      <c r="C219" s="419"/>
    </row>
    <row r="220" spans="1:3" x14ac:dyDescent="0.15">
      <c r="A220" s="66"/>
      <c r="B220" s="66"/>
      <c r="C220" s="419"/>
    </row>
    <row r="221" spans="1:3" x14ac:dyDescent="0.15">
      <c r="A221" s="66"/>
      <c r="B221" s="66"/>
      <c r="C221" s="419"/>
    </row>
    <row r="222" spans="1:3" x14ac:dyDescent="0.15">
      <c r="A222" s="66"/>
      <c r="B222" s="66"/>
      <c r="C222" s="419"/>
    </row>
    <row r="223" spans="1:3" x14ac:dyDescent="0.15">
      <c r="A223" s="66"/>
      <c r="B223" s="66"/>
      <c r="C223" s="419"/>
    </row>
    <row r="224" spans="1:3" x14ac:dyDescent="0.15">
      <c r="A224" s="66"/>
      <c r="B224" s="66"/>
      <c r="C224" s="419"/>
    </row>
    <row r="225" spans="1:3" x14ac:dyDescent="0.15">
      <c r="A225" s="66"/>
      <c r="B225" s="66"/>
      <c r="C225" s="419"/>
    </row>
    <row r="226" spans="1:3" x14ac:dyDescent="0.15">
      <c r="A226" s="66"/>
      <c r="B226" s="66"/>
      <c r="C226" s="419"/>
    </row>
    <row r="227" spans="1:3" x14ac:dyDescent="0.15">
      <c r="A227" s="66"/>
      <c r="B227" s="66"/>
      <c r="C227" s="419"/>
    </row>
    <row r="228" spans="1:3" x14ac:dyDescent="0.15">
      <c r="A228" s="66"/>
      <c r="B228" s="66"/>
      <c r="C228" s="419"/>
    </row>
    <row r="229" spans="1:3" x14ac:dyDescent="0.15">
      <c r="A229" s="66"/>
      <c r="B229" s="66"/>
      <c r="C229" s="419"/>
    </row>
    <row r="230" spans="1:3" x14ac:dyDescent="0.15">
      <c r="A230" s="66"/>
      <c r="B230" s="66"/>
      <c r="C230" s="419"/>
    </row>
    <row r="231" spans="1:3" x14ac:dyDescent="0.15">
      <c r="A231" s="66"/>
      <c r="B231" s="66"/>
      <c r="C231" s="419"/>
    </row>
    <row r="232" spans="1:3" x14ac:dyDescent="0.15">
      <c r="A232" s="66"/>
      <c r="B232" s="66"/>
      <c r="C232" s="419"/>
    </row>
    <row r="233" spans="1:3" x14ac:dyDescent="0.15">
      <c r="A233" s="66"/>
      <c r="B233" s="66"/>
      <c r="C233" s="419"/>
    </row>
    <row r="234" spans="1:3" x14ac:dyDescent="0.15">
      <c r="A234" s="66"/>
      <c r="B234" s="66"/>
      <c r="C234" s="419"/>
    </row>
    <row r="235" spans="1:3" x14ac:dyDescent="0.15">
      <c r="A235" s="66"/>
      <c r="B235" s="66"/>
      <c r="C235" s="419"/>
    </row>
    <row r="236" spans="1:3" x14ac:dyDescent="0.15">
      <c r="A236" s="66"/>
      <c r="B236" s="66"/>
      <c r="C236" s="419"/>
    </row>
    <row r="237" spans="1:3" x14ac:dyDescent="0.15">
      <c r="A237" s="66"/>
      <c r="B237" s="66"/>
      <c r="C237" s="419"/>
    </row>
    <row r="238" spans="1:3" x14ac:dyDescent="0.15">
      <c r="A238" s="66"/>
      <c r="B238" s="66"/>
      <c r="C238" s="419"/>
    </row>
    <row r="239" spans="1:3" x14ac:dyDescent="0.15">
      <c r="A239" s="66"/>
      <c r="B239" s="66"/>
      <c r="C239" s="419"/>
    </row>
    <row r="240" spans="1:3" x14ac:dyDescent="0.15">
      <c r="A240" s="66"/>
      <c r="B240" s="66"/>
      <c r="C240" s="419"/>
    </row>
    <row r="241" spans="1:3" x14ac:dyDescent="0.15">
      <c r="A241" s="66"/>
      <c r="B241" s="66"/>
      <c r="C241" s="419"/>
    </row>
    <row r="242" spans="1:3" x14ac:dyDescent="0.15">
      <c r="A242" s="66"/>
      <c r="B242" s="66"/>
      <c r="C242" s="419"/>
    </row>
    <row r="243" spans="1:3" x14ac:dyDescent="0.15">
      <c r="A243" s="66"/>
      <c r="B243" s="66"/>
      <c r="C243" s="419"/>
    </row>
    <row r="244" spans="1:3" x14ac:dyDescent="0.15">
      <c r="A244" s="66"/>
      <c r="B244" s="66"/>
      <c r="C244" s="419"/>
    </row>
    <row r="245" spans="1:3" x14ac:dyDescent="0.15">
      <c r="A245" s="66"/>
      <c r="B245" s="66"/>
      <c r="C245" s="419"/>
    </row>
    <row r="246" spans="1:3" x14ac:dyDescent="0.15">
      <c r="A246" s="66"/>
      <c r="B246" s="66"/>
      <c r="C246" s="419"/>
    </row>
    <row r="247" spans="1:3" x14ac:dyDescent="0.15">
      <c r="A247" s="66"/>
      <c r="B247" s="66"/>
      <c r="C247" s="419"/>
    </row>
    <row r="248" spans="1:3" x14ac:dyDescent="0.15">
      <c r="A248" s="66"/>
      <c r="B248" s="66"/>
      <c r="C248" s="419"/>
    </row>
    <row r="249" spans="1:3" x14ac:dyDescent="0.15">
      <c r="A249" s="66"/>
      <c r="B249" s="66"/>
      <c r="C249" s="419"/>
    </row>
    <row r="250" spans="1:3" x14ac:dyDescent="0.15">
      <c r="A250" s="66"/>
      <c r="B250" s="66"/>
      <c r="C250" s="419"/>
    </row>
    <row r="251" spans="1:3" x14ac:dyDescent="0.15">
      <c r="A251" s="66"/>
      <c r="B251" s="66"/>
      <c r="C251" s="419"/>
    </row>
    <row r="252" spans="1:3" x14ac:dyDescent="0.15">
      <c r="A252" s="66"/>
      <c r="B252" s="66"/>
      <c r="C252" s="419"/>
    </row>
    <row r="253" spans="1:3" x14ac:dyDescent="0.15">
      <c r="A253" s="66"/>
      <c r="B253" s="66"/>
      <c r="C253" s="419"/>
    </row>
    <row r="254" spans="1:3" x14ac:dyDescent="0.15">
      <c r="A254" s="66"/>
      <c r="B254" s="66"/>
      <c r="C254" s="419"/>
    </row>
    <row r="255" spans="1:3" x14ac:dyDescent="0.15">
      <c r="A255" s="66"/>
      <c r="B255" s="66"/>
      <c r="C255" s="419"/>
    </row>
    <row r="256" spans="1:3" x14ac:dyDescent="0.15">
      <c r="A256" s="66"/>
      <c r="B256" s="66"/>
      <c r="C256" s="419"/>
    </row>
    <row r="257" spans="1:3" x14ac:dyDescent="0.15">
      <c r="A257" s="66"/>
      <c r="B257" s="66"/>
      <c r="C257" s="419"/>
    </row>
    <row r="258" spans="1:3" x14ac:dyDescent="0.15">
      <c r="A258" s="66"/>
      <c r="B258" s="66"/>
      <c r="C258" s="419"/>
    </row>
    <row r="259" spans="1:3" x14ac:dyDescent="0.15">
      <c r="A259" s="66"/>
      <c r="B259" s="66"/>
      <c r="C259" s="419"/>
    </row>
    <row r="260" spans="1:3" x14ac:dyDescent="0.15">
      <c r="A260" s="66"/>
      <c r="B260" s="66"/>
      <c r="C260" s="419"/>
    </row>
    <row r="261" spans="1:3" x14ac:dyDescent="0.15">
      <c r="A261" s="66"/>
      <c r="B261" s="66"/>
      <c r="C261" s="419"/>
    </row>
    <row r="262" spans="1:3" x14ac:dyDescent="0.15">
      <c r="A262" s="66"/>
      <c r="B262" s="66"/>
      <c r="C262" s="419"/>
    </row>
    <row r="263" spans="1:3" x14ac:dyDescent="0.15">
      <c r="A263" s="66"/>
      <c r="B263" s="66"/>
      <c r="C263" s="419"/>
    </row>
    <row r="264" spans="1:3" x14ac:dyDescent="0.15">
      <c r="A264" s="66"/>
      <c r="B264" s="66"/>
      <c r="C264" s="419"/>
    </row>
    <row r="265" spans="1:3" x14ac:dyDescent="0.15">
      <c r="A265" s="66"/>
      <c r="B265" s="66"/>
      <c r="C265" s="419"/>
    </row>
    <row r="266" spans="1:3" x14ac:dyDescent="0.15">
      <c r="A266" s="66"/>
      <c r="B266" s="66"/>
      <c r="C266" s="419"/>
    </row>
    <row r="267" spans="1:3" x14ac:dyDescent="0.15">
      <c r="A267" s="66"/>
      <c r="B267" s="66"/>
      <c r="C267" s="419"/>
    </row>
    <row r="268" spans="1:3" x14ac:dyDescent="0.15">
      <c r="A268" s="66"/>
      <c r="B268" s="66"/>
      <c r="C268" s="419"/>
    </row>
    <row r="269" spans="1:3" x14ac:dyDescent="0.15">
      <c r="A269" s="66"/>
      <c r="B269" s="66"/>
      <c r="C269" s="419"/>
    </row>
    <row r="270" spans="1:3" x14ac:dyDescent="0.15">
      <c r="A270" s="66"/>
      <c r="B270" s="66"/>
      <c r="C270" s="419"/>
    </row>
    <row r="271" spans="1:3" x14ac:dyDescent="0.15">
      <c r="A271" s="66"/>
      <c r="B271" s="66"/>
      <c r="C271" s="419"/>
    </row>
    <row r="272" spans="1:3" x14ac:dyDescent="0.15">
      <c r="A272" s="66"/>
      <c r="B272" s="66"/>
      <c r="C272" s="419"/>
    </row>
    <row r="273" spans="1:3" x14ac:dyDescent="0.15">
      <c r="A273" s="66"/>
      <c r="B273" s="66"/>
      <c r="C273" s="419"/>
    </row>
    <row r="274" spans="1:3" x14ac:dyDescent="0.15">
      <c r="A274" s="66"/>
      <c r="B274" s="66"/>
      <c r="C274" s="419"/>
    </row>
    <row r="275" spans="1:3" x14ac:dyDescent="0.15">
      <c r="A275" s="66"/>
      <c r="B275" s="66"/>
      <c r="C275" s="419"/>
    </row>
    <row r="276" spans="1:3" x14ac:dyDescent="0.15">
      <c r="A276" s="66"/>
      <c r="B276" s="66"/>
      <c r="C276" s="419"/>
    </row>
    <row r="277" spans="1:3" x14ac:dyDescent="0.15">
      <c r="A277" s="66"/>
      <c r="B277" s="66"/>
      <c r="C277" s="419"/>
    </row>
    <row r="278" spans="1:3" x14ac:dyDescent="0.15">
      <c r="A278" s="66"/>
      <c r="B278" s="66"/>
      <c r="C278" s="419"/>
    </row>
    <row r="279" spans="1:3" x14ac:dyDescent="0.15">
      <c r="A279" s="66"/>
      <c r="B279" s="66"/>
      <c r="C279" s="419"/>
    </row>
    <row r="280" spans="1:3" x14ac:dyDescent="0.15">
      <c r="A280" s="66"/>
      <c r="B280" s="66"/>
      <c r="C280" s="419"/>
    </row>
    <row r="281" spans="1:3" x14ac:dyDescent="0.15">
      <c r="A281" s="66"/>
      <c r="B281" s="66"/>
      <c r="C281" s="419"/>
    </row>
    <row r="282" spans="1:3" x14ac:dyDescent="0.15">
      <c r="A282" s="66"/>
      <c r="B282" s="66"/>
      <c r="C282" s="419"/>
    </row>
    <row r="283" spans="1:3" x14ac:dyDescent="0.15">
      <c r="A283" s="66"/>
      <c r="B283" s="66"/>
      <c r="C283" s="419"/>
    </row>
    <row r="284" spans="1:3" x14ac:dyDescent="0.15">
      <c r="A284" s="66"/>
      <c r="B284" s="66"/>
      <c r="C284" s="419"/>
    </row>
    <row r="285" spans="1:3" x14ac:dyDescent="0.15">
      <c r="A285" s="66"/>
      <c r="B285" s="66"/>
      <c r="C285" s="419"/>
    </row>
    <row r="286" spans="1:3" x14ac:dyDescent="0.15">
      <c r="A286" s="66"/>
      <c r="B286" s="66"/>
      <c r="C286" s="419"/>
    </row>
    <row r="287" spans="1:3" x14ac:dyDescent="0.15">
      <c r="A287" s="66"/>
      <c r="B287" s="66"/>
      <c r="C287" s="419"/>
    </row>
    <row r="288" spans="1:3" x14ac:dyDescent="0.15">
      <c r="A288" s="66"/>
      <c r="B288" s="66"/>
      <c r="C288" s="419"/>
    </row>
    <row r="289" spans="1:3" x14ac:dyDescent="0.15">
      <c r="A289" s="66"/>
      <c r="B289" s="66"/>
      <c r="C289" s="419"/>
    </row>
    <row r="290" spans="1:3" x14ac:dyDescent="0.15">
      <c r="A290" s="66"/>
      <c r="B290" s="66"/>
      <c r="C290" s="419"/>
    </row>
    <row r="291" spans="1:3" x14ac:dyDescent="0.15">
      <c r="A291" s="66"/>
      <c r="B291" s="66"/>
      <c r="C291" s="419"/>
    </row>
    <row r="292" spans="1:3" x14ac:dyDescent="0.15">
      <c r="A292" s="66"/>
      <c r="B292" s="66"/>
      <c r="C292" s="419"/>
    </row>
    <row r="293" spans="1:3" x14ac:dyDescent="0.15">
      <c r="A293" s="66"/>
      <c r="B293" s="66"/>
      <c r="C293" s="419"/>
    </row>
    <row r="294" spans="1:3" x14ac:dyDescent="0.15">
      <c r="A294" s="66"/>
      <c r="B294" s="66"/>
      <c r="C294" s="419"/>
    </row>
    <row r="295" spans="1:3" x14ac:dyDescent="0.15">
      <c r="A295" s="66"/>
      <c r="B295" s="66"/>
      <c r="C295" s="419"/>
    </row>
    <row r="296" spans="1:3" x14ac:dyDescent="0.15">
      <c r="A296" s="66"/>
      <c r="B296" s="66"/>
      <c r="C296" s="419"/>
    </row>
    <row r="297" spans="1:3" x14ac:dyDescent="0.15">
      <c r="A297" s="66"/>
      <c r="B297" s="66"/>
      <c r="C297" s="419"/>
    </row>
    <row r="298" spans="1:3" x14ac:dyDescent="0.15">
      <c r="A298" s="66"/>
      <c r="B298" s="66"/>
      <c r="C298" s="419"/>
    </row>
    <row r="299" spans="1:3" x14ac:dyDescent="0.15">
      <c r="A299" s="66"/>
      <c r="B299" s="66"/>
      <c r="C299" s="419"/>
    </row>
    <row r="300" spans="1:3" x14ac:dyDescent="0.15">
      <c r="A300" s="66"/>
      <c r="B300" s="66"/>
      <c r="C300" s="419"/>
    </row>
    <row r="301" spans="1:3" x14ac:dyDescent="0.15">
      <c r="A301" s="66"/>
      <c r="B301" s="66"/>
      <c r="C301" s="419"/>
    </row>
    <row r="302" spans="1:3" x14ac:dyDescent="0.15">
      <c r="A302" s="66"/>
      <c r="B302" s="66"/>
      <c r="C302" s="419"/>
    </row>
    <row r="303" spans="1:3" x14ac:dyDescent="0.15">
      <c r="A303" s="66"/>
      <c r="B303" s="66"/>
      <c r="C303" s="419"/>
    </row>
    <row r="304" spans="1:3" x14ac:dyDescent="0.15">
      <c r="A304" s="66"/>
      <c r="B304" s="66"/>
      <c r="C304" s="419"/>
    </row>
    <row r="305" spans="1:3" x14ac:dyDescent="0.15">
      <c r="A305" s="66"/>
      <c r="B305" s="66"/>
      <c r="C305" s="419"/>
    </row>
    <row r="306" spans="1:3" x14ac:dyDescent="0.15">
      <c r="A306" s="66"/>
      <c r="B306" s="66"/>
      <c r="C306" s="419"/>
    </row>
    <row r="307" spans="1:3" x14ac:dyDescent="0.15">
      <c r="A307" s="66"/>
      <c r="B307" s="66"/>
      <c r="C307" s="419"/>
    </row>
    <row r="308" spans="1:3" x14ac:dyDescent="0.15">
      <c r="A308" s="66"/>
      <c r="B308" s="66"/>
      <c r="C308" s="419"/>
    </row>
    <row r="309" spans="1:3" x14ac:dyDescent="0.15">
      <c r="A309" s="66"/>
      <c r="B309" s="66"/>
      <c r="C309" s="419"/>
    </row>
    <row r="310" spans="1:3" x14ac:dyDescent="0.15">
      <c r="A310" s="66"/>
      <c r="B310" s="66"/>
      <c r="C310" s="419"/>
    </row>
    <row r="311" spans="1:3" x14ac:dyDescent="0.15">
      <c r="A311" s="66"/>
      <c r="B311" s="66"/>
      <c r="C311" s="419"/>
    </row>
    <row r="312" spans="1:3" x14ac:dyDescent="0.15">
      <c r="A312" s="66"/>
      <c r="B312" s="66"/>
      <c r="C312" s="419"/>
    </row>
    <row r="313" spans="1:3" x14ac:dyDescent="0.15">
      <c r="A313" s="66"/>
      <c r="B313" s="66"/>
      <c r="C313" s="419"/>
    </row>
    <row r="314" spans="1:3" x14ac:dyDescent="0.15">
      <c r="A314" s="66"/>
      <c r="B314" s="66"/>
      <c r="C314" s="419"/>
    </row>
    <row r="315" spans="1:3" x14ac:dyDescent="0.15">
      <c r="A315" s="66"/>
      <c r="B315" s="66"/>
      <c r="C315" s="419"/>
    </row>
    <row r="316" spans="1:3" x14ac:dyDescent="0.15">
      <c r="A316" s="66"/>
      <c r="B316" s="66"/>
      <c r="C316" s="419"/>
    </row>
    <row r="317" spans="1:3" x14ac:dyDescent="0.15">
      <c r="A317" s="66"/>
      <c r="B317" s="66"/>
      <c r="C317" s="419"/>
    </row>
    <row r="318" spans="1:3" x14ac:dyDescent="0.15">
      <c r="A318" s="66"/>
      <c r="B318" s="66"/>
      <c r="C318" s="419"/>
    </row>
    <row r="319" spans="1:3" x14ac:dyDescent="0.15">
      <c r="A319" s="66"/>
      <c r="B319" s="66"/>
      <c r="C319" s="419"/>
    </row>
    <row r="320" spans="1:3" x14ac:dyDescent="0.15">
      <c r="A320" s="66"/>
      <c r="B320" s="66"/>
      <c r="C320" s="419"/>
    </row>
    <row r="321" spans="1:3" x14ac:dyDescent="0.15">
      <c r="A321" s="66"/>
      <c r="B321" s="66"/>
      <c r="C321" s="419"/>
    </row>
    <row r="322" spans="1:3" x14ac:dyDescent="0.15">
      <c r="A322" s="66"/>
      <c r="B322" s="66"/>
      <c r="C322" s="419"/>
    </row>
    <row r="323" spans="1:3" x14ac:dyDescent="0.15">
      <c r="A323" s="66"/>
      <c r="B323" s="66"/>
      <c r="C323" s="419"/>
    </row>
    <row r="324" spans="1:3" x14ac:dyDescent="0.15">
      <c r="A324" s="66"/>
      <c r="B324" s="66"/>
      <c r="C324" s="419"/>
    </row>
    <row r="325" spans="1:3" x14ac:dyDescent="0.15">
      <c r="A325" s="66"/>
      <c r="B325" s="66"/>
      <c r="C325" s="419"/>
    </row>
    <row r="326" spans="1:3" x14ac:dyDescent="0.15">
      <c r="A326" s="66"/>
      <c r="B326" s="66"/>
      <c r="C326" s="419"/>
    </row>
    <row r="327" spans="1:3" x14ac:dyDescent="0.15">
      <c r="A327" s="66"/>
      <c r="B327" s="66"/>
      <c r="C327" s="419"/>
    </row>
    <row r="328" spans="1:3" x14ac:dyDescent="0.15">
      <c r="A328" s="66"/>
      <c r="B328" s="66"/>
      <c r="C328" s="419"/>
    </row>
    <row r="329" spans="1:3" x14ac:dyDescent="0.15">
      <c r="A329" s="66"/>
      <c r="B329" s="66"/>
      <c r="C329" s="419"/>
    </row>
    <row r="330" spans="1:3" x14ac:dyDescent="0.15">
      <c r="A330" s="66"/>
      <c r="B330" s="66"/>
      <c r="C330" s="419"/>
    </row>
    <row r="331" spans="1:3" x14ac:dyDescent="0.15">
      <c r="A331" s="66"/>
      <c r="B331" s="66"/>
      <c r="C331" s="419"/>
    </row>
    <row r="332" spans="1:3" x14ac:dyDescent="0.15">
      <c r="A332" s="66"/>
      <c r="B332" s="66"/>
      <c r="C332" s="419"/>
    </row>
    <row r="333" spans="1:3" x14ac:dyDescent="0.15">
      <c r="A333" s="66"/>
      <c r="B333" s="66"/>
      <c r="C333" s="419"/>
    </row>
    <row r="334" spans="1:3" x14ac:dyDescent="0.15">
      <c r="A334" s="66"/>
      <c r="B334" s="66"/>
      <c r="C334" s="419"/>
    </row>
    <row r="335" spans="1:3" x14ac:dyDescent="0.15">
      <c r="A335" s="66"/>
      <c r="B335" s="66"/>
      <c r="C335" s="419"/>
    </row>
    <row r="336" spans="1:3" x14ac:dyDescent="0.15">
      <c r="A336" s="66"/>
      <c r="B336" s="66"/>
      <c r="C336" s="419"/>
    </row>
    <row r="337" spans="1:3" x14ac:dyDescent="0.15">
      <c r="A337" s="66"/>
      <c r="B337" s="66"/>
      <c r="C337" s="419"/>
    </row>
    <row r="338" spans="1:3" x14ac:dyDescent="0.15">
      <c r="A338" s="66"/>
      <c r="B338" s="66"/>
      <c r="C338" s="419"/>
    </row>
    <row r="339" spans="1:3" x14ac:dyDescent="0.15">
      <c r="A339" s="66"/>
      <c r="B339" s="66"/>
      <c r="C339" s="419"/>
    </row>
    <row r="340" spans="1:3" x14ac:dyDescent="0.15">
      <c r="A340" s="66"/>
      <c r="B340" s="66"/>
      <c r="C340" s="419"/>
    </row>
    <row r="341" spans="1:3" x14ac:dyDescent="0.15">
      <c r="A341" s="66"/>
      <c r="B341" s="66"/>
      <c r="C341" s="419"/>
    </row>
    <row r="342" spans="1:3" x14ac:dyDescent="0.15">
      <c r="A342" s="66"/>
      <c r="B342" s="66"/>
      <c r="C342" s="419"/>
    </row>
    <row r="343" spans="1:3" x14ac:dyDescent="0.15">
      <c r="A343" s="66"/>
      <c r="B343" s="66"/>
      <c r="C343" s="419"/>
    </row>
    <row r="344" spans="1:3" x14ac:dyDescent="0.15">
      <c r="A344" s="66"/>
      <c r="B344" s="66"/>
      <c r="C344" s="419"/>
    </row>
    <row r="345" spans="1:3" x14ac:dyDescent="0.15">
      <c r="A345" s="66"/>
      <c r="B345" s="66"/>
      <c r="C345" s="419"/>
    </row>
    <row r="346" spans="1:3" x14ac:dyDescent="0.15">
      <c r="A346" s="66"/>
      <c r="B346" s="66"/>
      <c r="C346" s="419"/>
    </row>
    <row r="347" spans="1:3" x14ac:dyDescent="0.15">
      <c r="A347" s="66"/>
      <c r="B347" s="66"/>
      <c r="C347" s="419"/>
    </row>
    <row r="348" spans="1:3" x14ac:dyDescent="0.15">
      <c r="A348" s="66"/>
      <c r="B348" s="66"/>
      <c r="C348" s="419"/>
    </row>
    <row r="349" spans="1:3" x14ac:dyDescent="0.15">
      <c r="A349" s="66"/>
      <c r="B349" s="66"/>
      <c r="C349" s="419"/>
    </row>
    <row r="350" spans="1:3" x14ac:dyDescent="0.15">
      <c r="A350" s="66"/>
      <c r="B350" s="66"/>
      <c r="C350" s="419"/>
    </row>
    <row r="351" spans="1:3" x14ac:dyDescent="0.15">
      <c r="A351" s="66"/>
      <c r="B351" s="66"/>
      <c r="C351" s="419"/>
    </row>
    <row r="352" spans="1:3" x14ac:dyDescent="0.15">
      <c r="A352" s="66"/>
      <c r="B352" s="66"/>
      <c r="C352" s="419"/>
    </row>
    <row r="353" spans="1:3" x14ac:dyDescent="0.15">
      <c r="A353" s="66"/>
      <c r="B353" s="66"/>
      <c r="C353" s="419"/>
    </row>
    <row r="354" spans="1:3" x14ac:dyDescent="0.15">
      <c r="A354" s="66"/>
      <c r="B354" s="66"/>
      <c r="C354" s="419"/>
    </row>
    <row r="355" spans="1:3" x14ac:dyDescent="0.15">
      <c r="A355" s="66"/>
      <c r="B355" s="66"/>
      <c r="C355" s="419"/>
    </row>
    <row r="356" spans="1:3" x14ac:dyDescent="0.15">
      <c r="A356" s="66"/>
      <c r="B356" s="66"/>
      <c r="C356" s="419"/>
    </row>
    <row r="357" spans="1:3" x14ac:dyDescent="0.15">
      <c r="A357" s="66"/>
      <c r="B357" s="66"/>
      <c r="C357" s="419"/>
    </row>
    <row r="358" spans="1:3" x14ac:dyDescent="0.15">
      <c r="A358" s="66"/>
      <c r="B358" s="66"/>
      <c r="C358" s="419"/>
    </row>
    <row r="359" spans="1:3" x14ac:dyDescent="0.15">
      <c r="A359" s="66"/>
      <c r="B359" s="66"/>
      <c r="C359" s="419"/>
    </row>
    <row r="360" spans="1:3" x14ac:dyDescent="0.15">
      <c r="A360" s="66"/>
      <c r="B360" s="66"/>
      <c r="C360" s="419"/>
    </row>
    <row r="361" spans="1:3" x14ac:dyDescent="0.15">
      <c r="A361" s="66"/>
      <c r="B361" s="66"/>
      <c r="C361" s="419"/>
    </row>
    <row r="362" spans="1:3" x14ac:dyDescent="0.15">
      <c r="A362" s="66"/>
      <c r="B362" s="66"/>
      <c r="C362" s="419"/>
    </row>
    <row r="363" spans="1:3" x14ac:dyDescent="0.15">
      <c r="A363" s="66"/>
      <c r="B363" s="66"/>
      <c r="C363" s="419"/>
    </row>
    <row r="364" spans="1:3" x14ac:dyDescent="0.15">
      <c r="A364" s="66"/>
      <c r="B364" s="66"/>
      <c r="C364" s="419"/>
    </row>
    <row r="365" spans="1:3" x14ac:dyDescent="0.15">
      <c r="A365" s="66"/>
      <c r="B365" s="66"/>
      <c r="C365" s="419"/>
    </row>
    <row r="366" spans="1:3" x14ac:dyDescent="0.15">
      <c r="A366" s="66"/>
      <c r="B366" s="66"/>
      <c r="C366" s="419"/>
    </row>
    <row r="367" spans="1:3" x14ac:dyDescent="0.15">
      <c r="A367" s="66"/>
      <c r="B367" s="66"/>
      <c r="C367" s="419"/>
    </row>
    <row r="368" spans="1:3" x14ac:dyDescent="0.15">
      <c r="A368" s="66"/>
      <c r="B368" s="66"/>
      <c r="C368" s="419"/>
    </row>
    <row r="369" spans="1:3" x14ac:dyDescent="0.15">
      <c r="A369" s="66"/>
      <c r="B369" s="66"/>
      <c r="C369" s="419"/>
    </row>
    <row r="370" spans="1:3" x14ac:dyDescent="0.15">
      <c r="A370" s="66"/>
      <c r="B370" s="66"/>
      <c r="C370" s="419"/>
    </row>
    <row r="371" spans="1:3" x14ac:dyDescent="0.15">
      <c r="A371" s="66"/>
      <c r="B371" s="66"/>
      <c r="C371" s="419"/>
    </row>
    <row r="372" spans="1:3" x14ac:dyDescent="0.15">
      <c r="A372" s="66"/>
      <c r="B372" s="66"/>
      <c r="C372" s="419"/>
    </row>
    <row r="373" spans="1:3" x14ac:dyDescent="0.15">
      <c r="A373" s="66"/>
      <c r="B373" s="66"/>
      <c r="C373" s="419"/>
    </row>
    <row r="374" spans="1:3" x14ac:dyDescent="0.15">
      <c r="A374" s="66"/>
      <c r="B374" s="66"/>
      <c r="C374" s="419"/>
    </row>
    <row r="375" spans="1:3" x14ac:dyDescent="0.15">
      <c r="A375" s="66"/>
      <c r="B375" s="66"/>
      <c r="C375" s="419"/>
    </row>
    <row r="376" spans="1:3" x14ac:dyDescent="0.15">
      <c r="A376" s="66"/>
      <c r="B376" s="66"/>
      <c r="C376" s="419"/>
    </row>
    <row r="377" spans="1:3" x14ac:dyDescent="0.15">
      <c r="A377" s="66"/>
      <c r="B377" s="66"/>
      <c r="C377" s="419"/>
    </row>
    <row r="378" spans="1:3" x14ac:dyDescent="0.15">
      <c r="A378" s="66"/>
      <c r="B378" s="66"/>
      <c r="C378" s="419"/>
    </row>
    <row r="379" spans="1:3" x14ac:dyDescent="0.15">
      <c r="A379" s="66"/>
      <c r="B379" s="66"/>
      <c r="C379" s="419"/>
    </row>
    <row r="380" spans="1:3" x14ac:dyDescent="0.15">
      <c r="A380" s="66"/>
      <c r="B380" s="66"/>
      <c r="C380" s="419"/>
    </row>
    <row r="381" spans="1:3" x14ac:dyDescent="0.15">
      <c r="A381" s="66"/>
      <c r="B381" s="66"/>
      <c r="C381" s="419"/>
    </row>
    <row r="382" spans="1:3" x14ac:dyDescent="0.15">
      <c r="A382" s="66"/>
      <c r="B382" s="66"/>
      <c r="C382" s="419"/>
    </row>
    <row r="383" spans="1:3" x14ac:dyDescent="0.15">
      <c r="A383" s="66"/>
      <c r="B383" s="66"/>
      <c r="C383" s="419"/>
    </row>
    <row r="384" spans="1:3" x14ac:dyDescent="0.15">
      <c r="A384" s="66"/>
      <c r="B384" s="66"/>
      <c r="C384" s="419"/>
    </row>
    <row r="385" spans="1:3" x14ac:dyDescent="0.15">
      <c r="A385" s="66"/>
      <c r="B385" s="66"/>
      <c r="C385" s="419"/>
    </row>
    <row r="386" spans="1:3" x14ac:dyDescent="0.15">
      <c r="A386" s="66"/>
      <c r="B386" s="66"/>
      <c r="C386" s="419"/>
    </row>
    <row r="387" spans="1:3" x14ac:dyDescent="0.15">
      <c r="A387" s="66"/>
      <c r="B387" s="66"/>
      <c r="C387" s="419"/>
    </row>
    <row r="388" spans="1:3" x14ac:dyDescent="0.15">
      <c r="A388" s="66"/>
      <c r="B388" s="66"/>
      <c r="C388" s="419"/>
    </row>
    <row r="389" spans="1:3" x14ac:dyDescent="0.15">
      <c r="A389" s="66"/>
      <c r="B389" s="66"/>
      <c r="C389" s="419"/>
    </row>
    <row r="390" spans="1:3" x14ac:dyDescent="0.15">
      <c r="A390" s="66"/>
      <c r="B390" s="66"/>
      <c r="C390" s="419"/>
    </row>
    <row r="391" spans="1:3" x14ac:dyDescent="0.15">
      <c r="A391" s="66"/>
      <c r="B391" s="66"/>
      <c r="C391" s="419"/>
    </row>
    <row r="392" spans="1:3" x14ac:dyDescent="0.15">
      <c r="A392" s="66"/>
      <c r="B392" s="66"/>
      <c r="C392" s="419"/>
    </row>
    <row r="393" spans="1:3" x14ac:dyDescent="0.15">
      <c r="A393" s="66"/>
      <c r="B393" s="66"/>
      <c r="C393" s="419"/>
    </row>
    <row r="394" spans="1:3" x14ac:dyDescent="0.15">
      <c r="A394" s="66"/>
      <c r="B394" s="66"/>
      <c r="C394" s="419"/>
    </row>
    <row r="395" spans="1:3" x14ac:dyDescent="0.15">
      <c r="A395" s="66"/>
      <c r="B395" s="66"/>
      <c r="C395" s="419"/>
    </row>
    <row r="396" spans="1:3" x14ac:dyDescent="0.15">
      <c r="A396" s="66"/>
      <c r="B396" s="66"/>
      <c r="C396" s="419"/>
    </row>
    <row r="397" spans="1:3" x14ac:dyDescent="0.15">
      <c r="A397" s="66"/>
      <c r="B397" s="66"/>
      <c r="C397" s="419"/>
    </row>
    <row r="398" spans="1:3" x14ac:dyDescent="0.15">
      <c r="A398" s="66"/>
      <c r="B398" s="66"/>
      <c r="C398" s="419"/>
    </row>
    <row r="399" spans="1:3" x14ac:dyDescent="0.15">
      <c r="A399" s="66"/>
      <c r="B399" s="66"/>
      <c r="C399" s="419"/>
    </row>
    <row r="400" spans="1:3" x14ac:dyDescent="0.15">
      <c r="A400" s="66"/>
      <c r="B400" s="66"/>
      <c r="C400" s="419"/>
    </row>
    <row r="401" spans="1:3" x14ac:dyDescent="0.15">
      <c r="A401" s="66"/>
      <c r="B401" s="66"/>
      <c r="C401" s="419"/>
    </row>
    <row r="402" spans="1:3" x14ac:dyDescent="0.15">
      <c r="A402" s="66"/>
      <c r="B402" s="66"/>
      <c r="C402" s="419"/>
    </row>
    <row r="403" spans="1:3" x14ac:dyDescent="0.15">
      <c r="A403" s="66"/>
      <c r="B403" s="66"/>
      <c r="C403" s="419"/>
    </row>
    <row r="404" spans="1:3" x14ac:dyDescent="0.15">
      <c r="A404" s="66"/>
      <c r="B404" s="66"/>
      <c r="C404" s="419"/>
    </row>
    <row r="405" spans="1:3" x14ac:dyDescent="0.15">
      <c r="A405" s="66"/>
      <c r="B405" s="66"/>
      <c r="C405" s="419"/>
    </row>
    <row r="406" spans="1:3" x14ac:dyDescent="0.15">
      <c r="A406" s="66"/>
      <c r="B406" s="66"/>
      <c r="C406" s="419"/>
    </row>
    <row r="407" spans="1:3" x14ac:dyDescent="0.15">
      <c r="A407" s="66"/>
      <c r="B407" s="66"/>
      <c r="C407" s="419"/>
    </row>
    <row r="408" spans="1:3" x14ac:dyDescent="0.15">
      <c r="A408" s="66"/>
      <c r="B408" s="66"/>
      <c r="C408" s="419"/>
    </row>
    <row r="409" spans="1:3" x14ac:dyDescent="0.15">
      <c r="A409" s="66"/>
      <c r="B409" s="66"/>
      <c r="C409" s="419"/>
    </row>
    <row r="410" spans="1:3" x14ac:dyDescent="0.15">
      <c r="A410" s="66"/>
      <c r="B410" s="66"/>
      <c r="C410" s="419"/>
    </row>
    <row r="411" spans="1:3" x14ac:dyDescent="0.15">
      <c r="A411" s="66"/>
      <c r="B411" s="66"/>
      <c r="C411" s="419"/>
    </row>
    <row r="412" spans="1:3" x14ac:dyDescent="0.15">
      <c r="A412" s="66"/>
      <c r="B412" s="66"/>
      <c r="C412" s="419"/>
    </row>
    <row r="413" spans="1:3" x14ac:dyDescent="0.15">
      <c r="A413" s="66"/>
      <c r="B413" s="66"/>
      <c r="C413" s="419"/>
    </row>
    <row r="414" spans="1:3" x14ac:dyDescent="0.15">
      <c r="A414" s="66"/>
      <c r="B414" s="66"/>
      <c r="C414" s="419"/>
    </row>
    <row r="415" spans="1:3" x14ac:dyDescent="0.15">
      <c r="A415" s="66"/>
      <c r="B415" s="66"/>
      <c r="C415" s="419"/>
    </row>
    <row r="416" spans="1:3" x14ac:dyDescent="0.15">
      <c r="A416" s="66"/>
      <c r="B416" s="66"/>
      <c r="C416" s="419"/>
    </row>
    <row r="417" spans="1:3" x14ac:dyDescent="0.15">
      <c r="A417" s="66"/>
      <c r="B417" s="66"/>
      <c r="C417" s="419"/>
    </row>
    <row r="418" spans="1:3" x14ac:dyDescent="0.15">
      <c r="A418" s="66"/>
      <c r="B418" s="66"/>
      <c r="C418" s="419"/>
    </row>
    <row r="419" spans="1:3" x14ac:dyDescent="0.15">
      <c r="A419" s="66"/>
      <c r="B419" s="66"/>
      <c r="C419" s="419"/>
    </row>
    <row r="420" spans="1:3" x14ac:dyDescent="0.15">
      <c r="A420" s="66"/>
      <c r="B420" s="66"/>
      <c r="C420" s="419"/>
    </row>
    <row r="421" spans="1:3" x14ac:dyDescent="0.15">
      <c r="A421" s="66"/>
      <c r="B421" s="66"/>
      <c r="C421" s="419"/>
    </row>
    <row r="422" spans="1:3" x14ac:dyDescent="0.15">
      <c r="A422" s="66"/>
      <c r="B422" s="66"/>
      <c r="C422" s="419"/>
    </row>
    <row r="423" spans="1:3" x14ac:dyDescent="0.15">
      <c r="A423" s="66"/>
      <c r="B423" s="66"/>
      <c r="C423" s="419"/>
    </row>
    <row r="424" spans="1:3" x14ac:dyDescent="0.15">
      <c r="A424" s="66"/>
      <c r="B424" s="66"/>
      <c r="C424" s="419"/>
    </row>
    <row r="425" spans="1:3" x14ac:dyDescent="0.15">
      <c r="A425" s="66"/>
      <c r="B425" s="66"/>
      <c r="C425" s="419"/>
    </row>
    <row r="426" spans="1:3" x14ac:dyDescent="0.15">
      <c r="A426" s="66"/>
      <c r="B426" s="66"/>
      <c r="C426" s="419"/>
    </row>
    <row r="427" spans="1:3" x14ac:dyDescent="0.15">
      <c r="A427" s="66"/>
      <c r="B427" s="66"/>
      <c r="C427" s="419"/>
    </row>
    <row r="428" spans="1:3" x14ac:dyDescent="0.15">
      <c r="A428" s="66"/>
      <c r="B428" s="66"/>
      <c r="C428" s="419"/>
    </row>
    <row r="429" spans="1:3" x14ac:dyDescent="0.15">
      <c r="A429" s="66"/>
      <c r="B429" s="66"/>
      <c r="C429" s="419"/>
    </row>
    <row r="430" spans="1:3" x14ac:dyDescent="0.15">
      <c r="A430" s="66"/>
      <c r="B430" s="66"/>
      <c r="C430" s="419"/>
    </row>
    <row r="431" spans="1:3" x14ac:dyDescent="0.15">
      <c r="A431" s="66"/>
      <c r="B431" s="66"/>
      <c r="C431" s="419"/>
    </row>
    <row r="432" spans="1:3" x14ac:dyDescent="0.15">
      <c r="A432" s="66"/>
      <c r="B432" s="66"/>
      <c r="C432" s="419"/>
    </row>
    <row r="433" spans="1:3" x14ac:dyDescent="0.15">
      <c r="A433" s="66"/>
      <c r="B433" s="66"/>
      <c r="C433" s="419"/>
    </row>
    <row r="434" spans="1:3" x14ac:dyDescent="0.15">
      <c r="A434" s="66"/>
      <c r="B434" s="66"/>
      <c r="C434" s="419"/>
    </row>
    <row r="435" spans="1:3" x14ac:dyDescent="0.15">
      <c r="A435" s="66"/>
      <c r="B435" s="66"/>
      <c r="C435" s="419"/>
    </row>
    <row r="436" spans="1:3" x14ac:dyDescent="0.15">
      <c r="A436" s="66"/>
      <c r="B436" s="66"/>
      <c r="C436" s="419"/>
    </row>
    <row r="437" spans="1:3" x14ac:dyDescent="0.15">
      <c r="A437" s="66"/>
      <c r="B437" s="66"/>
      <c r="C437" s="419"/>
    </row>
    <row r="438" spans="1:3" x14ac:dyDescent="0.15">
      <c r="A438" s="66"/>
      <c r="B438" s="66"/>
      <c r="C438" s="419"/>
    </row>
    <row r="439" spans="1:3" x14ac:dyDescent="0.15">
      <c r="A439" s="66"/>
      <c r="B439" s="66"/>
      <c r="C439" s="419"/>
    </row>
    <row r="440" spans="1:3" x14ac:dyDescent="0.15">
      <c r="A440" s="66"/>
      <c r="B440" s="66"/>
      <c r="C440" s="419"/>
    </row>
    <row r="441" spans="1:3" x14ac:dyDescent="0.15">
      <c r="A441" s="66"/>
      <c r="B441" s="66"/>
      <c r="C441" s="419"/>
    </row>
    <row r="442" spans="1:3" x14ac:dyDescent="0.15">
      <c r="A442" s="66"/>
      <c r="B442" s="66"/>
      <c r="C442" s="419"/>
    </row>
    <row r="443" spans="1:3" x14ac:dyDescent="0.15">
      <c r="A443" s="66"/>
      <c r="B443" s="66"/>
      <c r="C443" s="419"/>
    </row>
    <row r="444" spans="1:3" x14ac:dyDescent="0.15">
      <c r="A444" s="66"/>
      <c r="B444" s="66"/>
      <c r="C444" s="419"/>
    </row>
    <row r="445" spans="1:3" x14ac:dyDescent="0.15">
      <c r="A445" s="66"/>
      <c r="B445" s="66"/>
      <c r="C445" s="419"/>
    </row>
    <row r="446" spans="1:3" x14ac:dyDescent="0.15">
      <c r="A446" s="66"/>
      <c r="B446" s="66"/>
      <c r="C446" s="419"/>
    </row>
    <row r="447" spans="1:3" x14ac:dyDescent="0.15">
      <c r="A447" s="66"/>
      <c r="B447" s="66"/>
      <c r="C447" s="419"/>
    </row>
    <row r="448" spans="1:3" x14ac:dyDescent="0.15">
      <c r="A448" s="66"/>
      <c r="B448" s="66"/>
      <c r="C448" s="419"/>
    </row>
    <row r="449" spans="1:3" x14ac:dyDescent="0.15">
      <c r="A449" s="66"/>
      <c r="B449" s="66"/>
      <c r="C449" s="419"/>
    </row>
    <row r="450" spans="1:3" x14ac:dyDescent="0.15">
      <c r="A450" s="66"/>
      <c r="B450" s="66"/>
      <c r="C450" s="419"/>
    </row>
    <row r="451" spans="1:3" x14ac:dyDescent="0.15">
      <c r="A451" s="66"/>
      <c r="B451" s="66"/>
      <c r="C451" s="419"/>
    </row>
    <row r="452" spans="1:3" x14ac:dyDescent="0.15">
      <c r="A452" s="66"/>
      <c r="B452" s="66"/>
      <c r="C452" s="419"/>
    </row>
    <row r="453" spans="1:3" x14ac:dyDescent="0.15">
      <c r="A453" s="66"/>
      <c r="B453" s="66"/>
      <c r="C453" s="419"/>
    </row>
    <row r="454" spans="1:3" x14ac:dyDescent="0.15">
      <c r="A454" s="66"/>
      <c r="B454" s="66"/>
      <c r="C454" s="419"/>
    </row>
    <row r="455" spans="1:3" x14ac:dyDescent="0.15">
      <c r="A455" s="66"/>
      <c r="B455" s="66"/>
      <c r="C455" s="419"/>
    </row>
    <row r="456" spans="1:3" x14ac:dyDescent="0.15">
      <c r="A456" s="66"/>
      <c r="B456" s="66"/>
      <c r="C456" s="419"/>
    </row>
    <row r="457" spans="1:3" x14ac:dyDescent="0.15">
      <c r="A457" s="66"/>
      <c r="B457" s="66"/>
      <c r="C457" s="419"/>
    </row>
    <row r="458" spans="1:3" x14ac:dyDescent="0.15">
      <c r="A458" s="66"/>
      <c r="B458" s="66"/>
      <c r="C458" s="419"/>
    </row>
    <row r="459" spans="1:3" x14ac:dyDescent="0.15">
      <c r="A459" s="66"/>
      <c r="B459" s="66"/>
      <c r="C459" s="419"/>
    </row>
    <row r="460" spans="1:3" x14ac:dyDescent="0.15">
      <c r="A460" s="66"/>
      <c r="B460" s="66"/>
      <c r="C460" s="419"/>
    </row>
    <row r="461" spans="1:3" x14ac:dyDescent="0.15">
      <c r="A461" s="66"/>
      <c r="B461" s="66"/>
      <c r="C461" s="419"/>
    </row>
    <row r="462" spans="1:3" x14ac:dyDescent="0.15">
      <c r="A462" s="66"/>
      <c r="B462" s="66"/>
      <c r="C462" s="419"/>
    </row>
    <row r="463" spans="1:3" x14ac:dyDescent="0.15">
      <c r="A463" s="66"/>
      <c r="B463" s="66"/>
      <c r="C463" s="419"/>
    </row>
    <row r="464" spans="1:3" x14ac:dyDescent="0.15">
      <c r="A464" s="66"/>
      <c r="B464" s="66"/>
      <c r="C464" s="419"/>
    </row>
    <row r="465" spans="1:3" x14ac:dyDescent="0.15">
      <c r="A465" s="66"/>
      <c r="B465" s="66"/>
      <c r="C465" s="419"/>
    </row>
    <row r="466" spans="1:3" x14ac:dyDescent="0.15">
      <c r="A466" s="66"/>
      <c r="B466" s="66"/>
      <c r="C466" s="419"/>
    </row>
    <row r="467" spans="1:3" x14ac:dyDescent="0.15">
      <c r="A467" s="66"/>
      <c r="B467" s="66"/>
      <c r="C467" s="419"/>
    </row>
    <row r="468" spans="1:3" x14ac:dyDescent="0.15">
      <c r="A468" s="66"/>
      <c r="B468" s="66"/>
      <c r="C468" s="419"/>
    </row>
    <row r="469" spans="1:3" x14ac:dyDescent="0.15">
      <c r="A469" s="66"/>
      <c r="B469" s="66"/>
      <c r="C469" s="419"/>
    </row>
    <row r="470" spans="1:3" x14ac:dyDescent="0.15">
      <c r="A470" s="66"/>
      <c r="B470" s="66"/>
      <c r="C470" s="419"/>
    </row>
    <row r="471" spans="1:3" x14ac:dyDescent="0.15">
      <c r="A471" s="66"/>
      <c r="B471" s="66"/>
      <c r="C471" s="419"/>
    </row>
    <row r="472" spans="1:3" x14ac:dyDescent="0.15">
      <c r="A472" s="66"/>
      <c r="B472" s="66"/>
      <c r="C472" s="419"/>
    </row>
    <row r="473" spans="1:3" x14ac:dyDescent="0.15">
      <c r="A473" s="66"/>
      <c r="B473" s="66"/>
      <c r="C473" s="419"/>
    </row>
    <row r="474" spans="1:3" x14ac:dyDescent="0.15">
      <c r="A474" s="66"/>
      <c r="B474" s="66"/>
      <c r="C474" s="419"/>
    </row>
    <row r="475" spans="1:3" x14ac:dyDescent="0.15">
      <c r="A475" s="66"/>
      <c r="B475" s="66"/>
      <c r="C475" s="419"/>
    </row>
    <row r="476" spans="1:3" x14ac:dyDescent="0.15">
      <c r="A476" s="66"/>
      <c r="B476" s="66"/>
      <c r="C476" s="419"/>
    </row>
    <row r="477" spans="1:3" x14ac:dyDescent="0.15">
      <c r="A477" s="66"/>
      <c r="B477" s="66"/>
      <c r="C477" s="419"/>
    </row>
    <row r="478" spans="1:3" x14ac:dyDescent="0.15">
      <c r="A478" s="66"/>
      <c r="B478" s="66"/>
      <c r="C478" s="419"/>
    </row>
    <row r="479" spans="1:3" x14ac:dyDescent="0.15">
      <c r="A479" s="66"/>
      <c r="B479" s="66"/>
      <c r="C479" s="419"/>
    </row>
    <row r="480" spans="1:3" x14ac:dyDescent="0.15">
      <c r="A480" s="66"/>
      <c r="B480" s="66"/>
      <c r="C480" s="419"/>
    </row>
    <row r="481" spans="1:3" x14ac:dyDescent="0.15">
      <c r="A481" s="66"/>
      <c r="B481" s="66"/>
      <c r="C481" s="419"/>
    </row>
    <row r="482" spans="1:3" x14ac:dyDescent="0.15">
      <c r="A482" s="66"/>
      <c r="B482" s="66"/>
      <c r="C482" s="419"/>
    </row>
    <row r="483" spans="1:3" x14ac:dyDescent="0.15">
      <c r="A483" s="66"/>
      <c r="B483" s="66"/>
      <c r="C483" s="419"/>
    </row>
    <row r="484" spans="1:3" x14ac:dyDescent="0.15">
      <c r="A484" s="66"/>
      <c r="B484" s="66"/>
      <c r="C484" s="419"/>
    </row>
    <row r="485" spans="1:3" x14ac:dyDescent="0.15">
      <c r="A485" s="66"/>
      <c r="B485" s="66"/>
      <c r="C485" s="419"/>
    </row>
    <row r="486" spans="1:3" x14ac:dyDescent="0.15">
      <c r="A486" s="66"/>
      <c r="B486" s="66"/>
      <c r="C486" s="419"/>
    </row>
    <row r="487" spans="1:3" x14ac:dyDescent="0.15">
      <c r="A487" s="66"/>
      <c r="B487" s="66"/>
      <c r="C487" s="419"/>
    </row>
    <row r="488" spans="1:3" x14ac:dyDescent="0.15">
      <c r="A488" s="66"/>
      <c r="B488" s="66"/>
      <c r="C488" s="419"/>
    </row>
    <row r="489" spans="1:3" x14ac:dyDescent="0.15">
      <c r="A489" s="66"/>
      <c r="B489" s="66"/>
      <c r="C489" s="419"/>
    </row>
    <row r="490" spans="1:3" x14ac:dyDescent="0.15">
      <c r="A490" s="66"/>
      <c r="B490" s="66"/>
      <c r="C490" s="419"/>
    </row>
    <row r="491" spans="1:3" x14ac:dyDescent="0.15">
      <c r="A491" s="66"/>
      <c r="B491" s="66"/>
      <c r="C491" s="419"/>
    </row>
    <row r="492" spans="1:3" x14ac:dyDescent="0.15">
      <c r="A492" s="66"/>
      <c r="B492" s="66"/>
      <c r="C492" s="419"/>
    </row>
    <row r="493" spans="1:3" x14ac:dyDescent="0.15">
      <c r="A493" s="66"/>
      <c r="B493" s="66"/>
      <c r="C493" s="419"/>
    </row>
    <row r="494" spans="1:3" x14ac:dyDescent="0.15">
      <c r="A494" s="66"/>
      <c r="B494" s="66"/>
      <c r="C494" s="419"/>
    </row>
    <row r="495" spans="1:3" x14ac:dyDescent="0.15">
      <c r="A495" s="66"/>
      <c r="B495" s="66"/>
      <c r="C495" s="419"/>
    </row>
    <row r="496" spans="1:3" x14ac:dyDescent="0.15">
      <c r="A496" s="66"/>
      <c r="B496" s="66"/>
      <c r="C496" s="419"/>
    </row>
    <row r="497" spans="1:3" x14ac:dyDescent="0.15">
      <c r="A497" s="66"/>
      <c r="B497" s="66"/>
      <c r="C497" s="419"/>
    </row>
    <row r="498" spans="1:3" x14ac:dyDescent="0.15">
      <c r="A498" s="66"/>
      <c r="B498" s="66"/>
      <c r="C498" s="419"/>
    </row>
    <row r="499" spans="1:3" x14ac:dyDescent="0.15">
      <c r="A499" s="66"/>
      <c r="B499" s="66"/>
      <c r="C499" s="419"/>
    </row>
    <row r="500" spans="1:3" x14ac:dyDescent="0.15">
      <c r="A500" s="66"/>
      <c r="B500" s="66"/>
      <c r="C500" s="419"/>
    </row>
    <row r="501" spans="1:3" x14ac:dyDescent="0.15">
      <c r="A501" s="66"/>
      <c r="B501" s="66"/>
      <c r="C501" s="419"/>
    </row>
    <row r="502" spans="1:3" x14ac:dyDescent="0.15">
      <c r="A502" s="66"/>
      <c r="B502" s="66"/>
      <c r="C502" s="419"/>
    </row>
    <row r="503" spans="1:3" x14ac:dyDescent="0.15">
      <c r="A503" s="66"/>
      <c r="B503" s="66"/>
      <c r="C503" s="419"/>
    </row>
    <row r="504" spans="1:3" x14ac:dyDescent="0.15">
      <c r="A504" s="66"/>
      <c r="B504" s="66"/>
      <c r="C504" s="419"/>
    </row>
    <row r="505" spans="1:3" x14ac:dyDescent="0.15">
      <c r="A505" s="66"/>
      <c r="B505" s="66"/>
      <c r="C505" s="419"/>
    </row>
    <row r="506" spans="1:3" x14ac:dyDescent="0.15">
      <c r="A506" s="66"/>
      <c r="B506" s="66"/>
      <c r="C506" s="419"/>
    </row>
    <row r="507" spans="1:3" x14ac:dyDescent="0.15">
      <c r="A507" s="66"/>
      <c r="B507" s="66"/>
      <c r="C507" s="419"/>
    </row>
    <row r="508" spans="1:3" x14ac:dyDescent="0.15">
      <c r="A508" s="66"/>
      <c r="B508" s="66"/>
      <c r="C508" s="419"/>
    </row>
    <row r="509" spans="1:3" x14ac:dyDescent="0.15">
      <c r="A509" s="66"/>
      <c r="B509" s="66"/>
      <c r="C509" s="419"/>
    </row>
    <row r="510" spans="1:3" x14ac:dyDescent="0.15">
      <c r="A510" s="66"/>
      <c r="B510" s="66"/>
      <c r="C510" s="419"/>
    </row>
    <row r="511" spans="1:3" x14ac:dyDescent="0.15">
      <c r="A511" s="66"/>
      <c r="B511" s="66"/>
      <c r="C511" s="419"/>
    </row>
    <row r="512" spans="1:3" x14ac:dyDescent="0.15">
      <c r="A512" s="66"/>
      <c r="B512" s="66"/>
      <c r="C512" s="419"/>
    </row>
    <row r="513" spans="1:3" x14ac:dyDescent="0.15">
      <c r="A513" s="66"/>
      <c r="B513" s="66"/>
      <c r="C513" s="419"/>
    </row>
    <row r="514" spans="1:3" x14ac:dyDescent="0.15">
      <c r="A514" s="66"/>
      <c r="B514" s="66"/>
      <c r="C514" s="419"/>
    </row>
    <row r="515" spans="1:3" x14ac:dyDescent="0.15">
      <c r="A515" s="66"/>
      <c r="B515" s="66"/>
      <c r="C515" s="419"/>
    </row>
    <row r="516" spans="1:3" x14ac:dyDescent="0.15">
      <c r="A516" s="66"/>
      <c r="B516" s="66"/>
      <c r="C516" s="419"/>
    </row>
    <row r="517" spans="1:3" x14ac:dyDescent="0.15">
      <c r="A517" s="66"/>
      <c r="B517" s="66"/>
      <c r="C517" s="419"/>
    </row>
    <row r="518" spans="1:3" x14ac:dyDescent="0.15">
      <c r="A518" s="66"/>
      <c r="B518" s="66"/>
      <c r="C518" s="419"/>
    </row>
    <row r="519" spans="1:3" x14ac:dyDescent="0.15">
      <c r="A519" s="66"/>
      <c r="B519" s="66"/>
      <c r="C519" s="419"/>
    </row>
    <row r="520" spans="1:3" x14ac:dyDescent="0.15">
      <c r="A520" s="66"/>
      <c r="B520" s="66"/>
      <c r="C520" s="419"/>
    </row>
    <row r="521" spans="1:3" x14ac:dyDescent="0.15">
      <c r="A521" s="66"/>
      <c r="B521" s="66"/>
      <c r="C521" s="419"/>
    </row>
    <row r="522" spans="1:3" x14ac:dyDescent="0.15">
      <c r="A522" s="66"/>
      <c r="B522" s="66"/>
      <c r="C522" s="419"/>
    </row>
    <row r="523" spans="1:3" x14ac:dyDescent="0.15">
      <c r="A523" s="66"/>
      <c r="B523" s="66"/>
      <c r="C523" s="419"/>
    </row>
    <row r="524" spans="1:3" x14ac:dyDescent="0.15">
      <c r="A524" s="66"/>
      <c r="B524" s="66"/>
      <c r="C524" s="419"/>
    </row>
    <row r="525" spans="1:3" x14ac:dyDescent="0.15">
      <c r="A525" s="66"/>
      <c r="B525" s="66"/>
      <c r="C525" s="419"/>
    </row>
    <row r="526" spans="1:3" x14ac:dyDescent="0.15">
      <c r="A526" s="66"/>
      <c r="B526" s="66"/>
      <c r="C526" s="419"/>
    </row>
    <row r="527" spans="1:3" x14ac:dyDescent="0.15">
      <c r="A527" s="66"/>
      <c r="B527" s="66"/>
      <c r="C527" s="419"/>
    </row>
    <row r="528" spans="1:3" x14ac:dyDescent="0.15">
      <c r="A528" s="66"/>
      <c r="B528" s="66"/>
      <c r="C528" s="419"/>
    </row>
    <row r="529" spans="1:3" x14ac:dyDescent="0.15">
      <c r="A529" s="66"/>
      <c r="B529" s="66"/>
      <c r="C529" s="419"/>
    </row>
    <row r="530" spans="1:3" x14ac:dyDescent="0.15">
      <c r="A530" s="66"/>
      <c r="B530" s="66"/>
      <c r="C530" s="419"/>
    </row>
    <row r="531" spans="1:3" x14ac:dyDescent="0.15">
      <c r="A531" s="66"/>
      <c r="B531" s="66"/>
      <c r="C531" s="419"/>
    </row>
    <row r="532" spans="1:3" x14ac:dyDescent="0.15">
      <c r="A532" s="66"/>
      <c r="B532" s="66"/>
      <c r="C532" s="419"/>
    </row>
    <row r="533" spans="1:3" x14ac:dyDescent="0.15">
      <c r="A533" s="66"/>
      <c r="B533" s="66"/>
      <c r="C533" s="419"/>
    </row>
    <row r="534" spans="1:3" x14ac:dyDescent="0.15">
      <c r="A534" s="66"/>
      <c r="B534" s="66"/>
      <c r="C534" s="419"/>
    </row>
    <row r="535" spans="1:3" x14ac:dyDescent="0.15">
      <c r="A535" s="66"/>
      <c r="B535" s="66"/>
      <c r="C535" s="419"/>
    </row>
    <row r="536" spans="1:3" x14ac:dyDescent="0.15">
      <c r="A536" s="66"/>
      <c r="B536" s="66"/>
      <c r="C536" s="419"/>
    </row>
    <row r="537" spans="1:3" x14ac:dyDescent="0.15">
      <c r="A537" s="66"/>
      <c r="B537" s="66"/>
      <c r="C537" s="419"/>
    </row>
    <row r="538" spans="1:3" x14ac:dyDescent="0.15">
      <c r="A538" s="66"/>
      <c r="B538" s="66"/>
      <c r="C538" s="419"/>
    </row>
    <row r="539" spans="1:3" x14ac:dyDescent="0.15">
      <c r="A539" s="66"/>
      <c r="B539" s="66"/>
      <c r="C539" s="419"/>
    </row>
    <row r="540" spans="1:3" x14ac:dyDescent="0.15">
      <c r="A540" s="66"/>
      <c r="B540" s="66"/>
      <c r="C540" s="419"/>
    </row>
    <row r="541" spans="1:3" x14ac:dyDescent="0.15">
      <c r="A541" s="66"/>
      <c r="B541" s="66"/>
      <c r="C541" s="419"/>
    </row>
    <row r="542" spans="1:3" x14ac:dyDescent="0.15">
      <c r="A542" s="66"/>
      <c r="B542" s="66"/>
      <c r="C542" s="419"/>
    </row>
    <row r="543" spans="1:3" x14ac:dyDescent="0.15">
      <c r="A543" s="66"/>
      <c r="B543" s="66"/>
      <c r="C543" s="419"/>
    </row>
    <row r="544" spans="1:3" x14ac:dyDescent="0.15">
      <c r="A544" s="66"/>
      <c r="B544" s="66"/>
      <c r="C544" s="419"/>
    </row>
    <row r="545" spans="1:3" x14ac:dyDescent="0.15">
      <c r="A545" s="66"/>
      <c r="B545" s="66"/>
      <c r="C545" s="419"/>
    </row>
    <row r="546" spans="1:3" x14ac:dyDescent="0.15">
      <c r="A546" s="66"/>
      <c r="B546" s="66"/>
      <c r="C546" s="419"/>
    </row>
    <row r="547" spans="1:3" x14ac:dyDescent="0.15">
      <c r="A547" s="66"/>
      <c r="B547" s="66"/>
      <c r="C547" s="419"/>
    </row>
    <row r="548" spans="1:3" x14ac:dyDescent="0.15">
      <c r="A548" s="66"/>
      <c r="B548" s="66"/>
      <c r="C548" s="419"/>
    </row>
    <row r="549" spans="1:3" x14ac:dyDescent="0.15">
      <c r="A549" s="66"/>
      <c r="B549" s="66"/>
      <c r="C549" s="419"/>
    </row>
    <row r="550" spans="1:3" x14ac:dyDescent="0.15">
      <c r="A550" s="66"/>
      <c r="B550" s="66"/>
      <c r="C550" s="419"/>
    </row>
    <row r="551" spans="1:3" x14ac:dyDescent="0.15">
      <c r="A551" s="66"/>
      <c r="B551" s="66"/>
      <c r="C551" s="419"/>
    </row>
    <row r="552" spans="1:3" x14ac:dyDescent="0.15">
      <c r="A552" s="66"/>
      <c r="B552" s="66"/>
      <c r="C552" s="419"/>
    </row>
    <row r="553" spans="1:3" x14ac:dyDescent="0.15">
      <c r="A553" s="66"/>
      <c r="B553" s="66"/>
      <c r="C553" s="419"/>
    </row>
    <row r="554" spans="1:3" x14ac:dyDescent="0.15">
      <c r="A554" s="66"/>
      <c r="B554" s="66"/>
      <c r="C554" s="419"/>
    </row>
    <row r="555" spans="1:3" x14ac:dyDescent="0.15">
      <c r="A555" s="66"/>
      <c r="B555" s="66"/>
      <c r="C555" s="419"/>
    </row>
    <row r="556" spans="1:3" x14ac:dyDescent="0.15">
      <c r="A556" s="66"/>
      <c r="B556" s="66"/>
      <c r="C556" s="419"/>
    </row>
    <row r="557" spans="1:3" x14ac:dyDescent="0.15">
      <c r="A557" s="66"/>
      <c r="B557" s="66"/>
      <c r="C557" s="419"/>
    </row>
    <row r="558" spans="1:3" x14ac:dyDescent="0.15">
      <c r="A558" s="66"/>
      <c r="B558" s="66"/>
      <c r="C558" s="419"/>
    </row>
    <row r="559" spans="1:3" x14ac:dyDescent="0.15">
      <c r="A559" s="66"/>
      <c r="B559" s="66"/>
      <c r="C559" s="419"/>
    </row>
    <row r="560" spans="1:3" x14ac:dyDescent="0.15">
      <c r="A560" s="66"/>
      <c r="B560" s="66"/>
      <c r="C560" s="419"/>
    </row>
    <row r="561" spans="1:3" x14ac:dyDescent="0.15">
      <c r="A561" s="66"/>
      <c r="B561" s="66"/>
      <c r="C561" s="419"/>
    </row>
    <row r="562" spans="1:3" x14ac:dyDescent="0.15">
      <c r="A562" s="66"/>
      <c r="B562" s="66"/>
      <c r="C562" s="419"/>
    </row>
    <row r="563" spans="1:3" x14ac:dyDescent="0.15">
      <c r="A563" s="66"/>
      <c r="B563" s="66"/>
      <c r="C563" s="419"/>
    </row>
    <row r="564" spans="1:3" x14ac:dyDescent="0.15">
      <c r="A564" s="66"/>
      <c r="B564" s="66"/>
      <c r="C564" s="419"/>
    </row>
    <row r="565" spans="1:3" x14ac:dyDescent="0.15">
      <c r="A565" s="66"/>
      <c r="B565" s="66"/>
      <c r="C565" s="419"/>
    </row>
    <row r="566" spans="1:3" x14ac:dyDescent="0.15">
      <c r="A566" s="66"/>
      <c r="B566" s="66"/>
      <c r="C566" s="419"/>
    </row>
    <row r="567" spans="1:3" x14ac:dyDescent="0.15">
      <c r="A567" s="66"/>
      <c r="B567" s="66"/>
      <c r="C567" s="419"/>
    </row>
    <row r="568" spans="1:3" x14ac:dyDescent="0.15">
      <c r="A568" s="66"/>
      <c r="B568" s="66"/>
      <c r="C568" s="419"/>
    </row>
    <row r="569" spans="1:3" x14ac:dyDescent="0.15">
      <c r="A569" s="66"/>
      <c r="B569" s="66"/>
      <c r="C569" s="419"/>
    </row>
    <row r="570" spans="1:3" x14ac:dyDescent="0.15">
      <c r="A570" s="66"/>
      <c r="B570" s="66"/>
      <c r="C570" s="419"/>
    </row>
    <row r="571" spans="1:3" x14ac:dyDescent="0.15">
      <c r="A571" s="66"/>
      <c r="B571" s="66"/>
      <c r="C571" s="419"/>
    </row>
    <row r="572" spans="1:3" x14ac:dyDescent="0.15">
      <c r="A572" s="66"/>
      <c r="B572" s="66"/>
      <c r="C572" s="419"/>
    </row>
    <row r="573" spans="1:3" x14ac:dyDescent="0.15">
      <c r="A573" s="66"/>
      <c r="B573" s="66"/>
      <c r="C573" s="419"/>
    </row>
    <row r="574" spans="1:3" x14ac:dyDescent="0.15">
      <c r="A574" s="66"/>
      <c r="B574" s="66"/>
      <c r="C574" s="419"/>
    </row>
    <row r="575" spans="1:3" x14ac:dyDescent="0.15">
      <c r="A575" s="66"/>
      <c r="B575" s="66"/>
      <c r="C575" s="419"/>
    </row>
    <row r="576" spans="1:3" x14ac:dyDescent="0.15">
      <c r="A576" s="66"/>
      <c r="B576" s="66"/>
      <c r="C576" s="419"/>
    </row>
    <row r="577" spans="1:3" x14ac:dyDescent="0.15">
      <c r="A577" s="66"/>
      <c r="B577" s="66"/>
      <c r="C577" s="419"/>
    </row>
    <row r="578" spans="1:3" x14ac:dyDescent="0.15">
      <c r="A578" s="66"/>
      <c r="B578" s="66"/>
      <c r="C578" s="419"/>
    </row>
    <row r="579" spans="1:3" x14ac:dyDescent="0.15">
      <c r="A579" s="66"/>
      <c r="B579" s="66"/>
      <c r="C579" s="419"/>
    </row>
    <row r="580" spans="1:3" x14ac:dyDescent="0.15">
      <c r="A580" s="66"/>
      <c r="B580" s="66"/>
      <c r="C580" s="419"/>
    </row>
    <row r="581" spans="1:3" x14ac:dyDescent="0.15">
      <c r="A581" s="66"/>
      <c r="B581" s="66"/>
      <c r="C581" s="419"/>
    </row>
    <row r="582" spans="1:3" x14ac:dyDescent="0.15">
      <c r="A582" s="66"/>
      <c r="B582" s="66"/>
      <c r="C582" s="419"/>
    </row>
    <row r="583" spans="1:3" x14ac:dyDescent="0.15">
      <c r="A583" s="66"/>
      <c r="B583" s="66"/>
      <c r="C583" s="419"/>
    </row>
    <row r="584" spans="1:3" x14ac:dyDescent="0.15">
      <c r="A584" s="66"/>
      <c r="B584" s="66"/>
      <c r="C584" s="419"/>
    </row>
    <row r="585" spans="1:3" x14ac:dyDescent="0.15">
      <c r="A585" s="66"/>
      <c r="B585" s="66"/>
      <c r="C585" s="419"/>
    </row>
    <row r="586" spans="1:3" x14ac:dyDescent="0.15">
      <c r="A586" s="66"/>
      <c r="B586" s="66"/>
      <c r="C586" s="419"/>
    </row>
    <row r="587" spans="1:3" x14ac:dyDescent="0.15">
      <c r="A587" s="66"/>
      <c r="B587" s="66"/>
      <c r="C587" s="419"/>
    </row>
    <row r="588" spans="1:3" x14ac:dyDescent="0.15">
      <c r="A588" s="66"/>
      <c r="B588" s="66"/>
      <c r="C588" s="419"/>
    </row>
    <row r="589" spans="1:3" x14ac:dyDescent="0.15">
      <c r="A589" s="66"/>
      <c r="B589" s="66"/>
      <c r="C589" s="419"/>
    </row>
    <row r="590" spans="1:3" x14ac:dyDescent="0.15">
      <c r="A590" s="66"/>
      <c r="B590" s="66"/>
      <c r="C590" s="419"/>
    </row>
    <row r="591" spans="1:3" x14ac:dyDescent="0.15">
      <c r="A591" s="66"/>
      <c r="B591" s="66"/>
      <c r="C591" s="419"/>
    </row>
    <row r="592" spans="1:3" x14ac:dyDescent="0.15">
      <c r="A592" s="66"/>
      <c r="B592" s="66"/>
      <c r="C592" s="419"/>
    </row>
    <row r="593" spans="1:3" x14ac:dyDescent="0.15">
      <c r="A593" s="66"/>
      <c r="B593" s="66"/>
      <c r="C593" s="419"/>
    </row>
    <row r="594" spans="1:3" x14ac:dyDescent="0.15">
      <c r="A594" s="66"/>
      <c r="B594" s="66"/>
      <c r="C594" s="419"/>
    </row>
    <row r="595" spans="1:3" x14ac:dyDescent="0.15">
      <c r="A595" s="66"/>
      <c r="B595" s="66"/>
      <c r="C595" s="419"/>
    </row>
    <row r="596" spans="1:3" x14ac:dyDescent="0.15">
      <c r="A596" s="66"/>
      <c r="B596" s="66"/>
      <c r="C596" s="419"/>
    </row>
    <row r="597" spans="1:3" x14ac:dyDescent="0.15">
      <c r="A597" s="66"/>
      <c r="B597" s="66"/>
      <c r="C597" s="419"/>
    </row>
    <row r="598" spans="1:3" x14ac:dyDescent="0.15">
      <c r="A598" s="66"/>
      <c r="B598" s="66"/>
      <c r="C598" s="419"/>
    </row>
    <row r="599" spans="1:3" x14ac:dyDescent="0.15">
      <c r="A599" s="66"/>
      <c r="B599" s="66"/>
      <c r="C599" s="419"/>
    </row>
    <row r="600" spans="1:3" x14ac:dyDescent="0.15">
      <c r="A600" s="66"/>
      <c r="B600" s="66"/>
      <c r="C600" s="419"/>
    </row>
    <row r="601" spans="1:3" x14ac:dyDescent="0.15">
      <c r="A601" s="66"/>
      <c r="B601" s="66"/>
      <c r="C601" s="419"/>
    </row>
    <row r="602" spans="1:3" x14ac:dyDescent="0.15">
      <c r="A602" s="66"/>
      <c r="B602" s="66"/>
      <c r="C602" s="419"/>
    </row>
    <row r="603" spans="1:3" x14ac:dyDescent="0.15">
      <c r="A603" s="66"/>
      <c r="B603" s="66"/>
      <c r="C603" s="419"/>
    </row>
    <row r="604" spans="1:3" x14ac:dyDescent="0.15">
      <c r="A604" s="66"/>
      <c r="B604" s="66"/>
      <c r="C604" s="419"/>
    </row>
    <row r="605" spans="1:3" x14ac:dyDescent="0.15">
      <c r="A605" s="66"/>
      <c r="B605" s="66"/>
      <c r="C605" s="419"/>
    </row>
    <row r="606" spans="1:3" x14ac:dyDescent="0.15">
      <c r="A606" s="66"/>
      <c r="B606" s="66"/>
      <c r="C606" s="419"/>
    </row>
    <row r="607" spans="1:3" x14ac:dyDescent="0.15">
      <c r="A607" s="66"/>
      <c r="B607" s="66"/>
      <c r="C607" s="419"/>
    </row>
    <row r="608" spans="1:3" x14ac:dyDescent="0.15">
      <c r="A608" s="66"/>
      <c r="B608" s="66"/>
      <c r="C608" s="419"/>
    </row>
    <row r="609" spans="1:3" x14ac:dyDescent="0.15">
      <c r="A609" s="66"/>
      <c r="B609" s="66"/>
      <c r="C609" s="419"/>
    </row>
    <row r="610" spans="1:3" x14ac:dyDescent="0.15">
      <c r="A610" s="66"/>
      <c r="B610" s="66"/>
      <c r="C610" s="419"/>
    </row>
    <row r="611" spans="1:3" x14ac:dyDescent="0.15">
      <c r="A611" s="66"/>
      <c r="B611" s="66"/>
      <c r="C611" s="419"/>
    </row>
    <row r="612" spans="1:3" x14ac:dyDescent="0.15">
      <c r="A612" s="66"/>
      <c r="B612" s="66"/>
      <c r="C612" s="419"/>
    </row>
    <row r="613" spans="1:3" x14ac:dyDescent="0.15">
      <c r="A613" s="66"/>
      <c r="B613" s="66"/>
      <c r="C613" s="419"/>
    </row>
    <row r="614" spans="1:3" x14ac:dyDescent="0.15">
      <c r="A614" s="66"/>
      <c r="B614" s="66"/>
      <c r="C614" s="419"/>
    </row>
    <row r="615" spans="1:3" x14ac:dyDescent="0.15">
      <c r="A615" s="66"/>
      <c r="B615" s="66"/>
      <c r="C615" s="419"/>
    </row>
    <row r="616" spans="1:3" x14ac:dyDescent="0.15">
      <c r="A616" s="66"/>
      <c r="B616" s="66"/>
      <c r="C616" s="419"/>
    </row>
    <row r="617" spans="1:3" x14ac:dyDescent="0.15">
      <c r="A617" s="66"/>
      <c r="B617" s="66"/>
      <c r="C617" s="419"/>
    </row>
    <row r="618" spans="1:3" x14ac:dyDescent="0.15">
      <c r="A618" s="66"/>
      <c r="B618" s="66"/>
      <c r="C618" s="419"/>
    </row>
    <row r="619" spans="1:3" x14ac:dyDescent="0.15">
      <c r="A619" s="66"/>
      <c r="B619" s="66"/>
      <c r="C619" s="419"/>
    </row>
    <row r="620" spans="1:3" x14ac:dyDescent="0.15">
      <c r="A620" s="66"/>
      <c r="B620" s="66"/>
      <c r="C620" s="419"/>
    </row>
    <row r="621" spans="1:3" x14ac:dyDescent="0.15">
      <c r="A621" s="66"/>
      <c r="B621" s="66"/>
      <c r="C621" s="419"/>
    </row>
    <row r="622" spans="1:3" x14ac:dyDescent="0.15">
      <c r="A622" s="66"/>
      <c r="B622" s="66"/>
      <c r="C622" s="419"/>
    </row>
    <row r="623" spans="1:3" x14ac:dyDescent="0.15">
      <c r="A623" s="66"/>
      <c r="B623" s="66"/>
      <c r="C623" s="419"/>
    </row>
    <row r="624" spans="1:3" x14ac:dyDescent="0.15">
      <c r="A624" s="66"/>
      <c r="B624" s="66"/>
      <c r="C624" s="419"/>
    </row>
    <row r="625" spans="1:3" x14ac:dyDescent="0.15">
      <c r="A625" s="66"/>
      <c r="B625" s="66"/>
      <c r="C625" s="419"/>
    </row>
    <row r="626" spans="1:3" x14ac:dyDescent="0.15">
      <c r="A626" s="66"/>
      <c r="B626" s="66"/>
      <c r="C626" s="419"/>
    </row>
    <row r="627" spans="1:3" x14ac:dyDescent="0.15">
      <c r="A627" s="66"/>
      <c r="B627" s="66"/>
      <c r="C627" s="419"/>
    </row>
    <row r="628" spans="1:3" x14ac:dyDescent="0.15">
      <c r="A628" s="66"/>
      <c r="B628" s="66"/>
      <c r="C628" s="419"/>
    </row>
    <row r="629" spans="1:3" x14ac:dyDescent="0.15">
      <c r="A629" s="66"/>
      <c r="B629" s="66"/>
      <c r="C629" s="419"/>
    </row>
    <row r="630" spans="1:3" x14ac:dyDescent="0.15">
      <c r="A630" s="66"/>
      <c r="B630" s="66"/>
      <c r="C630" s="419"/>
    </row>
    <row r="631" spans="1:3" x14ac:dyDescent="0.15">
      <c r="A631" s="66"/>
      <c r="B631" s="66"/>
      <c r="C631" s="419"/>
    </row>
    <row r="632" spans="1:3" x14ac:dyDescent="0.15">
      <c r="A632" s="66"/>
      <c r="B632" s="66"/>
      <c r="C632" s="419"/>
    </row>
    <row r="633" spans="1:3" x14ac:dyDescent="0.15">
      <c r="A633" s="66"/>
      <c r="B633" s="66"/>
      <c r="C633" s="419"/>
    </row>
    <row r="634" spans="1:3" x14ac:dyDescent="0.15">
      <c r="A634" s="66"/>
      <c r="B634" s="66"/>
      <c r="C634" s="419"/>
    </row>
    <row r="635" spans="1:3" x14ac:dyDescent="0.15">
      <c r="A635" s="66"/>
      <c r="B635" s="66"/>
      <c r="C635" s="419"/>
    </row>
    <row r="636" spans="1:3" x14ac:dyDescent="0.15">
      <c r="A636" s="66"/>
      <c r="B636" s="66"/>
      <c r="C636" s="419"/>
    </row>
    <row r="637" spans="1:3" x14ac:dyDescent="0.15">
      <c r="A637" s="66"/>
      <c r="B637" s="66"/>
      <c r="C637" s="419"/>
    </row>
    <row r="638" spans="1:3" x14ac:dyDescent="0.15">
      <c r="A638" s="66"/>
      <c r="B638" s="66"/>
      <c r="C638" s="419"/>
    </row>
    <row r="639" spans="1:3" x14ac:dyDescent="0.15">
      <c r="A639" s="66"/>
      <c r="B639" s="66"/>
      <c r="C639" s="419"/>
    </row>
    <row r="640" spans="1:3" x14ac:dyDescent="0.15">
      <c r="A640" s="66"/>
      <c r="B640" s="66"/>
      <c r="C640" s="419"/>
    </row>
    <row r="641" spans="1:3" x14ac:dyDescent="0.15">
      <c r="A641" s="66"/>
      <c r="B641" s="66"/>
      <c r="C641" s="419"/>
    </row>
    <row r="642" spans="1:3" x14ac:dyDescent="0.15">
      <c r="A642" s="66"/>
      <c r="B642" s="66"/>
      <c r="C642" s="419"/>
    </row>
    <row r="643" spans="1:3" x14ac:dyDescent="0.15">
      <c r="A643" s="66"/>
      <c r="B643" s="66"/>
      <c r="C643" s="419"/>
    </row>
    <row r="644" spans="1:3" x14ac:dyDescent="0.15">
      <c r="A644" s="66"/>
      <c r="B644" s="66"/>
      <c r="C644" s="419"/>
    </row>
    <row r="645" spans="1:3" x14ac:dyDescent="0.15">
      <c r="A645" s="66"/>
      <c r="B645" s="66"/>
      <c r="C645" s="419"/>
    </row>
    <row r="646" spans="1:3" x14ac:dyDescent="0.15">
      <c r="A646" s="66"/>
      <c r="B646" s="66"/>
      <c r="C646" s="419"/>
    </row>
    <row r="647" spans="1:3" x14ac:dyDescent="0.15">
      <c r="A647" s="66"/>
      <c r="B647" s="66"/>
      <c r="C647" s="419"/>
    </row>
    <row r="648" spans="1:3" x14ac:dyDescent="0.15">
      <c r="A648" s="66"/>
      <c r="B648" s="66"/>
      <c r="C648" s="419"/>
    </row>
    <row r="649" spans="1:3" x14ac:dyDescent="0.15">
      <c r="A649" s="66"/>
      <c r="B649" s="66"/>
      <c r="C649" s="419"/>
    </row>
    <row r="650" spans="1:3" x14ac:dyDescent="0.15">
      <c r="A650" s="66"/>
      <c r="B650" s="66"/>
      <c r="C650" s="419"/>
    </row>
    <row r="651" spans="1:3" x14ac:dyDescent="0.15">
      <c r="A651" s="66"/>
      <c r="B651" s="66"/>
      <c r="C651" s="419"/>
    </row>
    <row r="652" spans="1:3" x14ac:dyDescent="0.15">
      <c r="A652" s="66"/>
      <c r="B652" s="66"/>
      <c r="C652" s="419"/>
    </row>
    <row r="653" spans="1:3" x14ac:dyDescent="0.15">
      <c r="A653" s="66"/>
      <c r="B653" s="66"/>
      <c r="C653" s="419"/>
    </row>
    <row r="654" spans="1:3" x14ac:dyDescent="0.15">
      <c r="A654" s="66"/>
      <c r="B654" s="66"/>
      <c r="C654" s="419"/>
    </row>
    <row r="655" spans="1:3" x14ac:dyDescent="0.15">
      <c r="A655" s="66"/>
      <c r="B655" s="66"/>
      <c r="C655" s="419"/>
    </row>
    <row r="656" spans="1:3" x14ac:dyDescent="0.15">
      <c r="A656" s="66"/>
      <c r="B656" s="66"/>
      <c r="C656" s="419"/>
    </row>
    <row r="657" spans="1:3" x14ac:dyDescent="0.15">
      <c r="A657" s="66"/>
      <c r="B657" s="66"/>
      <c r="C657" s="419"/>
    </row>
    <row r="658" spans="1:3" x14ac:dyDescent="0.15">
      <c r="A658" s="66"/>
      <c r="B658" s="66"/>
      <c r="C658" s="419"/>
    </row>
    <row r="659" spans="1:3" x14ac:dyDescent="0.15">
      <c r="A659" s="66"/>
      <c r="B659" s="66"/>
      <c r="C659" s="419"/>
    </row>
    <row r="660" spans="1:3" x14ac:dyDescent="0.15">
      <c r="A660" s="66"/>
      <c r="B660" s="66"/>
      <c r="C660" s="419"/>
    </row>
    <row r="661" spans="1:3" x14ac:dyDescent="0.15">
      <c r="A661" s="66"/>
      <c r="B661" s="66"/>
      <c r="C661" s="419"/>
    </row>
    <row r="662" spans="1:3" x14ac:dyDescent="0.15">
      <c r="A662" s="66"/>
      <c r="B662" s="66"/>
      <c r="C662" s="419"/>
    </row>
    <row r="663" spans="1:3" x14ac:dyDescent="0.15">
      <c r="A663" s="66"/>
      <c r="B663" s="66"/>
      <c r="C663" s="419"/>
    </row>
    <row r="664" spans="1:3" x14ac:dyDescent="0.15">
      <c r="A664" s="66"/>
      <c r="B664" s="66"/>
      <c r="C664" s="419"/>
    </row>
    <row r="665" spans="1:3" x14ac:dyDescent="0.15">
      <c r="A665" s="66"/>
      <c r="B665" s="66"/>
      <c r="C665" s="419"/>
    </row>
    <row r="666" spans="1:3" x14ac:dyDescent="0.15">
      <c r="A666" s="66"/>
      <c r="B666" s="66"/>
      <c r="C666" s="419"/>
    </row>
    <row r="667" spans="1:3" x14ac:dyDescent="0.15">
      <c r="A667" s="66"/>
      <c r="B667" s="66"/>
      <c r="C667" s="419"/>
    </row>
    <row r="668" spans="1:3" x14ac:dyDescent="0.15">
      <c r="A668" s="66"/>
      <c r="B668" s="66"/>
      <c r="C668" s="419"/>
    </row>
    <row r="669" spans="1:3" x14ac:dyDescent="0.15">
      <c r="A669" s="66"/>
      <c r="B669" s="66"/>
      <c r="C669" s="419"/>
    </row>
    <row r="670" spans="1:3" x14ac:dyDescent="0.15">
      <c r="A670" s="66"/>
      <c r="B670" s="66"/>
      <c r="C670" s="419"/>
    </row>
    <row r="671" spans="1:3" x14ac:dyDescent="0.15">
      <c r="A671" s="66"/>
      <c r="B671" s="66"/>
      <c r="C671" s="419"/>
    </row>
    <row r="672" spans="1:3" x14ac:dyDescent="0.15">
      <c r="A672" s="66"/>
      <c r="B672" s="66"/>
      <c r="C672" s="419"/>
    </row>
    <row r="673" spans="1:3" x14ac:dyDescent="0.15">
      <c r="A673" s="66"/>
      <c r="B673" s="66"/>
      <c r="C673" s="419"/>
    </row>
    <row r="674" spans="1:3" x14ac:dyDescent="0.15">
      <c r="A674" s="66"/>
      <c r="B674" s="66"/>
      <c r="C674" s="419"/>
    </row>
    <row r="675" spans="1:3" x14ac:dyDescent="0.15">
      <c r="A675" s="66"/>
      <c r="B675" s="66"/>
      <c r="C675" s="419"/>
    </row>
    <row r="676" spans="1:3" x14ac:dyDescent="0.15">
      <c r="A676" s="66"/>
      <c r="B676" s="66"/>
      <c r="C676" s="419"/>
    </row>
    <row r="677" spans="1:3" x14ac:dyDescent="0.15">
      <c r="A677" s="66"/>
      <c r="B677" s="66"/>
      <c r="C677" s="419"/>
    </row>
    <row r="678" spans="1:3" x14ac:dyDescent="0.15">
      <c r="A678" s="66"/>
      <c r="B678" s="66"/>
      <c r="C678" s="419"/>
    </row>
    <row r="679" spans="1:3" x14ac:dyDescent="0.15">
      <c r="A679" s="66"/>
      <c r="B679" s="66"/>
      <c r="C679" s="419"/>
    </row>
    <row r="680" spans="1:3" x14ac:dyDescent="0.15">
      <c r="A680" s="66"/>
      <c r="B680" s="66"/>
      <c r="C680" s="419"/>
    </row>
    <row r="681" spans="1:3" x14ac:dyDescent="0.15">
      <c r="A681" s="66"/>
      <c r="B681" s="66"/>
      <c r="C681" s="419"/>
    </row>
    <row r="682" spans="1:3" x14ac:dyDescent="0.15">
      <c r="A682" s="66"/>
      <c r="B682" s="66"/>
      <c r="C682" s="419"/>
    </row>
    <row r="683" spans="1:3" x14ac:dyDescent="0.15">
      <c r="A683" s="66"/>
      <c r="B683" s="66"/>
      <c r="C683" s="419"/>
    </row>
    <row r="684" spans="1:3" x14ac:dyDescent="0.15">
      <c r="A684" s="66"/>
      <c r="B684" s="66"/>
      <c r="C684" s="419"/>
    </row>
    <row r="685" spans="1:3" x14ac:dyDescent="0.15">
      <c r="A685" s="66"/>
      <c r="B685" s="66"/>
      <c r="C685" s="419"/>
    </row>
    <row r="686" spans="1:3" x14ac:dyDescent="0.15">
      <c r="A686" s="66"/>
      <c r="B686" s="66"/>
      <c r="C686" s="419"/>
    </row>
    <row r="687" spans="1:3" x14ac:dyDescent="0.15">
      <c r="A687" s="66"/>
      <c r="B687" s="66"/>
      <c r="C687" s="419"/>
    </row>
    <row r="688" spans="1:3" x14ac:dyDescent="0.15">
      <c r="A688" s="66"/>
      <c r="B688" s="66"/>
      <c r="C688" s="419"/>
    </row>
    <row r="689" spans="1:3" x14ac:dyDescent="0.15">
      <c r="A689" s="66"/>
      <c r="B689" s="66"/>
      <c r="C689" s="419"/>
    </row>
    <row r="690" spans="1:3" x14ac:dyDescent="0.15">
      <c r="A690" s="66"/>
      <c r="B690" s="66"/>
      <c r="C690" s="419"/>
    </row>
    <row r="691" spans="1:3" x14ac:dyDescent="0.15">
      <c r="A691" s="66"/>
      <c r="B691" s="66"/>
      <c r="C691" s="419"/>
    </row>
    <row r="692" spans="1:3" x14ac:dyDescent="0.15">
      <c r="A692" s="66"/>
      <c r="B692" s="66"/>
      <c r="C692" s="419"/>
    </row>
    <row r="693" spans="1:3" x14ac:dyDescent="0.15">
      <c r="A693" s="66"/>
      <c r="B693" s="66"/>
      <c r="C693" s="419"/>
    </row>
    <row r="694" spans="1:3" x14ac:dyDescent="0.15">
      <c r="A694" s="66"/>
      <c r="B694" s="66"/>
      <c r="C694" s="419"/>
    </row>
    <row r="695" spans="1:3" x14ac:dyDescent="0.15">
      <c r="A695" s="66"/>
      <c r="B695" s="66"/>
      <c r="C695" s="419"/>
    </row>
    <row r="696" spans="1:3" x14ac:dyDescent="0.15">
      <c r="A696" s="66"/>
      <c r="B696" s="66"/>
      <c r="C696" s="419"/>
    </row>
    <row r="697" spans="1:3" x14ac:dyDescent="0.15">
      <c r="A697" s="66"/>
      <c r="B697" s="66"/>
      <c r="C697" s="419"/>
    </row>
    <row r="698" spans="1:3" x14ac:dyDescent="0.15">
      <c r="A698" s="66"/>
      <c r="B698" s="66"/>
      <c r="C698" s="419"/>
    </row>
    <row r="699" spans="1:3" x14ac:dyDescent="0.15">
      <c r="A699" s="66"/>
      <c r="B699" s="66"/>
      <c r="C699" s="419"/>
    </row>
    <row r="700" spans="1:3" x14ac:dyDescent="0.15">
      <c r="A700" s="66"/>
      <c r="B700" s="66"/>
      <c r="C700" s="419"/>
    </row>
    <row r="701" spans="1:3" x14ac:dyDescent="0.15">
      <c r="A701" s="66"/>
      <c r="B701" s="66"/>
      <c r="C701" s="419"/>
    </row>
    <row r="702" spans="1:3" x14ac:dyDescent="0.15">
      <c r="A702" s="66"/>
      <c r="B702" s="66"/>
      <c r="C702" s="419"/>
    </row>
    <row r="703" spans="1:3" x14ac:dyDescent="0.15">
      <c r="A703" s="66"/>
      <c r="B703" s="66"/>
      <c r="C703" s="419"/>
    </row>
    <row r="704" spans="1:3" x14ac:dyDescent="0.15">
      <c r="A704" s="66"/>
      <c r="B704" s="66"/>
      <c r="C704" s="419"/>
    </row>
    <row r="705" spans="1:3" x14ac:dyDescent="0.15">
      <c r="A705" s="66"/>
      <c r="B705" s="66"/>
      <c r="C705" s="419"/>
    </row>
    <row r="706" spans="1:3" x14ac:dyDescent="0.15">
      <c r="A706" s="66"/>
      <c r="B706" s="66"/>
      <c r="C706" s="419"/>
    </row>
    <row r="707" spans="1:3" x14ac:dyDescent="0.15">
      <c r="A707" s="66"/>
      <c r="B707" s="66"/>
      <c r="C707" s="419"/>
    </row>
    <row r="708" spans="1:3" x14ac:dyDescent="0.15">
      <c r="A708" s="66"/>
      <c r="B708" s="66"/>
      <c r="C708" s="419"/>
    </row>
    <row r="709" spans="1:3" x14ac:dyDescent="0.15">
      <c r="A709" s="66"/>
      <c r="B709" s="66"/>
      <c r="C709" s="419"/>
    </row>
    <row r="710" spans="1:3" x14ac:dyDescent="0.15">
      <c r="A710" s="66"/>
      <c r="B710" s="66"/>
      <c r="C710" s="419"/>
    </row>
    <row r="711" spans="1:3" x14ac:dyDescent="0.15">
      <c r="A711" s="66"/>
      <c r="B711" s="66"/>
      <c r="C711" s="419"/>
    </row>
    <row r="712" spans="1:3" x14ac:dyDescent="0.15">
      <c r="A712" s="66"/>
      <c r="B712" s="66"/>
      <c r="C712" s="419"/>
    </row>
    <row r="713" spans="1:3" x14ac:dyDescent="0.15">
      <c r="A713" s="66"/>
      <c r="B713" s="66"/>
      <c r="C713" s="419"/>
    </row>
    <row r="714" spans="1:3" x14ac:dyDescent="0.15">
      <c r="A714" s="66"/>
      <c r="B714" s="66"/>
      <c r="C714" s="419"/>
    </row>
    <row r="715" spans="1:3" x14ac:dyDescent="0.15">
      <c r="A715" s="66"/>
      <c r="B715" s="66"/>
      <c r="C715" s="419"/>
    </row>
    <row r="716" spans="1:3" x14ac:dyDescent="0.15">
      <c r="A716" s="66"/>
      <c r="B716" s="66"/>
      <c r="C716" s="419"/>
    </row>
    <row r="717" spans="1:3" x14ac:dyDescent="0.15">
      <c r="A717" s="66"/>
      <c r="B717" s="66"/>
      <c r="C717" s="419"/>
    </row>
    <row r="718" spans="1:3" x14ac:dyDescent="0.15">
      <c r="A718" s="66"/>
      <c r="B718" s="66"/>
      <c r="C718" s="419"/>
    </row>
    <row r="719" spans="1:3" x14ac:dyDescent="0.15">
      <c r="A719" s="66"/>
      <c r="B719" s="66"/>
      <c r="C719" s="419"/>
    </row>
    <row r="720" spans="1:3" x14ac:dyDescent="0.15">
      <c r="A720" s="66"/>
      <c r="B720" s="66"/>
      <c r="C720" s="419"/>
    </row>
    <row r="721" spans="1:3" x14ac:dyDescent="0.15">
      <c r="A721" s="66"/>
      <c r="B721" s="66"/>
      <c r="C721" s="419"/>
    </row>
    <row r="722" spans="1:3" x14ac:dyDescent="0.15">
      <c r="A722" s="66"/>
      <c r="B722" s="66"/>
      <c r="C722" s="419"/>
    </row>
    <row r="723" spans="1:3" x14ac:dyDescent="0.15">
      <c r="A723" s="66"/>
      <c r="B723" s="66"/>
      <c r="C723" s="419"/>
    </row>
    <row r="724" spans="1:3" x14ac:dyDescent="0.15">
      <c r="A724" s="66"/>
      <c r="B724" s="66"/>
      <c r="C724" s="419"/>
    </row>
    <row r="725" spans="1:3" x14ac:dyDescent="0.15">
      <c r="A725" s="66"/>
      <c r="B725" s="66"/>
      <c r="C725" s="419"/>
    </row>
    <row r="726" spans="1:3" x14ac:dyDescent="0.15">
      <c r="A726" s="66"/>
      <c r="B726" s="66"/>
      <c r="C726" s="419"/>
    </row>
    <row r="727" spans="1:3" x14ac:dyDescent="0.15">
      <c r="A727" s="66"/>
      <c r="B727" s="66"/>
      <c r="C727" s="419"/>
    </row>
    <row r="728" spans="1:3" x14ac:dyDescent="0.15">
      <c r="A728" s="66"/>
      <c r="B728" s="66"/>
      <c r="C728" s="419"/>
    </row>
    <row r="729" spans="1:3" x14ac:dyDescent="0.15">
      <c r="A729" s="66"/>
      <c r="B729" s="66"/>
      <c r="C729" s="419"/>
    </row>
    <row r="730" spans="1:3" x14ac:dyDescent="0.15">
      <c r="A730" s="66"/>
      <c r="B730" s="66"/>
      <c r="C730" s="419"/>
    </row>
    <row r="731" spans="1:3" x14ac:dyDescent="0.15">
      <c r="A731" s="66"/>
      <c r="B731" s="66"/>
      <c r="C731" s="419"/>
    </row>
    <row r="732" spans="1:3" x14ac:dyDescent="0.15">
      <c r="A732" s="66"/>
      <c r="B732" s="66"/>
      <c r="C732" s="419"/>
    </row>
    <row r="733" spans="1:3" x14ac:dyDescent="0.15">
      <c r="A733" s="66"/>
      <c r="B733" s="66"/>
      <c r="C733" s="419"/>
    </row>
    <row r="734" spans="1:3" x14ac:dyDescent="0.15">
      <c r="A734" s="66"/>
      <c r="B734" s="66"/>
      <c r="C734" s="419"/>
    </row>
    <row r="735" spans="1:3" x14ac:dyDescent="0.15">
      <c r="A735" s="66"/>
      <c r="B735" s="66"/>
      <c r="C735" s="419"/>
    </row>
    <row r="736" spans="1:3" x14ac:dyDescent="0.15">
      <c r="A736" s="66"/>
      <c r="B736" s="66"/>
      <c r="C736" s="419"/>
    </row>
    <row r="737" spans="1:3" x14ac:dyDescent="0.15">
      <c r="A737" s="66"/>
      <c r="B737" s="66"/>
      <c r="C737" s="419"/>
    </row>
    <row r="738" spans="1:3" x14ac:dyDescent="0.15">
      <c r="A738" s="66"/>
      <c r="B738" s="66"/>
      <c r="C738" s="419"/>
    </row>
    <row r="739" spans="1:3" x14ac:dyDescent="0.15">
      <c r="A739" s="66"/>
      <c r="B739" s="66"/>
      <c r="C739" s="419"/>
    </row>
    <row r="740" spans="1:3" x14ac:dyDescent="0.15">
      <c r="A740" s="66"/>
      <c r="B740" s="66"/>
      <c r="C740" s="419"/>
    </row>
    <row r="741" spans="1:3" x14ac:dyDescent="0.15">
      <c r="A741" s="66"/>
      <c r="B741" s="66"/>
      <c r="C741" s="419"/>
    </row>
    <row r="742" spans="1:3" x14ac:dyDescent="0.15">
      <c r="A742" s="66"/>
      <c r="B742" s="66"/>
      <c r="C742" s="419"/>
    </row>
    <row r="743" spans="1:3" x14ac:dyDescent="0.15">
      <c r="A743" s="66"/>
      <c r="B743" s="66"/>
      <c r="C743" s="419"/>
    </row>
    <row r="744" spans="1:3" x14ac:dyDescent="0.15">
      <c r="A744" s="66"/>
      <c r="B744" s="66"/>
      <c r="C744" s="419"/>
    </row>
    <row r="745" spans="1:3" x14ac:dyDescent="0.15">
      <c r="A745" s="66"/>
      <c r="B745" s="66"/>
      <c r="C745" s="419"/>
    </row>
    <row r="746" spans="1:3" x14ac:dyDescent="0.15">
      <c r="A746" s="66"/>
      <c r="B746" s="66"/>
      <c r="C746" s="419"/>
    </row>
    <row r="747" spans="1:3" x14ac:dyDescent="0.15">
      <c r="A747" s="66"/>
      <c r="B747" s="66"/>
      <c r="C747" s="419"/>
    </row>
    <row r="748" spans="1:3" x14ac:dyDescent="0.15">
      <c r="A748" s="66"/>
      <c r="B748" s="66"/>
      <c r="C748" s="419"/>
    </row>
    <row r="749" spans="1:3" x14ac:dyDescent="0.15">
      <c r="A749" s="66"/>
      <c r="B749" s="66"/>
      <c r="C749" s="419"/>
    </row>
    <row r="750" spans="1:3" x14ac:dyDescent="0.15">
      <c r="A750" s="66"/>
      <c r="B750" s="66"/>
      <c r="C750" s="419"/>
    </row>
    <row r="751" spans="1:3" x14ac:dyDescent="0.15">
      <c r="A751" s="66"/>
      <c r="B751" s="66"/>
      <c r="C751" s="419"/>
    </row>
    <row r="752" spans="1:3" x14ac:dyDescent="0.15">
      <c r="A752" s="66"/>
      <c r="B752" s="66"/>
      <c r="C752" s="419"/>
    </row>
    <row r="753" spans="1:3" x14ac:dyDescent="0.15">
      <c r="A753" s="66"/>
      <c r="B753" s="66"/>
      <c r="C753" s="419"/>
    </row>
    <row r="754" spans="1:3" x14ac:dyDescent="0.15">
      <c r="A754" s="66"/>
      <c r="B754" s="66"/>
      <c r="C754" s="419"/>
    </row>
    <row r="755" spans="1:3" x14ac:dyDescent="0.15">
      <c r="A755" s="66"/>
      <c r="B755" s="66"/>
      <c r="C755" s="419"/>
    </row>
    <row r="756" spans="1:3" x14ac:dyDescent="0.15">
      <c r="A756" s="66"/>
      <c r="B756" s="66"/>
      <c r="C756" s="419"/>
    </row>
    <row r="757" spans="1:3" x14ac:dyDescent="0.15">
      <c r="A757" s="66"/>
      <c r="B757" s="66"/>
      <c r="C757" s="419"/>
    </row>
    <row r="758" spans="1:3" x14ac:dyDescent="0.15">
      <c r="A758" s="66"/>
      <c r="B758" s="66"/>
      <c r="C758" s="419"/>
    </row>
    <row r="759" spans="1:3" x14ac:dyDescent="0.15">
      <c r="A759" s="66"/>
      <c r="B759" s="66"/>
      <c r="C759" s="419"/>
    </row>
    <row r="760" spans="1:3" x14ac:dyDescent="0.15">
      <c r="A760" s="66"/>
      <c r="B760" s="66"/>
      <c r="C760" s="419"/>
    </row>
    <row r="761" spans="1:3" x14ac:dyDescent="0.15">
      <c r="A761" s="66"/>
      <c r="B761" s="66"/>
      <c r="C761" s="419"/>
    </row>
    <row r="762" spans="1:3" x14ac:dyDescent="0.15">
      <c r="A762" s="66"/>
      <c r="B762" s="66"/>
      <c r="C762" s="419"/>
    </row>
    <row r="763" spans="1:3" x14ac:dyDescent="0.15">
      <c r="A763" s="66"/>
      <c r="B763" s="66"/>
      <c r="C763" s="419"/>
    </row>
    <row r="764" spans="1:3" x14ac:dyDescent="0.15">
      <c r="A764" s="66"/>
      <c r="B764" s="66"/>
      <c r="C764" s="419"/>
    </row>
    <row r="765" spans="1:3" x14ac:dyDescent="0.15">
      <c r="A765" s="66"/>
      <c r="B765" s="66"/>
      <c r="C765" s="419"/>
    </row>
    <row r="766" spans="1:3" x14ac:dyDescent="0.15">
      <c r="A766" s="66"/>
      <c r="B766" s="66"/>
      <c r="C766" s="419"/>
    </row>
    <row r="767" spans="1:3" x14ac:dyDescent="0.15">
      <c r="A767" s="66"/>
      <c r="B767" s="66"/>
      <c r="C767" s="419"/>
    </row>
    <row r="768" spans="1:3" x14ac:dyDescent="0.15">
      <c r="A768" s="66"/>
      <c r="B768" s="66"/>
      <c r="C768" s="419"/>
    </row>
    <row r="769" spans="1:3" x14ac:dyDescent="0.15">
      <c r="A769" s="66"/>
      <c r="B769" s="66"/>
      <c r="C769" s="419"/>
    </row>
    <row r="770" spans="1:3" x14ac:dyDescent="0.15">
      <c r="A770" s="66"/>
      <c r="B770" s="66"/>
      <c r="C770" s="419"/>
    </row>
    <row r="771" spans="1:3" x14ac:dyDescent="0.15">
      <c r="A771" s="66"/>
      <c r="B771" s="66"/>
      <c r="C771" s="419"/>
    </row>
    <row r="772" spans="1:3" x14ac:dyDescent="0.15">
      <c r="A772" s="66"/>
      <c r="B772" s="66"/>
      <c r="C772" s="419"/>
    </row>
    <row r="773" spans="1:3" x14ac:dyDescent="0.15">
      <c r="A773" s="66"/>
      <c r="B773" s="66"/>
      <c r="C773" s="419"/>
    </row>
    <row r="774" spans="1:3" x14ac:dyDescent="0.15">
      <c r="A774" s="66"/>
      <c r="B774" s="66"/>
      <c r="C774" s="419"/>
    </row>
    <row r="775" spans="1:3" x14ac:dyDescent="0.15">
      <c r="A775" s="66"/>
      <c r="B775" s="66"/>
      <c r="C775" s="419"/>
    </row>
    <row r="776" spans="1:3" x14ac:dyDescent="0.15">
      <c r="A776" s="66"/>
      <c r="B776" s="66"/>
      <c r="C776" s="419"/>
    </row>
    <row r="777" spans="1:3" x14ac:dyDescent="0.15">
      <c r="A777" s="66"/>
      <c r="B777" s="66"/>
      <c r="C777" s="419"/>
    </row>
    <row r="778" spans="1:3" x14ac:dyDescent="0.15">
      <c r="A778" s="66"/>
      <c r="B778" s="66"/>
      <c r="C778" s="419"/>
    </row>
    <row r="779" spans="1:3" x14ac:dyDescent="0.15">
      <c r="A779" s="66"/>
      <c r="B779" s="66"/>
      <c r="C779" s="419"/>
    </row>
    <row r="780" spans="1:3" x14ac:dyDescent="0.15">
      <c r="A780" s="66"/>
      <c r="B780" s="66"/>
      <c r="C780" s="419"/>
    </row>
    <row r="781" spans="1:3" x14ac:dyDescent="0.15">
      <c r="A781" s="66"/>
      <c r="B781" s="66"/>
      <c r="C781" s="419"/>
    </row>
    <row r="782" spans="1:3" x14ac:dyDescent="0.15">
      <c r="A782" s="66"/>
      <c r="B782" s="66"/>
      <c r="C782" s="419"/>
    </row>
    <row r="783" spans="1:3" x14ac:dyDescent="0.15">
      <c r="A783" s="66"/>
      <c r="B783" s="66"/>
      <c r="C783" s="419"/>
    </row>
    <row r="784" spans="1:3" x14ac:dyDescent="0.15">
      <c r="A784" s="66"/>
      <c r="B784" s="66"/>
      <c r="C784" s="419"/>
    </row>
    <row r="785" spans="1:3" x14ac:dyDescent="0.15">
      <c r="A785" s="66"/>
      <c r="B785" s="66"/>
      <c r="C785" s="419"/>
    </row>
    <row r="786" spans="1:3" x14ac:dyDescent="0.15">
      <c r="A786" s="66"/>
      <c r="B786" s="66"/>
      <c r="C786" s="419"/>
    </row>
    <row r="787" spans="1:3" x14ac:dyDescent="0.15">
      <c r="A787" s="66"/>
      <c r="B787" s="66"/>
      <c r="C787" s="419"/>
    </row>
    <row r="788" spans="1:3" x14ac:dyDescent="0.15">
      <c r="A788" s="66"/>
      <c r="B788" s="66"/>
      <c r="C788" s="419"/>
    </row>
    <row r="789" spans="1:3" x14ac:dyDescent="0.15">
      <c r="A789" s="66"/>
      <c r="B789" s="66"/>
      <c r="C789" s="419"/>
    </row>
    <row r="790" spans="1:3" x14ac:dyDescent="0.15">
      <c r="A790" s="66"/>
      <c r="B790" s="66"/>
      <c r="C790" s="419"/>
    </row>
    <row r="791" spans="1:3" x14ac:dyDescent="0.15">
      <c r="A791" s="66"/>
      <c r="B791" s="66"/>
      <c r="C791" s="419"/>
    </row>
    <row r="792" spans="1:3" x14ac:dyDescent="0.15">
      <c r="A792" s="66"/>
      <c r="B792" s="66"/>
      <c r="C792" s="419"/>
    </row>
    <row r="793" spans="1:3" x14ac:dyDescent="0.15">
      <c r="A793" s="66"/>
      <c r="B793" s="66"/>
      <c r="C793" s="419"/>
    </row>
    <row r="794" spans="1:3" x14ac:dyDescent="0.15">
      <c r="A794" s="66"/>
      <c r="B794" s="66"/>
      <c r="C794" s="419"/>
    </row>
    <row r="795" spans="1:3" x14ac:dyDescent="0.15">
      <c r="A795" s="66"/>
      <c r="B795" s="66"/>
      <c r="C795" s="419"/>
    </row>
    <row r="796" spans="1:3" x14ac:dyDescent="0.15">
      <c r="A796" s="66"/>
      <c r="B796" s="66"/>
      <c r="C796" s="419"/>
    </row>
    <row r="797" spans="1:3" x14ac:dyDescent="0.15">
      <c r="A797" s="66"/>
      <c r="B797" s="66"/>
      <c r="C797" s="419"/>
    </row>
    <row r="798" spans="1:3" x14ac:dyDescent="0.15">
      <c r="A798" s="66"/>
      <c r="B798" s="66"/>
      <c r="C798" s="419"/>
    </row>
    <row r="799" spans="1:3" x14ac:dyDescent="0.15">
      <c r="A799" s="66"/>
      <c r="B799" s="66"/>
      <c r="C799" s="419"/>
    </row>
    <row r="800" spans="1:3" x14ac:dyDescent="0.15">
      <c r="A800" s="66"/>
      <c r="B800" s="66"/>
      <c r="C800" s="419"/>
    </row>
    <row r="801" spans="1:3" x14ac:dyDescent="0.15">
      <c r="A801" s="66"/>
      <c r="B801" s="66"/>
      <c r="C801" s="419"/>
    </row>
    <row r="802" spans="1:3" x14ac:dyDescent="0.15">
      <c r="A802" s="66"/>
      <c r="B802" s="66"/>
      <c r="C802" s="419"/>
    </row>
    <row r="803" spans="1:3" x14ac:dyDescent="0.15">
      <c r="A803" s="66"/>
      <c r="B803" s="66"/>
      <c r="C803" s="419"/>
    </row>
    <row r="804" spans="1:3" x14ac:dyDescent="0.15">
      <c r="A804" s="66"/>
      <c r="B804" s="66"/>
      <c r="C804" s="419"/>
    </row>
    <row r="805" spans="1:3" x14ac:dyDescent="0.15">
      <c r="A805" s="66"/>
      <c r="B805" s="66"/>
      <c r="C805" s="419"/>
    </row>
    <row r="806" spans="1:3" x14ac:dyDescent="0.15">
      <c r="A806" s="66"/>
      <c r="B806" s="66"/>
      <c r="C806" s="419"/>
    </row>
    <row r="807" spans="1:3" x14ac:dyDescent="0.15">
      <c r="A807" s="66"/>
      <c r="B807" s="66"/>
      <c r="C807" s="419"/>
    </row>
    <row r="808" spans="1:3" x14ac:dyDescent="0.15">
      <c r="A808" s="66"/>
      <c r="B808" s="66"/>
      <c r="C808" s="419"/>
    </row>
    <row r="809" spans="1:3" x14ac:dyDescent="0.15">
      <c r="A809" s="66"/>
      <c r="B809" s="66"/>
      <c r="C809" s="419"/>
    </row>
    <row r="810" spans="1:3" x14ac:dyDescent="0.15">
      <c r="A810" s="66"/>
      <c r="B810" s="66"/>
      <c r="C810" s="419"/>
    </row>
    <row r="811" spans="1:3" x14ac:dyDescent="0.15">
      <c r="A811" s="66"/>
      <c r="B811" s="66"/>
      <c r="C811" s="419"/>
    </row>
    <row r="812" spans="1:3" x14ac:dyDescent="0.15">
      <c r="A812" s="66"/>
      <c r="B812" s="66"/>
      <c r="C812" s="419"/>
    </row>
    <row r="813" spans="1:3" x14ac:dyDescent="0.15">
      <c r="A813" s="66"/>
      <c r="B813" s="66"/>
      <c r="C813" s="419"/>
    </row>
    <row r="814" spans="1:3" x14ac:dyDescent="0.15">
      <c r="A814" s="66"/>
      <c r="B814" s="66"/>
      <c r="C814" s="419"/>
    </row>
    <row r="815" spans="1:3" x14ac:dyDescent="0.15">
      <c r="A815" s="66"/>
      <c r="B815" s="66"/>
      <c r="C815" s="419"/>
    </row>
    <row r="816" spans="1:3" x14ac:dyDescent="0.15">
      <c r="A816" s="66"/>
      <c r="B816" s="66"/>
      <c r="C816" s="419"/>
    </row>
    <row r="817" spans="1:3" x14ac:dyDescent="0.15">
      <c r="A817" s="66"/>
      <c r="B817" s="66"/>
      <c r="C817" s="419"/>
    </row>
    <row r="818" spans="1:3" x14ac:dyDescent="0.15">
      <c r="A818" s="66"/>
      <c r="B818" s="66"/>
      <c r="C818" s="419"/>
    </row>
    <row r="819" spans="1:3" x14ac:dyDescent="0.15">
      <c r="A819" s="66"/>
      <c r="B819" s="66"/>
      <c r="C819" s="419"/>
    </row>
    <row r="820" spans="1:3" x14ac:dyDescent="0.15">
      <c r="A820" s="66"/>
      <c r="B820" s="66"/>
      <c r="C820" s="419"/>
    </row>
    <row r="821" spans="1:3" x14ac:dyDescent="0.15">
      <c r="A821" s="66"/>
      <c r="B821" s="66"/>
      <c r="C821" s="419"/>
    </row>
    <row r="822" spans="1:3" x14ac:dyDescent="0.15">
      <c r="A822" s="66"/>
      <c r="B822" s="66"/>
      <c r="C822" s="419"/>
    </row>
    <row r="823" spans="1:3" x14ac:dyDescent="0.15">
      <c r="A823" s="66"/>
      <c r="B823" s="66"/>
      <c r="C823" s="419"/>
    </row>
    <row r="824" spans="1:3" x14ac:dyDescent="0.15">
      <c r="A824" s="66"/>
      <c r="B824" s="66"/>
      <c r="C824" s="419"/>
    </row>
    <row r="825" spans="1:3" x14ac:dyDescent="0.15">
      <c r="A825" s="66"/>
      <c r="B825" s="66"/>
      <c r="C825" s="419"/>
    </row>
    <row r="826" spans="1:3" x14ac:dyDescent="0.15">
      <c r="A826" s="66"/>
      <c r="B826" s="66"/>
      <c r="C826" s="419"/>
    </row>
    <row r="827" spans="1:3" x14ac:dyDescent="0.15">
      <c r="A827" s="66"/>
      <c r="B827" s="66"/>
      <c r="C827" s="419"/>
    </row>
    <row r="828" spans="1:3" x14ac:dyDescent="0.15">
      <c r="A828" s="66"/>
      <c r="B828" s="66"/>
      <c r="C828" s="419"/>
    </row>
    <row r="829" spans="1:3" x14ac:dyDescent="0.15">
      <c r="A829" s="66"/>
      <c r="B829" s="66"/>
      <c r="C829" s="419"/>
    </row>
    <row r="830" spans="1:3" x14ac:dyDescent="0.15">
      <c r="A830" s="66"/>
      <c r="B830" s="66"/>
      <c r="C830" s="419"/>
    </row>
    <row r="831" spans="1:3" x14ac:dyDescent="0.15">
      <c r="A831" s="66"/>
      <c r="B831" s="66"/>
      <c r="C831" s="419"/>
    </row>
    <row r="832" spans="1:3" x14ac:dyDescent="0.15">
      <c r="A832" s="66"/>
      <c r="B832" s="66"/>
      <c r="C832" s="419"/>
    </row>
    <row r="833" spans="1:3" x14ac:dyDescent="0.15">
      <c r="A833" s="66"/>
      <c r="B833" s="66"/>
      <c r="C833" s="419"/>
    </row>
    <row r="834" spans="1:3" x14ac:dyDescent="0.15">
      <c r="A834" s="66"/>
      <c r="B834" s="66"/>
      <c r="C834" s="419"/>
    </row>
    <row r="835" spans="1:3" x14ac:dyDescent="0.15">
      <c r="A835" s="66"/>
      <c r="B835" s="66"/>
      <c r="C835" s="419"/>
    </row>
    <row r="836" spans="1:3" x14ac:dyDescent="0.15">
      <c r="A836" s="66"/>
      <c r="B836" s="66"/>
      <c r="C836" s="419"/>
    </row>
    <row r="837" spans="1:3" x14ac:dyDescent="0.15">
      <c r="A837" s="66"/>
      <c r="B837" s="66"/>
      <c r="C837" s="419"/>
    </row>
    <row r="838" spans="1:3" x14ac:dyDescent="0.15">
      <c r="A838" s="66"/>
      <c r="B838" s="66"/>
      <c r="C838" s="419"/>
    </row>
    <row r="839" spans="1:3" x14ac:dyDescent="0.15">
      <c r="A839" s="66"/>
      <c r="B839" s="66"/>
      <c r="C839" s="419"/>
    </row>
    <row r="840" spans="1:3" x14ac:dyDescent="0.15">
      <c r="A840" s="66"/>
      <c r="B840" s="66"/>
      <c r="C840" s="419"/>
    </row>
    <row r="841" spans="1:3" x14ac:dyDescent="0.15">
      <c r="A841" s="66"/>
      <c r="B841" s="66"/>
      <c r="C841" s="419"/>
    </row>
    <row r="842" spans="1:3" x14ac:dyDescent="0.15">
      <c r="A842" s="66"/>
      <c r="B842" s="66"/>
      <c r="C842" s="419"/>
    </row>
    <row r="843" spans="1:3" x14ac:dyDescent="0.15">
      <c r="A843" s="66"/>
      <c r="B843" s="66"/>
      <c r="C843" s="419"/>
    </row>
    <row r="844" spans="1:3" x14ac:dyDescent="0.15">
      <c r="A844" s="66"/>
      <c r="B844" s="66"/>
      <c r="C844" s="419"/>
    </row>
    <row r="845" spans="1:3" x14ac:dyDescent="0.15">
      <c r="A845" s="66"/>
      <c r="B845" s="66"/>
      <c r="C845" s="419"/>
    </row>
    <row r="846" spans="1:3" x14ac:dyDescent="0.15">
      <c r="A846" s="66"/>
      <c r="B846" s="66"/>
      <c r="C846" s="419"/>
    </row>
    <row r="847" spans="1:3" x14ac:dyDescent="0.15">
      <c r="A847" s="66"/>
      <c r="B847" s="66"/>
      <c r="C847" s="419"/>
    </row>
    <row r="848" spans="1:3" x14ac:dyDescent="0.15">
      <c r="A848" s="66"/>
      <c r="B848" s="66"/>
      <c r="C848" s="419"/>
    </row>
    <row r="849" spans="1:3" x14ac:dyDescent="0.15">
      <c r="A849" s="66"/>
      <c r="B849" s="66"/>
      <c r="C849" s="419"/>
    </row>
    <row r="850" spans="1:3" x14ac:dyDescent="0.15">
      <c r="A850" s="66"/>
      <c r="B850" s="66"/>
      <c r="C850" s="419"/>
    </row>
    <row r="851" spans="1:3" x14ac:dyDescent="0.15">
      <c r="A851" s="66"/>
      <c r="B851" s="66"/>
      <c r="C851" s="419"/>
    </row>
    <row r="852" spans="1:3" x14ac:dyDescent="0.15">
      <c r="A852" s="66"/>
      <c r="B852" s="66"/>
      <c r="C852" s="419"/>
    </row>
    <row r="853" spans="1:3" x14ac:dyDescent="0.15">
      <c r="A853" s="66"/>
      <c r="B853" s="66"/>
      <c r="C853" s="419"/>
    </row>
    <row r="854" spans="1:3" x14ac:dyDescent="0.15">
      <c r="A854" s="66"/>
      <c r="B854" s="66"/>
      <c r="C854" s="419"/>
    </row>
    <row r="855" spans="1:3" x14ac:dyDescent="0.15">
      <c r="A855" s="66"/>
      <c r="B855" s="66"/>
      <c r="C855" s="419"/>
    </row>
    <row r="856" spans="1:3" x14ac:dyDescent="0.15">
      <c r="A856" s="66"/>
      <c r="B856" s="66"/>
      <c r="C856" s="419"/>
    </row>
    <row r="857" spans="1:3" x14ac:dyDescent="0.15">
      <c r="A857" s="66"/>
      <c r="B857" s="66"/>
      <c r="C857" s="419"/>
    </row>
    <row r="858" spans="1:3" x14ac:dyDescent="0.15">
      <c r="A858" s="66"/>
      <c r="B858" s="66"/>
      <c r="C858" s="419"/>
    </row>
    <row r="859" spans="1:3" x14ac:dyDescent="0.15">
      <c r="A859" s="66"/>
      <c r="B859" s="66"/>
      <c r="C859" s="419"/>
    </row>
    <row r="860" spans="1:3" x14ac:dyDescent="0.15">
      <c r="A860" s="66"/>
      <c r="B860" s="66"/>
      <c r="C860" s="419"/>
    </row>
    <row r="861" spans="1:3" x14ac:dyDescent="0.15">
      <c r="A861" s="66"/>
      <c r="B861" s="66"/>
      <c r="C861" s="419"/>
    </row>
    <row r="862" spans="1:3" x14ac:dyDescent="0.15">
      <c r="A862" s="66"/>
      <c r="B862" s="66"/>
      <c r="C862" s="419"/>
    </row>
    <row r="863" spans="1:3" x14ac:dyDescent="0.15">
      <c r="A863" s="66"/>
      <c r="B863" s="66"/>
      <c r="C863" s="419"/>
    </row>
    <row r="864" spans="1:3" x14ac:dyDescent="0.15">
      <c r="A864" s="66"/>
      <c r="B864" s="66"/>
      <c r="C864" s="419"/>
    </row>
    <row r="865" spans="1:3" x14ac:dyDescent="0.15">
      <c r="A865" s="66"/>
      <c r="B865" s="66"/>
      <c r="C865" s="419"/>
    </row>
    <row r="866" spans="1:3" x14ac:dyDescent="0.15">
      <c r="A866" s="66"/>
      <c r="B866" s="66"/>
      <c r="C866" s="419"/>
    </row>
    <row r="867" spans="1:3" x14ac:dyDescent="0.15">
      <c r="A867" s="66"/>
      <c r="B867" s="66"/>
      <c r="C867" s="419"/>
    </row>
    <row r="868" spans="1:3" x14ac:dyDescent="0.15">
      <c r="A868" s="66"/>
      <c r="B868" s="66"/>
      <c r="C868" s="419"/>
    </row>
    <row r="869" spans="1:3" x14ac:dyDescent="0.15">
      <c r="A869" s="66"/>
      <c r="B869" s="66"/>
      <c r="C869" s="419"/>
    </row>
    <row r="870" spans="1:3" x14ac:dyDescent="0.15">
      <c r="A870" s="66"/>
      <c r="B870" s="66"/>
      <c r="C870" s="419"/>
    </row>
    <row r="871" spans="1:3" x14ac:dyDescent="0.15">
      <c r="A871" s="66"/>
      <c r="B871" s="66"/>
      <c r="C871" s="419"/>
    </row>
    <row r="872" spans="1:3" x14ac:dyDescent="0.15">
      <c r="A872" s="66"/>
      <c r="B872" s="66"/>
      <c r="C872" s="419"/>
    </row>
    <row r="873" spans="1:3" x14ac:dyDescent="0.15">
      <c r="A873" s="66"/>
      <c r="B873" s="66"/>
      <c r="C873" s="419"/>
    </row>
    <row r="874" spans="1:3" x14ac:dyDescent="0.15">
      <c r="A874" s="66"/>
      <c r="B874" s="66"/>
      <c r="C874" s="419"/>
    </row>
    <row r="875" spans="1:3" x14ac:dyDescent="0.15">
      <c r="A875" s="66"/>
      <c r="B875" s="66"/>
      <c r="C875" s="419"/>
    </row>
    <row r="876" spans="1:3" x14ac:dyDescent="0.15">
      <c r="A876" s="66"/>
      <c r="B876" s="66"/>
      <c r="C876" s="419"/>
    </row>
    <row r="877" spans="1:3" x14ac:dyDescent="0.15">
      <c r="A877" s="66"/>
      <c r="B877" s="66"/>
      <c r="C877" s="419"/>
    </row>
    <row r="878" spans="1:3" x14ac:dyDescent="0.15">
      <c r="A878" s="66"/>
      <c r="B878" s="66"/>
      <c r="C878" s="419"/>
    </row>
    <row r="879" spans="1:3" x14ac:dyDescent="0.15">
      <c r="A879" s="66"/>
      <c r="B879" s="66"/>
      <c r="C879" s="419"/>
    </row>
    <row r="880" spans="1:3" x14ac:dyDescent="0.15">
      <c r="A880" s="66"/>
      <c r="B880" s="66"/>
      <c r="C880" s="419"/>
    </row>
    <row r="881" spans="1:3" x14ac:dyDescent="0.15">
      <c r="A881" s="66"/>
      <c r="B881" s="66"/>
      <c r="C881" s="419"/>
    </row>
    <row r="882" spans="1:3" x14ac:dyDescent="0.15">
      <c r="A882" s="66"/>
      <c r="B882" s="66"/>
      <c r="C882" s="419"/>
    </row>
    <row r="883" spans="1:3" x14ac:dyDescent="0.15">
      <c r="A883" s="66"/>
      <c r="B883" s="66"/>
      <c r="C883" s="419"/>
    </row>
    <row r="884" spans="1:3" x14ac:dyDescent="0.15">
      <c r="A884" s="66"/>
      <c r="B884" s="66"/>
      <c r="C884" s="419"/>
    </row>
    <row r="885" spans="1:3" x14ac:dyDescent="0.15">
      <c r="A885" s="66"/>
      <c r="B885" s="66"/>
      <c r="C885" s="419"/>
    </row>
    <row r="886" spans="1:3" x14ac:dyDescent="0.15">
      <c r="A886" s="66"/>
      <c r="B886" s="66"/>
      <c r="C886" s="419"/>
    </row>
    <row r="887" spans="1:3" x14ac:dyDescent="0.15">
      <c r="A887" s="66"/>
      <c r="B887" s="66"/>
      <c r="C887" s="419"/>
    </row>
    <row r="888" spans="1:3" x14ac:dyDescent="0.15">
      <c r="A888" s="66"/>
      <c r="B888" s="66"/>
      <c r="C888" s="419"/>
    </row>
    <row r="889" spans="1:3" x14ac:dyDescent="0.15">
      <c r="A889" s="66"/>
      <c r="B889" s="66"/>
      <c r="C889" s="419"/>
    </row>
    <row r="890" spans="1:3" x14ac:dyDescent="0.15">
      <c r="A890" s="66"/>
      <c r="B890" s="66"/>
      <c r="C890" s="419"/>
    </row>
    <row r="891" spans="1:3" x14ac:dyDescent="0.15">
      <c r="A891" s="66"/>
      <c r="B891" s="66"/>
      <c r="C891" s="419"/>
    </row>
    <row r="892" spans="1:3" x14ac:dyDescent="0.15">
      <c r="A892" s="66"/>
      <c r="B892" s="66"/>
      <c r="C892" s="419"/>
    </row>
    <row r="893" spans="1:3" x14ac:dyDescent="0.15">
      <c r="A893" s="66"/>
      <c r="B893" s="66"/>
      <c r="C893" s="419"/>
    </row>
    <row r="894" spans="1:3" x14ac:dyDescent="0.15">
      <c r="A894" s="66"/>
      <c r="B894" s="66"/>
      <c r="C894" s="419"/>
    </row>
    <row r="895" spans="1:3" x14ac:dyDescent="0.15">
      <c r="A895" s="66"/>
      <c r="B895" s="66"/>
      <c r="C895" s="419"/>
    </row>
    <row r="896" spans="1:3" x14ac:dyDescent="0.15">
      <c r="A896" s="66"/>
      <c r="B896" s="66"/>
      <c r="C896" s="419"/>
    </row>
    <row r="897" spans="1:3" x14ac:dyDescent="0.15">
      <c r="A897" s="66"/>
      <c r="B897" s="66"/>
      <c r="C897" s="419"/>
    </row>
    <row r="898" spans="1:3" x14ac:dyDescent="0.15">
      <c r="A898" s="66"/>
      <c r="B898" s="66"/>
      <c r="C898" s="419"/>
    </row>
    <row r="899" spans="1:3" x14ac:dyDescent="0.15">
      <c r="A899" s="66"/>
      <c r="B899" s="66"/>
      <c r="C899" s="419"/>
    </row>
    <row r="900" spans="1:3" x14ac:dyDescent="0.15">
      <c r="A900" s="66"/>
      <c r="B900" s="66"/>
      <c r="C900" s="419"/>
    </row>
    <row r="901" spans="1:3" x14ac:dyDescent="0.15">
      <c r="A901" s="66"/>
      <c r="B901" s="66"/>
      <c r="C901" s="419"/>
    </row>
    <row r="902" spans="1:3" x14ac:dyDescent="0.15">
      <c r="A902" s="66"/>
      <c r="B902" s="66"/>
      <c r="C902" s="419"/>
    </row>
    <row r="903" spans="1:3" x14ac:dyDescent="0.15">
      <c r="A903" s="66"/>
      <c r="B903" s="66"/>
      <c r="C903" s="419"/>
    </row>
    <row r="904" spans="1:3" x14ac:dyDescent="0.15">
      <c r="A904" s="66"/>
      <c r="B904" s="66"/>
      <c r="C904" s="419"/>
    </row>
    <row r="905" spans="1:3" x14ac:dyDescent="0.15">
      <c r="A905" s="66"/>
      <c r="B905" s="66"/>
      <c r="C905" s="419"/>
    </row>
    <row r="906" spans="1:3" x14ac:dyDescent="0.15">
      <c r="A906" s="66"/>
      <c r="B906" s="66"/>
      <c r="C906" s="419"/>
    </row>
    <row r="907" spans="1:3" x14ac:dyDescent="0.15">
      <c r="A907" s="66"/>
      <c r="B907" s="66"/>
      <c r="C907" s="419"/>
    </row>
    <row r="908" spans="1:3" x14ac:dyDescent="0.15">
      <c r="A908" s="66"/>
      <c r="B908" s="66"/>
      <c r="C908" s="419"/>
    </row>
    <row r="909" spans="1:3" x14ac:dyDescent="0.15">
      <c r="A909" s="66"/>
      <c r="B909" s="66"/>
      <c r="C909" s="419"/>
    </row>
    <row r="910" spans="1:3" x14ac:dyDescent="0.15">
      <c r="A910" s="66"/>
      <c r="B910" s="66"/>
      <c r="C910" s="419"/>
    </row>
    <row r="911" spans="1:3" x14ac:dyDescent="0.15">
      <c r="A911" s="66"/>
      <c r="B911" s="66"/>
      <c r="C911" s="419"/>
    </row>
    <row r="912" spans="1:3" x14ac:dyDescent="0.15">
      <c r="A912" s="66"/>
      <c r="B912" s="66"/>
      <c r="C912" s="419"/>
    </row>
    <row r="913" spans="1:3" x14ac:dyDescent="0.15">
      <c r="A913" s="66"/>
      <c r="B913" s="66"/>
      <c r="C913" s="419"/>
    </row>
    <row r="914" spans="1:3" x14ac:dyDescent="0.15">
      <c r="A914" s="66"/>
      <c r="B914" s="66"/>
      <c r="C914" s="419"/>
    </row>
    <row r="915" spans="1:3" x14ac:dyDescent="0.15">
      <c r="A915" s="66"/>
      <c r="B915" s="66"/>
      <c r="C915" s="419"/>
    </row>
    <row r="916" spans="1:3" x14ac:dyDescent="0.15">
      <c r="A916" s="66"/>
      <c r="B916" s="66"/>
      <c r="C916" s="419"/>
    </row>
    <row r="917" spans="1:3" x14ac:dyDescent="0.15">
      <c r="A917" s="66"/>
      <c r="B917" s="66"/>
      <c r="C917" s="419"/>
    </row>
    <row r="918" spans="1:3" x14ac:dyDescent="0.15">
      <c r="A918" s="66"/>
      <c r="B918" s="66"/>
      <c r="C918" s="419"/>
    </row>
    <row r="919" spans="1:3" x14ac:dyDescent="0.15">
      <c r="A919" s="66"/>
      <c r="B919" s="66"/>
      <c r="C919" s="419"/>
    </row>
    <row r="920" spans="1:3" x14ac:dyDescent="0.15">
      <c r="A920" s="66"/>
      <c r="B920" s="66"/>
      <c r="C920" s="419"/>
    </row>
    <row r="921" spans="1:3" x14ac:dyDescent="0.15">
      <c r="A921" s="66"/>
      <c r="B921" s="66"/>
      <c r="C921" s="419"/>
    </row>
    <row r="922" spans="1:3" x14ac:dyDescent="0.15">
      <c r="A922" s="66"/>
      <c r="B922" s="66"/>
      <c r="C922" s="419"/>
    </row>
    <row r="923" spans="1:3" x14ac:dyDescent="0.15">
      <c r="A923" s="66"/>
      <c r="B923" s="66"/>
      <c r="C923" s="419"/>
    </row>
    <row r="924" spans="1:3" x14ac:dyDescent="0.15">
      <c r="A924" s="66"/>
      <c r="B924" s="66"/>
      <c r="C924" s="419"/>
    </row>
    <row r="925" spans="1:3" x14ac:dyDescent="0.15">
      <c r="A925" s="66"/>
      <c r="B925" s="66"/>
      <c r="C925" s="419"/>
    </row>
    <row r="926" spans="1:3" x14ac:dyDescent="0.15">
      <c r="A926" s="66"/>
      <c r="B926" s="66"/>
      <c r="C926" s="419"/>
    </row>
    <row r="927" spans="1:3" x14ac:dyDescent="0.15">
      <c r="A927" s="66"/>
      <c r="B927" s="66"/>
      <c r="C927" s="419"/>
    </row>
    <row r="928" spans="1:3" x14ac:dyDescent="0.15">
      <c r="A928" s="66"/>
      <c r="B928" s="66"/>
      <c r="C928" s="419"/>
    </row>
    <row r="929" spans="1:3" x14ac:dyDescent="0.15">
      <c r="A929" s="66"/>
      <c r="B929" s="66"/>
      <c r="C929" s="419"/>
    </row>
    <row r="930" spans="1:3" x14ac:dyDescent="0.15">
      <c r="A930" s="66"/>
      <c r="B930" s="66"/>
      <c r="C930" s="419"/>
    </row>
    <row r="931" spans="1:3" x14ac:dyDescent="0.15">
      <c r="A931" s="66"/>
      <c r="B931" s="66"/>
      <c r="C931" s="419"/>
    </row>
    <row r="932" spans="1:3" x14ac:dyDescent="0.15">
      <c r="A932" s="66"/>
      <c r="B932" s="66"/>
      <c r="C932" s="419"/>
    </row>
    <row r="933" spans="1:3" x14ac:dyDescent="0.15">
      <c r="A933" s="66"/>
      <c r="B933" s="66"/>
      <c r="C933" s="419"/>
    </row>
    <row r="934" spans="1:3" x14ac:dyDescent="0.15">
      <c r="A934" s="66"/>
      <c r="B934" s="66"/>
      <c r="C934" s="419"/>
    </row>
    <row r="935" spans="1:3" x14ac:dyDescent="0.15">
      <c r="A935" s="66"/>
      <c r="B935" s="66"/>
      <c r="C935" s="419"/>
    </row>
    <row r="936" spans="1:3" x14ac:dyDescent="0.15">
      <c r="A936" s="66"/>
      <c r="B936" s="66"/>
      <c r="C936" s="419"/>
    </row>
    <row r="937" spans="1:3" x14ac:dyDescent="0.15">
      <c r="A937" s="66"/>
      <c r="B937" s="66"/>
      <c r="C937" s="419"/>
    </row>
    <row r="938" spans="1:3" x14ac:dyDescent="0.15">
      <c r="A938" s="66"/>
      <c r="B938" s="66"/>
      <c r="C938" s="419"/>
    </row>
    <row r="939" spans="1:3" x14ac:dyDescent="0.15">
      <c r="A939" s="66"/>
      <c r="B939" s="66"/>
      <c r="C939" s="419"/>
    </row>
    <row r="940" spans="1:3" x14ac:dyDescent="0.15">
      <c r="A940" s="66"/>
      <c r="B940" s="66"/>
      <c r="C940" s="419"/>
    </row>
    <row r="941" spans="1:3" x14ac:dyDescent="0.15">
      <c r="A941" s="66"/>
      <c r="B941" s="66"/>
      <c r="C941" s="419"/>
    </row>
    <row r="942" spans="1:3" x14ac:dyDescent="0.15">
      <c r="A942" s="66"/>
      <c r="B942" s="66"/>
      <c r="C942" s="419"/>
    </row>
    <row r="943" spans="1:3" x14ac:dyDescent="0.15">
      <c r="A943" s="66"/>
      <c r="B943" s="66"/>
      <c r="C943" s="419"/>
    </row>
    <row r="944" spans="1:3" x14ac:dyDescent="0.15">
      <c r="A944" s="66"/>
      <c r="B944" s="66"/>
      <c r="C944" s="419"/>
    </row>
    <row r="945" spans="1:3" x14ac:dyDescent="0.15">
      <c r="A945" s="66"/>
      <c r="B945" s="66"/>
      <c r="C945" s="419"/>
    </row>
    <row r="946" spans="1:3" x14ac:dyDescent="0.15">
      <c r="A946" s="66"/>
      <c r="B946" s="66"/>
      <c r="C946" s="419"/>
    </row>
    <row r="947" spans="1:3" x14ac:dyDescent="0.15">
      <c r="A947" s="66"/>
      <c r="B947" s="66"/>
      <c r="C947" s="419"/>
    </row>
    <row r="948" spans="1:3" x14ac:dyDescent="0.15">
      <c r="A948" s="66"/>
      <c r="B948" s="66"/>
      <c r="C948" s="419"/>
    </row>
    <row r="949" spans="1:3" x14ac:dyDescent="0.15">
      <c r="A949" s="66"/>
      <c r="B949" s="66"/>
      <c r="C949" s="419"/>
    </row>
    <row r="950" spans="1:3" x14ac:dyDescent="0.15">
      <c r="A950" s="66"/>
      <c r="B950" s="66"/>
      <c r="C950" s="419"/>
    </row>
    <row r="951" spans="1:3" x14ac:dyDescent="0.15">
      <c r="A951" s="66"/>
      <c r="B951" s="66"/>
      <c r="C951" s="419"/>
    </row>
    <row r="952" spans="1:3" x14ac:dyDescent="0.15">
      <c r="A952" s="66"/>
      <c r="B952" s="66"/>
      <c r="C952" s="419"/>
    </row>
    <row r="953" spans="1:3" x14ac:dyDescent="0.15">
      <c r="A953" s="66"/>
      <c r="B953" s="66"/>
      <c r="C953" s="419"/>
    </row>
    <row r="954" spans="1:3" x14ac:dyDescent="0.15">
      <c r="A954" s="66"/>
      <c r="B954" s="66"/>
      <c r="C954" s="419"/>
    </row>
    <row r="955" spans="1:3" x14ac:dyDescent="0.15">
      <c r="A955" s="66"/>
      <c r="B955" s="66"/>
      <c r="C955" s="419"/>
    </row>
    <row r="956" spans="1:3" x14ac:dyDescent="0.15">
      <c r="A956" s="66"/>
      <c r="B956" s="66"/>
      <c r="C956" s="419"/>
    </row>
    <row r="957" spans="1:3" x14ac:dyDescent="0.15">
      <c r="A957" s="66"/>
      <c r="B957" s="66"/>
      <c r="C957" s="419"/>
    </row>
    <row r="958" spans="1:3" x14ac:dyDescent="0.15">
      <c r="A958" s="66"/>
      <c r="B958" s="66"/>
      <c r="C958" s="419"/>
    </row>
    <row r="959" spans="1:3" x14ac:dyDescent="0.15">
      <c r="A959" s="66"/>
      <c r="B959" s="66"/>
      <c r="C959" s="419"/>
    </row>
    <row r="960" spans="1:3" x14ac:dyDescent="0.15">
      <c r="A960" s="66"/>
      <c r="B960" s="66"/>
      <c r="C960" s="419"/>
    </row>
    <row r="961" spans="1:3" x14ac:dyDescent="0.15">
      <c r="A961" s="66"/>
      <c r="B961" s="66"/>
      <c r="C961" s="419"/>
    </row>
    <row r="962" spans="1:3" x14ac:dyDescent="0.15">
      <c r="A962" s="66"/>
      <c r="B962" s="66"/>
      <c r="C962" s="419"/>
    </row>
    <row r="963" spans="1:3" x14ac:dyDescent="0.15">
      <c r="A963" s="66"/>
      <c r="B963" s="66"/>
      <c r="C963" s="419"/>
    </row>
    <row r="964" spans="1:3" x14ac:dyDescent="0.15">
      <c r="A964" s="66"/>
      <c r="B964" s="66"/>
      <c r="C964" s="419"/>
    </row>
    <row r="965" spans="1:3" x14ac:dyDescent="0.15">
      <c r="A965" s="66"/>
      <c r="B965" s="66"/>
      <c r="C965" s="419"/>
    </row>
    <row r="966" spans="1:3" x14ac:dyDescent="0.15">
      <c r="A966" s="66"/>
      <c r="B966" s="66"/>
      <c r="C966" s="419"/>
    </row>
    <row r="967" spans="1:3" x14ac:dyDescent="0.15">
      <c r="A967" s="66"/>
      <c r="B967" s="66"/>
      <c r="C967" s="419"/>
    </row>
    <row r="968" spans="1:3" x14ac:dyDescent="0.15">
      <c r="A968" s="66"/>
      <c r="B968" s="66"/>
      <c r="C968" s="419"/>
    </row>
    <row r="969" spans="1:3" x14ac:dyDescent="0.15">
      <c r="A969" s="66"/>
      <c r="B969" s="66"/>
      <c r="C969" s="419"/>
    </row>
    <row r="970" spans="1:3" x14ac:dyDescent="0.15">
      <c r="A970" s="66"/>
      <c r="B970" s="66"/>
      <c r="C970" s="419"/>
    </row>
    <row r="971" spans="1:3" x14ac:dyDescent="0.15">
      <c r="A971" s="66"/>
      <c r="B971" s="66"/>
      <c r="C971" s="419"/>
    </row>
    <row r="972" spans="1:3" x14ac:dyDescent="0.15">
      <c r="A972" s="66"/>
      <c r="B972" s="66"/>
      <c r="C972" s="419"/>
    </row>
    <row r="973" spans="1:3" x14ac:dyDescent="0.15">
      <c r="A973" s="66"/>
      <c r="B973" s="66"/>
      <c r="C973" s="419"/>
    </row>
    <row r="974" spans="1:3" x14ac:dyDescent="0.15">
      <c r="A974" s="66"/>
      <c r="B974" s="66"/>
      <c r="C974" s="419"/>
    </row>
    <row r="975" spans="1:3" x14ac:dyDescent="0.15">
      <c r="A975" s="66"/>
      <c r="B975" s="66"/>
      <c r="C975" s="419"/>
    </row>
    <row r="976" spans="1:3" x14ac:dyDescent="0.15">
      <c r="A976" s="66"/>
      <c r="B976" s="66"/>
      <c r="C976" s="419"/>
    </row>
    <row r="977" spans="1:3" x14ac:dyDescent="0.15">
      <c r="A977" s="66"/>
      <c r="B977" s="66"/>
      <c r="C977" s="419"/>
    </row>
    <row r="978" spans="1:3" x14ac:dyDescent="0.15">
      <c r="A978" s="66"/>
      <c r="B978" s="66"/>
      <c r="C978" s="419"/>
    </row>
    <row r="979" spans="1:3" x14ac:dyDescent="0.15">
      <c r="A979" s="66"/>
      <c r="B979" s="66"/>
      <c r="C979" s="419"/>
    </row>
    <row r="980" spans="1:3" x14ac:dyDescent="0.15">
      <c r="A980" s="66"/>
      <c r="B980" s="66"/>
      <c r="C980" s="419"/>
    </row>
    <row r="981" spans="1:3" x14ac:dyDescent="0.15">
      <c r="A981" s="66"/>
      <c r="B981" s="66"/>
      <c r="C981" s="419"/>
    </row>
    <row r="982" spans="1:3" x14ac:dyDescent="0.15">
      <c r="A982" s="66"/>
      <c r="B982" s="66"/>
      <c r="C982" s="419"/>
    </row>
    <row r="983" spans="1:3" x14ac:dyDescent="0.15">
      <c r="A983" s="66"/>
      <c r="B983" s="66"/>
      <c r="C983" s="419"/>
    </row>
    <row r="984" spans="1:3" x14ac:dyDescent="0.15">
      <c r="A984" s="66"/>
      <c r="B984" s="66"/>
      <c r="C984" s="419"/>
    </row>
    <row r="985" spans="1:3" x14ac:dyDescent="0.15">
      <c r="A985" s="66"/>
      <c r="B985" s="66"/>
      <c r="C985" s="419"/>
    </row>
    <row r="986" spans="1:3" x14ac:dyDescent="0.15">
      <c r="A986" s="66"/>
      <c r="B986" s="66"/>
      <c r="C986" s="419"/>
    </row>
    <row r="987" spans="1:3" x14ac:dyDescent="0.15">
      <c r="A987" s="66"/>
      <c r="B987" s="66"/>
      <c r="C987" s="419"/>
    </row>
    <row r="988" spans="1:3" x14ac:dyDescent="0.15">
      <c r="A988" s="66"/>
      <c r="B988" s="66"/>
      <c r="C988" s="419"/>
    </row>
    <row r="989" spans="1:3" x14ac:dyDescent="0.15">
      <c r="A989" s="66"/>
      <c r="B989" s="66"/>
      <c r="C989" s="419"/>
    </row>
    <row r="990" spans="1:3" x14ac:dyDescent="0.15">
      <c r="A990" s="66"/>
      <c r="B990" s="66"/>
      <c r="C990" s="419"/>
    </row>
    <row r="991" spans="1:3" x14ac:dyDescent="0.15">
      <c r="A991" s="66"/>
      <c r="B991" s="66"/>
      <c r="C991" s="419"/>
    </row>
    <row r="992" spans="1:3" x14ac:dyDescent="0.15">
      <c r="A992" s="66"/>
      <c r="B992" s="66"/>
      <c r="C992" s="419"/>
    </row>
    <row r="993" spans="1:3" x14ac:dyDescent="0.15">
      <c r="A993" s="66"/>
      <c r="B993" s="66"/>
      <c r="C993" s="419"/>
    </row>
    <row r="994" spans="1:3" x14ac:dyDescent="0.15">
      <c r="A994" s="66"/>
      <c r="B994" s="66"/>
      <c r="C994" s="419"/>
    </row>
    <row r="995" spans="1:3" x14ac:dyDescent="0.15">
      <c r="A995" s="66"/>
      <c r="B995" s="66"/>
      <c r="C995" s="419"/>
    </row>
    <row r="996" spans="1:3" x14ac:dyDescent="0.15">
      <c r="A996" s="66"/>
      <c r="B996" s="66"/>
      <c r="C996" s="419"/>
    </row>
    <row r="997" spans="1:3" x14ac:dyDescent="0.15">
      <c r="A997" s="66"/>
      <c r="B997" s="66"/>
      <c r="C997" s="419"/>
    </row>
    <row r="998" spans="1:3" x14ac:dyDescent="0.15">
      <c r="A998" s="66"/>
      <c r="B998" s="66"/>
      <c r="C998" s="419"/>
    </row>
    <row r="999" spans="1:3" x14ac:dyDescent="0.15">
      <c r="A999" s="66"/>
      <c r="B999" s="66"/>
      <c r="C999" s="419"/>
    </row>
    <row r="1000" spans="1:3" x14ac:dyDescent="0.15">
      <c r="A1000" s="66"/>
      <c r="B1000" s="66"/>
      <c r="C1000" s="419"/>
    </row>
    <row r="1001" spans="1:3" x14ac:dyDescent="0.15">
      <c r="A1001" s="66"/>
      <c r="B1001" s="66"/>
      <c r="C1001" s="419"/>
    </row>
    <row r="1002" spans="1:3" x14ac:dyDescent="0.15">
      <c r="A1002" s="66"/>
      <c r="B1002" s="66"/>
      <c r="C1002" s="419"/>
    </row>
    <row r="1003" spans="1:3" x14ac:dyDescent="0.15">
      <c r="A1003" s="66"/>
      <c r="B1003" s="66"/>
      <c r="C1003" s="419"/>
    </row>
    <row r="1004" spans="1:3" x14ac:dyDescent="0.15">
      <c r="A1004" s="66"/>
      <c r="B1004" s="66"/>
      <c r="C1004" s="419"/>
    </row>
    <row r="1005" spans="1:3" x14ac:dyDescent="0.15">
      <c r="A1005" s="66"/>
      <c r="B1005" s="66"/>
      <c r="C1005" s="419"/>
    </row>
    <row r="1006" spans="1:3" x14ac:dyDescent="0.15">
      <c r="A1006" s="66"/>
      <c r="B1006" s="66"/>
      <c r="C1006" s="419"/>
    </row>
    <row r="1007" spans="1:3" x14ac:dyDescent="0.15">
      <c r="A1007" s="66"/>
      <c r="B1007" s="66"/>
      <c r="C1007" s="419"/>
    </row>
    <row r="1008" spans="1:3" x14ac:dyDescent="0.15">
      <c r="A1008" s="66"/>
      <c r="B1008" s="66"/>
      <c r="C1008" s="419"/>
    </row>
    <row r="1009" spans="1:3" x14ac:dyDescent="0.15">
      <c r="A1009" s="66"/>
      <c r="B1009" s="66"/>
      <c r="C1009" s="419"/>
    </row>
    <row r="1010" spans="1:3" x14ac:dyDescent="0.15">
      <c r="A1010" s="66"/>
      <c r="B1010" s="66"/>
      <c r="C1010" s="419"/>
    </row>
    <row r="1011" spans="1:3" x14ac:dyDescent="0.15">
      <c r="A1011" s="66"/>
      <c r="B1011" s="66"/>
      <c r="C1011" s="419"/>
    </row>
    <row r="1012" spans="1:3" x14ac:dyDescent="0.15">
      <c r="A1012" s="66"/>
      <c r="B1012" s="66"/>
      <c r="C1012" s="419"/>
    </row>
    <row r="1013" spans="1:3" x14ac:dyDescent="0.15">
      <c r="A1013" s="66"/>
      <c r="B1013" s="66"/>
      <c r="C1013" s="419"/>
    </row>
    <row r="1014" spans="1:3" x14ac:dyDescent="0.15">
      <c r="A1014" s="66"/>
      <c r="B1014" s="66"/>
      <c r="C1014" s="419"/>
    </row>
    <row r="1015" spans="1:3" x14ac:dyDescent="0.15">
      <c r="A1015" s="66"/>
      <c r="B1015" s="66"/>
      <c r="C1015" s="419"/>
    </row>
    <row r="1016" spans="1:3" x14ac:dyDescent="0.15">
      <c r="A1016" s="66"/>
      <c r="B1016" s="66"/>
      <c r="C1016" s="419"/>
    </row>
    <row r="1017" spans="1:3" x14ac:dyDescent="0.15">
      <c r="A1017" s="66"/>
      <c r="B1017" s="66"/>
      <c r="C1017" s="419"/>
    </row>
    <row r="1018" spans="1:3" x14ac:dyDescent="0.15">
      <c r="A1018" s="66"/>
      <c r="B1018" s="66"/>
      <c r="C1018" s="419"/>
    </row>
    <row r="1019" spans="1:3" x14ac:dyDescent="0.15">
      <c r="A1019" s="66"/>
      <c r="B1019" s="66"/>
      <c r="C1019" s="419"/>
    </row>
    <row r="1020" spans="1:3" x14ac:dyDescent="0.15">
      <c r="A1020" s="66"/>
      <c r="B1020" s="66"/>
      <c r="C1020" s="419"/>
    </row>
    <row r="1021" spans="1:3" x14ac:dyDescent="0.15">
      <c r="A1021" s="66"/>
      <c r="B1021" s="66"/>
      <c r="C1021" s="419"/>
    </row>
    <row r="1022" spans="1:3" x14ac:dyDescent="0.15">
      <c r="A1022" s="66"/>
      <c r="B1022" s="66"/>
      <c r="C1022" s="419"/>
    </row>
    <row r="1023" spans="1:3" x14ac:dyDescent="0.15">
      <c r="A1023" s="66"/>
      <c r="B1023" s="66"/>
      <c r="C1023" s="419"/>
    </row>
    <row r="1024" spans="1:3" x14ac:dyDescent="0.15">
      <c r="A1024" s="66"/>
      <c r="B1024" s="66"/>
      <c r="C1024" s="419"/>
    </row>
    <row r="1025" spans="1:3" x14ac:dyDescent="0.15">
      <c r="A1025" s="66"/>
      <c r="B1025" s="66"/>
      <c r="C1025" s="419"/>
    </row>
    <row r="1026" spans="1:3" x14ac:dyDescent="0.15">
      <c r="A1026" s="66"/>
      <c r="B1026" s="66"/>
      <c r="C1026" s="419"/>
    </row>
    <row r="1027" spans="1:3" x14ac:dyDescent="0.15">
      <c r="A1027" s="66"/>
      <c r="B1027" s="66"/>
      <c r="C1027" s="419"/>
    </row>
    <row r="1028" spans="1:3" x14ac:dyDescent="0.15">
      <c r="A1028" s="66"/>
      <c r="B1028" s="66"/>
      <c r="C1028" s="419"/>
    </row>
    <row r="1029" spans="1:3" x14ac:dyDescent="0.15">
      <c r="A1029" s="66"/>
      <c r="B1029" s="66"/>
      <c r="C1029" s="419"/>
    </row>
    <row r="1030" spans="1:3" x14ac:dyDescent="0.15">
      <c r="A1030" s="66"/>
      <c r="B1030" s="66"/>
      <c r="C1030" s="419"/>
    </row>
    <row r="1031" spans="1:3" x14ac:dyDescent="0.15">
      <c r="A1031" s="66"/>
      <c r="B1031" s="66"/>
      <c r="C1031" s="419"/>
    </row>
    <row r="1032" spans="1:3" x14ac:dyDescent="0.15">
      <c r="A1032" s="66"/>
      <c r="B1032" s="66"/>
      <c r="C1032" s="419"/>
    </row>
    <row r="1033" spans="1:3" x14ac:dyDescent="0.15">
      <c r="A1033" s="66"/>
      <c r="B1033" s="66"/>
      <c r="C1033" s="419"/>
    </row>
    <row r="1034" spans="1:3" x14ac:dyDescent="0.15">
      <c r="A1034" s="66"/>
      <c r="B1034" s="66"/>
      <c r="C1034" s="419"/>
    </row>
    <row r="1035" spans="1:3" x14ac:dyDescent="0.15">
      <c r="A1035" s="66"/>
      <c r="B1035" s="66"/>
      <c r="C1035" s="419"/>
    </row>
    <row r="1036" spans="1:3" x14ac:dyDescent="0.15">
      <c r="A1036" s="66"/>
      <c r="B1036" s="66"/>
      <c r="C1036" s="419"/>
    </row>
    <row r="1037" spans="1:3" x14ac:dyDescent="0.15">
      <c r="A1037" s="66"/>
      <c r="B1037" s="66"/>
      <c r="C1037" s="419"/>
    </row>
    <row r="1038" spans="1:3" x14ac:dyDescent="0.15">
      <c r="A1038" s="66"/>
      <c r="B1038" s="66"/>
      <c r="C1038" s="419"/>
    </row>
    <row r="1039" spans="1:3" x14ac:dyDescent="0.15">
      <c r="A1039" s="66"/>
      <c r="B1039" s="66"/>
      <c r="C1039" s="419"/>
    </row>
    <row r="1040" spans="1:3" x14ac:dyDescent="0.15">
      <c r="A1040" s="66"/>
      <c r="B1040" s="66"/>
      <c r="C1040" s="419"/>
    </row>
    <row r="1041" spans="1:3" x14ac:dyDescent="0.15">
      <c r="A1041" s="66"/>
      <c r="B1041" s="66"/>
      <c r="C1041" s="419"/>
    </row>
    <row r="1042" spans="1:3" x14ac:dyDescent="0.15">
      <c r="A1042" s="66"/>
      <c r="B1042" s="66"/>
      <c r="C1042" s="419"/>
    </row>
    <row r="1043" spans="1:3" x14ac:dyDescent="0.15">
      <c r="A1043" s="66"/>
      <c r="B1043" s="66"/>
      <c r="C1043" s="419"/>
    </row>
    <row r="1044" spans="1:3" x14ac:dyDescent="0.15">
      <c r="A1044" s="66"/>
      <c r="B1044" s="66"/>
      <c r="C1044" s="419"/>
    </row>
    <row r="1045" spans="1:3" x14ac:dyDescent="0.15">
      <c r="A1045" s="66"/>
      <c r="B1045" s="66"/>
      <c r="C1045" s="419"/>
    </row>
    <row r="1046" spans="1:3" x14ac:dyDescent="0.15">
      <c r="A1046" s="66"/>
      <c r="B1046" s="66"/>
      <c r="C1046" s="419"/>
    </row>
    <row r="1047" spans="1:3" x14ac:dyDescent="0.15">
      <c r="A1047" s="66"/>
      <c r="B1047" s="66"/>
      <c r="C1047" s="419"/>
    </row>
    <row r="1048" spans="1:3" x14ac:dyDescent="0.15">
      <c r="A1048" s="66"/>
      <c r="B1048" s="66"/>
      <c r="C1048" s="419"/>
    </row>
    <row r="1049" spans="1:3" x14ac:dyDescent="0.15">
      <c r="A1049" s="66"/>
      <c r="B1049" s="66"/>
      <c r="C1049" s="419"/>
    </row>
    <row r="1050" spans="1:3" x14ac:dyDescent="0.15">
      <c r="A1050" s="66"/>
      <c r="B1050" s="66"/>
      <c r="C1050" s="419"/>
    </row>
    <row r="1051" spans="1:3" x14ac:dyDescent="0.15">
      <c r="A1051" s="66"/>
      <c r="B1051" s="66"/>
      <c r="C1051" s="419"/>
    </row>
    <row r="1052" spans="1:3" x14ac:dyDescent="0.15">
      <c r="A1052" s="66"/>
      <c r="B1052" s="66"/>
      <c r="C1052" s="419"/>
    </row>
    <row r="1053" spans="1:3" x14ac:dyDescent="0.15">
      <c r="A1053" s="66"/>
      <c r="B1053" s="66"/>
      <c r="C1053" s="419"/>
    </row>
    <row r="1054" spans="1:3" x14ac:dyDescent="0.15">
      <c r="A1054" s="66"/>
      <c r="B1054" s="66"/>
      <c r="C1054" s="419"/>
    </row>
    <row r="1055" spans="1:3" x14ac:dyDescent="0.15">
      <c r="A1055" s="66"/>
      <c r="B1055" s="66"/>
      <c r="C1055" s="419"/>
    </row>
    <row r="1056" spans="1:3" x14ac:dyDescent="0.15">
      <c r="A1056" s="66"/>
      <c r="B1056" s="66"/>
      <c r="C1056" s="419"/>
    </row>
    <row r="1057" spans="1:3" x14ac:dyDescent="0.15">
      <c r="A1057" s="66"/>
      <c r="B1057" s="66"/>
      <c r="C1057" s="419"/>
    </row>
    <row r="1058" spans="1:3" x14ac:dyDescent="0.15">
      <c r="A1058" s="66"/>
      <c r="B1058" s="66"/>
      <c r="C1058" s="419"/>
    </row>
    <row r="1059" spans="1:3" x14ac:dyDescent="0.15">
      <c r="A1059" s="66"/>
      <c r="B1059" s="66"/>
      <c r="C1059" s="419"/>
    </row>
    <row r="1060" spans="1:3" x14ac:dyDescent="0.15">
      <c r="A1060" s="66"/>
      <c r="B1060" s="66"/>
      <c r="C1060" s="419"/>
    </row>
    <row r="1061" spans="1:3" x14ac:dyDescent="0.15">
      <c r="A1061" s="66"/>
      <c r="B1061" s="66"/>
      <c r="C1061" s="419"/>
    </row>
    <row r="1062" spans="1:3" x14ac:dyDescent="0.15">
      <c r="A1062" s="66"/>
      <c r="B1062" s="66"/>
      <c r="C1062" s="419"/>
    </row>
    <row r="1063" spans="1:3" x14ac:dyDescent="0.15">
      <c r="A1063" s="66"/>
      <c r="B1063" s="66"/>
      <c r="C1063" s="419"/>
    </row>
    <row r="1064" spans="1:3" x14ac:dyDescent="0.15">
      <c r="A1064" s="66"/>
      <c r="B1064" s="66"/>
      <c r="C1064" s="419"/>
    </row>
    <row r="1065" spans="1:3" x14ac:dyDescent="0.15">
      <c r="A1065" s="66"/>
      <c r="B1065" s="66"/>
      <c r="C1065" s="419"/>
    </row>
    <row r="1066" spans="1:3" x14ac:dyDescent="0.15">
      <c r="A1066" s="66"/>
      <c r="B1066" s="66"/>
      <c r="C1066" s="419"/>
    </row>
    <row r="1067" spans="1:3" x14ac:dyDescent="0.15">
      <c r="A1067" s="66"/>
      <c r="B1067" s="66"/>
      <c r="C1067" s="419"/>
    </row>
    <row r="1068" spans="1:3" x14ac:dyDescent="0.15">
      <c r="A1068" s="66"/>
      <c r="B1068" s="66"/>
      <c r="C1068" s="419"/>
    </row>
    <row r="1069" spans="1:3" x14ac:dyDescent="0.15">
      <c r="A1069" s="66"/>
      <c r="B1069" s="66"/>
      <c r="C1069" s="419"/>
    </row>
    <row r="1070" spans="1:3" x14ac:dyDescent="0.15">
      <c r="A1070" s="66"/>
      <c r="B1070" s="66"/>
      <c r="C1070" s="419"/>
    </row>
    <row r="1071" spans="1:3" x14ac:dyDescent="0.15">
      <c r="A1071" s="66"/>
      <c r="B1071" s="66"/>
      <c r="C1071" s="419"/>
    </row>
    <row r="1072" spans="1:3" x14ac:dyDescent="0.15">
      <c r="A1072" s="66"/>
      <c r="B1072" s="66"/>
      <c r="C1072" s="419"/>
    </row>
    <row r="1073" spans="1:3" x14ac:dyDescent="0.15">
      <c r="A1073" s="66"/>
      <c r="B1073" s="66"/>
      <c r="C1073" s="419"/>
    </row>
    <row r="1074" spans="1:3" x14ac:dyDescent="0.15">
      <c r="A1074" s="66"/>
      <c r="B1074" s="66"/>
      <c r="C1074" s="419"/>
    </row>
    <row r="1075" spans="1:3" x14ac:dyDescent="0.15">
      <c r="A1075" s="66"/>
      <c r="B1075" s="66"/>
      <c r="C1075" s="419"/>
    </row>
    <row r="1076" spans="1:3" x14ac:dyDescent="0.15">
      <c r="A1076" s="66"/>
      <c r="B1076" s="66"/>
      <c r="C1076" s="419"/>
    </row>
    <row r="1077" spans="1:3" x14ac:dyDescent="0.15">
      <c r="A1077" s="66"/>
      <c r="B1077" s="66"/>
      <c r="C1077" s="419"/>
    </row>
    <row r="1078" spans="1:3" x14ac:dyDescent="0.15">
      <c r="A1078" s="66"/>
      <c r="B1078" s="66"/>
      <c r="C1078" s="419"/>
    </row>
    <row r="1079" spans="1:3" x14ac:dyDescent="0.15">
      <c r="A1079" s="66"/>
      <c r="B1079" s="66"/>
      <c r="C1079" s="419"/>
    </row>
    <row r="1080" spans="1:3" x14ac:dyDescent="0.15">
      <c r="A1080" s="66"/>
      <c r="B1080" s="66"/>
      <c r="C1080" s="419"/>
    </row>
    <row r="1081" spans="1:3" x14ac:dyDescent="0.15">
      <c r="A1081" s="66"/>
      <c r="B1081" s="66"/>
      <c r="C1081" s="419"/>
    </row>
    <row r="1082" spans="1:3" x14ac:dyDescent="0.15">
      <c r="A1082" s="66"/>
      <c r="B1082" s="66"/>
      <c r="C1082" s="419"/>
    </row>
    <row r="1083" spans="1:3" x14ac:dyDescent="0.15">
      <c r="A1083" s="66"/>
      <c r="B1083" s="66"/>
      <c r="C1083" s="419"/>
    </row>
    <row r="1084" spans="1:3" x14ac:dyDescent="0.15">
      <c r="A1084" s="66"/>
      <c r="B1084" s="66"/>
      <c r="C1084" s="419"/>
    </row>
    <row r="1085" spans="1:3" x14ac:dyDescent="0.15">
      <c r="A1085" s="66"/>
      <c r="B1085" s="66"/>
      <c r="C1085" s="419"/>
    </row>
    <row r="1086" spans="1:3" x14ac:dyDescent="0.15">
      <c r="A1086" s="66"/>
      <c r="B1086" s="66"/>
      <c r="C1086" s="419"/>
    </row>
    <row r="1087" spans="1:3" x14ac:dyDescent="0.15">
      <c r="A1087" s="66"/>
      <c r="B1087" s="66"/>
      <c r="C1087" s="419"/>
    </row>
    <row r="1088" spans="1:3" x14ac:dyDescent="0.15">
      <c r="A1088" s="66"/>
      <c r="B1088" s="66"/>
      <c r="C1088" s="419"/>
    </row>
    <row r="1089" spans="1:3" x14ac:dyDescent="0.15">
      <c r="A1089" s="66"/>
      <c r="B1089" s="66"/>
      <c r="C1089" s="419"/>
    </row>
    <row r="1090" spans="1:3" x14ac:dyDescent="0.15">
      <c r="A1090" s="66"/>
      <c r="B1090" s="66"/>
      <c r="C1090" s="419"/>
    </row>
    <row r="1091" spans="1:3" x14ac:dyDescent="0.15">
      <c r="A1091" s="66"/>
      <c r="B1091" s="66"/>
      <c r="C1091" s="419"/>
    </row>
    <row r="1092" spans="1:3" x14ac:dyDescent="0.15">
      <c r="A1092" s="66"/>
      <c r="B1092" s="66"/>
      <c r="C1092" s="419"/>
    </row>
    <row r="1093" spans="1:3" x14ac:dyDescent="0.15">
      <c r="A1093" s="66"/>
      <c r="B1093" s="66"/>
      <c r="C1093" s="419"/>
    </row>
    <row r="1094" spans="1:3" x14ac:dyDescent="0.15">
      <c r="A1094" s="66"/>
      <c r="B1094" s="66"/>
      <c r="C1094" s="419"/>
    </row>
    <row r="1095" spans="1:3" x14ac:dyDescent="0.15">
      <c r="A1095" s="66"/>
      <c r="B1095" s="66"/>
      <c r="C1095" s="419"/>
    </row>
    <row r="1096" spans="1:3" x14ac:dyDescent="0.15">
      <c r="A1096" s="66"/>
      <c r="B1096" s="66"/>
      <c r="C1096" s="419"/>
    </row>
    <row r="1097" spans="1:3" x14ac:dyDescent="0.15">
      <c r="A1097" s="66"/>
      <c r="B1097" s="66"/>
      <c r="C1097" s="419"/>
    </row>
    <row r="1098" spans="1:3" x14ac:dyDescent="0.15">
      <c r="A1098" s="66"/>
      <c r="B1098" s="66"/>
      <c r="C1098" s="419"/>
    </row>
    <row r="1099" spans="1:3" x14ac:dyDescent="0.15">
      <c r="A1099" s="66"/>
      <c r="B1099" s="66"/>
      <c r="C1099" s="419"/>
    </row>
    <row r="1100" spans="1:3" x14ac:dyDescent="0.15">
      <c r="A1100" s="66"/>
      <c r="B1100" s="66"/>
      <c r="C1100" s="419"/>
    </row>
    <row r="1101" spans="1:3" x14ac:dyDescent="0.15">
      <c r="A1101" s="66"/>
      <c r="B1101" s="66"/>
      <c r="C1101" s="419"/>
    </row>
    <row r="1102" spans="1:3" x14ac:dyDescent="0.15">
      <c r="A1102" s="66"/>
      <c r="B1102" s="66"/>
      <c r="C1102" s="419"/>
    </row>
    <row r="1103" spans="1:3" x14ac:dyDescent="0.15">
      <c r="A1103" s="66"/>
      <c r="B1103" s="66"/>
      <c r="C1103" s="419"/>
    </row>
    <row r="1104" spans="1:3" x14ac:dyDescent="0.15">
      <c r="A1104" s="66"/>
      <c r="B1104" s="66"/>
      <c r="C1104" s="419"/>
    </row>
    <row r="1105" spans="1:3" x14ac:dyDescent="0.15">
      <c r="A1105" s="66"/>
      <c r="B1105" s="66"/>
      <c r="C1105" s="419"/>
    </row>
    <row r="1106" spans="1:3" x14ac:dyDescent="0.15">
      <c r="A1106" s="66"/>
      <c r="B1106" s="66"/>
      <c r="C1106" s="419"/>
    </row>
    <row r="1107" spans="1:3" x14ac:dyDescent="0.15">
      <c r="A1107" s="66"/>
      <c r="B1107" s="66"/>
      <c r="C1107" s="419"/>
    </row>
    <row r="1108" spans="1:3" x14ac:dyDescent="0.15">
      <c r="A1108" s="66"/>
      <c r="B1108" s="66"/>
      <c r="C1108" s="419"/>
    </row>
    <row r="1109" spans="1:3" x14ac:dyDescent="0.15">
      <c r="A1109" s="66"/>
      <c r="B1109" s="66"/>
      <c r="C1109" s="419"/>
    </row>
    <row r="1110" spans="1:3" x14ac:dyDescent="0.15">
      <c r="A1110" s="66"/>
      <c r="B1110" s="66"/>
      <c r="C1110" s="419"/>
    </row>
    <row r="1111" spans="1:3" x14ac:dyDescent="0.15">
      <c r="A1111" s="66"/>
      <c r="B1111" s="66"/>
      <c r="C1111" s="419"/>
    </row>
    <row r="1112" spans="1:3" x14ac:dyDescent="0.15">
      <c r="A1112" s="66"/>
      <c r="B1112" s="66"/>
      <c r="C1112" s="419"/>
    </row>
    <row r="1113" spans="1:3" x14ac:dyDescent="0.15">
      <c r="A1113" s="66"/>
      <c r="B1113" s="66"/>
      <c r="C1113" s="419"/>
    </row>
    <row r="1114" spans="1:3" x14ac:dyDescent="0.15">
      <c r="A1114" s="66"/>
      <c r="B1114" s="66"/>
      <c r="C1114" s="419"/>
    </row>
    <row r="1115" spans="1:3" x14ac:dyDescent="0.15">
      <c r="A1115" s="66"/>
      <c r="B1115" s="66"/>
      <c r="C1115" s="419"/>
    </row>
    <row r="1116" spans="1:3" x14ac:dyDescent="0.15">
      <c r="A1116" s="66"/>
      <c r="B1116" s="66"/>
      <c r="C1116" s="419"/>
    </row>
    <row r="1117" spans="1:3" x14ac:dyDescent="0.15">
      <c r="A1117" s="66"/>
      <c r="B1117" s="66"/>
      <c r="C1117" s="419"/>
    </row>
    <row r="1118" spans="1:3" x14ac:dyDescent="0.15">
      <c r="A1118" s="66"/>
      <c r="B1118" s="66"/>
      <c r="C1118" s="419"/>
    </row>
    <row r="1119" spans="1:3" x14ac:dyDescent="0.15">
      <c r="A1119" s="66"/>
      <c r="B1119" s="66"/>
      <c r="C1119" s="419"/>
    </row>
    <row r="1120" spans="1:3" x14ac:dyDescent="0.15">
      <c r="A1120" s="66"/>
      <c r="B1120" s="66"/>
      <c r="C1120" s="419"/>
    </row>
    <row r="1121" spans="1:3" x14ac:dyDescent="0.15">
      <c r="A1121" s="66"/>
      <c r="B1121" s="66"/>
      <c r="C1121" s="419"/>
    </row>
    <row r="1122" spans="1:3" x14ac:dyDescent="0.15">
      <c r="A1122" s="66"/>
      <c r="B1122" s="66"/>
      <c r="C1122" s="419"/>
    </row>
    <row r="1123" spans="1:3" x14ac:dyDescent="0.15">
      <c r="A1123" s="66"/>
      <c r="B1123" s="66"/>
      <c r="C1123" s="419"/>
    </row>
    <row r="1124" spans="1:3" x14ac:dyDescent="0.15">
      <c r="A1124" s="66"/>
      <c r="B1124" s="66"/>
      <c r="C1124" s="419"/>
    </row>
    <row r="1125" spans="1:3" x14ac:dyDescent="0.15">
      <c r="A1125" s="66"/>
      <c r="B1125" s="66"/>
      <c r="C1125" s="419"/>
    </row>
    <row r="1126" spans="1:3" x14ac:dyDescent="0.15">
      <c r="A1126" s="66"/>
      <c r="B1126" s="66"/>
      <c r="C1126" s="419"/>
    </row>
    <row r="1127" spans="1:3" x14ac:dyDescent="0.15">
      <c r="A1127" s="66"/>
      <c r="B1127" s="66"/>
      <c r="C1127" s="419"/>
    </row>
    <row r="1128" spans="1:3" x14ac:dyDescent="0.15">
      <c r="A1128" s="66"/>
      <c r="B1128" s="66"/>
      <c r="C1128" s="419"/>
    </row>
    <row r="1129" spans="1:3" x14ac:dyDescent="0.15">
      <c r="A1129" s="66"/>
      <c r="B1129" s="66"/>
      <c r="C1129" s="419"/>
    </row>
    <row r="1130" spans="1:3" x14ac:dyDescent="0.15">
      <c r="A1130" s="66"/>
      <c r="B1130" s="66"/>
      <c r="C1130" s="419"/>
    </row>
    <row r="1131" spans="1:3" x14ac:dyDescent="0.15">
      <c r="A1131" s="66"/>
      <c r="B1131" s="66"/>
      <c r="C1131" s="419"/>
    </row>
    <row r="1132" spans="1:3" x14ac:dyDescent="0.15">
      <c r="A1132" s="66"/>
      <c r="B1132" s="66"/>
      <c r="C1132" s="419"/>
    </row>
    <row r="1133" spans="1:3" x14ac:dyDescent="0.15">
      <c r="A1133" s="66"/>
      <c r="B1133" s="66"/>
      <c r="C1133" s="419"/>
    </row>
    <row r="1134" spans="1:3" x14ac:dyDescent="0.15">
      <c r="A1134" s="66"/>
      <c r="B1134" s="66"/>
      <c r="C1134" s="419"/>
    </row>
    <row r="1135" spans="1:3" x14ac:dyDescent="0.15">
      <c r="A1135" s="66"/>
      <c r="B1135" s="66"/>
      <c r="C1135" s="419"/>
    </row>
    <row r="1136" spans="1:3" x14ac:dyDescent="0.15">
      <c r="A1136" s="66"/>
      <c r="B1136" s="66"/>
      <c r="C1136" s="419"/>
    </row>
    <row r="1137" spans="1:3" x14ac:dyDescent="0.15">
      <c r="A1137" s="66"/>
      <c r="B1137" s="66"/>
      <c r="C1137" s="419"/>
    </row>
    <row r="1138" spans="1:3" x14ac:dyDescent="0.15">
      <c r="A1138" s="66"/>
      <c r="B1138" s="66"/>
      <c r="C1138" s="419"/>
    </row>
    <row r="1139" spans="1:3" x14ac:dyDescent="0.15">
      <c r="A1139" s="66"/>
      <c r="B1139" s="66"/>
      <c r="C1139" s="419"/>
    </row>
    <row r="1140" spans="1:3" x14ac:dyDescent="0.15">
      <c r="A1140" s="66"/>
      <c r="B1140" s="66"/>
      <c r="C1140" s="419"/>
    </row>
    <row r="1141" spans="1:3" x14ac:dyDescent="0.15">
      <c r="A1141" s="66"/>
      <c r="B1141" s="66"/>
      <c r="C1141" s="419"/>
    </row>
    <row r="1142" spans="1:3" x14ac:dyDescent="0.15">
      <c r="A1142" s="66"/>
      <c r="B1142" s="66"/>
      <c r="C1142" s="419"/>
    </row>
    <row r="1143" spans="1:3" x14ac:dyDescent="0.15">
      <c r="A1143" s="66"/>
      <c r="B1143" s="66"/>
      <c r="C1143" s="419"/>
    </row>
    <row r="1144" spans="1:3" x14ac:dyDescent="0.15">
      <c r="A1144" s="66"/>
      <c r="B1144" s="66"/>
      <c r="C1144" s="419"/>
    </row>
    <row r="1145" spans="1:3" x14ac:dyDescent="0.15">
      <c r="A1145" s="66"/>
      <c r="B1145" s="66"/>
      <c r="C1145" s="419"/>
    </row>
    <row r="1146" spans="1:3" x14ac:dyDescent="0.15">
      <c r="A1146" s="66"/>
      <c r="B1146" s="66"/>
      <c r="C1146" s="419"/>
    </row>
    <row r="1147" spans="1:3" x14ac:dyDescent="0.15">
      <c r="A1147" s="66"/>
      <c r="B1147" s="66"/>
      <c r="C1147" s="419"/>
    </row>
    <row r="1148" spans="1:3" x14ac:dyDescent="0.15">
      <c r="A1148" s="66"/>
      <c r="B1148" s="66"/>
      <c r="C1148" s="419"/>
    </row>
    <row r="1149" spans="1:3" x14ac:dyDescent="0.15">
      <c r="A1149" s="66"/>
      <c r="B1149" s="66"/>
      <c r="C1149" s="419"/>
    </row>
    <row r="1150" spans="1:3" x14ac:dyDescent="0.15">
      <c r="A1150" s="66"/>
      <c r="B1150" s="66"/>
      <c r="C1150" s="419"/>
    </row>
    <row r="1151" spans="1:3" x14ac:dyDescent="0.15">
      <c r="A1151" s="66"/>
      <c r="B1151" s="66"/>
      <c r="C1151" s="419"/>
    </row>
    <row r="1152" spans="1:3" x14ac:dyDescent="0.15">
      <c r="A1152" s="66"/>
      <c r="B1152" s="66"/>
      <c r="C1152" s="419"/>
    </row>
    <row r="1153" spans="1:3" x14ac:dyDescent="0.15">
      <c r="A1153" s="66"/>
      <c r="B1153" s="66"/>
      <c r="C1153" s="419"/>
    </row>
    <row r="1154" spans="1:3" x14ac:dyDescent="0.15">
      <c r="A1154" s="66"/>
      <c r="B1154" s="66"/>
      <c r="C1154" s="419"/>
    </row>
    <row r="1155" spans="1:3" x14ac:dyDescent="0.15">
      <c r="A1155" s="66"/>
      <c r="B1155" s="66"/>
      <c r="C1155" s="419"/>
    </row>
    <row r="1156" spans="1:3" x14ac:dyDescent="0.15">
      <c r="A1156" s="66"/>
      <c r="B1156" s="66"/>
      <c r="C1156" s="419"/>
    </row>
    <row r="1157" spans="1:3" x14ac:dyDescent="0.15">
      <c r="A1157" s="66"/>
      <c r="B1157" s="66"/>
      <c r="C1157" s="419"/>
    </row>
    <row r="1158" spans="1:3" x14ac:dyDescent="0.15">
      <c r="A1158" s="66"/>
      <c r="B1158" s="66"/>
      <c r="C1158" s="419"/>
    </row>
    <row r="1159" spans="1:3" x14ac:dyDescent="0.15">
      <c r="A1159" s="66"/>
      <c r="B1159" s="66"/>
      <c r="C1159" s="419"/>
    </row>
    <row r="1160" spans="1:3" x14ac:dyDescent="0.15">
      <c r="A1160" s="66"/>
      <c r="B1160" s="66"/>
      <c r="C1160" s="419"/>
    </row>
    <row r="1161" spans="1:3" x14ac:dyDescent="0.15">
      <c r="A1161" s="66"/>
      <c r="B1161" s="66"/>
      <c r="C1161" s="419"/>
    </row>
    <row r="1162" spans="1:3" x14ac:dyDescent="0.15">
      <c r="A1162" s="66"/>
      <c r="B1162" s="66"/>
      <c r="C1162" s="419"/>
    </row>
    <row r="1163" spans="1:3" x14ac:dyDescent="0.15">
      <c r="A1163" s="66"/>
      <c r="B1163" s="66"/>
      <c r="C1163" s="419"/>
    </row>
    <row r="1164" spans="1:3" x14ac:dyDescent="0.15">
      <c r="A1164" s="66"/>
      <c r="B1164" s="66"/>
      <c r="C1164" s="419"/>
    </row>
    <row r="1165" spans="1:3" x14ac:dyDescent="0.15">
      <c r="A1165" s="66"/>
      <c r="B1165" s="66"/>
      <c r="C1165" s="419"/>
    </row>
    <row r="1166" spans="1:3" x14ac:dyDescent="0.15">
      <c r="A1166" s="66"/>
      <c r="B1166" s="66"/>
      <c r="C1166" s="419"/>
    </row>
    <row r="1167" spans="1:3" x14ac:dyDescent="0.15">
      <c r="A1167" s="66"/>
      <c r="B1167" s="66"/>
      <c r="C1167" s="419"/>
    </row>
    <row r="1168" spans="1:3" x14ac:dyDescent="0.15">
      <c r="A1168" s="66"/>
      <c r="B1168" s="66"/>
      <c r="C1168" s="419"/>
    </row>
    <row r="1169" spans="1:3" x14ac:dyDescent="0.15">
      <c r="A1169" s="66"/>
      <c r="B1169" s="66"/>
      <c r="C1169" s="419"/>
    </row>
    <row r="1170" spans="1:3" x14ac:dyDescent="0.15">
      <c r="A1170" s="66"/>
      <c r="B1170" s="66"/>
      <c r="C1170" s="419"/>
    </row>
    <row r="1171" spans="1:3" x14ac:dyDescent="0.15">
      <c r="A1171" s="66"/>
      <c r="B1171" s="66"/>
      <c r="C1171" s="419"/>
    </row>
    <row r="1172" spans="1:3" x14ac:dyDescent="0.15">
      <c r="A1172" s="66"/>
      <c r="B1172" s="66"/>
      <c r="C1172" s="419"/>
    </row>
    <row r="1173" spans="1:3" x14ac:dyDescent="0.15">
      <c r="A1173" s="66"/>
      <c r="B1173" s="66"/>
      <c r="C1173" s="419"/>
    </row>
    <row r="1174" spans="1:3" x14ac:dyDescent="0.15">
      <c r="A1174" s="66"/>
      <c r="B1174" s="66"/>
      <c r="C1174" s="419"/>
    </row>
    <row r="1175" spans="1:3" x14ac:dyDescent="0.15">
      <c r="A1175" s="66"/>
      <c r="B1175" s="66"/>
      <c r="C1175" s="419"/>
    </row>
    <row r="1176" spans="1:3" x14ac:dyDescent="0.15">
      <c r="A1176" s="66"/>
      <c r="B1176" s="66"/>
      <c r="C1176" s="419"/>
    </row>
    <row r="1177" spans="1:3" x14ac:dyDescent="0.15">
      <c r="A1177" s="66"/>
      <c r="B1177" s="66"/>
      <c r="C1177" s="419"/>
    </row>
    <row r="1178" spans="1:3" x14ac:dyDescent="0.15">
      <c r="A1178" s="66"/>
      <c r="B1178" s="66"/>
      <c r="C1178" s="419"/>
    </row>
    <row r="1179" spans="1:3" x14ac:dyDescent="0.15">
      <c r="A1179" s="66"/>
      <c r="B1179" s="66"/>
      <c r="C1179" s="419"/>
    </row>
    <row r="1180" spans="1:3" x14ac:dyDescent="0.15">
      <c r="A1180" s="66"/>
      <c r="B1180" s="66"/>
      <c r="C1180" s="419"/>
    </row>
    <row r="1181" spans="1:3" x14ac:dyDescent="0.15">
      <c r="A1181" s="66"/>
      <c r="B1181" s="66"/>
      <c r="C1181" s="419"/>
    </row>
    <row r="1182" spans="1:3" x14ac:dyDescent="0.15">
      <c r="A1182" s="66"/>
      <c r="B1182" s="66"/>
      <c r="C1182" s="419"/>
    </row>
    <row r="1183" spans="1:3" x14ac:dyDescent="0.15">
      <c r="A1183" s="66"/>
      <c r="B1183" s="66"/>
      <c r="C1183" s="419"/>
    </row>
    <row r="1184" spans="1:3" x14ac:dyDescent="0.15">
      <c r="A1184" s="66"/>
      <c r="B1184" s="66"/>
      <c r="C1184" s="419"/>
    </row>
    <row r="1185" spans="1:3" x14ac:dyDescent="0.15">
      <c r="A1185" s="66"/>
      <c r="B1185" s="66"/>
      <c r="C1185" s="419"/>
    </row>
    <row r="1186" spans="1:3" x14ac:dyDescent="0.15">
      <c r="A1186" s="66"/>
      <c r="B1186" s="66"/>
      <c r="C1186" s="419"/>
    </row>
    <row r="1187" spans="1:3" x14ac:dyDescent="0.15">
      <c r="A1187" s="66"/>
      <c r="B1187" s="66"/>
      <c r="C1187" s="419"/>
    </row>
    <row r="1188" spans="1:3" x14ac:dyDescent="0.15">
      <c r="A1188" s="66"/>
      <c r="B1188" s="66"/>
      <c r="C1188" s="419"/>
    </row>
    <row r="1189" spans="1:3" x14ac:dyDescent="0.15">
      <c r="A1189" s="66"/>
      <c r="B1189" s="66"/>
      <c r="C1189" s="419"/>
    </row>
    <row r="1190" spans="1:3" x14ac:dyDescent="0.15">
      <c r="A1190" s="66"/>
      <c r="B1190" s="66"/>
      <c r="C1190" s="419"/>
    </row>
    <row r="1191" spans="1:3" x14ac:dyDescent="0.15">
      <c r="A1191" s="66"/>
      <c r="B1191" s="66"/>
      <c r="C1191" s="419"/>
    </row>
    <row r="1192" spans="1:3" x14ac:dyDescent="0.15">
      <c r="A1192" s="66"/>
      <c r="B1192" s="66"/>
      <c r="C1192" s="419"/>
    </row>
    <row r="1193" spans="1:3" x14ac:dyDescent="0.15">
      <c r="A1193" s="66"/>
      <c r="B1193" s="66"/>
      <c r="C1193" s="419"/>
    </row>
    <row r="1194" spans="1:3" x14ac:dyDescent="0.15">
      <c r="A1194" s="66"/>
      <c r="B1194" s="66"/>
      <c r="C1194" s="419"/>
    </row>
    <row r="1195" spans="1:3" x14ac:dyDescent="0.15">
      <c r="A1195" s="66"/>
      <c r="B1195" s="66"/>
      <c r="C1195" s="419"/>
    </row>
    <row r="1196" spans="1:3" x14ac:dyDescent="0.15">
      <c r="A1196" s="66"/>
      <c r="B1196" s="66"/>
      <c r="C1196" s="419"/>
    </row>
    <row r="1197" spans="1:3" x14ac:dyDescent="0.15">
      <c r="A1197" s="66"/>
      <c r="B1197" s="66"/>
      <c r="C1197" s="419"/>
    </row>
    <row r="1198" spans="1:3" x14ac:dyDescent="0.15">
      <c r="A1198" s="66"/>
      <c r="B1198" s="66"/>
      <c r="C1198" s="419"/>
    </row>
    <row r="1199" spans="1:3" x14ac:dyDescent="0.15">
      <c r="A1199" s="66"/>
      <c r="B1199" s="66"/>
      <c r="C1199" s="419"/>
    </row>
    <row r="1200" spans="1:3" x14ac:dyDescent="0.15">
      <c r="A1200" s="66"/>
      <c r="B1200" s="66"/>
      <c r="C1200" s="419"/>
    </row>
    <row r="1201" spans="1:3" x14ac:dyDescent="0.15">
      <c r="A1201" s="66"/>
      <c r="B1201" s="66"/>
      <c r="C1201" s="419"/>
    </row>
    <row r="1202" spans="1:3" x14ac:dyDescent="0.15">
      <c r="A1202" s="66"/>
      <c r="B1202" s="66"/>
      <c r="C1202" s="419"/>
    </row>
    <row r="1203" spans="1:3" x14ac:dyDescent="0.15">
      <c r="A1203" s="66"/>
      <c r="B1203" s="66"/>
      <c r="C1203" s="419"/>
    </row>
    <row r="1204" spans="1:3" x14ac:dyDescent="0.15">
      <c r="A1204" s="66"/>
      <c r="B1204" s="66"/>
      <c r="C1204" s="419"/>
    </row>
    <row r="1205" spans="1:3" x14ac:dyDescent="0.15">
      <c r="A1205" s="66"/>
      <c r="B1205" s="66"/>
      <c r="C1205" s="419"/>
    </row>
    <row r="1206" spans="1:3" x14ac:dyDescent="0.15">
      <c r="A1206" s="66"/>
      <c r="B1206" s="66"/>
      <c r="C1206" s="419"/>
    </row>
    <row r="1207" spans="1:3" x14ac:dyDescent="0.15">
      <c r="A1207" s="66"/>
      <c r="B1207" s="66"/>
      <c r="C1207" s="419"/>
    </row>
    <row r="1208" spans="1:3" x14ac:dyDescent="0.15">
      <c r="A1208" s="66"/>
      <c r="B1208" s="66"/>
      <c r="C1208" s="419"/>
    </row>
    <row r="1209" spans="1:3" x14ac:dyDescent="0.15">
      <c r="A1209" s="66"/>
      <c r="B1209" s="66"/>
      <c r="C1209" s="419"/>
    </row>
    <row r="1210" spans="1:3" x14ac:dyDescent="0.15">
      <c r="A1210" s="66"/>
      <c r="B1210" s="66"/>
      <c r="C1210" s="419"/>
    </row>
    <row r="1211" spans="1:3" x14ac:dyDescent="0.15">
      <c r="A1211" s="66"/>
      <c r="B1211" s="66"/>
      <c r="C1211" s="419"/>
    </row>
    <row r="1212" spans="1:3" x14ac:dyDescent="0.15">
      <c r="A1212" s="66"/>
      <c r="B1212" s="66"/>
      <c r="C1212" s="419"/>
    </row>
    <row r="1213" spans="1:3" x14ac:dyDescent="0.15">
      <c r="A1213" s="66"/>
      <c r="B1213" s="66"/>
      <c r="C1213" s="419"/>
    </row>
    <row r="1214" spans="1:3" x14ac:dyDescent="0.15">
      <c r="A1214" s="66"/>
      <c r="B1214" s="66"/>
      <c r="C1214" s="419"/>
    </row>
    <row r="1215" spans="1:3" x14ac:dyDescent="0.15">
      <c r="A1215" s="66"/>
      <c r="B1215" s="66"/>
      <c r="C1215" s="419"/>
    </row>
    <row r="1216" spans="1:3" x14ac:dyDescent="0.15">
      <c r="A1216" s="66"/>
      <c r="B1216" s="66"/>
      <c r="C1216" s="419"/>
    </row>
    <row r="1217" spans="1:3" x14ac:dyDescent="0.15">
      <c r="A1217" s="66"/>
      <c r="B1217" s="66"/>
      <c r="C1217" s="419"/>
    </row>
    <row r="1218" spans="1:3" x14ac:dyDescent="0.15">
      <c r="A1218" s="66"/>
      <c r="B1218" s="66"/>
      <c r="C1218" s="419"/>
    </row>
    <row r="1219" spans="1:3" x14ac:dyDescent="0.15">
      <c r="A1219" s="66"/>
      <c r="B1219" s="66"/>
      <c r="C1219" s="419"/>
    </row>
    <row r="1220" spans="1:3" x14ac:dyDescent="0.15">
      <c r="A1220" s="66"/>
      <c r="B1220" s="66"/>
      <c r="C1220" s="419"/>
    </row>
    <row r="1221" spans="1:3" x14ac:dyDescent="0.15">
      <c r="A1221" s="66"/>
      <c r="B1221" s="66"/>
      <c r="C1221" s="419"/>
    </row>
    <row r="1222" spans="1:3" x14ac:dyDescent="0.15">
      <c r="A1222" s="66"/>
      <c r="B1222" s="66"/>
      <c r="C1222" s="419"/>
    </row>
    <row r="1223" spans="1:3" x14ac:dyDescent="0.15">
      <c r="A1223" s="66"/>
      <c r="B1223" s="66"/>
      <c r="C1223" s="419"/>
    </row>
    <row r="1224" spans="1:3" x14ac:dyDescent="0.15">
      <c r="A1224" s="66"/>
      <c r="B1224" s="66"/>
      <c r="C1224" s="419"/>
    </row>
    <row r="1225" spans="1:3" x14ac:dyDescent="0.15">
      <c r="A1225" s="66"/>
      <c r="B1225" s="66"/>
      <c r="C1225" s="419"/>
    </row>
    <row r="1226" spans="1:3" x14ac:dyDescent="0.15">
      <c r="A1226" s="66"/>
      <c r="B1226" s="66"/>
      <c r="C1226" s="419"/>
    </row>
    <row r="1227" spans="1:3" x14ac:dyDescent="0.15">
      <c r="A1227" s="66"/>
      <c r="B1227" s="66"/>
      <c r="C1227" s="419"/>
    </row>
    <row r="1228" spans="1:3" x14ac:dyDescent="0.15">
      <c r="A1228" s="66"/>
      <c r="B1228" s="66"/>
      <c r="C1228" s="419"/>
    </row>
    <row r="1229" spans="1:3" x14ac:dyDescent="0.15">
      <c r="A1229" s="66"/>
      <c r="B1229" s="66"/>
      <c r="C1229" s="419"/>
    </row>
    <row r="1230" spans="1:3" x14ac:dyDescent="0.15">
      <c r="A1230" s="66"/>
      <c r="B1230" s="66"/>
      <c r="C1230" s="419"/>
    </row>
    <row r="1231" spans="1:3" x14ac:dyDescent="0.15">
      <c r="A1231" s="66"/>
      <c r="B1231" s="66"/>
      <c r="C1231" s="419"/>
    </row>
    <row r="1232" spans="1:3" x14ac:dyDescent="0.15">
      <c r="A1232" s="66"/>
      <c r="B1232" s="66"/>
      <c r="C1232" s="419"/>
    </row>
    <row r="1233" spans="1:3" x14ac:dyDescent="0.15">
      <c r="A1233" s="66"/>
      <c r="B1233" s="66"/>
      <c r="C1233" s="419"/>
    </row>
    <row r="1234" spans="1:3" x14ac:dyDescent="0.15">
      <c r="A1234" s="66"/>
      <c r="B1234" s="66"/>
      <c r="C1234" s="419"/>
    </row>
    <row r="1235" spans="1:3" x14ac:dyDescent="0.15">
      <c r="A1235" s="66"/>
      <c r="B1235" s="66"/>
      <c r="C1235" s="419"/>
    </row>
    <row r="1236" spans="1:3" x14ac:dyDescent="0.15">
      <c r="A1236" s="66"/>
      <c r="B1236" s="66"/>
      <c r="C1236" s="419"/>
    </row>
    <row r="1237" spans="1:3" x14ac:dyDescent="0.15">
      <c r="A1237" s="66"/>
      <c r="B1237" s="66"/>
      <c r="C1237" s="419"/>
    </row>
    <row r="1238" spans="1:3" x14ac:dyDescent="0.15">
      <c r="A1238" s="66"/>
      <c r="B1238" s="66"/>
      <c r="C1238" s="419"/>
    </row>
    <row r="1239" spans="1:3" x14ac:dyDescent="0.15">
      <c r="A1239" s="66"/>
      <c r="B1239" s="66"/>
      <c r="C1239" s="419"/>
    </row>
    <row r="1240" spans="1:3" x14ac:dyDescent="0.15">
      <c r="A1240" s="66"/>
      <c r="B1240" s="66"/>
      <c r="C1240" s="419"/>
    </row>
    <row r="1241" spans="1:3" x14ac:dyDescent="0.15">
      <c r="A1241" s="66"/>
      <c r="B1241" s="66"/>
      <c r="C1241" s="419"/>
    </row>
    <row r="1242" spans="1:3" x14ac:dyDescent="0.15">
      <c r="A1242" s="66"/>
      <c r="B1242" s="66"/>
      <c r="C1242" s="419"/>
    </row>
    <row r="1243" spans="1:3" x14ac:dyDescent="0.15">
      <c r="A1243" s="66"/>
      <c r="B1243" s="66"/>
      <c r="C1243" s="419"/>
    </row>
    <row r="1244" spans="1:3" x14ac:dyDescent="0.15">
      <c r="A1244" s="66"/>
      <c r="B1244" s="66"/>
      <c r="C1244" s="419"/>
    </row>
    <row r="1245" spans="1:3" x14ac:dyDescent="0.15">
      <c r="A1245" s="66"/>
      <c r="B1245" s="66"/>
      <c r="C1245" s="419"/>
    </row>
    <row r="1246" spans="1:3" x14ac:dyDescent="0.15">
      <c r="A1246" s="66"/>
      <c r="B1246" s="66"/>
      <c r="C1246" s="419"/>
    </row>
    <row r="1247" spans="1:3" x14ac:dyDescent="0.15">
      <c r="A1247" s="66"/>
      <c r="B1247" s="66"/>
      <c r="C1247" s="419"/>
    </row>
    <row r="1248" spans="1:3" x14ac:dyDescent="0.15">
      <c r="A1248" s="66"/>
      <c r="B1248" s="66"/>
      <c r="C1248" s="419"/>
    </row>
    <row r="1249" spans="1:3" x14ac:dyDescent="0.15">
      <c r="A1249" s="66"/>
      <c r="B1249" s="66"/>
      <c r="C1249" s="419"/>
    </row>
    <row r="1250" spans="1:3" x14ac:dyDescent="0.15">
      <c r="A1250" s="66"/>
      <c r="B1250" s="66"/>
      <c r="C1250" s="419"/>
    </row>
    <row r="1251" spans="1:3" x14ac:dyDescent="0.15">
      <c r="A1251" s="66"/>
      <c r="B1251" s="66"/>
      <c r="C1251" s="419"/>
    </row>
    <row r="1252" spans="1:3" x14ac:dyDescent="0.15">
      <c r="A1252" s="66"/>
      <c r="B1252" s="66"/>
      <c r="C1252" s="419"/>
    </row>
    <row r="1253" spans="1:3" x14ac:dyDescent="0.15">
      <c r="A1253" s="66"/>
      <c r="B1253" s="66"/>
      <c r="C1253" s="419"/>
    </row>
    <row r="1254" spans="1:3" x14ac:dyDescent="0.15">
      <c r="A1254" s="66"/>
      <c r="B1254" s="66"/>
      <c r="C1254" s="419"/>
    </row>
    <row r="1255" spans="1:3" x14ac:dyDescent="0.15">
      <c r="A1255" s="66"/>
      <c r="B1255" s="66"/>
      <c r="C1255" s="419"/>
    </row>
    <row r="1256" spans="1:3" x14ac:dyDescent="0.15">
      <c r="A1256" s="66"/>
      <c r="B1256" s="66"/>
      <c r="C1256" s="419"/>
    </row>
    <row r="1257" spans="1:3" x14ac:dyDescent="0.15">
      <c r="A1257" s="66"/>
      <c r="B1257" s="66"/>
      <c r="C1257" s="419"/>
    </row>
    <row r="1258" spans="1:3" x14ac:dyDescent="0.15">
      <c r="A1258" s="66"/>
      <c r="B1258" s="66"/>
      <c r="C1258" s="419"/>
    </row>
    <row r="1259" spans="1:3" x14ac:dyDescent="0.15">
      <c r="A1259" s="66"/>
      <c r="B1259" s="66"/>
      <c r="C1259" s="419"/>
    </row>
    <row r="1260" spans="1:3" x14ac:dyDescent="0.15">
      <c r="A1260" s="66"/>
      <c r="B1260" s="66"/>
      <c r="C1260" s="419"/>
    </row>
    <row r="1261" spans="1:3" x14ac:dyDescent="0.15">
      <c r="A1261" s="66"/>
      <c r="B1261" s="66"/>
      <c r="C1261" s="419"/>
    </row>
    <row r="1262" spans="1:3" x14ac:dyDescent="0.15">
      <c r="A1262" s="66"/>
      <c r="B1262" s="66"/>
      <c r="C1262" s="419"/>
    </row>
    <row r="1263" spans="1:3" x14ac:dyDescent="0.15">
      <c r="A1263" s="66"/>
      <c r="B1263" s="66"/>
      <c r="C1263" s="419"/>
    </row>
    <row r="1264" spans="1:3" x14ac:dyDescent="0.15">
      <c r="A1264" s="66"/>
      <c r="B1264" s="66"/>
      <c r="C1264" s="419"/>
    </row>
    <row r="1265" spans="1:3" x14ac:dyDescent="0.15">
      <c r="A1265" s="66"/>
      <c r="B1265" s="66"/>
      <c r="C1265" s="419"/>
    </row>
    <row r="1266" spans="1:3" x14ac:dyDescent="0.15">
      <c r="A1266" s="66"/>
      <c r="B1266" s="66"/>
      <c r="C1266" s="419"/>
    </row>
    <row r="1267" spans="1:3" x14ac:dyDescent="0.15">
      <c r="A1267" s="66"/>
      <c r="B1267" s="66"/>
      <c r="C1267" s="419"/>
    </row>
    <row r="1268" spans="1:3" x14ac:dyDescent="0.15">
      <c r="A1268" s="66"/>
      <c r="B1268" s="66"/>
      <c r="C1268" s="419"/>
    </row>
    <row r="1269" spans="1:3" x14ac:dyDescent="0.15">
      <c r="A1269" s="66"/>
      <c r="B1269" s="66"/>
      <c r="C1269" s="419"/>
    </row>
    <row r="1270" spans="1:3" x14ac:dyDescent="0.15">
      <c r="A1270" s="66"/>
      <c r="B1270" s="66"/>
      <c r="C1270" s="419"/>
    </row>
    <row r="1271" spans="1:3" x14ac:dyDescent="0.15">
      <c r="A1271" s="66"/>
      <c r="B1271" s="66"/>
      <c r="C1271" s="419"/>
    </row>
    <row r="1272" spans="1:3" x14ac:dyDescent="0.15">
      <c r="A1272" s="66"/>
      <c r="B1272" s="66"/>
      <c r="C1272" s="419"/>
    </row>
    <row r="1273" spans="1:3" x14ac:dyDescent="0.15">
      <c r="A1273" s="66"/>
      <c r="B1273" s="66"/>
      <c r="C1273" s="419"/>
    </row>
    <row r="1274" spans="1:3" x14ac:dyDescent="0.15">
      <c r="A1274" s="66"/>
      <c r="B1274" s="66"/>
      <c r="C1274" s="419"/>
    </row>
    <row r="1275" spans="1:3" x14ac:dyDescent="0.15">
      <c r="A1275" s="66"/>
      <c r="B1275" s="66"/>
      <c r="C1275" s="419"/>
    </row>
    <row r="1276" spans="1:3" x14ac:dyDescent="0.15">
      <c r="A1276" s="66"/>
      <c r="B1276" s="66"/>
      <c r="C1276" s="419"/>
    </row>
    <row r="1277" spans="1:3" x14ac:dyDescent="0.15">
      <c r="A1277" s="66"/>
      <c r="B1277" s="66"/>
      <c r="C1277" s="419"/>
    </row>
    <row r="1278" spans="1:3" x14ac:dyDescent="0.15">
      <c r="A1278" s="66"/>
      <c r="B1278" s="66"/>
      <c r="C1278" s="419"/>
    </row>
    <row r="1279" spans="1:3" x14ac:dyDescent="0.15">
      <c r="A1279" s="66"/>
      <c r="B1279" s="66"/>
      <c r="C1279" s="419"/>
    </row>
    <row r="1280" spans="1:3" x14ac:dyDescent="0.15">
      <c r="A1280" s="66"/>
      <c r="B1280" s="66"/>
      <c r="C1280" s="419"/>
    </row>
    <row r="1281" spans="1:3" x14ac:dyDescent="0.15">
      <c r="A1281" s="66"/>
      <c r="B1281" s="66"/>
      <c r="C1281" s="419"/>
    </row>
    <row r="1282" spans="1:3" x14ac:dyDescent="0.15">
      <c r="A1282" s="66"/>
      <c r="B1282" s="66"/>
      <c r="C1282" s="419"/>
    </row>
    <row r="1283" spans="1:3" x14ac:dyDescent="0.15">
      <c r="A1283" s="66"/>
      <c r="B1283" s="66"/>
      <c r="C1283" s="419"/>
    </row>
    <row r="1284" spans="1:3" x14ac:dyDescent="0.15">
      <c r="A1284" s="66"/>
      <c r="B1284" s="66"/>
      <c r="C1284" s="419"/>
    </row>
    <row r="1285" spans="1:3" x14ac:dyDescent="0.15">
      <c r="A1285" s="66"/>
      <c r="B1285" s="66"/>
      <c r="C1285" s="419"/>
    </row>
    <row r="1286" spans="1:3" x14ac:dyDescent="0.15">
      <c r="A1286" s="66"/>
      <c r="B1286" s="66"/>
      <c r="C1286" s="419"/>
    </row>
    <row r="1287" spans="1:3" x14ac:dyDescent="0.15">
      <c r="A1287" s="66"/>
      <c r="B1287" s="66"/>
      <c r="C1287" s="419"/>
    </row>
    <row r="1288" spans="1:3" x14ac:dyDescent="0.15">
      <c r="A1288" s="66"/>
      <c r="B1288" s="66"/>
      <c r="C1288" s="419"/>
    </row>
    <row r="1289" spans="1:3" x14ac:dyDescent="0.15">
      <c r="A1289" s="66"/>
      <c r="B1289" s="66"/>
      <c r="C1289" s="419"/>
    </row>
    <row r="1290" spans="1:3" x14ac:dyDescent="0.15">
      <c r="A1290" s="66"/>
      <c r="B1290" s="66"/>
      <c r="C1290" s="419"/>
    </row>
    <row r="1291" spans="1:3" x14ac:dyDescent="0.15">
      <c r="A1291" s="66"/>
      <c r="B1291" s="66"/>
      <c r="C1291" s="419"/>
    </row>
    <row r="1292" spans="1:3" x14ac:dyDescent="0.15">
      <c r="A1292" s="66"/>
      <c r="B1292" s="66"/>
      <c r="C1292" s="419"/>
    </row>
    <row r="1293" spans="1:3" x14ac:dyDescent="0.15">
      <c r="A1293" s="66"/>
      <c r="B1293" s="66"/>
      <c r="C1293" s="419"/>
    </row>
    <row r="1294" spans="1:3" x14ac:dyDescent="0.15">
      <c r="A1294" s="66"/>
      <c r="B1294" s="66"/>
      <c r="C1294" s="419"/>
    </row>
    <row r="1295" spans="1:3" x14ac:dyDescent="0.15">
      <c r="A1295" s="66"/>
      <c r="B1295" s="66"/>
      <c r="C1295" s="419"/>
    </row>
    <row r="1296" spans="1:3" x14ac:dyDescent="0.15">
      <c r="A1296" s="66"/>
      <c r="B1296" s="66"/>
      <c r="C1296" s="419"/>
    </row>
    <row r="1297" spans="1:3" x14ac:dyDescent="0.15">
      <c r="A1297" s="66"/>
      <c r="B1297" s="66"/>
      <c r="C1297" s="419"/>
    </row>
    <row r="1298" spans="1:3" x14ac:dyDescent="0.15">
      <c r="A1298" s="66"/>
      <c r="B1298" s="66"/>
      <c r="C1298" s="419"/>
    </row>
    <row r="1299" spans="1:3" x14ac:dyDescent="0.15">
      <c r="A1299" s="66"/>
      <c r="B1299" s="66"/>
      <c r="C1299" s="419"/>
    </row>
    <row r="1300" spans="1:3" x14ac:dyDescent="0.15">
      <c r="A1300" s="66"/>
      <c r="B1300" s="66"/>
      <c r="C1300" s="419"/>
    </row>
    <row r="1301" spans="1:3" x14ac:dyDescent="0.15">
      <c r="A1301" s="66"/>
      <c r="B1301" s="66"/>
      <c r="C1301" s="419"/>
    </row>
    <row r="1302" spans="1:3" x14ac:dyDescent="0.15">
      <c r="A1302" s="66"/>
      <c r="B1302" s="66"/>
      <c r="C1302" s="419"/>
    </row>
    <row r="1303" spans="1:3" x14ac:dyDescent="0.15">
      <c r="A1303" s="66"/>
      <c r="B1303" s="66"/>
      <c r="C1303" s="419"/>
    </row>
    <row r="1304" spans="1:3" x14ac:dyDescent="0.15">
      <c r="A1304" s="66"/>
      <c r="B1304" s="66"/>
      <c r="C1304" s="419"/>
    </row>
    <row r="1305" spans="1:3" x14ac:dyDescent="0.15">
      <c r="A1305" s="66"/>
      <c r="B1305" s="66"/>
      <c r="C1305" s="419"/>
    </row>
    <row r="1306" spans="1:3" x14ac:dyDescent="0.15">
      <c r="A1306" s="66"/>
      <c r="B1306" s="66"/>
      <c r="C1306" s="419"/>
    </row>
    <row r="1307" spans="1:3" x14ac:dyDescent="0.15">
      <c r="A1307" s="66"/>
      <c r="B1307" s="66"/>
      <c r="C1307" s="419"/>
    </row>
    <row r="1308" spans="1:3" x14ac:dyDescent="0.15">
      <c r="A1308" s="66"/>
      <c r="B1308" s="66"/>
      <c r="C1308" s="419"/>
    </row>
    <row r="1309" spans="1:3" x14ac:dyDescent="0.15">
      <c r="A1309" s="66"/>
      <c r="B1309" s="66"/>
      <c r="C1309" s="419"/>
    </row>
    <row r="1310" spans="1:3" x14ac:dyDescent="0.15">
      <c r="A1310" s="66"/>
      <c r="B1310" s="66"/>
      <c r="C1310" s="419"/>
    </row>
    <row r="1311" spans="1:3" x14ac:dyDescent="0.15">
      <c r="A1311" s="66"/>
      <c r="B1311" s="66"/>
      <c r="C1311" s="419"/>
    </row>
    <row r="1312" spans="1:3" x14ac:dyDescent="0.15">
      <c r="A1312" s="66"/>
      <c r="B1312" s="66"/>
      <c r="C1312" s="419"/>
    </row>
    <row r="1313" spans="1:3" x14ac:dyDescent="0.15">
      <c r="A1313" s="66"/>
      <c r="B1313" s="66"/>
      <c r="C1313" s="419"/>
    </row>
    <row r="1314" spans="1:3" x14ac:dyDescent="0.15">
      <c r="A1314" s="66"/>
      <c r="B1314" s="66"/>
      <c r="C1314" s="419"/>
    </row>
    <row r="1315" spans="1:3" x14ac:dyDescent="0.15">
      <c r="A1315" s="66"/>
      <c r="B1315" s="66"/>
      <c r="C1315" s="419"/>
    </row>
    <row r="1316" spans="1:3" x14ac:dyDescent="0.15">
      <c r="A1316" s="66"/>
      <c r="B1316" s="66"/>
      <c r="C1316" s="419"/>
    </row>
    <row r="1317" spans="1:3" x14ac:dyDescent="0.15">
      <c r="A1317" s="66"/>
      <c r="B1317" s="66"/>
      <c r="C1317" s="419"/>
    </row>
    <row r="1318" spans="1:3" x14ac:dyDescent="0.15">
      <c r="A1318" s="66"/>
      <c r="B1318" s="66"/>
      <c r="C1318" s="419"/>
    </row>
    <row r="1319" spans="1:3" x14ac:dyDescent="0.15">
      <c r="A1319" s="66"/>
      <c r="B1319" s="66"/>
      <c r="C1319" s="419"/>
    </row>
    <row r="1320" spans="1:3" x14ac:dyDescent="0.15">
      <c r="A1320" s="66"/>
      <c r="B1320" s="66"/>
      <c r="C1320" s="419"/>
    </row>
    <row r="1321" spans="1:3" x14ac:dyDescent="0.15">
      <c r="A1321" s="66"/>
      <c r="B1321" s="66"/>
      <c r="C1321" s="419"/>
    </row>
    <row r="1322" spans="1:3" x14ac:dyDescent="0.15">
      <c r="A1322" s="66"/>
      <c r="B1322" s="66"/>
      <c r="C1322" s="419"/>
    </row>
    <row r="1323" spans="1:3" x14ac:dyDescent="0.15">
      <c r="A1323" s="66"/>
      <c r="B1323" s="66"/>
      <c r="C1323" s="419"/>
    </row>
    <row r="1324" spans="1:3" x14ac:dyDescent="0.15">
      <c r="A1324" s="66"/>
      <c r="B1324" s="66"/>
      <c r="C1324" s="419"/>
    </row>
    <row r="1325" spans="1:3" x14ac:dyDescent="0.15">
      <c r="A1325" s="66"/>
      <c r="B1325" s="66"/>
      <c r="C1325" s="419"/>
    </row>
    <row r="1326" spans="1:3" x14ac:dyDescent="0.15">
      <c r="A1326" s="66"/>
      <c r="B1326" s="66"/>
      <c r="C1326" s="419"/>
    </row>
    <row r="1327" spans="1:3" x14ac:dyDescent="0.15">
      <c r="A1327" s="66"/>
      <c r="B1327" s="66"/>
      <c r="C1327" s="419"/>
    </row>
    <row r="1328" spans="1:3" x14ac:dyDescent="0.15">
      <c r="A1328" s="66"/>
      <c r="B1328" s="66"/>
      <c r="C1328" s="419"/>
    </row>
    <row r="1329" spans="1:3" x14ac:dyDescent="0.15">
      <c r="A1329" s="66"/>
      <c r="B1329" s="66"/>
      <c r="C1329" s="419"/>
    </row>
    <row r="1330" spans="1:3" x14ac:dyDescent="0.15">
      <c r="A1330" s="66"/>
      <c r="B1330" s="66"/>
      <c r="C1330" s="419"/>
    </row>
    <row r="1331" spans="1:3" x14ac:dyDescent="0.15">
      <c r="A1331" s="66"/>
      <c r="B1331" s="66"/>
      <c r="C1331" s="419"/>
    </row>
    <row r="1332" spans="1:3" x14ac:dyDescent="0.15">
      <c r="A1332" s="66"/>
      <c r="B1332" s="66"/>
      <c r="C1332" s="419"/>
    </row>
    <row r="1333" spans="1:3" x14ac:dyDescent="0.15">
      <c r="A1333" s="66"/>
      <c r="B1333" s="66"/>
      <c r="C1333" s="419"/>
    </row>
    <row r="1334" spans="1:3" x14ac:dyDescent="0.15">
      <c r="A1334" s="66"/>
      <c r="B1334" s="66"/>
      <c r="C1334" s="419"/>
    </row>
    <row r="1335" spans="1:3" x14ac:dyDescent="0.15">
      <c r="A1335" s="66"/>
      <c r="B1335" s="66"/>
      <c r="C1335" s="419"/>
    </row>
    <row r="1336" spans="1:3" x14ac:dyDescent="0.15">
      <c r="A1336" s="66"/>
      <c r="B1336" s="66"/>
      <c r="C1336" s="419"/>
    </row>
    <row r="1337" spans="1:3" x14ac:dyDescent="0.15">
      <c r="A1337" s="66"/>
      <c r="B1337" s="66"/>
      <c r="C1337" s="419"/>
    </row>
    <row r="1338" spans="1:3" x14ac:dyDescent="0.15">
      <c r="A1338" s="66"/>
      <c r="B1338" s="66"/>
      <c r="C1338" s="419"/>
    </row>
    <row r="1339" spans="1:3" x14ac:dyDescent="0.15">
      <c r="A1339" s="66"/>
      <c r="B1339" s="66"/>
      <c r="C1339" s="419"/>
    </row>
    <row r="1340" spans="1:3" x14ac:dyDescent="0.15">
      <c r="A1340" s="66"/>
      <c r="B1340" s="66"/>
      <c r="C1340" s="419"/>
    </row>
    <row r="1341" spans="1:3" x14ac:dyDescent="0.15">
      <c r="A1341" s="66"/>
      <c r="B1341" s="66"/>
      <c r="C1341" s="419"/>
    </row>
    <row r="1342" spans="1:3" x14ac:dyDescent="0.15">
      <c r="A1342" s="66"/>
      <c r="B1342" s="66"/>
      <c r="C1342" s="419"/>
    </row>
    <row r="1343" spans="1:3" x14ac:dyDescent="0.15">
      <c r="A1343" s="66"/>
      <c r="B1343" s="66"/>
      <c r="C1343" s="419"/>
    </row>
    <row r="1344" spans="1:3" x14ac:dyDescent="0.15">
      <c r="A1344" s="66"/>
      <c r="B1344" s="66"/>
      <c r="C1344" s="419"/>
    </row>
    <row r="1345" spans="1:3" x14ac:dyDescent="0.15">
      <c r="A1345" s="66"/>
      <c r="B1345" s="66"/>
      <c r="C1345" s="419"/>
    </row>
    <row r="1346" spans="1:3" x14ac:dyDescent="0.15">
      <c r="A1346" s="66"/>
      <c r="B1346" s="66"/>
      <c r="C1346" s="419"/>
    </row>
    <row r="1347" spans="1:3" x14ac:dyDescent="0.15">
      <c r="A1347" s="66"/>
      <c r="B1347" s="66"/>
      <c r="C1347" s="419"/>
    </row>
    <row r="1348" spans="1:3" x14ac:dyDescent="0.15">
      <c r="A1348" s="66"/>
      <c r="B1348" s="66"/>
      <c r="C1348" s="419"/>
    </row>
    <row r="1349" spans="1:3" x14ac:dyDescent="0.15">
      <c r="A1349" s="66"/>
      <c r="B1349" s="66"/>
      <c r="C1349" s="419"/>
    </row>
    <row r="1350" spans="1:3" x14ac:dyDescent="0.15">
      <c r="A1350" s="66"/>
      <c r="B1350" s="66"/>
      <c r="C1350" s="419"/>
    </row>
    <row r="1351" spans="1:3" x14ac:dyDescent="0.15">
      <c r="A1351" s="66"/>
      <c r="B1351" s="66"/>
      <c r="C1351" s="419"/>
    </row>
    <row r="1352" spans="1:3" x14ac:dyDescent="0.15">
      <c r="A1352" s="66"/>
      <c r="B1352" s="66"/>
      <c r="C1352" s="419"/>
    </row>
    <row r="1353" spans="1:3" x14ac:dyDescent="0.15">
      <c r="A1353" s="66"/>
      <c r="B1353" s="66"/>
      <c r="C1353" s="419"/>
    </row>
    <row r="1354" spans="1:3" x14ac:dyDescent="0.15">
      <c r="A1354" s="66"/>
      <c r="B1354" s="66"/>
      <c r="C1354" s="419"/>
    </row>
    <row r="1355" spans="1:3" x14ac:dyDescent="0.15">
      <c r="A1355" s="66"/>
      <c r="B1355" s="66"/>
      <c r="C1355" s="419"/>
    </row>
    <row r="1356" spans="1:3" x14ac:dyDescent="0.15">
      <c r="A1356" s="66"/>
      <c r="B1356" s="66"/>
      <c r="C1356" s="419"/>
    </row>
    <row r="1357" spans="1:3" x14ac:dyDescent="0.15">
      <c r="A1357" s="66"/>
      <c r="B1357" s="66"/>
      <c r="C1357" s="419"/>
    </row>
    <row r="1358" spans="1:3" x14ac:dyDescent="0.15">
      <c r="A1358" s="66"/>
      <c r="B1358" s="66"/>
      <c r="C1358" s="419"/>
    </row>
    <row r="1359" spans="1:3" x14ac:dyDescent="0.15">
      <c r="A1359" s="66"/>
      <c r="B1359" s="66"/>
      <c r="C1359" s="419"/>
    </row>
    <row r="1360" spans="1:3" x14ac:dyDescent="0.15">
      <c r="A1360" s="66"/>
      <c r="B1360" s="66"/>
      <c r="C1360" s="419"/>
    </row>
    <row r="1361" spans="1:3" x14ac:dyDescent="0.15">
      <c r="A1361" s="66"/>
      <c r="B1361" s="66"/>
      <c r="C1361" s="419"/>
    </row>
    <row r="1362" spans="1:3" x14ac:dyDescent="0.15">
      <c r="A1362" s="66"/>
      <c r="B1362" s="66"/>
      <c r="C1362" s="419"/>
    </row>
    <row r="1363" spans="1:3" x14ac:dyDescent="0.15">
      <c r="A1363" s="66"/>
      <c r="B1363" s="66"/>
      <c r="C1363" s="419"/>
    </row>
    <row r="1364" spans="1:3" x14ac:dyDescent="0.15">
      <c r="A1364" s="66"/>
      <c r="B1364" s="66"/>
      <c r="C1364" s="419"/>
    </row>
    <row r="1365" spans="1:3" x14ac:dyDescent="0.15">
      <c r="A1365" s="66"/>
      <c r="B1365" s="66"/>
      <c r="C1365" s="419"/>
    </row>
    <row r="1366" spans="1:3" x14ac:dyDescent="0.15">
      <c r="A1366" s="66"/>
      <c r="B1366" s="66"/>
      <c r="C1366" s="419"/>
    </row>
    <row r="1367" spans="1:3" x14ac:dyDescent="0.15">
      <c r="A1367" s="66"/>
      <c r="B1367" s="66"/>
      <c r="C1367" s="419"/>
    </row>
    <row r="1368" spans="1:3" x14ac:dyDescent="0.15">
      <c r="A1368" s="66"/>
      <c r="B1368" s="66"/>
      <c r="C1368" s="419"/>
    </row>
    <row r="1369" spans="1:3" x14ac:dyDescent="0.15">
      <c r="A1369" s="66"/>
      <c r="B1369" s="66"/>
      <c r="C1369" s="419"/>
    </row>
    <row r="1370" spans="1:3" x14ac:dyDescent="0.15">
      <c r="A1370" s="66"/>
      <c r="B1370" s="66"/>
      <c r="C1370" s="419"/>
    </row>
    <row r="1371" spans="1:3" x14ac:dyDescent="0.15">
      <c r="A1371" s="66"/>
      <c r="B1371" s="66"/>
      <c r="C1371" s="419"/>
    </row>
    <row r="1372" spans="1:3" x14ac:dyDescent="0.15">
      <c r="A1372" s="66"/>
      <c r="B1372" s="66"/>
      <c r="C1372" s="419"/>
    </row>
    <row r="1373" spans="1:3" x14ac:dyDescent="0.15">
      <c r="A1373" s="66"/>
      <c r="B1373" s="66"/>
      <c r="C1373" s="419"/>
    </row>
    <row r="1374" spans="1:3" x14ac:dyDescent="0.15">
      <c r="A1374" s="66"/>
      <c r="B1374" s="66"/>
      <c r="C1374" s="419"/>
    </row>
    <row r="1375" spans="1:3" x14ac:dyDescent="0.15">
      <c r="A1375" s="66"/>
      <c r="B1375" s="66"/>
      <c r="C1375" s="419"/>
    </row>
    <row r="1376" spans="1:3" x14ac:dyDescent="0.15">
      <c r="A1376" s="66"/>
      <c r="B1376" s="66"/>
      <c r="C1376" s="419"/>
    </row>
    <row r="1377" spans="1:3" x14ac:dyDescent="0.15">
      <c r="A1377" s="66"/>
      <c r="B1377" s="66"/>
      <c r="C1377" s="419"/>
    </row>
    <row r="1378" spans="1:3" x14ac:dyDescent="0.15">
      <c r="A1378" s="66"/>
      <c r="B1378" s="66"/>
      <c r="C1378" s="419"/>
    </row>
    <row r="1379" spans="1:3" x14ac:dyDescent="0.15">
      <c r="A1379" s="66"/>
      <c r="B1379" s="66"/>
      <c r="C1379" s="419"/>
    </row>
    <row r="1380" spans="1:3" x14ac:dyDescent="0.15">
      <c r="A1380" s="66"/>
      <c r="B1380" s="66"/>
      <c r="C1380" s="419"/>
    </row>
    <row r="1381" spans="1:3" x14ac:dyDescent="0.15">
      <c r="A1381" s="66"/>
      <c r="B1381" s="66"/>
      <c r="C1381" s="419"/>
    </row>
    <row r="1382" spans="1:3" x14ac:dyDescent="0.15">
      <c r="A1382" s="66"/>
      <c r="B1382" s="66"/>
      <c r="C1382" s="419"/>
    </row>
    <row r="1383" spans="1:3" x14ac:dyDescent="0.15">
      <c r="A1383" s="66"/>
      <c r="B1383" s="66"/>
      <c r="C1383" s="419"/>
    </row>
    <row r="1384" spans="1:3" x14ac:dyDescent="0.15">
      <c r="A1384" s="66"/>
      <c r="B1384" s="66"/>
      <c r="C1384" s="419"/>
    </row>
    <row r="1385" spans="1:3" x14ac:dyDescent="0.15">
      <c r="A1385" s="66"/>
      <c r="B1385" s="66"/>
      <c r="C1385" s="419"/>
    </row>
    <row r="1386" spans="1:3" x14ac:dyDescent="0.15">
      <c r="A1386" s="66"/>
      <c r="B1386" s="66"/>
      <c r="C1386" s="419"/>
    </row>
    <row r="1387" spans="1:3" x14ac:dyDescent="0.15">
      <c r="A1387" s="66"/>
      <c r="B1387" s="66"/>
      <c r="C1387" s="419"/>
    </row>
    <row r="1388" spans="1:3" x14ac:dyDescent="0.15">
      <c r="A1388" s="66"/>
      <c r="B1388" s="66"/>
      <c r="C1388" s="419"/>
    </row>
    <row r="1389" spans="1:3" x14ac:dyDescent="0.15">
      <c r="A1389" s="66"/>
      <c r="B1389" s="66"/>
      <c r="C1389" s="419"/>
    </row>
    <row r="1390" spans="1:3" x14ac:dyDescent="0.15">
      <c r="A1390" s="66"/>
      <c r="B1390" s="66"/>
      <c r="C1390" s="419"/>
    </row>
    <row r="1391" spans="1:3" x14ac:dyDescent="0.15">
      <c r="A1391" s="66"/>
      <c r="B1391" s="66"/>
      <c r="C1391" s="419"/>
    </row>
    <row r="1392" spans="1:3" x14ac:dyDescent="0.15">
      <c r="A1392" s="66"/>
      <c r="B1392" s="66"/>
      <c r="C1392" s="419"/>
    </row>
    <row r="1393" spans="1:3" x14ac:dyDescent="0.15">
      <c r="A1393" s="66"/>
      <c r="B1393" s="66"/>
      <c r="C1393" s="419"/>
    </row>
    <row r="1394" spans="1:3" x14ac:dyDescent="0.15">
      <c r="A1394" s="66"/>
      <c r="B1394" s="66"/>
      <c r="C1394" s="419"/>
    </row>
    <row r="1395" spans="1:3" x14ac:dyDescent="0.15">
      <c r="A1395" s="66"/>
      <c r="B1395" s="66"/>
      <c r="C1395" s="419"/>
    </row>
    <row r="1396" spans="1:3" x14ac:dyDescent="0.15">
      <c r="A1396" s="66"/>
      <c r="B1396" s="66"/>
      <c r="C1396" s="419"/>
    </row>
    <row r="1397" spans="1:3" x14ac:dyDescent="0.15">
      <c r="A1397" s="66"/>
      <c r="B1397" s="66"/>
      <c r="C1397" s="419"/>
    </row>
    <row r="1398" spans="1:3" x14ac:dyDescent="0.15">
      <c r="A1398" s="66"/>
      <c r="B1398" s="66"/>
      <c r="C1398" s="419"/>
    </row>
    <row r="1399" spans="1:3" x14ac:dyDescent="0.15">
      <c r="A1399" s="66"/>
      <c r="B1399" s="66"/>
      <c r="C1399" s="419"/>
    </row>
    <row r="1400" spans="1:3" x14ac:dyDescent="0.15">
      <c r="A1400" s="66"/>
      <c r="B1400" s="66"/>
      <c r="C1400" s="419"/>
    </row>
    <row r="1401" spans="1:3" x14ac:dyDescent="0.15">
      <c r="A1401" s="66"/>
      <c r="B1401" s="66"/>
      <c r="C1401" s="419"/>
    </row>
    <row r="1402" spans="1:3" x14ac:dyDescent="0.15">
      <c r="A1402" s="66"/>
      <c r="B1402" s="66"/>
      <c r="C1402" s="419"/>
    </row>
    <row r="1403" spans="1:3" x14ac:dyDescent="0.15">
      <c r="A1403" s="66"/>
      <c r="B1403" s="66"/>
      <c r="C1403" s="419"/>
    </row>
    <row r="1404" spans="1:3" x14ac:dyDescent="0.15">
      <c r="A1404" s="66"/>
      <c r="B1404" s="66"/>
      <c r="C1404" s="419"/>
    </row>
    <row r="1405" spans="1:3" x14ac:dyDescent="0.15">
      <c r="A1405" s="66"/>
      <c r="B1405" s="66"/>
      <c r="C1405" s="419"/>
    </row>
    <row r="1406" spans="1:3" x14ac:dyDescent="0.15">
      <c r="A1406" s="66"/>
      <c r="B1406" s="66"/>
      <c r="C1406" s="419"/>
    </row>
    <row r="1407" spans="1:3" x14ac:dyDescent="0.15">
      <c r="A1407" s="66"/>
      <c r="B1407" s="66"/>
      <c r="C1407" s="419"/>
    </row>
    <row r="1408" spans="1:3" x14ac:dyDescent="0.15">
      <c r="A1408" s="66"/>
      <c r="B1408" s="66"/>
      <c r="C1408" s="481"/>
    </row>
    <row r="1409" spans="1:3" x14ac:dyDescent="0.15">
      <c r="A1409" s="66"/>
      <c r="B1409" s="66"/>
      <c r="C1409" s="481"/>
    </row>
    <row r="1410" spans="1:3" x14ac:dyDescent="0.15">
      <c r="A1410" s="66"/>
      <c r="B1410" s="66"/>
      <c r="C1410" s="481"/>
    </row>
    <row r="1411" spans="1:3" x14ac:dyDescent="0.15">
      <c r="A1411" s="66"/>
      <c r="B1411" s="66"/>
      <c r="C1411" s="481"/>
    </row>
    <row r="1412" spans="1:3" x14ac:dyDescent="0.15">
      <c r="A1412" s="66"/>
      <c r="B1412" s="66"/>
      <c r="C1412" s="481"/>
    </row>
    <row r="1413" spans="1:3" x14ac:dyDescent="0.15">
      <c r="A1413" s="66"/>
      <c r="B1413" s="66"/>
      <c r="C1413" s="481"/>
    </row>
    <row r="1414" spans="1:3" x14ac:dyDescent="0.15">
      <c r="A1414" s="66"/>
      <c r="B1414" s="66"/>
      <c r="C1414" s="481"/>
    </row>
    <row r="1415" spans="1:3" x14ac:dyDescent="0.15">
      <c r="A1415" s="66"/>
      <c r="B1415" s="66"/>
      <c r="C1415" s="481"/>
    </row>
    <row r="1416" spans="1:3" x14ac:dyDescent="0.15">
      <c r="A1416" s="66"/>
      <c r="B1416" s="66"/>
      <c r="C1416" s="481"/>
    </row>
    <row r="1417" spans="1:3" x14ac:dyDescent="0.15">
      <c r="A1417" s="66"/>
      <c r="B1417" s="66"/>
      <c r="C1417" s="481"/>
    </row>
    <row r="1418" spans="1:3" x14ac:dyDescent="0.15">
      <c r="A1418" s="66"/>
      <c r="B1418" s="66"/>
      <c r="C1418" s="481"/>
    </row>
    <row r="1419" spans="1:3" x14ac:dyDescent="0.15">
      <c r="A1419" s="66"/>
      <c r="B1419" s="66"/>
      <c r="C1419" s="481"/>
    </row>
    <row r="1420" spans="1:3" x14ac:dyDescent="0.15">
      <c r="A1420" s="66"/>
      <c r="B1420" s="66"/>
      <c r="C1420" s="481"/>
    </row>
    <row r="1421" spans="1:3" x14ac:dyDescent="0.15">
      <c r="A1421" s="66"/>
      <c r="B1421" s="66"/>
      <c r="C1421" s="481"/>
    </row>
    <row r="1422" spans="1:3" x14ac:dyDescent="0.15">
      <c r="A1422" s="66"/>
      <c r="B1422" s="66"/>
      <c r="C1422" s="481"/>
    </row>
    <row r="1423" spans="1:3" x14ac:dyDescent="0.15">
      <c r="A1423" s="66"/>
      <c r="B1423" s="66"/>
      <c r="C1423" s="481"/>
    </row>
    <row r="1424" spans="1:3" x14ac:dyDescent="0.15">
      <c r="A1424" s="66"/>
      <c r="B1424" s="66"/>
      <c r="C1424" s="481"/>
    </row>
    <row r="1425" spans="1:3" x14ac:dyDescent="0.15">
      <c r="A1425" s="66"/>
      <c r="B1425" s="66"/>
      <c r="C1425" s="481"/>
    </row>
    <row r="1426" spans="1:3" x14ac:dyDescent="0.15">
      <c r="A1426" s="66"/>
      <c r="B1426" s="66"/>
      <c r="C1426" s="481"/>
    </row>
    <row r="1427" spans="1:3" x14ac:dyDescent="0.15">
      <c r="A1427" s="66"/>
      <c r="B1427" s="66"/>
      <c r="C1427" s="481"/>
    </row>
    <row r="1428" spans="1:3" x14ac:dyDescent="0.15">
      <c r="A1428" s="66"/>
      <c r="B1428" s="66"/>
      <c r="C1428" s="481"/>
    </row>
    <row r="1429" spans="1:3" x14ac:dyDescent="0.15">
      <c r="A1429" s="66"/>
      <c r="B1429" s="66"/>
      <c r="C1429" s="481"/>
    </row>
    <row r="1430" spans="1:3" x14ac:dyDescent="0.15">
      <c r="A1430" s="66"/>
      <c r="B1430" s="66"/>
      <c r="C1430" s="481"/>
    </row>
    <row r="1431" spans="1:3" x14ac:dyDescent="0.15">
      <c r="A1431" s="66"/>
      <c r="B1431" s="66"/>
      <c r="C1431" s="481"/>
    </row>
    <row r="1432" spans="1:3" x14ac:dyDescent="0.15">
      <c r="A1432" s="66"/>
      <c r="B1432" s="66"/>
      <c r="C1432" s="481"/>
    </row>
    <row r="1433" spans="1:3" x14ac:dyDescent="0.15">
      <c r="A1433" s="66"/>
      <c r="B1433" s="66"/>
      <c r="C1433" s="481"/>
    </row>
    <row r="1434" spans="1:3" x14ac:dyDescent="0.15">
      <c r="A1434" s="66"/>
      <c r="B1434" s="66"/>
      <c r="C1434" s="481"/>
    </row>
    <row r="1435" spans="1:3" x14ac:dyDescent="0.15">
      <c r="A1435" s="66"/>
      <c r="B1435" s="66"/>
      <c r="C1435" s="481"/>
    </row>
    <row r="1436" spans="1:3" x14ac:dyDescent="0.15">
      <c r="A1436" s="66"/>
      <c r="B1436" s="66"/>
      <c r="C1436" s="481"/>
    </row>
    <row r="1437" spans="1:3" x14ac:dyDescent="0.15">
      <c r="A1437" s="66"/>
      <c r="B1437" s="66"/>
      <c r="C1437" s="481"/>
    </row>
    <row r="1438" spans="1:3" x14ac:dyDescent="0.15">
      <c r="A1438" s="66"/>
      <c r="B1438" s="66"/>
      <c r="C1438" s="481"/>
    </row>
    <row r="1439" spans="1:3" x14ac:dyDescent="0.15">
      <c r="A1439" s="66"/>
      <c r="B1439" s="66"/>
      <c r="C1439" s="481"/>
    </row>
    <row r="1440" spans="1:3" x14ac:dyDescent="0.15">
      <c r="A1440" s="66"/>
      <c r="B1440" s="66"/>
      <c r="C1440" s="481"/>
    </row>
    <row r="1441" spans="1:3" x14ac:dyDescent="0.15">
      <c r="A1441" s="66"/>
      <c r="B1441" s="66"/>
      <c r="C1441" s="481"/>
    </row>
    <row r="1442" spans="1:3" x14ac:dyDescent="0.15">
      <c r="A1442" s="66"/>
      <c r="B1442" s="66"/>
      <c r="C1442" s="481"/>
    </row>
    <row r="1443" spans="1:3" x14ac:dyDescent="0.15">
      <c r="A1443" s="66"/>
      <c r="B1443" s="66"/>
      <c r="C1443" s="481"/>
    </row>
    <row r="1444" spans="1:3" x14ac:dyDescent="0.15">
      <c r="A1444" s="66"/>
      <c r="B1444" s="66"/>
      <c r="C1444" s="481"/>
    </row>
    <row r="1445" spans="1:3" x14ac:dyDescent="0.15">
      <c r="A1445" s="66"/>
      <c r="B1445" s="66"/>
      <c r="C1445" s="481"/>
    </row>
    <row r="1446" spans="1:3" x14ac:dyDescent="0.15">
      <c r="A1446" s="66"/>
      <c r="B1446" s="66"/>
      <c r="C1446" s="481"/>
    </row>
    <row r="1447" spans="1:3" x14ac:dyDescent="0.15">
      <c r="A1447" s="66"/>
      <c r="B1447" s="66"/>
      <c r="C1447" s="481"/>
    </row>
    <row r="1448" spans="1:3" x14ac:dyDescent="0.15">
      <c r="A1448" s="66"/>
      <c r="B1448" s="66"/>
      <c r="C1448" s="481"/>
    </row>
    <row r="1449" spans="1:3" x14ac:dyDescent="0.15">
      <c r="A1449" s="66"/>
      <c r="B1449" s="66"/>
      <c r="C1449" s="481"/>
    </row>
    <row r="1450" spans="1:3" x14ac:dyDescent="0.15">
      <c r="A1450" s="66"/>
      <c r="B1450" s="66"/>
      <c r="C1450" s="481"/>
    </row>
    <row r="1451" spans="1:3" x14ac:dyDescent="0.15">
      <c r="A1451" s="66"/>
      <c r="B1451" s="66"/>
      <c r="C1451" s="481"/>
    </row>
    <row r="1452" spans="1:3" x14ac:dyDescent="0.15">
      <c r="A1452" s="66"/>
      <c r="B1452" s="66"/>
      <c r="C1452" s="481"/>
    </row>
    <row r="1453" spans="1:3" x14ac:dyDescent="0.15">
      <c r="A1453" s="66"/>
      <c r="B1453" s="66"/>
      <c r="C1453" s="481"/>
    </row>
    <row r="1454" spans="1:3" x14ac:dyDescent="0.15">
      <c r="A1454" s="66"/>
      <c r="B1454" s="66"/>
      <c r="C1454" s="481"/>
    </row>
    <row r="1455" spans="1:3" x14ac:dyDescent="0.15">
      <c r="A1455" s="66"/>
      <c r="B1455" s="66"/>
      <c r="C1455" s="481"/>
    </row>
    <row r="1456" spans="1:3" x14ac:dyDescent="0.15">
      <c r="A1456" s="66"/>
      <c r="B1456" s="66"/>
      <c r="C1456" s="481"/>
    </row>
    <row r="1457" spans="1:3" x14ac:dyDescent="0.15">
      <c r="A1457" s="66"/>
      <c r="B1457" s="66"/>
      <c r="C1457" s="481"/>
    </row>
    <row r="1458" spans="1:3" x14ac:dyDescent="0.15">
      <c r="A1458" s="66"/>
      <c r="B1458" s="66"/>
      <c r="C1458" s="481"/>
    </row>
    <row r="1459" spans="1:3" x14ac:dyDescent="0.15">
      <c r="A1459" s="66"/>
      <c r="B1459" s="66"/>
      <c r="C1459" s="481"/>
    </row>
    <row r="1460" spans="1:3" x14ac:dyDescent="0.15">
      <c r="A1460" s="66"/>
      <c r="B1460" s="66"/>
      <c r="C1460" s="481"/>
    </row>
    <row r="1461" spans="1:3" x14ac:dyDescent="0.15">
      <c r="A1461" s="66"/>
      <c r="B1461" s="66"/>
      <c r="C1461" s="481"/>
    </row>
    <row r="1462" spans="1:3" x14ac:dyDescent="0.15">
      <c r="A1462" s="66"/>
      <c r="B1462" s="66"/>
      <c r="C1462" s="481"/>
    </row>
    <row r="1463" spans="1:3" x14ac:dyDescent="0.15">
      <c r="A1463" s="66"/>
      <c r="B1463" s="66"/>
      <c r="C1463" s="481"/>
    </row>
    <row r="1464" spans="1:3" x14ac:dyDescent="0.15">
      <c r="A1464" s="66"/>
      <c r="B1464" s="66"/>
      <c r="C1464" s="481"/>
    </row>
    <row r="1465" spans="1:3" x14ac:dyDescent="0.15">
      <c r="A1465" s="66"/>
      <c r="B1465" s="66"/>
      <c r="C1465" s="481"/>
    </row>
    <row r="1466" spans="1:3" x14ac:dyDescent="0.15">
      <c r="A1466" s="66"/>
      <c r="B1466" s="66"/>
      <c r="C1466" s="481"/>
    </row>
    <row r="1467" spans="1:3" x14ac:dyDescent="0.15">
      <c r="A1467" s="66"/>
      <c r="B1467" s="66"/>
      <c r="C1467" s="481"/>
    </row>
    <row r="1468" spans="1:3" x14ac:dyDescent="0.15">
      <c r="A1468" s="66"/>
      <c r="B1468" s="66"/>
      <c r="C1468" s="481"/>
    </row>
    <row r="1469" spans="1:3" x14ac:dyDescent="0.15">
      <c r="A1469" s="66"/>
      <c r="B1469" s="66"/>
      <c r="C1469" s="481"/>
    </row>
    <row r="1470" spans="1:3" x14ac:dyDescent="0.15">
      <c r="A1470" s="66"/>
      <c r="B1470" s="66"/>
      <c r="C1470" s="481"/>
    </row>
    <row r="1471" spans="1:3" x14ac:dyDescent="0.15">
      <c r="A1471" s="66"/>
      <c r="B1471" s="66"/>
      <c r="C1471" s="481"/>
    </row>
    <row r="1472" spans="1:3" x14ac:dyDescent="0.15">
      <c r="A1472" s="66"/>
      <c r="B1472" s="66"/>
      <c r="C1472" s="481"/>
    </row>
    <row r="1473" spans="1:3" x14ac:dyDescent="0.15">
      <c r="A1473" s="66"/>
      <c r="B1473" s="66"/>
      <c r="C1473" s="481"/>
    </row>
    <row r="1474" spans="1:3" x14ac:dyDescent="0.15">
      <c r="A1474" s="66"/>
      <c r="B1474" s="66"/>
      <c r="C1474" s="481"/>
    </row>
    <row r="1475" spans="1:3" x14ac:dyDescent="0.15">
      <c r="A1475" s="66"/>
      <c r="B1475" s="66"/>
      <c r="C1475" s="481"/>
    </row>
    <row r="1476" spans="1:3" x14ac:dyDescent="0.15">
      <c r="A1476" s="66"/>
      <c r="B1476" s="66"/>
      <c r="C1476" s="481"/>
    </row>
    <row r="1477" spans="1:3" x14ac:dyDescent="0.15">
      <c r="A1477" s="66"/>
      <c r="B1477" s="66"/>
      <c r="C1477" s="481"/>
    </row>
    <row r="1478" spans="1:3" x14ac:dyDescent="0.15">
      <c r="A1478" s="66"/>
      <c r="B1478" s="66"/>
      <c r="C1478" s="481"/>
    </row>
    <row r="1479" spans="1:3" x14ac:dyDescent="0.15">
      <c r="A1479" s="66"/>
      <c r="B1479" s="66"/>
      <c r="C1479" s="481"/>
    </row>
    <row r="1480" spans="1:3" x14ac:dyDescent="0.15">
      <c r="A1480" s="66"/>
      <c r="B1480" s="66"/>
      <c r="C1480" s="481"/>
    </row>
    <row r="1481" spans="1:3" x14ac:dyDescent="0.15">
      <c r="A1481" s="66"/>
      <c r="B1481" s="66"/>
      <c r="C1481" s="481"/>
    </row>
    <row r="1482" spans="1:3" x14ac:dyDescent="0.15">
      <c r="A1482" s="66"/>
      <c r="B1482" s="66"/>
      <c r="C1482" s="481"/>
    </row>
    <row r="1483" spans="1:3" x14ac:dyDescent="0.15">
      <c r="A1483" s="66"/>
      <c r="B1483" s="66"/>
      <c r="C1483" s="481"/>
    </row>
    <row r="1484" spans="1:3" x14ac:dyDescent="0.15">
      <c r="A1484" s="66"/>
      <c r="B1484" s="66"/>
      <c r="C1484" s="481"/>
    </row>
    <row r="1485" spans="1:3" x14ac:dyDescent="0.15">
      <c r="A1485" s="66"/>
      <c r="B1485" s="66"/>
      <c r="C1485" s="481"/>
    </row>
    <row r="1486" spans="1:3" x14ac:dyDescent="0.15">
      <c r="A1486" s="66"/>
      <c r="B1486" s="66"/>
      <c r="C1486" s="481"/>
    </row>
    <row r="1487" spans="1:3" x14ac:dyDescent="0.15">
      <c r="A1487" s="66"/>
      <c r="B1487" s="66"/>
      <c r="C1487" s="481"/>
    </row>
    <row r="1488" spans="1:3" x14ac:dyDescent="0.15">
      <c r="A1488" s="66"/>
      <c r="B1488" s="66"/>
      <c r="C1488" s="481"/>
    </row>
    <row r="1489" spans="1:3" x14ac:dyDescent="0.15">
      <c r="A1489" s="66"/>
      <c r="B1489" s="66"/>
      <c r="C1489" s="481"/>
    </row>
    <row r="1490" spans="1:3" x14ac:dyDescent="0.15">
      <c r="A1490" s="66"/>
      <c r="B1490" s="66"/>
      <c r="C1490" s="481"/>
    </row>
    <row r="1491" spans="1:3" x14ac:dyDescent="0.15">
      <c r="A1491" s="66"/>
      <c r="B1491" s="66"/>
      <c r="C1491" s="481"/>
    </row>
    <row r="1492" spans="1:3" x14ac:dyDescent="0.15">
      <c r="A1492" s="66"/>
      <c r="B1492" s="66"/>
      <c r="C1492" s="481"/>
    </row>
    <row r="1493" spans="1:3" x14ac:dyDescent="0.15">
      <c r="A1493" s="66"/>
      <c r="B1493" s="66"/>
      <c r="C1493" s="481"/>
    </row>
    <row r="1494" spans="1:3" x14ac:dyDescent="0.15">
      <c r="A1494" s="66"/>
      <c r="B1494" s="66"/>
      <c r="C1494" s="481"/>
    </row>
    <row r="1495" spans="1:3" x14ac:dyDescent="0.15">
      <c r="A1495" s="66"/>
      <c r="B1495" s="66"/>
      <c r="C1495" s="481"/>
    </row>
    <row r="1496" spans="1:3" x14ac:dyDescent="0.15">
      <c r="A1496" s="66"/>
      <c r="B1496" s="66"/>
      <c r="C1496" s="481"/>
    </row>
    <row r="1497" spans="1:3" x14ac:dyDescent="0.15">
      <c r="A1497" s="66"/>
      <c r="B1497" s="66"/>
      <c r="C1497" s="481"/>
    </row>
    <row r="1498" spans="1:3" x14ac:dyDescent="0.15">
      <c r="A1498" s="66"/>
      <c r="B1498" s="66"/>
      <c r="C1498" s="481"/>
    </row>
    <row r="1499" spans="1:3" x14ac:dyDescent="0.15">
      <c r="A1499" s="66"/>
      <c r="B1499" s="66"/>
      <c r="C1499" s="481"/>
    </row>
    <row r="1500" spans="1:3" x14ac:dyDescent="0.15">
      <c r="A1500" s="66"/>
      <c r="B1500" s="66"/>
      <c r="C1500" s="481"/>
    </row>
    <row r="1501" spans="1:3" x14ac:dyDescent="0.15">
      <c r="A1501" s="66"/>
      <c r="B1501" s="66"/>
      <c r="C1501" s="481"/>
    </row>
    <row r="1502" spans="1:3" x14ac:dyDescent="0.15">
      <c r="A1502" s="66"/>
      <c r="B1502" s="66"/>
      <c r="C1502" s="481"/>
    </row>
    <row r="1503" spans="1:3" x14ac:dyDescent="0.15">
      <c r="A1503" s="66"/>
      <c r="B1503" s="66"/>
      <c r="C1503" s="481"/>
    </row>
    <row r="1504" spans="1:3" x14ac:dyDescent="0.15">
      <c r="A1504" s="66"/>
      <c r="B1504" s="66"/>
      <c r="C1504" s="481"/>
    </row>
    <row r="1505" spans="1:3" x14ac:dyDescent="0.15">
      <c r="A1505" s="66"/>
      <c r="B1505" s="66"/>
      <c r="C1505" s="481"/>
    </row>
    <row r="1506" spans="1:3" x14ac:dyDescent="0.15">
      <c r="A1506" s="66"/>
      <c r="B1506" s="66"/>
      <c r="C1506" s="481"/>
    </row>
    <row r="1507" spans="1:3" x14ac:dyDescent="0.15">
      <c r="A1507" s="66"/>
      <c r="B1507" s="66"/>
      <c r="C1507" s="481"/>
    </row>
    <row r="1508" spans="1:3" x14ac:dyDescent="0.15">
      <c r="A1508" s="66"/>
      <c r="B1508" s="66"/>
      <c r="C1508" s="481"/>
    </row>
    <row r="1509" spans="1:3" x14ac:dyDescent="0.15">
      <c r="A1509" s="66"/>
      <c r="B1509" s="66"/>
      <c r="C1509" s="481"/>
    </row>
    <row r="1510" spans="1:3" x14ac:dyDescent="0.15">
      <c r="A1510" s="66"/>
      <c r="B1510" s="66"/>
      <c r="C1510" s="481"/>
    </row>
    <row r="1511" spans="1:3" x14ac:dyDescent="0.15">
      <c r="A1511" s="66"/>
      <c r="B1511" s="66"/>
      <c r="C1511" s="481"/>
    </row>
    <row r="1512" spans="1:3" x14ac:dyDescent="0.15">
      <c r="A1512" s="66"/>
      <c r="B1512" s="66"/>
      <c r="C1512" s="481"/>
    </row>
    <row r="1513" spans="1:3" x14ac:dyDescent="0.15">
      <c r="A1513" s="66"/>
      <c r="B1513" s="66"/>
      <c r="C1513" s="481"/>
    </row>
    <row r="1514" spans="1:3" x14ac:dyDescent="0.15">
      <c r="A1514" s="66"/>
      <c r="B1514" s="66"/>
      <c r="C1514" s="481"/>
    </row>
    <row r="1515" spans="1:3" x14ac:dyDescent="0.15">
      <c r="A1515" s="66"/>
      <c r="B1515" s="66"/>
      <c r="C1515" s="481"/>
    </row>
    <row r="1516" spans="1:3" x14ac:dyDescent="0.15">
      <c r="A1516" s="66"/>
      <c r="B1516" s="66"/>
      <c r="C1516" s="481"/>
    </row>
    <row r="1517" spans="1:3" x14ac:dyDescent="0.15">
      <c r="A1517" s="66"/>
      <c r="B1517" s="66"/>
      <c r="C1517" s="481"/>
    </row>
    <row r="1518" spans="1:3" x14ac:dyDescent="0.15">
      <c r="A1518" s="66"/>
      <c r="B1518" s="66"/>
      <c r="C1518" s="481"/>
    </row>
    <row r="1519" spans="1:3" x14ac:dyDescent="0.15">
      <c r="A1519" s="66"/>
      <c r="B1519" s="66"/>
      <c r="C1519" s="481"/>
    </row>
    <row r="1520" spans="1:3" x14ac:dyDescent="0.15">
      <c r="A1520" s="66"/>
      <c r="B1520" s="66"/>
      <c r="C1520" s="481"/>
    </row>
    <row r="1521" spans="1:3" x14ac:dyDescent="0.15">
      <c r="A1521" s="66"/>
      <c r="B1521" s="66"/>
      <c r="C1521" s="481"/>
    </row>
    <row r="1522" spans="1:3" x14ac:dyDescent="0.15">
      <c r="A1522" s="66"/>
      <c r="B1522" s="66"/>
      <c r="C1522" s="481"/>
    </row>
    <row r="1523" spans="1:3" x14ac:dyDescent="0.15">
      <c r="A1523" s="66"/>
      <c r="B1523" s="66"/>
      <c r="C1523" s="481"/>
    </row>
    <row r="1524" spans="1:3" x14ac:dyDescent="0.15">
      <c r="A1524" s="66"/>
      <c r="B1524" s="66"/>
      <c r="C1524" s="481"/>
    </row>
    <row r="1525" spans="1:3" x14ac:dyDescent="0.15">
      <c r="A1525" s="66"/>
      <c r="B1525" s="66"/>
      <c r="C1525" s="481"/>
    </row>
    <row r="1526" spans="1:3" x14ac:dyDescent="0.15">
      <c r="A1526" s="66"/>
      <c r="B1526" s="66"/>
      <c r="C1526" s="481"/>
    </row>
    <row r="1527" spans="1:3" x14ac:dyDescent="0.15">
      <c r="A1527" s="66"/>
      <c r="B1527" s="66"/>
      <c r="C1527" s="481"/>
    </row>
    <row r="1528" spans="1:3" x14ac:dyDescent="0.15">
      <c r="A1528" s="66"/>
      <c r="B1528" s="66"/>
      <c r="C1528" s="481"/>
    </row>
    <row r="1529" spans="1:3" x14ac:dyDescent="0.15">
      <c r="A1529" s="66"/>
      <c r="B1529" s="66"/>
      <c r="C1529" s="481"/>
    </row>
    <row r="1530" spans="1:3" x14ac:dyDescent="0.15">
      <c r="B1530" s="66"/>
      <c r="C1530" s="481"/>
    </row>
    <row r="1531" spans="1:3" x14ac:dyDescent="0.15">
      <c r="B1531" s="66"/>
      <c r="C1531" s="481"/>
    </row>
    <row r="1532" spans="1:3" x14ac:dyDescent="0.15">
      <c r="B1532" s="66"/>
      <c r="C1532" s="481"/>
    </row>
    <row r="1533" spans="1:3" x14ac:dyDescent="0.15">
      <c r="B1533" s="66"/>
      <c r="C1533" s="481"/>
    </row>
    <row r="1534" spans="1:3" x14ac:dyDescent="0.15">
      <c r="B1534" s="66"/>
      <c r="C1534" s="481"/>
    </row>
    <row r="1535" spans="1:3" x14ac:dyDescent="0.15">
      <c r="B1535" s="66"/>
      <c r="C1535" s="481"/>
    </row>
    <row r="1536" spans="1:3" x14ac:dyDescent="0.15">
      <c r="B1536" s="66"/>
      <c r="C1536" s="481"/>
    </row>
    <row r="1537" spans="2:3" x14ac:dyDescent="0.15">
      <c r="B1537" s="66"/>
      <c r="C1537" s="481"/>
    </row>
    <row r="1538" spans="2:3" x14ac:dyDescent="0.15">
      <c r="B1538" s="66"/>
      <c r="C1538" s="481"/>
    </row>
    <row r="1539" spans="2:3" x14ac:dyDescent="0.15">
      <c r="B1539" s="66"/>
      <c r="C1539" s="481"/>
    </row>
    <row r="1540" spans="2:3" x14ac:dyDescent="0.15">
      <c r="B1540" s="66"/>
      <c r="C1540" s="481"/>
    </row>
    <row r="1541" spans="2:3" x14ac:dyDescent="0.15">
      <c r="B1541" s="66"/>
      <c r="C1541" s="481"/>
    </row>
    <row r="1542" spans="2:3" x14ac:dyDescent="0.15">
      <c r="B1542" s="66"/>
      <c r="C1542" s="481"/>
    </row>
    <row r="1543" spans="2:3" x14ac:dyDescent="0.15">
      <c r="B1543" s="66"/>
      <c r="C1543" s="481"/>
    </row>
    <row r="1544" spans="2:3" x14ac:dyDescent="0.15">
      <c r="B1544" s="66"/>
      <c r="C1544" s="481"/>
    </row>
    <row r="1545" spans="2:3" x14ac:dyDescent="0.15">
      <c r="B1545" s="66"/>
      <c r="C1545" s="481"/>
    </row>
    <row r="1546" spans="2:3" x14ac:dyDescent="0.15">
      <c r="B1546" s="66"/>
      <c r="C1546" s="481"/>
    </row>
    <row r="1547" spans="2:3" x14ac:dyDescent="0.15">
      <c r="B1547" s="66"/>
      <c r="C1547" s="481"/>
    </row>
    <row r="1548" spans="2:3" x14ac:dyDescent="0.15">
      <c r="B1548" s="66"/>
      <c r="C1548" s="481"/>
    </row>
    <row r="1549" spans="2:3" x14ac:dyDescent="0.15">
      <c r="B1549" s="66"/>
      <c r="C1549" s="481"/>
    </row>
    <row r="1550" spans="2:3" x14ac:dyDescent="0.15">
      <c r="B1550" s="66"/>
      <c r="C1550" s="481"/>
    </row>
    <row r="1551" spans="2:3" x14ac:dyDescent="0.15">
      <c r="B1551" s="66"/>
      <c r="C1551" s="481"/>
    </row>
    <row r="1552" spans="2:3" x14ac:dyDescent="0.15">
      <c r="B1552" s="66"/>
      <c r="C1552" s="481"/>
    </row>
    <row r="1553" spans="2:3" x14ac:dyDescent="0.15">
      <c r="B1553" s="66"/>
      <c r="C1553" s="481"/>
    </row>
    <row r="1554" spans="2:3" x14ac:dyDescent="0.15">
      <c r="B1554" s="66"/>
      <c r="C1554" s="481"/>
    </row>
    <row r="1555" spans="2:3" x14ac:dyDescent="0.15">
      <c r="B1555" s="66"/>
      <c r="C1555" s="481"/>
    </row>
    <row r="1556" spans="2:3" x14ac:dyDescent="0.15">
      <c r="B1556" s="66"/>
      <c r="C1556" s="481"/>
    </row>
    <row r="1557" spans="2:3" x14ac:dyDescent="0.15">
      <c r="B1557" s="66"/>
      <c r="C1557" s="481"/>
    </row>
    <row r="1558" spans="2:3" x14ac:dyDescent="0.15">
      <c r="B1558" s="66"/>
      <c r="C1558" s="481"/>
    </row>
    <row r="1559" spans="2:3" x14ac:dyDescent="0.15">
      <c r="B1559" s="66"/>
      <c r="C1559" s="481"/>
    </row>
    <row r="1560" spans="2:3" x14ac:dyDescent="0.15">
      <c r="B1560" s="66"/>
      <c r="C1560" s="481"/>
    </row>
    <row r="1561" spans="2:3" x14ac:dyDescent="0.15">
      <c r="B1561" s="66"/>
      <c r="C1561" s="481"/>
    </row>
    <row r="1562" spans="2:3" x14ac:dyDescent="0.15">
      <c r="B1562" s="66"/>
      <c r="C1562" s="481"/>
    </row>
    <row r="1563" spans="2:3" x14ac:dyDescent="0.15">
      <c r="B1563" s="66"/>
      <c r="C1563" s="481"/>
    </row>
    <row r="1564" spans="2:3" x14ac:dyDescent="0.15">
      <c r="B1564" s="66"/>
      <c r="C1564" s="481"/>
    </row>
    <row r="1565" spans="2:3" x14ac:dyDescent="0.15">
      <c r="B1565" s="66"/>
      <c r="C1565" s="481"/>
    </row>
    <row r="1566" spans="2:3" x14ac:dyDescent="0.15">
      <c r="B1566" s="66"/>
      <c r="C1566" s="481"/>
    </row>
    <row r="1567" spans="2:3" x14ac:dyDescent="0.15">
      <c r="B1567" s="66"/>
      <c r="C1567" s="481"/>
    </row>
    <row r="1568" spans="2:3" x14ac:dyDescent="0.15">
      <c r="B1568" s="66"/>
      <c r="C1568" s="481"/>
    </row>
    <row r="1569" spans="2:3" x14ac:dyDescent="0.15">
      <c r="B1569" s="66"/>
      <c r="C1569" s="481"/>
    </row>
    <row r="1570" spans="2:3" x14ac:dyDescent="0.15">
      <c r="B1570" s="66"/>
      <c r="C1570" s="481"/>
    </row>
    <row r="1571" spans="2:3" x14ac:dyDescent="0.15">
      <c r="B1571" s="66"/>
      <c r="C1571" s="481"/>
    </row>
    <row r="1572" spans="2:3" x14ac:dyDescent="0.15">
      <c r="B1572" s="66"/>
      <c r="C1572" s="481"/>
    </row>
    <row r="1573" spans="2:3" x14ac:dyDescent="0.15">
      <c r="B1573" s="66"/>
      <c r="C1573" s="481"/>
    </row>
    <row r="1574" spans="2:3" x14ac:dyDescent="0.15">
      <c r="B1574" s="66"/>
      <c r="C1574" s="481"/>
    </row>
    <row r="1575" spans="2:3" x14ac:dyDescent="0.15">
      <c r="B1575" s="66"/>
      <c r="C1575" s="481"/>
    </row>
    <row r="1576" spans="2:3" x14ac:dyDescent="0.15">
      <c r="B1576" s="66"/>
      <c r="C1576" s="481"/>
    </row>
    <row r="1577" spans="2:3" x14ac:dyDescent="0.15">
      <c r="B1577" s="66"/>
      <c r="C1577" s="481"/>
    </row>
    <row r="1578" spans="2:3" x14ac:dyDescent="0.15">
      <c r="B1578" s="66"/>
      <c r="C1578" s="481"/>
    </row>
    <row r="1579" spans="2:3" x14ac:dyDescent="0.15">
      <c r="B1579" s="66"/>
      <c r="C1579" s="481"/>
    </row>
    <row r="1580" spans="2:3" x14ac:dyDescent="0.15">
      <c r="B1580" s="66"/>
      <c r="C1580" s="481"/>
    </row>
    <row r="1581" spans="2:3" x14ac:dyDescent="0.15">
      <c r="B1581" s="66"/>
      <c r="C1581" s="481"/>
    </row>
    <row r="1582" spans="2:3" x14ac:dyDescent="0.15">
      <c r="B1582" s="66"/>
      <c r="C1582" s="481"/>
    </row>
    <row r="1583" spans="2:3" x14ac:dyDescent="0.15">
      <c r="B1583" s="66"/>
      <c r="C1583" s="481"/>
    </row>
    <row r="1584" spans="2:3" x14ac:dyDescent="0.15">
      <c r="B1584" s="66"/>
      <c r="C1584" s="481"/>
    </row>
    <row r="1585" spans="2:3" x14ac:dyDescent="0.15">
      <c r="B1585" s="66"/>
      <c r="C1585" s="481"/>
    </row>
    <row r="1586" spans="2:3" x14ac:dyDescent="0.15">
      <c r="B1586" s="66"/>
      <c r="C1586" s="481"/>
    </row>
    <row r="1587" spans="2:3" x14ac:dyDescent="0.15">
      <c r="B1587" s="66"/>
      <c r="C1587" s="481"/>
    </row>
    <row r="1588" spans="2:3" x14ac:dyDescent="0.15">
      <c r="B1588" s="66"/>
      <c r="C1588" s="481"/>
    </row>
    <row r="1589" spans="2:3" x14ac:dyDescent="0.15">
      <c r="B1589" s="66"/>
      <c r="C1589" s="481"/>
    </row>
    <row r="1590" spans="2:3" x14ac:dyDescent="0.15">
      <c r="B1590" s="66"/>
      <c r="C1590" s="481"/>
    </row>
    <row r="1591" spans="2:3" x14ac:dyDescent="0.15">
      <c r="B1591" s="66"/>
      <c r="C1591" s="481"/>
    </row>
    <row r="1592" spans="2:3" x14ac:dyDescent="0.15">
      <c r="B1592" s="66"/>
      <c r="C1592" s="481"/>
    </row>
    <row r="1593" spans="2:3" x14ac:dyDescent="0.15">
      <c r="B1593" s="66"/>
      <c r="C1593" s="481"/>
    </row>
    <row r="1594" spans="2:3" x14ac:dyDescent="0.15">
      <c r="B1594" s="66"/>
      <c r="C1594" s="481"/>
    </row>
    <row r="1595" spans="2:3" x14ac:dyDescent="0.15">
      <c r="B1595" s="66"/>
      <c r="C1595" s="481"/>
    </row>
    <row r="1596" spans="2:3" x14ac:dyDescent="0.15">
      <c r="B1596" s="66"/>
      <c r="C1596" s="481"/>
    </row>
    <row r="1597" spans="2:3" x14ac:dyDescent="0.15">
      <c r="B1597" s="66"/>
      <c r="C1597" s="481"/>
    </row>
    <row r="1598" spans="2:3" x14ac:dyDescent="0.15">
      <c r="B1598" s="66"/>
      <c r="C1598" s="481"/>
    </row>
    <row r="1599" spans="2:3" x14ac:dyDescent="0.15">
      <c r="B1599" s="66"/>
      <c r="C1599" s="481"/>
    </row>
    <row r="1600" spans="2:3" x14ac:dyDescent="0.15">
      <c r="B1600" s="66"/>
      <c r="C1600" s="481"/>
    </row>
    <row r="1601" spans="2:3" x14ac:dyDescent="0.15">
      <c r="B1601" s="66"/>
      <c r="C1601" s="481"/>
    </row>
    <row r="1602" spans="2:3" x14ac:dyDescent="0.15">
      <c r="B1602" s="66"/>
      <c r="C1602" s="481"/>
    </row>
    <row r="1603" spans="2:3" x14ac:dyDescent="0.15">
      <c r="B1603" s="66"/>
      <c r="C1603" s="481"/>
    </row>
    <row r="1604" spans="2:3" x14ac:dyDescent="0.15">
      <c r="B1604" s="66"/>
      <c r="C1604" s="481"/>
    </row>
    <row r="1605" spans="2:3" x14ac:dyDescent="0.15">
      <c r="B1605" s="66"/>
      <c r="C1605" s="481"/>
    </row>
    <row r="1606" spans="2:3" x14ac:dyDescent="0.15">
      <c r="B1606" s="66"/>
      <c r="C1606" s="481"/>
    </row>
    <row r="1607" spans="2:3" x14ac:dyDescent="0.15">
      <c r="B1607" s="66"/>
      <c r="C1607" s="481"/>
    </row>
    <row r="1608" spans="2:3" x14ac:dyDescent="0.15">
      <c r="B1608" s="66"/>
      <c r="C1608" s="481"/>
    </row>
    <row r="1609" spans="2:3" x14ac:dyDescent="0.15">
      <c r="B1609" s="66"/>
      <c r="C1609" s="481"/>
    </row>
    <row r="1610" spans="2:3" x14ac:dyDescent="0.15">
      <c r="B1610" s="66"/>
      <c r="C1610" s="481"/>
    </row>
    <row r="1611" spans="2:3" x14ac:dyDescent="0.15">
      <c r="B1611" s="66"/>
      <c r="C1611" s="481"/>
    </row>
    <row r="1612" spans="2:3" x14ac:dyDescent="0.15">
      <c r="B1612" s="66"/>
      <c r="C1612" s="481"/>
    </row>
    <row r="1613" spans="2:3" x14ac:dyDescent="0.15">
      <c r="B1613" s="66"/>
      <c r="C1613" s="481"/>
    </row>
    <row r="1614" spans="2:3" x14ac:dyDescent="0.15">
      <c r="B1614" s="66"/>
      <c r="C1614" s="481"/>
    </row>
    <row r="1615" spans="2:3" x14ac:dyDescent="0.15">
      <c r="B1615" s="66"/>
      <c r="C1615" s="481"/>
    </row>
    <row r="1616" spans="2:3" x14ac:dyDescent="0.15">
      <c r="B1616" s="66"/>
      <c r="C1616" s="481"/>
    </row>
    <row r="1617" spans="2:3" x14ac:dyDescent="0.15">
      <c r="B1617" s="66"/>
      <c r="C1617" s="481"/>
    </row>
    <row r="1618" spans="2:3" x14ac:dyDescent="0.15">
      <c r="B1618" s="66"/>
      <c r="C1618" s="481"/>
    </row>
    <row r="1619" spans="2:3" x14ac:dyDescent="0.15">
      <c r="B1619" s="66"/>
      <c r="C1619" s="481"/>
    </row>
    <row r="1620" spans="2:3" x14ac:dyDescent="0.15">
      <c r="B1620" s="66"/>
      <c r="C1620" s="481"/>
    </row>
    <row r="1621" spans="2:3" x14ac:dyDescent="0.15">
      <c r="B1621" s="66"/>
      <c r="C1621" s="481"/>
    </row>
    <row r="1622" spans="2:3" x14ac:dyDescent="0.15">
      <c r="B1622" s="66"/>
      <c r="C1622" s="481"/>
    </row>
    <row r="1623" spans="2:3" x14ac:dyDescent="0.15">
      <c r="B1623" s="66"/>
      <c r="C1623" s="481"/>
    </row>
    <row r="1624" spans="2:3" x14ac:dyDescent="0.15">
      <c r="B1624" s="66"/>
      <c r="C1624" s="481"/>
    </row>
    <row r="1625" spans="2:3" x14ac:dyDescent="0.15">
      <c r="B1625" s="66"/>
      <c r="C1625" s="481"/>
    </row>
    <row r="1626" spans="2:3" x14ac:dyDescent="0.15">
      <c r="B1626" s="66"/>
      <c r="C1626" s="481"/>
    </row>
    <row r="1627" spans="2:3" x14ac:dyDescent="0.15">
      <c r="B1627" s="66"/>
      <c r="C1627" s="481"/>
    </row>
    <row r="1628" spans="2:3" x14ac:dyDescent="0.15">
      <c r="B1628" s="66"/>
      <c r="C1628" s="481"/>
    </row>
    <row r="1629" spans="2:3" x14ac:dyDescent="0.15">
      <c r="B1629" s="66"/>
      <c r="C1629" s="481"/>
    </row>
    <row r="1630" spans="2:3" x14ac:dyDescent="0.15">
      <c r="B1630" s="66"/>
      <c r="C1630" s="481"/>
    </row>
    <row r="1631" spans="2:3" x14ac:dyDescent="0.15">
      <c r="B1631" s="66"/>
      <c r="C1631" s="481"/>
    </row>
    <row r="1632" spans="2:3" x14ac:dyDescent="0.15">
      <c r="B1632" s="66"/>
      <c r="C1632" s="481"/>
    </row>
    <row r="1633" spans="2:3" x14ac:dyDescent="0.15">
      <c r="B1633" s="66"/>
      <c r="C1633" s="481"/>
    </row>
    <row r="1634" spans="2:3" x14ac:dyDescent="0.15">
      <c r="B1634" s="66"/>
      <c r="C1634" s="481"/>
    </row>
    <row r="1635" spans="2:3" x14ac:dyDescent="0.15">
      <c r="B1635" s="66"/>
      <c r="C1635" s="481"/>
    </row>
    <row r="1636" spans="2:3" x14ac:dyDescent="0.15">
      <c r="B1636" s="66"/>
      <c r="C1636" s="481"/>
    </row>
    <row r="1637" spans="2:3" x14ac:dyDescent="0.15">
      <c r="B1637" s="66"/>
      <c r="C1637" s="481"/>
    </row>
    <row r="1638" spans="2:3" x14ac:dyDescent="0.15">
      <c r="B1638" s="66"/>
      <c r="C1638" s="481"/>
    </row>
    <row r="1639" spans="2:3" x14ac:dyDescent="0.15">
      <c r="B1639" s="66"/>
      <c r="C1639" s="481"/>
    </row>
    <row r="1640" spans="2:3" x14ac:dyDescent="0.15">
      <c r="B1640" s="66"/>
      <c r="C1640" s="481"/>
    </row>
    <row r="1641" spans="2:3" x14ac:dyDescent="0.15">
      <c r="B1641" s="66"/>
      <c r="C1641" s="481"/>
    </row>
    <row r="1642" spans="2:3" x14ac:dyDescent="0.15">
      <c r="B1642" s="66"/>
      <c r="C1642" s="481"/>
    </row>
    <row r="1643" spans="2:3" x14ac:dyDescent="0.15">
      <c r="B1643" s="66"/>
      <c r="C1643" s="481"/>
    </row>
    <row r="1644" spans="2:3" x14ac:dyDescent="0.15">
      <c r="B1644" s="66"/>
      <c r="C1644" s="481"/>
    </row>
    <row r="1645" spans="2:3" x14ac:dyDescent="0.15">
      <c r="B1645" s="66"/>
      <c r="C1645" s="481"/>
    </row>
    <row r="1646" spans="2:3" x14ac:dyDescent="0.15">
      <c r="B1646" s="66"/>
      <c r="C1646" s="481"/>
    </row>
    <row r="1647" spans="2:3" x14ac:dyDescent="0.15">
      <c r="B1647" s="66"/>
      <c r="C1647" s="481"/>
    </row>
    <row r="1648" spans="2:3" x14ac:dyDescent="0.15">
      <c r="B1648" s="66"/>
      <c r="C1648" s="481"/>
    </row>
    <row r="1649" spans="2:3" x14ac:dyDescent="0.15">
      <c r="B1649" s="66"/>
      <c r="C1649" s="481"/>
    </row>
    <row r="1650" spans="2:3" x14ac:dyDescent="0.15">
      <c r="B1650" s="66"/>
      <c r="C1650" s="481"/>
    </row>
    <row r="1651" spans="2:3" x14ac:dyDescent="0.15">
      <c r="B1651" s="66"/>
      <c r="C1651" s="481"/>
    </row>
    <row r="1652" spans="2:3" x14ac:dyDescent="0.15">
      <c r="B1652" s="66"/>
      <c r="C1652" s="481"/>
    </row>
    <row r="1653" spans="2:3" x14ac:dyDescent="0.15">
      <c r="B1653" s="66"/>
      <c r="C1653" s="481"/>
    </row>
    <row r="1654" spans="2:3" x14ac:dyDescent="0.15">
      <c r="B1654" s="66"/>
      <c r="C1654" s="481"/>
    </row>
    <row r="1655" spans="2:3" x14ac:dyDescent="0.15">
      <c r="B1655" s="66"/>
      <c r="C1655" s="481"/>
    </row>
    <row r="1656" spans="2:3" x14ac:dyDescent="0.15">
      <c r="B1656" s="66"/>
      <c r="C1656" s="481"/>
    </row>
    <row r="1657" spans="2:3" x14ac:dyDescent="0.15">
      <c r="B1657" s="66"/>
      <c r="C1657" s="481"/>
    </row>
    <row r="1658" spans="2:3" x14ac:dyDescent="0.15">
      <c r="B1658" s="66"/>
      <c r="C1658" s="481"/>
    </row>
    <row r="1659" spans="2:3" x14ac:dyDescent="0.15">
      <c r="B1659" s="66"/>
      <c r="C1659" s="481"/>
    </row>
    <row r="1660" spans="2:3" x14ac:dyDescent="0.15">
      <c r="B1660" s="66"/>
      <c r="C1660" s="481"/>
    </row>
    <row r="1661" spans="2:3" x14ac:dyDescent="0.15">
      <c r="B1661" s="66"/>
      <c r="C1661" s="481"/>
    </row>
    <row r="1662" spans="2:3" x14ac:dyDescent="0.15">
      <c r="B1662" s="66"/>
      <c r="C1662" s="481"/>
    </row>
    <row r="1663" spans="2:3" x14ac:dyDescent="0.15">
      <c r="B1663" s="66"/>
      <c r="C1663" s="481"/>
    </row>
    <row r="1664" spans="2:3" x14ac:dyDescent="0.15">
      <c r="B1664" s="66"/>
      <c r="C1664" s="481"/>
    </row>
    <row r="1665" spans="2:3" x14ac:dyDescent="0.15">
      <c r="B1665" s="66"/>
      <c r="C1665" s="481"/>
    </row>
    <row r="1666" spans="2:3" x14ac:dyDescent="0.15">
      <c r="B1666" s="66"/>
      <c r="C1666" s="481"/>
    </row>
    <row r="1667" spans="2:3" x14ac:dyDescent="0.15">
      <c r="B1667" s="66"/>
      <c r="C1667" s="481"/>
    </row>
    <row r="1668" spans="2:3" x14ac:dyDescent="0.15">
      <c r="B1668" s="66"/>
      <c r="C1668" s="481"/>
    </row>
    <row r="1669" spans="2:3" x14ac:dyDescent="0.15">
      <c r="B1669" s="66"/>
      <c r="C1669" s="481"/>
    </row>
    <row r="1670" spans="2:3" x14ac:dyDescent="0.15">
      <c r="B1670" s="66"/>
      <c r="C1670" s="481"/>
    </row>
    <row r="1671" spans="2:3" x14ac:dyDescent="0.15">
      <c r="B1671" s="66"/>
      <c r="C1671" s="481"/>
    </row>
    <row r="1672" spans="2:3" x14ac:dyDescent="0.15">
      <c r="B1672" s="66"/>
      <c r="C1672" s="481"/>
    </row>
    <row r="1673" spans="2:3" x14ac:dyDescent="0.15">
      <c r="B1673" s="66"/>
      <c r="C1673" s="481"/>
    </row>
    <row r="1674" spans="2:3" x14ac:dyDescent="0.15">
      <c r="B1674" s="66"/>
      <c r="C1674" s="481"/>
    </row>
    <row r="1675" spans="2:3" x14ac:dyDescent="0.15">
      <c r="B1675" s="66"/>
      <c r="C1675" s="481"/>
    </row>
    <row r="1676" spans="2:3" x14ac:dyDescent="0.15">
      <c r="B1676" s="66"/>
      <c r="C1676" s="481"/>
    </row>
    <row r="1677" spans="2:3" x14ac:dyDescent="0.15">
      <c r="B1677" s="66"/>
      <c r="C1677" s="481"/>
    </row>
    <row r="1678" spans="2:3" x14ac:dyDescent="0.15">
      <c r="B1678" s="66"/>
      <c r="C1678" s="481"/>
    </row>
    <row r="1679" spans="2:3" x14ac:dyDescent="0.15">
      <c r="B1679" s="66"/>
      <c r="C1679" s="481"/>
    </row>
    <row r="1680" spans="2:3" x14ac:dyDescent="0.15">
      <c r="B1680" s="66"/>
      <c r="C1680" s="481"/>
    </row>
    <row r="1681" spans="2:3" x14ac:dyDescent="0.15">
      <c r="B1681" s="66"/>
      <c r="C1681" s="481"/>
    </row>
    <row r="1682" spans="2:3" x14ac:dyDescent="0.15">
      <c r="B1682" s="66"/>
      <c r="C1682" s="481"/>
    </row>
    <row r="1683" spans="2:3" x14ac:dyDescent="0.15">
      <c r="B1683" s="66"/>
      <c r="C1683" s="481"/>
    </row>
    <row r="1684" spans="2:3" x14ac:dyDescent="0.15">
      <c r="B1684" s="66"/>
      <c r="C1684" s="481"/>
    </row>
    <row r="1685" spans="2:3" x14ac:dyDescent="0.15">
      <c r="B1685" s="66"/>
      <c r="C1685" s="481"/>
    </row>
    <row r="1686" spans="2:3" x14ac:dyDescent="0.15">
      <c r="B1686" s="66"/>
      <c r="C1686" s="481"/>
    </row>
    <row r="1687" spans="2:3" x14ac:dyDescent="0.15">
      <c r="B1687" s="66"/>
      <c r="C1687" s="481"/>
    </row>
    <row r="1688" spans="2:3" x14ac:dyDescent="0.15">
      <c r="B1688" s="66"/>
      <c r="C1688" s="481"/>
    </row>
    <row r="1689" spans="2:3" x14ac:dyDescent="0.15">
      <c r="B1689" s="66"/>
      <c r="C1689" s="481"/>
    </row>
    <row r="1690" spans="2:3" x14ac:dyDescent="0.15">
      <c r="B1690" s="66"/>
      <c r="C1690" s="481"/>
    </row>
    <row r="1691" spans="2:3" x14ac:dyDescent="0.15">
      <c r="B1691" s="66"/>
      <c r="C1691" s="481"/>
    </row>
    <row r="1692" spans="2:3" x14ac:dyDescent="0.15">
      <c r="B1692" s="66"/>
      <c r="C1692" s="481"/>
    </row>
    <row r="1693" spans="2:3" x14ac:dyDescent="0.15">
      <c r="B1693" s="66"/>
      <c r="C1693" s="481"/>
    </row>
    <row r="1694" spans="2:3" x14ac:dyDescent="0.15">
      <c r="B1694" s="66"/>
      <c r="C1694" s="481"/>
    </row>
    <row r="1695" spans="2:3" x14ac:dyDescent="0.15">
      <c r="B1695" s="66"/>
      <c r="C1695" s="481"/>
    </row>
    <row r="1696" spans="2:3" x14ac:dyDescent="0.15">
      <c r="B1696" s="66"/>
      <c r="C1696" s="481"/>
    </row>
    <row r="1697" spans="2:3" x14ac:dyDescent="0.15">
      <c r="B1697" s="66"/>
      <c r="C1697" s="481"/>
    </row>
    <row r="1698" spans="2:3" x14ac:dyDescent="0.15">
      <c r="B1698" s="66"/>
      <c r="C1698" s="481"/>
    </row>
    <row r="1699" spans="2:3" x14ac:dyDescent="0.15">
      <c r="B1699" s="66"/>
      <c r="C1699" s="481"/>
    </row>
    <row r="1700" spans="2:3" x14ac:dyDescent="0.15">
      <c r="B1700" s="66"/>
      <c r="C1700" s="481"/>
    </row>
    <row r="1701" spans="2:3" x14ac:dyDescent="0.15">
      <c r="B1701" s="66"/>
      <c r="C1701" s="481"/>
    </row>
    <row r="1702" spans="2:3" x14ac:dyDescent="0.15">
      <c r="B1702" s="66"/>
      <c r="C1702" s="481"/>
    </row>
    <row r="1703" spans="2:3" x14ac:dyDescent="0.15">
      <c r="B1703" s="66"/>
      <c r="C1703" s="481"/>
    </row>
    <row r="1704" spans="2:3" x14ac:dyDescent="0.15">
      <c r="B1704" s="66"/>
      <c r="C1704" s="481"/>
    </row>
    <row r="1705" spans="2:3" x14ac:dyDescent="0.15">
      <c r="B1705" s="66"/>
      <c r="C1705" s="481"/>
    </row>
    <row r="1706" spans="2:3" x14ac:dyDescent="0.15">
      <c r="B1706" s="66"/>
      <c r="C1706" s="481"/>
    </row>
    <row r="1707" spans="2:3" x14ac:dyDescent="0.15">
      <c r="B1707" s="66"/>
      <c r="C1707" s="481"/>
    </row>
    <row r="1708" spans="2:3" x14ac:dyDescent="0.15">
      <c r="B1708" s="66"/>
      <c r="C1708" s="481"/>
    </row>
    <row r="1709" spans="2:3" x14ac:dyDescent="0.15">
      <c r="B1709" s="66"/>
      <c r="C1709" s="481"/>
    </row>
    <row r="1710" spans="2:3" x14ac:dyDescent="0.15">
      <c r="B1710" s="66"/>
      <c r="C1710" s="481"/>
    </row>
    <row r="1711" spans="2:3" x14ac:dyDescent="0.15">
      <c r="B1711" s="66"/>
      <c r="C1711" s="481"/>
    </row>
    <row r="1712" spans="2:3" x14ac:dyDescent="0.15">
      <c r="B1712" s="66"/>
      <c r="C1712" s="481"/>
    </row>
    <row r="1713" spans="2:3" x14ac:dyDescent="0.15">
      <c r="B1713" s="66"/>
      <c r="C1713" s="481"/>
    </row>
    <row r="1714" spans="2:3" x14ac:dyDescent="0.15">
      <c r="B1714" s="66"/>
      <c r="C1714" s="481"/>
    </row>
    <row r="1715" spans="2:3" x14ac:dyDescent="0.15">
      <c r="B1715" s="66"/>
      <c r="C1715" s="481"/>
    </row>
    <row r="1716" spans="2:3" x14ac:dyDescent="0.15">
      <c r="B1716" s="66"/>
      <c r="C1716" s="481"/>
    </row>
    <row r="1717" spans="2:3" x14ac:dyDescent="0.15">
      <c r="B1717" s="66"/>
      <c r="C1717" s="481"/>
    </row>
    <row r="1718" spans="2:3" x14ac:dyDescent="0.15">
      <c r="B1718" s="66"/>
      <c r="C1718" s="481"/>
    </row>
    <row r="1719" spans="2:3" x14ac:dyDescent="0.15">
      <c r="B1719" s="66"/>
      <c r="C1719" s="481"/>
    </row>
    <row r="1720" spans="2:3" x14ac:dyDescent="0.15">
      <c r="B1720" s="66"/>
      <c r="C1720" s="481"/>
    </row>
    <row r="1721" spans="2:3" x14ac:dyDescent="0.15">
      <c r="B1721" s="66"/>
      <c r="C1721" s="481"/>
    </row>
    <row r="1722" spans="2:3" x14ac:dyDescent="0.15">
      <c r="B1722" s="66"/>
      <c r="C1722" s="481"/>
    </row>
    <row r="1723" spans="2:3" x14ac:dyDescent="0.15">
      <c r="B1723" s="66"/>
      <c r="C1723" s="481"/>
    </row>
    <row r="1724" spans="2:3" x14ac:dyDescent="0.15">
      <c r="B1724" s="66"/>
      <c r="C1724" s="481"/>
    </row>
    <row r="1725" spans="2:3" x14ac:dyDescent="0.15">
      <c r="B1725" s="66"/>
      <c r="C1725" s="481"/>
    </row>
    <row r="1726" spans="2:3" x14ac:dyDescent="0.15">
      <c r="B1726" s="66"/>
      <c r="C1726" s="481"/>
    </row>
    <row r="1727" spans="2:3" x14ac:dyDescent="0.15">
      <c r="B1727" s="66"/>
      <c r="C1727" s="481"/>
    </row>
    <row r="1728" spans="2:3" x14ac:dyDescent="0.15">
      <c r="B1728" s="66"/>
      <c r="C1728" s="481"/>
    </row>
    <row r="1729" spans="2:3" x14ac:dyDescent="0.15">
      <c r="B1729" s="66"/>
      <c r="C1729" s="481"/>
    </row>
    <row r="1730" spans="2:3" x14ac:dyDescent="0.15">
      <c r="B1730" s="66"/>
      <c r="C1730" s="481"/>
    </row>
    <row r="1731" spans="2:3" x14ac:dyDescent="0.15">
      <c r="B1731" s="66"/>
      <c r="C1731" s="481"/>
    </row>
    <row r="1732" spans="2:3" x14ac:dyDescent="0.15">
      <c r="B1732" s="66"/>
      <c r="C1732" s="481"/>
    </row>
    <row r="1733" spans="2:3" x14ac:dyDescent="0.15">
      <c r="B1733" s="66"/>
      <c r="C1733" s="481"/>
    </row>
    <row r="1734" spans="2:3" x14ac:dyDescent="0.15">
      <c r="B1734" s="66"/>
      <c r="C1734" s="481"/>
    </row>
    <row r="1735" spans="2:3" x14ac:dyDescent="0.15">
      <c r="B1735" s="66"/>
      <c r="C1735" s="481"/>
    </row>
    <row r="1736" spans="2:3" x14ac:dyDescent="0.15">
      <c r="B1736" s="66"/>
      <c r="C1736" s="481"/>
    </row>
    <row r="1737" spans="2:3" x14ac:dyDescent="0.15">
      <c r="B1737" s="66"/>
      <c r="C1737" s="481"/>
    </row>
    <row r="1738" spans="2:3" x14ac:dyDescent="0.15">
      <c r="B1738" s="66"/>
      <c r="C1738" s="481"/>
    </row>
    <row r="1739" spans="2:3" x14ac:dyDescent="0.15">
      <c r="B1739" s="66"/>
      <c r="C1739" s="481"/>
    </row>
    <row r="1740" spans="2:3" x14ac:dyDescent="0.15">
      <c r="B1740" s="66"/>
      <c r="C1740" s="481"/>
    </row>
    <row r="1741" spans="2:3" x14ac:dyDescent="0.15">
      <c r="B1741" s="66"/>
      <c r="C1741" s="481"/>
    </row>
    <row r="1742" spans="2:3" x14ac:dyDescent="0.15">
      <c r="B1742" s="66"/>
      <c r="C1742" s="481"/>
    </row>
    <row r="1743" spans="2:3" x14ac:dyDescent="0.15">
      <c r="B1743" s="66"/>
      <c r="C1743" s="481"/>
    </row>
    <row r="1744" spans="2:3" x14ac:dyDescent="0.15">
      <c r="B1744" s="66"/>
      <c r="C1744" s="481"/>
    </row>
    <row r="1745" spans="2:3" x14ac:dyDescent="0.15">
      <c r="B1745" s="66"/>
      <c r="C1745" s="481"/>
    </row>
    <row r="1746" spans="2:3" x14ac:dyDescent="0.15">
      <c r="B1746" s="66"/>
      <c r="C1746" s="481"/>
    </row>
    <row r="1747" spans="2:3" x14ac:dyDescent="0.15">
      <c r="B1747" s="66"/>
      <c r="C1747" s="481"/>
    </row>
    <row r="1748" spans="2:3" x14ac:dyDescent="0.15">
      <c r="B1748" s="66"/>
      <c r="C1748" s="481"/>
    </row>
    <row r="1749" spans="2:3" x14ac:dyDescent="0.15">
      <c r="B1749" s="66"/>
      <c r="C1749" s="481"/>
    </row>
    <row r="1750" spans="2:3" x14ac:dyDescent="0.15">
      <c r="B1750" s="66"/>
      <c r="C1750" s="481"/>
    </row>
    <row r="1751" spans="2:3" x14ac:dyDescent="0.15">
      <c r="B1751" s="66"/>
      <c r="C1751" s="481"/>
    </row>
    <row r="1752" spans="2:3" x14ac:dyDescent="0.15">
      <c r="B1752" s="66"/>
      <c r="C1752" s="481"/>
    </row>
    <row r="1753" spans="2:3" x14ac:dyDescent="0.15">
      <c r="B1753" s="66"/>
      <c r="C1753" s="481"/>
    </row>
    <row r="1754" spans="2:3" x14ac:dyDescent="0.15">
      <c r="B1754" s="66"/>
      <c r="C1754" s="481"/>
    </row>
    <row r="1755" spans="2:3" x14ac:dyDescent="0.15">
      <c r="B1755" s="66"/>
      <c r="C1755" s="481"/>
    </row>
    <row r="1756" spans="2:3" x14ac:dyDescent="0.15">
      <c r="B1756" s="66"/>
      <c r="C1756" s="481"/>
    </row>
    <row r="1757" spans="2:3" x14ac:dyDescent="0.15">
      <c r="B1757" s="66"/>
      <c r="C1757" s="481"/>
    </row>
    <row r="1758" spans="2:3" x14ac:dyDescent="0.15">
      <c r="B1758" s="66"/>
      <c r="C1758" s="481"/>
    </row>
    <row r="1759" spans="2:3" x14ac:dyDescent="0.15">
      <c r="B1759" s="66"/>
      <c r="C1759" s="481"/>
    </row>
    <row r="1760" spans="2:3" x14ac:dyDescent="0.15">
      <c r="B1760" s="66"/>
      <c r="C1760" s="481"/>
    </row>
    <row r="1761" spans="2:3" x14ac:dyDescent="0.15">
      <c r="B1761" s="66"/>
      <c r="C1761" s="481"/>
    </row>
    <row r="1762" spans="2:3" x14ac:dyDescent="0.15">
      <c r="B1762" s="66"/>
      <c r="C1762" s="481"/>
    </row>
    <row r="1763" spans="2:3" x14ac:dyDescent="0.15">
      <c r="B1763" s="66"/>
      <c r="C1763" s="481"/>
    </row>
    <row r="1764" spans="2:3" x14ac:dyDescent="0.15">
      <c r="B1764" s="66"/>
      <c r="C1764" s="481"/>
    </row>
    <row r="1765" spans="2:3" x14ac:dyDescent="0.15">
      <c r="B1765" s="66"/>
      <c r="C1765" s="481"/>
    </row>
    <row r="1766" spans="2:3" x14ac:dyDescent="0.15">
      <c r="B1766" s="66"/>
      <c r="C1766" s="481"/>
    </row>
    <row r="1767" spans="2:3" x14ac:dyDescent="0.15">
      <c r="B1767" s="66"/>
      <c r="C1767" s="481"/>
    </row>
    <row r="1768" spans="2:3" x14ac:dyDescent="0.15">
      <c r="B1768" s="66"/>
      <c r="C1768" s="481"/>
    </row>
    <row r="1769" spans="2:3" x14ac:dyDescent="0.15">
      <c r="B1769" s="66"/>
      <c r="C1769" s="481"/>
    </row>
    <row r="1770" spans="2:3" x14ac:dyDescent="0.15">
      <c r="B1770" s="66"/>
      <c r="C1770" s="481"/>
    </row>
    <row r="1771" spans="2:3" x14ac:dyDescent="0.15">
      <c r="B1771" s="66"/>
      <c r="C1771" s="481"/>
    </row>
    <row r="1772" spans="2:3" x14ac:dyDescent="0.15">
      <c r="B1772" s="66"/>
      <c r="C1772" s="481"/>
    </row>
    <row r="1773" spans="2:3" x14ac:dyDescent="0.15">
      <c r="B1773" s="66"/>
      <c r="C1773" s="481"/>
    </row>
    <row r="1774" spans="2:3" x14ac:dyDescent="0.15">
      <c r="B1774" s="66"/>
      <c r="C1774" s="481"/>
    </row>
    <row r="1775" spans="2:3" x14ac:dyDescent="0.15">
      <c r="B1775" s="66"/>
      <c r="C1775" s="481"/>
    </row>
    <row r="1776" spans="2:3" x14ac:dyDescent="0.15">
      <c r="B1776" s="66"/>
      <c r="C1776" s="481"/>
    </row>
    <row r="1777" spans="2:3" x14ac:dyDescent="0.15">
      <c r="B1777" s="66"/>
      <c r="C1777" s="481"/>
    </row>
    <row r="1778" spans="2:3" x14ac:dyDescent="0.15">
      <c r="B1778" s="66"/>
      <c r="C1778" s="481"/>
    </row>
    <row r="1779" spans="2:3" x14ac:dyDescent="0.15">
      <c r="B1779" s="66"/>
      <c r="C1779" s="481"/>
    </row>
    <row r="1780" spans="2:3" x14ac:dyDescent="0.15">
      <c r="B1780" s="66"/>
      <c r="C1780" s="481"/>
    </row>
    <row r="1781" spans="2:3" x14ac:dyDescent="0.15">
      <c r="B1781" s="66"/>
      <c r="C1781" s="481"/>
    </row>
    <row r="1782" spans="2:3" x14ac:dyDescent="0.15">
      <c r="B1782" s="66"/>
      <c r="C1782" s="481"/>
    </row>
    <row r="1783" spans="2:3" x14ac:dyDescent="0.15">
      <c r="B1783" s="66"/>
      <c r="C1783" s="481"/>
    </row>
    <row r="1784" spans="2:3" x14ac:dyDescent="0.15">
      <c r="B1784" s="66"/>
      <c r="C1784" s="481"/>
    </row>
    <row r="1785" spans="2:3" x14ac:dyDescent="0.15">
      <c r="B1785" s="66"/>
      <c r="C1785" s="481"/>
    </row>
    <row r="1786" spans="2:3" x14ac:dyDescent="0.15">
      <c r="B1786" s="66"/>
      <c r="C1786" s="481"/>
    </row>
    <row r="1787" spans="2:3" x14ac:dyDescent="0.15">
      <c r="B1787" s="66"/>
      <c r="C1787" s="481"/>
    </row>
    <row r="1788" spans="2:3" x14ac:dyDescent="0.15">
      <c r="B1788" s="66"/>
      <c r="C1788" s="481"/>
    </row>
    <row r="1789" spans="2:3" x14ac:dyDescent="0.15">
      <c r="B1789" s="66"/>
      <c r="C1789" s="481"/>
    </row>
    <row r="1790" spans="2:3" x14ac:dyDescent="0.15">
      <c r="B1790" s="66"/>
      <c r="C1790" s="481"/>
    </row>
    <row r="1791" spans="2:3" x14ac:dyDescent="0.15">
      <c r="B1791" s="66"/>
      <c r="C1791" s="481"/>
    </row>
    <row r="1792" spans="2:3" x14ac:dyDescent="0.15">
      <c r="B1792" s="66"/>
      <c r="C1792" s="481"/>
    </row>
    <row r="1793" spans="2:3" x14ac:dyDescent="0.15">
      <c r="B1793" s="66"/>
      <c r="C1793" s="481"/>
    </row>
    <row r="1794" spans="2:3" x14ac:dyDescent="0.15">
      <c r="B1794" s="66"/>
      <c r="C1794" s="481"/>
    </row>
    <row r="1795" spans="2:3" x14ac:dyDescent="0.15">
      <c r="B1795" s="66"/>
      <c r="C1795" s="481"/>
    </row>
    <row r="1796" spans="2:3" x14ac:dyDescent="0.15">
      <c r="B1796" s="66"/>
      <c r="C1796" s="481"/>
    </row>
    <row r="1797" spans="2:3" x14ac:dyDescent="0.15">
      <c r="B1797" s="66"/>
      <c r="C1797" s="481"/>
    </row>
    <row r="1798" spans="2:3" x14ac:dyDescent="0.15">
      <c r="B1798" s="66"/>
      <c r="C1798" s="481"/>
    </row>
    <row r="1799" spans="2:3" x14ac:dyDescent="0.15">
      <c r="B1799" s="66"/>
      <c r="C1799" s="481"/>
    </row>
    <row r="1800" spans="2:3" x14ac:dyDescent="0.15">
      <c r="B1800" s="66"/>
      <c r="C1800" s="481"/>
    </row>
    <row r="1801" spans="2:3" x14ac:dyDescent="0.15">
      <c r="B1801" s="66"/>
      <c r="C1801" s="481"/>
    </row>
    <row r="1802" spans="2:3" x14ac:dyDescent="0.15">
      <c r="B1802" s="66"/>
      <c r="C1802" s="481"/>
    </row>
    <row r="1803" spans="2:3" x14ac:dyDescent="0.15">
      <c r="B1803" s="66"/>
      <c r="C1803" s="481"/>
    </row>
    <row r="1804" spans="2:3" x14ac:dyDescent="0.15">
      <c r="B1804" s="66"/>
      <c r="C1804" s="481"/>
    </row>
    <row r="1805" spans="2:3" x14ac:dyDescent="0.15">
      <c r="B1805" s="66"/>
      <c r="C1805" s="481"/>
    </row>
    <row r="1806" spans="2:3" x14ac:dyDescent="0.15">
      <c r="B1806" s="66"/>
      <c r="C1806" s="481"/>
    </row>
    <row r="1807" spans="2:3" x14ac:dyDescent="0.15">
      <c r="B1807" s="66"/>
      <c r="C1807" s="481"/>
    </row>
    <row r="1808" spans="2:3" x14ac:dyDescent="0.15">
      <c r="B1808" s="66"/>
      <c r="C1808" s="481"/>
    </row>
    <row r="1809" spans="2:3" x14ac:dyDescent="0.15">
      <c r="B1809" s="66"/>
      <c r="C1809" s="481"/>
    </row>
    <row r="1810" spans="2:3" x14ac:dyDescent="0.15">
      <c r="B1810" s="66"/>
      <c r="C1810" s="481"/>
    </row>
    <row r="1811" spans="2:3" x14ac:dyDescent="0.15">
      <c r="B1811" s="66"/>
      <c r="C1811" s="481"/>
    </row>
    <row r="1812" spans="2:3" x14ac:dyDescent="0.15">
      <c r="B1812" s="66"/>
      <c r="C1812" s="481"/>
    </row>
    <row r="1813" spans="2:3" x14ac:dyDescent="0.15">
      <c r="B1813" s="66"/>
      <c r="C1813" s="481"/>
    </row>
    <row r="1814" spans="2:3" x14ac:dyDescent="0.15">
      <c r="B1814" s="66"/>
      <c r="C1814" s="481"/>
    </row>
    <row r="1815" spans="2:3" x14ac:dyDescent="0.15">
      <c r="B1815" s="66"/>
      <c r="C1815" s="481"/>
    </row>
    <row r="1816" spans="2:3" x14ac:dyDescent="0.15">
      <c r="B1816" s="66"/>
      <c r="C1816" s="481"/>
    </row>
    <row r="1817" spans="2:3" x14ac:dyDescent="0.15">
      <c r="B1817" s="66"/>
      <c r="C1817" s="481"/>
    </row>
    <row r="1818" spans="2:3" x14ac:dyDescent="0.15">
      <c r="B1818" s="66"/>
      <c r="C1818" s="481"/>
    </row>
    <row r="1819" spans="2:3" x14ac:dyDescent="0.15">
      <c r="B1819" s="66"/>
      <c r="C1819" s="481"/>
    </row>
    <row r="1820" spans="2:3" x14ac:dyDescent="0.15">
      <c r="B1820" s="66"/>
      <c r="C1820" s="481"/>
    </row>
    <row r="1821" spans="2:3" x14ac:dyDescent="0.15">
      <c r="B1821" s="66"/>
      <c r="C1821" s="481"/>
    </row>
    <row r="1822" spans="2:3" x14ac:dyDescent="0.15">
      <c r="B1822" s="66"/>
      <c r="C1822" s="481"/>
    </row>
    <row r="1823" spans="2:3" x14ac:dyDescent="0.15">
      <c r="B1823" s="66"/>
      <c r="C1823" s="481"/>
    </row>
    <row r="1824" spans="2:3" x14ac:dyDescent="0.15">
      <c r="B1824" s="66"/>
      <c r="C1824" s="481"/>
    </row>
    <row r="1825" spans="2:3" x14ac:dyDescent="0.15">
      <c r="B1825" s="66"/>
      <c r="C1825" s="481"/>
    </row>
    <row r="1826" spans="2:3" x14ac:dyDescent="0.15">
      <c r="B1826" s="66"/>
      <c r="C1826" s="481"/>
    </row>
    <row r="1827" spans="2:3" x14ac:dyDescent="0.15">
      <c r="B1827" s="66"/>
      <c r="C1827" s="481"/>
    </row>
    <row r="1828" spans="2:3" x14ac:dyDescent="0.15">
      <c r="B1828" s="66"/>
      <c r="C1828" s="481"/>
    </row>
    <row r="1829" spans="2:3" x14ac:dyDescent="0.15">
      <c r="B1829" s="66"/>
      <c r="C1829" s="481"/>
    </row>
    <row r="1830" spans="2:3" x14ac:dyDescent="0.15">
      <c r="B1830" s="66"/>
      <c r="C1830" s="481"/>
    </row>
    <row r="1831" spans="2:3" x14ac:dyDescent="0.15">
      <c r="B1831" s="66"/>
      <c r="C1831" s="481"/>
    </row>
    <row r="1832" spans="2:3" x14ac:dyDescent="0.15">
      <c r="B1832" s="66"/>
      <c r="C1832" s="481"/>
    </row>
    <row r="1833" spans="2:3" x14ac:dyDescent="0.15">
      <c r="B1833" s="66"/>
      <c r="C1833" s="481"/>
    </row>
    <row r="1834" spans="2:3" x14ac:dyDescent="0.15">
      <c r="B1834" s="66"/>
      <c r="C1834" s="481"/>
    </row>
    <row r="1835" spans="2:3" x14ac:dyDescent="0.15">
      <c r="B1835" s="66"/>
      <c r="C1835" s="481"/>
    </row>
    <row r="1836" spans="2:3" x14ac:dyDescent="0.15">
      <c r="B1836" s="66"/>
      <c r="C1836" s="481"/>
    </row>
    <row r="1837" spans="2:3" x14ac:dyDescent="0.15">
      <c r="B1837" s="66"/>
      <c r="C1837" s="481"/>
    </row>
    <row r="1838" spans="2:3" x14ac:dyDescent="0.15">
      <c r="B1838" s="66"/>
      <c r="C1838" s="481"/>
    </row>
    <row r="1839" spans="2:3" x14ac:dyDescent="0.15">
      <c r="B1839" s="66"/>
      <c r="C1839" s="481"/>
    </row>
    <row r="1840" spans="2:3" x14ac:dyDescent="0.15">
      <c r="B1840" s="66"/>
      <c r="C1840" s="481"/>
    </row>
    <row r="1841" spans="2:3" x14ac:dyDescent="0.15">
      <c r="B1841" s="66"/>
      <c r="C1841" s="481"/>
    </row>
    <row r="1842" spans="2:3" x14ac:dyDescent="0.15">
      <c r="B1842" s="66"/>
      <c r="C1842" s="481"/>
    </row>
    <row r="1843" spans="2:3" x14ac:dyDescent="0.15">
      <c r="B1843" s="66"/>
      <c r="C1843" s="481"/>
    </row>
    <row r="1844" spans="2:3" x14ac:dyDescent="0.15">
      <c r="B1844" s="66"/>
      <c r="C1844" s="481"/>
    </row>
    <row r="1845" spans="2:3" x14ac:dyDescent="0.15">
      <c r="B1845" s="66"/>
      <c r="C1845" s="481"/>
    </row>
    <row r="1846" spans="2:3" x14ac:dyDescent="0.15">
      <c r="B1846" s="66"/>
      <c r="C1846" s="481"/>
    </row>
    <row r="1847" spans="2:3" x14ac:dyDescent="0.15">
      <c r="B1847" s="66"/>
      <c r="C1847" s="481"/>
    </row>
    <row r="1848" spans="2:3" x14ac:dyDescent="0.15">
      <c r="B1848" s="66"/>
      <c r="C1848" s="481"/>
    </row>
    <row r="1849" spans="2:3" x14ac:dyDescent="0.15">
      <c r="B1849" s="66"/>
      <c r="C1849" s="481"/>
    </row>
    <row r="1850" spans="2:3" x14ac:dyDescent="0.15">
      <c r="B1850" s="66"/>
      <c r="C1850" s="481"/>
    </row>
    <row r="1851" spans="2:3" x14ac:dyDescent="0.15">
      <c r="B1851" s="66"/>
      <c r="C1851" s="481"/>
    </row>
    <row r="1852" spans="2:3" x14ac:dyDescent="0.15">
      <c r="B1852" s="66"/>
      <c r="C1852" s="481"/>
    </row>
    <row r="1853" spans="2:3" x14ac:dyDescent="0.15">
      <c r="B1853" s="66"/>
      <c r="C1853" s="481"/>
    </row>
    <row r="1854" spans="2:3" x14ac:dyDescent="0.15">
      <c r="B1854" s="66"/>
      <c r="C1854" s="481"/>
    </row>
    <row r="1855" spans="2:3" x14ac:dyDescent="0.15">
      <c r="B1855" s="66"/>
      <c r="C1855" s="481"/>
    </row>
    <row r="1856" spans="2:3" x14ac:dyDescent="0.15">
      <c r="B1856" s="66"/>
      <c r="C1856" s="481"/>
    </row>
    <row r="1857" spans="2:3" x14ac:dyDescent="0.15">
      <c r="B1857" s="66"/>
      <c r="C1857" s="481"/>
    </row>
    <row r="1858" spans="2:3" x14ac:dyDescent="0.15">
      <c r="B1858" s="66"/>
      <c r="C1858" s="481"/>
    </row>
    <row r="1859" spans="2:3" x14ac:dyDescent="0.15">
      <c r="B1859" s="66"/>
      <c r="C1859" s="481"/>
    </row>
    <row r="1860" spans="2:3" x14ac:dyDescent="0.15">
      <c r="B1860" s="66"/>
      <c r="C1860" s="481"/>
    </row>
    <row r="1861" spans="2:3" x14ac:dyDescent="0.15">
      <c r="B1861" s="66"/>
      <c r="C1861" s="481"/>
    </row>
    <row r="1862" spans="2:3" x14ac:dyDescent="0.15">
      <c r="B1862" s="66"/>
      <c r="C1862" s="481"/>
    </row>
  </sheetData>
  <phoneticPr fontId="59" type="noConversion"/>
  <pageMargins left="0.74803149606299213" right="0.74803149606299213" top="0.98425196850393704" bottom="0.98425196850393704" header="0.51181102362204722" footer="0.51181102362204722"/>
  <pageSetup paperSize="9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indexed="15"/>
    <pageSetUpPr fitToPage="1"/>
  </sheetPr>
  <dimension ref="A1:DT2481"/>
  <sheetViews>
    <sheetView showZeros="0" tabSelected="1" topLeftCell="AB1" zoomScale="150" zoomScaleNormal="150" zoomScalePageLayoutView="80" workbookViewId="0">
      <selection activeCell="W13" sqref="A13:XFD13"/>
    </sheetView>
  </sheetViews>
  <sheetFormatPr baseColWidth="10" defaultColWidth="8.6640625" defaultRowHeight="13" x14ac:dyDescent="0.15"/>
  <cols>
    <col min="1" max="1" width="6.1640625" style="164" customWidth="1"/>
    <col min="2" max="2" width="4.83203125" style="164" customWidth="1"/>
    <col min="3" max="3" width="5.6640625" style="164" customWidth="1"/>
    <col min="4" max="4" width="4.5" style="164" customWidth="1"/>
    <col min="5" max="5" width="17.5" style="164" customWidth="1"/>
    <col min="6" max="6" width="31" style="164" customWidth="1"/>
    <col min="7" max="7" width="16.5" style="164" customWidth="1"/>
    <col min="8" max="8" width="11.1640625" style="553" customWidth="1"/>
    <col min="9" max="9" width="7" style="164" customWidth="1"/>
    <col min="10" max="11" width="6.6640625" style="164" hidden="1" customWidth="1"/>
    <col min="12" max="12" width="7" style="164" customWidth="1"/>
    <col min="13" max="13" width="6.6640625" style="164" customWidth="1"/>
    <col min="14" max="14" width="9" style="164" customWidth="1"/>
    <col min="15" max="15" width="13.5" style="164" customWidth="1"/>
    <col min="16" max="16" width="11.5" style="550" customWidth="1"/>
    <col min="17" max="24" width="11.5" style="164" customWidth="1"/>
    <col min="25" max="26" width="10.33203125" style="164" customWidth="1"/>
    <col min="27" max="27" width="9.5" style="164" customWidth="1"/>
    <col min="28" max="28" width="12" style="224" customWidth="1"/>
    <col min="29" max="29" width="11.83203125" style="164" customWidth="1"/>
    <col min="30" max="30" width="11.5" style="164" customWidth="1"/>
    <col min="31" max="45" width="8.6640625" style="164" customWidth="1"/>
    <col min="46" max="46" width="9.5" bestFit="1" customWidth="1"/>
    <col min="47" max="47" width="10.1640625" style="164" customWidth="1"/>
    <col min="48" max="48" width="7.83203125" style="224" customWidth="1"/>
    <col min="49" max="51" width="8.6640625" style="224"/>
    <col min="52" max="52" width="12" style="224" customWidth="1"/>
    <col min="53" max="53" width="7.6640625" style="224" customWidth="1"/>
    <col min="54" max="54" width="11.6640625" style="224" customWidth="1"/>
    <col min="55" max="55" width="8.6640625" style="224"/>
    <col min="56" max="56" width="10" style="224" customWidth="1"/>
    <col min="57" max="57" width="7.6640625" style="224" customWidth="1"/>
    <col min="58" max="58" width="8.6640625" style="224"/>
    <col min="59" max="59" width="12.1640625" style="224" customWidth="1"/>
    <col min="60" max="61" width="8.6640625" style="224"/>
    <col min="62" max="62" width="7.83203125" style="224" customWidth="1"/>
    <col min="63" max="63" width="10.83203125" style="224" customWidth="1"/>
    <col min="64" max="64" width="10.6640625" style="224" customWidth="1"/>
    <col min="65" max="65" width="10.5" style="224" customWidth="1"/>
    <col min="66" max="66" width="10" style="224" customWidth="1"/>
    <col min="67" max="67" width="7.6640625" style="224" customWidth="1"/>
    <col min="68" max="68" width="8.6640625" style="224"/>
    <col min="69" max="69" width="9.1640625" style="224" customWidth="1"/>
    <col min="70" max="70" width="11.1640625" style="224" customWidth="1"/>
    <col min="71" max="72" width="8.6640625" style="224"/>
    <col min="74" max="74" width="30.5" customWidth="1"/>
    <col min="75" max="75" width="23.1640625" style="164" customWidth="1"/>
    <col min="76" max="16384" width="8.6640625" style="224"/>
  </cols>
  <sheetData>
    <row r="1" spans="1:75" ht="26" x14ac:dyDescent="0.15">
      <c r="F1" s="1566" t="s">
        <v>988</v>
      </c>
      <c r="G1" s="168"/>
      <c r="H1" s="1337"/>
      <c r="I1" s="235"/>
      <c r="J1" s="288"/>
      <c r="K1" s="288"/>
      <c r="L1" s="167"/>
      <c r="M1" s="167"/>
      <c r="N1" s="169"/>
      <c r="Q1" s="224"/>
      <c r="R1" s="224"/>
      <c r="S1" s="224"/>
      <c r="T1" s="224"/>
      <c r="U1" s="224"/>
      <c r="V1" s="224"/>
      <c r="W1" s="224"/>
      <c r="X1" s="224"/>
      <c r="Y1" s="224"/>
      <c r="Z1" s="224"/>
      <c r="AC1" s="224"/>
      <c r="BW1" s="168"/>
    </row>
    <row r="2" spans="1:75" s="164" customFormat="1" ht="12.75" customHeight="1" x14ac:dyDescent="0.15">
      <c r="F2" s="9"/>
      <c r="G2" s="168"/>
      <c r="H2" s="1337"/>
      <c r="I2" s="235"/>
      <c r="J2" s="288"/>
      <c r="K2" s="288"/>
      <c r="L2" s="167"/>
      <c r="M2" s="167"/>
      <c r="N2" s="169"/>
      <c r="P2" s="550"/>
      <c r="Q2" s="224"/>
      <c r="R2" s="224"/>
      <c r="S2" s="224"/>
      <c r="T2" s="224"/>
      <c r="U2" s="224"/>
      <c r="V2" s="224"/>
      <c r="W2" s="224"/>
      <c r="X2" s="224"/>
      <c r="Y2" s="224"/>
      <c r="Z2" s="224"/>
      <c r="AC2" s="224"/>
      <c r="BV2"/>
      <c r="BW2" s="168"/>
    </row>
    <row r="3" spans="1:75" s="164" customFormat="1" ht="12.75" customHeight="1" thickBot="1" x14ac:dyDescent="0.2">
      <c r="F3" s="9"/>
      <c r="G3" s="171"/>
      <c r="H3" s="1337"/>
      <c r="I3" s="235"/>
      <c r="J3" s="288"/>
      <c r="K3" s="288"/>
      <c r="L3" s="167"/>
      <c r="M3" s="167"/>
      <c r="N3" s="169"/>
      <c r="P3" s="550"/>
      <c r="Q3" s="224"/>
      <c r="R3" s="224"/>
      <c r="S3" s="224"/>
      <c r="T3" s="224"/>
      <c r="U3" s="224"/>
      <c r="V3" s="224"/>
      <c r="W3" s="224"/>
      <c r="X3" s="224"/>
      <c r="Y3" s="224"/>
      <c r="Z3" s="224"/>
      <c r="AC3" s="224"/>
      <c r="BV3"/>
      <c r="BW3" s="171"/>
    </row>
    <row r="4" spans="1:75" s="8" customFormat="1" ht="14" customHeight="1" thickBot="1" x14ac:dyDescent="0.2">
      <c r="A4" s="164"/>
      <c r="B4" s="391" t="s">
        <v>529</v>
      </c>
      <c r="C4" s="355" t="s">
        <v>343</v>
      </c>
      <c r="D4" s="355" t="s">
        <v>345</v>
      </c>
      <c r="E4" s="356" t="s">
        <v>134</v>
      </c>
      <c r="F4" s="357" t="s">
        <v>1182</v>
      </c>
      <c r="G4" s="359"/>
      <c r="H4" s="1338" t="s">
        <v>1834</v>
      </c>
      <c r="I4" s="358" t="s">
        <v>1183</v>
      </c>
      <c r="J4" s="389" t="s">
        <v>1415</v>
      </c>
      <c r="K4" s="1916" t="s">
        <v>835</v>
      </c>
      <c r="L4" s="1917"/>
      <c r="M4" s="1918"/>
      <c r="N4" s="359" t="s">
        <v>1049</v>
      </c>
      <c r="O4" s="1298" t="s">
        <v>1101</v>
      </c>
      <c r="P4" s="1216" t="s">
        <v>1507</v>
      </c>
      <c r="Q4" s="483" t="s">
        <v>1051</v>
      </c>
      <c r="R4" s="1140" t="s">
        <v>485</v>
      </c>
      <c r="S4" s="1140" t="s">
        <v>1052</v>
      </c>
      <c r="T4" s="460" t="s">
        <v>1053</v>
      </c>
      <c r="U4" s="460" t="s">
        <v>1053</v>
      </c>
      <c r="V4" s="460" t="s">
        <v>239</v>
      </c>
      <c r="W4" s="1140" t="s">
        <v>1054</v>
      </c>
      <c r="X4" s="1140" t="s">
        <v>1119</v>
      </c>
      <c r="Y4" s="1902" t="s">
        <v>2109</v>
      </c>
      <c r="Z4" s="1904" t="s">
        <v>2110</v>
      </c>
      <c r="AA4" s="1912" t="s">
        <v>2103</v>
      </c>
      <c r="AB4" s="1909" t="s">
        <v>2111</v>
      </c>
      <c r="AC4" s="1140"/>
      <c r="AD4" s="1919" t="s">
        <v>2067</v>
      </c>
      <c r="AE4" s="1920"/>
      <c r="AF4" s="1920"/>
      <c r="AG4" s="1920"/>
      <c r="AH4" s="1920"/>
      <c r="AI4" s="1920"/>
      <c r="AJ4" s="1920"/>
      <c r="AK4" s="1920"/>
      <c r="AL4" s="1920"/>
      <c r="AM4" s="1920"/>
      <c r="AN4" s="1920"/>
      <c r="AO4" s="1920"/>
      <c r="AP4" s="1920"/>
      <c r="AQ4" s="1920"/>
      <c r="AR4" s="1920"/>
      <c r="AS4" s="1921"/>
      <c r="AU4" s="1612"/>
      <c r="AV4" s="1914" t="s">
        <v>2010</v>
      </c>
      <c r="AW4" s="1914"/>
      <c r="AX4" s="1914"/>
      <c r="AY4" s="1914"/>
      <c r="AZ4" s="1914"/>
      <c r="BA4" s="1914"/>
      <c r="BB4" s="1914"/>
      <c r="BC4" s="1914"/>
      <c r="BD4" s="1914"/>
      <c r="BE4" s="1914"/>
      <c r="BF4" s="1914"/>
      <c r="BG4" s="1914"/>
      <c r="BH4" s="1914"/>
      <c r="BI4" s="1914"/>
      <c r="BJ4" s="1914"/>
      <c r="BK4" s="1914"/>
      <c r="BL4" s="1914"/>
      <c r="BM4" s="1914"/>
      <c r="BN4" s="1914"/>
      <c r="BO4" s="1914"/>
      <c r="BP4" s="1914"/>
      <c r="BQ4" s="1914"/>
      <c r="BR4" s="1914"/>
      <c r="BS4" s="1915"/>
      <c r="BT4" s="1906" t="s">
        <v>2016</v>
      </c>
      <c r="BV4" s="1848" t="s">
        <v>2068</v>
      </c>
      <c r="BW4" s="1437"/>
    </row>
    <row r="5" spans="1:75" s="8" customFormat="1" ht="13" customHeight="1" thickBot="1" x14ac:dyDescent="0.2">
      <c r="A5" s="164"/>
      <c r="B5" s="392" t="s">
        <v>1106</v>
      </c>
      <c r="C5" s="360"/>
      <c r="D5" s="360"/>
      <c r="E5" s="361" t="s">
        <v>797</v>
      </c>
      <c r="F5" s="362"/>
      <c r="G5" s="365" t="s">
        <v>1186</v>
      </c>
      <c r="H5" s="1339" t="s">
        <v>1835</v>
      </c>
      <c r="I5" s="363"/>
      <c r="J5" s="390" t="s">
        <v>1416</v>
      </c>
      <c r="K5" s="364" t="s">
        <v>1185</v>
      </c>
      <c r="L5" s="364" t="s">
        <v>1184</v>
      </c>
      <c r="M5" s="385" t="s">
        <v>750</v>
      </c>
      <c r="N5" s="365" t="s">
        <v>1050</v>
      </c>
      <c r="O5" s="1207" t="s">
        <v>1506</v>
      </c>
      <c r="P5" s="1217"/>
      <c r="Q5" s="484" t="s">
        <v>1792</v>
      </c>
      <c r="R5" s="461" t="s">
        <v>486</v>
      </c>
      <c r="S5" s="461" t="s">
        <v>93</v>
      </c>
      <c r="T5" s="462" t="s">
        <v>94</v>
      </c>
      <c r="U5" s="462" t="s">
        <v>129</v>
      </c>
      <c r="V5" s="462" t="s">
        <v>1556</v>
      </c>
      <c r="W5" s="461" t="s">
        <v>95</v>
      </c>
      <c r="X5" s="461" t="s">
        <v>96</v>
      </c>
      <c r="Y5" s="1903"/>
      <c r="Z5" s="1905"/>
      <c r="AA5" s="1913"/>
      <c r="AB5" s="1910"/>
      <c r="AC5" s="461"/>
      <c r="AD5" s="552">
        <v>1065</v>
      </c>
      <c r="AE5" s="551">
        <v>1066</v>
      </c>
      <c r="AF5" s="551">
        <v>1081</v>
      </c>
      <c r="AG5" s="551">
        <v>1083</v>
      </c>
      <c r="AH5" s="551">
        <v>1085</v>
      </c>
      <c r="AI5" s="551">
        <v>1086</v>
      </c>
      <c r="AJ5" s="551">
        <v>1087</v>
      </c>
      <c r="AK5" s="551">
        <v>1088</v>
      </c>
      <c r="AL5" s="551">
        <v>1096</v>
      </c>
      <c r="AM5" s="551">
        <v>1097</v>
      </c>
      <c r="AN5" s="551">
        <v>1106</v>
      </c>
      <c r="AO5" s="551">
        <v>1107</v>
      </c>
      <c r="AP5" s="551">
        <v>1108</v>
      </c>
      <c r="AQ5" s="551">
        <v>1120</v>
      </c>
      <c r="AR5" s="551">
        <v>1127</v>
      </c>
      <c r="AS5" s="551">
        <v>1128</v>
      </c>
      <c r="AU5" s="1924" t="s">
        <v>2107</v>
      </c>
      <c r="AV5" s="1544" t="s">
        <v>1987</v>
      </c>
      <c r="AW5" s="1544" t="s">
        <v>1988</v>
      </c>
      <c r="AX5" s="1544" t="s">
        <v>1989</v>
      </c>
      <c r="AY5" s="1544" t="s">
        <v>1990</v>
      </c>
      <c r="AZ5" s="1544" t="s">
        <v>1991</v>
      </c>
      <c r="BA5" s="1544" t="s">
        <v>1992</v>
      </c>
      <c r="BB5" s="1544" t="s">
        <v>1993</v>
      </c>
      <c r="BC5" s="1544" t="s">
        <v>1994</v>
      </c>
      <c r="BD5" s="1544" t="s">
        <v>1995</v>
      </c>
      <c r="BE5" s="1544" t="s">
        <v>1996</v>
      </c>
      <c r="BF5" s="1544" t="s">
        <v>1997</v>
      </c>
      <c r="BG5" s="1544" t="s">
        <v>1998</v>
      </c>
      <c r="BH5" s="1544" t="s">
        <v>1999</v>
      </c>
      <c r="BI5" s="1544" t="s">
        <v>2000</v>
      </c>
      <c r="BJ5" s="1544" t="s">
        <v>2001</v>
      </c>
      <c r="BK5" s="1544" t="s">
        <v>2015</v>
      </c>
      <c r="BL5" s="1544" t="s">
        <v>2002</v>
      </c>
      <c r="BM5" s="1544" t="s">
        <v>2003</v>
      </c>
      <c r="BN5" s="1544" t="s">
        <v>2004</v>
      </c>
      <c r="BO5" s="1544" t="s">
        <v>2005</v>
      </c>
      <c r="BP5" s="1544" t="s">
        <v>2006</v>
      </c>
      <c r="BQ5" s="1544" t="s">
        <v>2007</v>
      </c>
      <c r="BR5" s="1544" t="s">
        <v>2008</v>
      </c>
      <c r="BS5" s="1544" t="s">
        <v>2009</v>
      </c>
      <c r="BT5" s="1907"/>
      <c r="BV5" s="1770" t="s">
        <v>2116</v>
      </c>
      <c r="BW5" s="1438" t="s">
        <v>1186</v>
      </c>
    </row>
    <row r="6" spans="1:75" s="1516" customFormat="1" ht="58" customHeight="1" thickBot="1" x14ac:dyDescent="0.2">
      <c r="A6" s="164"/>
      <c r="B6" s="186"/>
      <c r="C6" s="220"/>
      <c r="D6" s="220"/>
      <c r="E6" s="78"/>
      <c r="F6" s="1522"/>
      <c r="G6" s="173"/>
      <c r="H6" s="1340"/>
      <c r="I6" s="314"/>
      <c r="J6" s="313"/>
      <c r="K6" s="179"/>
      <c r="L6" s="179"/>
      <c r="M6" s="179"/>
      <c r="N6" s="173"/>
      <c r="O6" s="317"/>
      <c r="P6" s="1245"/>
      <c r="Q6" s="1147"/>
      <c r="R6" s="227"/>
      <c r="S6" s="227"/>
      <c r="T6" s="317"/>
      <c r="U6" s="317"/>
      <c r="V6" s="317"/>
      <c r="W6" s="227"/>
      <c r="X6" s="227"/>
      <c r="Y6" s="1568"/>
      <c r="Z6" s="1569"/>
      <c r="AA6" s="1913"/>
      <c r="AB6" s="1911"/>
      <c r="AC6" s="1922" t="s">
        <v>2122</v>
      </c>
      <c r="AD6" s="1894">
        <f ca="1">SUMIF(AD9:AD2043,"&gt;0",$X$13:$X$1973)</f>
        <v>14038246</v>
      </c>
      <c r="AE6" s="1894">
        <f t="shared" ref="AE6:AS6" ca="1" si="0">SUMIF(AE9:AE2043,"&gt;0",$X$13:$X$1973)</f>
        <v>1902643.1</v>
      </c>
      <c r="AF6" s="1894">
        <f t="shared" ca="1" si="0"/>
        <v>477600</v>
      </c>
      <c r="AG6" s="1894">
        <f t="shared" ca="1" si="0"/>
        <v>615529.6</v>
      </c>
      <c r="AH6" s="1894">
        <f t="shared" ca="1" si="0"/>
        <v>580915</v>
      </c>
      <c r="AI6" s="1894">
        <f t="shared" ca="1" si="0"/>
        <v>4545651</v>
      </c>
      <c r="AJ6" s="1894">
        <f t="shared" ca="1" si="0"/>
        <v>436080</v>
      </c>
      <c r="AK6" s="1894">
        <f t="shared" ca="1" si="0"/>
        <v>325900</v>
      </c>
      <c r="AL6" s="1894">
        <f t="shared" ca="1" si="0"/>
        <v>441266.7</v>
      </c>
      <c r="AM6" s="1894">
        <f t="shared" ca="1" si="0"/>
        <v>398849</v>
      </c>
      <c r="AN6" s="1894">
        <f t="shared" ca="1" si="0"/>
        <v>594535</v>
      </c>
      <c r="AO6" s="1894">
        <f t="shared" ca="1" si="0"/>
        <v>443660</v>
      </c>
      <c r="AP6" s="1894">
        <f t="shared" ca="1" si="0"/>
        <v>191265</v>
      </c>
      <c r="AQ6" s="1894">
        <f t="shared" ca="1" si="0"/>
        <v>0</v>
      </c>
      <c r="AR6" s="1894">
        <f t="shared" ca="1" si="0"/>
        <v>54550</v>
      </c>
      <c r="AS6" s="1894">
        <f t="shared" ca="1" si="0"/>
        <v>496600</v>
      </c>
      <c r="AT6" s="1896">
        <f ca="1">SUM(AD6:AS6)</f>
        <v>25543290.399999999</v>
      </c>
      <c r="AU6" s="1925"/>
      <c r="AV6" s="1571">
        <v>1083</v>
      </c>
      <c r="AW6" s="1571">
        <v>1088</v>
      </c>
      <c r="AX6" s="1571">
        <v>1108</v>
      </c>
      <c r="AY6" s="1571">
        <v>1081</v>
      </c>
      <c r="AZ6" s="1571">
        <v>1085</v>
      </c>
      <c r="BA6" s="1571">
        <v>1096</v>
      </c>
      <c r="BB6" s="1571">
        <v>1087</v>
      </c>
      <c r="BC6" s="1571">
        <v>1066</v>
      </c>
      <c r="BD6" s="1571">
        <v>1107</v>
      </c>
      <c r="BE6" s="1571">
        <v>1106</v>
      </c>
      <c r="BF6" s="1571">
        <v>1106</v>
      </c>
      <c r="BG6" s="1571">
        <v>1087</v>
      </c>
      <c r="BH6" s="1571">
        <v>1087</v>
      </c>
      <c r="BI6" s="1571">
        <v>1065</v>
      </c>
      <c r="BJ6" s="1571">
        <v>1065</v>
      </c>
      <c r="BK6" s="1571">
        <v>1065</v>
      </c>
      <c r="BL6" s="1571">
        <v>1127</v>
      </c>
      <c r="BM6" s="1571">
        <v>1086</v>
      </c>
      <c r="BN6" s="1571">
        <v>1097</v>
      </c>
      <c r="BO6" s="1571">
        <v>1097</v>
      </c>
      <c r="BP6" s="1571">
        <v>1128</v>
      </c>
      <c r="BQ6" s="1571">
        <v>1128</v>
      </c>
      <c r="BR6" s="1571">
        <v>1120</v>
      </c>
      <c r="BS6" s="1571">
        <v>1087</v>
      </c>
      <c r="BT6" s="1908"/>
      <c r="BV6" s="1849" t="s">
        <v>2121</v>
      </c>
      <c r="BW6" s="173"/>
    </row>
    <row r="7" spans="1:75" s="1890" customFormat="1" ht="58" customHeight="1" thickBot="1" x14ac:dyDescent="0.2">
      <c r="A7" s="164"/>
      <c r="B7" s="186"/>
      <c r="C7" s="220"/>
      <c r="D7" s="220"/>
      <c r="E7" s="78"/>
      <c r="F7" s="1522"/>
      <c r="G7" s="173"/>
      <c r="H7" s="1340"/>
      <c r="I7" s="314"/>
      <c r="J7" s="313"/>
      <c r="K7" s="179"/>
      <c r="L7" s="179"/>
      <c r="M7" s="179"/>
      <c r="N7" s="173"/>
      <c r="O7" s="317"/>
      <c r="P7" s="1245"/>
      <c r="Q7" s="1147"/>
      <c r="R7" s="227"/>
      <c r="S7" s="227"/>
      <c r="T7" s="317"/>
      <c r="U7" s="317"/>
      <c r="V7" s="317"/>
      <c r="W7" s="227"/>
      <c r="X7" s="227"/>
      <c r="Y7" s="1891"/>
      <c r="Z7" s="1892"/>
      <c r="AA7" s="1889"/>
      <c r="AB7" s="1893"/>
      <c r="AC7" s="1923"/>
      <c r="AD7" s="1895">
        <f ca="1">AD6*100/$AT$6</f>
        <v>54.958643855844038</v>
      </c>
      <c r="AE7" s="1895">
        <f t="shared" ref="AE7:AS7" ca="1" si="1">AE6*100/$AT$6</f>
        <v>7.4487001095207379</v>
      </c>
      <c r="AF7" s="1895">
        <f t="shared" ca="1" si="1"/>
        <v>1.8697669427897983</v>
      </c>
      <c r="AG7" s="1895">
        <f t="shared" ca="1" si="1"/>
        <v>2.4097506247668079</v>
      </c>
      <c r="AH7" s="1895">
        <f t="shared" ca="1" si="1"/>
        <v>2.2742371515300159</v>
      </c>
      <c r="AI7" s="1895">
        <f t="shared" ca="1" si="1"/>
        <v>17.795870965785991</v>
      </c>
      <c r="AJ7" s="1895">
        <f t="shared" ca="1" si="1"/>
        <v>1.707219364346263</v>
      </c>
      <c r="AK7" s="1895">
        <f t="shared" ca="1" si="1"/>
        <v>1.2758732132646466</v>
      </c>
      <c r="AL7" s="1895">
        <f t="shared" ca="1" si="1"/>
        <v>1.7275248924077535</v>
      </c>
      <c r="AM7" s="1895">
        <f t="shared" ca="1" si="1"/>
        <v>1.5614628881171864</v>
      </c>
      <c r="AN7" s="1895">
        <f t="shared" ca="1" si="1"/>
        <v>2.3275583947477654</v>
      </c>
      <c r="AO7" s="1895">
        <f t="shared" ca="1" si="1"/>
        <v>1.736894476210473</v>
      </c>
      <c r="AP7" s="1895">
        <f t="shared" ca="1" si="1"/>
        <v>0.74878763465806275</v>
      </c>
      <c r="AQ7" s="1895">
        <f t="shared" ca="1" si="1"/>
        <v>0</v>
      </c>
      <c r="AR7" s="1895">
        <f t="shared" ca="1" si="1"/>
        <v>0.21355901743966393</v>
      </c>
      <c r="AS7" s="1895">
        <f t="shared" ca="1" si="1"/>
        <v>1.9441504685707995</v>
      </c>
      <c r="AT7" s="1897">
        <f ca="1">SUM(AD7:AS7)</f>
        <v>99.999999999999986</v>
      </c>
      <c r="AU7" s="1925"/>
      <c r="AV7" s="1571"/>
      <c r="AW7" s="1571"/>
      <c r="AX7" s="1571"/>
      <c r="AY7" s="1571"/>
      <c r="AZ7" s="1571"/>
      <c r="BA7" s="1571"/>
      <c r="BB7" s="1571"/>
      <c r="BC7" s="1571"/>
      <c r="BD7" s="1571"/>
      <c r="BE7" s="1571"/>
      <c r="BF7" s="1571"/>
      <c r="BG7" s="1571"/>
      <c r="BH7" s="1571"/>
      <c r="BI7" s="1571"/>
      <c r="BJ7" s="1571"/>
      <c r="BK7" s="1571"/>
      <c r="BL7" s="1571"/>
      <c r="BM7" s="1571"/>
      <c r="BN7" s="1571"/>
      <c r="BO7" s="1571"/>
      <c r="BP7" s="1571"/>
      <c r="BQ7" s="1571"/>
      <c r="BR7" s="1571"/>
      <c r="BS7" s="1571"/>
      <c r="BT7" s="1888"/>
      <c r="BV7" s="1849"/>
      <c r="BW7" s="173"/>
    </row>
    <row r="8" spans="1:75" s="8" customFormat="1" ht="12.75" customHeight="1" thickBot="1" x14ac:dyDescent="0.25">
      <c r="A8" s="164"/>
      <c r="B8" s="186"/>
      <c r="C8" s="220"/>
      <c r="D8" s="220"/>
      <c r="E8" s="78"/>
      <c r="F8" s="315" t="s">
        <v>989</v>
      </c>
      <c r="G8" s="173"/>
      <c r="H8" s="1340"/>
      <c r="I8" s="314"/>
      <c r="J8" s="314"/>
      <c r="K8" s="313"/>
      <c r="L8" s="179"/>
      <c r="M8" s="179"/>
      <c r="N8" s="173"/>
      <c r="O8" s="1192"/>
      <c r="P8" s="1218"/>
      <c r="Q8" s="1147"/>
      <c r="R8" s="227"/>
      <c r="S8" s="227"/>
      <c r="T8" s="227"/>
      <c r="U8" s="227"/>
      <c r="V8" s="227"/>
      <c r="W8" s="227"/>
      <c r="X8" s="227"/>
      <c r="Y8" s="1568"/>
      <c r="Z8" s="1774" t="s">
        <v>2118</v>
      </c>
      <c r="AA8" s="1570">
        <f>AA849+AA913+AA942+AA1110+AA1162+AA1228+AA1291+AA1384+AA1434+AA1453+AA1510+AA1582+AA1614+AA1627+AA1645+AA1664+AA1724</f>
        <v>317.6400000000001</v>
      </c>
      <c r="AB8" s="64"/>
      <c r="AC8" s="1923"/>
      <c r="AD8" s="1751">
        <f t="shared" ref="AD8:AS8" si="2">SUM(AD13:AD1721)</f>
        <v>180.5</v>
      </c>
      <c r="AE8" s="1751">
        <f t="shared" si="2"/>
        <v>22.8</v>
      </c>
      <c r="AF8" s="1751">
        <f t="shared" si="2"/>
        <v>9.8999999999999986</v>
      </c>
      <c r="AG8" s="1751">
        <f t="shared" si="2"/>
        <v>24.660000000000004</v>
      </c>
      <c r="AH8" s="1751">
        <f t="shared" si="2"/>
        <v>14.5</v>
      </c>
      <c r="AI8" s="1751">
        <f t="shared" si="2"/>
        <v>20.45</v>
      </c>
      <c r="AJ8" s="1751">
        <f t="shared" si="2"/>
        <v>20.640000000000011</v>
      </c>
      <c r="AK8" s="1751">
        <f t="shared" si="2"/>
        <v>9.8400000000000016</v>
      </c>
      <c r="AL8" s="1751">
        <f t="shared" si="2"/>
        <v>7.9799999999999995</v>
      </c>
      <c r="AM8" s="1751">
        <f t="shared" si="2"/>
        <v>14.480000000000002</v>
      </c>
      <c r="AN8" s="1751">
        <f t="shared" si="2"/>
        <v>5.65</v>
      </c>
      <c r="AO8" s="1751">
        <f t="shared" si="2"/>
        <v>16.57</v>
      </c>
      <c r="AP8" s="1751">
        <f t="shared" si="2"/>
        <v>1.8</v>
      </c>
      <c r="AQ8" s="1751">
        <f t="shared" si="2"/>
        <v>0</v>
      </c>
      <c r="AR8" s="1751">
        <f t="shared" si="2"/>
        <v>9.1</v>
      </c>
      <c r="AS8" s="1751">
        <f t="shared" si="2"/>
        <v>14.4</v>
      </c>
      <c r="AU8" s="1926"/>
      <c r="AV8" s="1725">
        <f t="shared" ref="AV8:BT8" si="3">SUM(AV13:AV1721)</f>
        <v>24.660000000000004</v>
      </c>
      <c r="AW8" s="1725">
        <f t="shared" si="3"/>
        <v>9.8400000000000016</v>
      </c>
      <c r="AX8" s="1725">
        <f t="shared" si="3"/>
        <v>1.8</v>
      </c>
      <c r="AY8" s="1725">
        <f t="shared" si="3"/>
        <v>9.8999999999999986</v>
      </c>
      <c r="AZ8" s="1725">
        <f t="shared" si="3"/>
        <v>14.5</v>
      </c>
      <c r="BA8" s="1725">
        <f t="shared" si="3"/>
        <v>7.9799999999999995</v>
      </c>
      <c r="BB8" s="1725">
        <f t="shared" si="3"/>
        <v>1.9999999999999998</v>
      </c>
      <c r="BC8" s="1725">
        <f t="shared" si="3"/>
        <v>22.8</v>
      </c>
      <c r="BD8" s="1725">
        <f t="shared" si="3"/>
        <v>16.57</v>
      </c>
      <c r="BE8" s="1725">
        <f t="shared" si="3"/>
        <v>3.4500000000000015</v>
      </c>
      <c r="BF8" s="1725">
        <f t="shared" si="3"/>
        <v>2.2000000000000002</v>
      </c>
      <c r="BG8" s="1725">
        <f t="shared" si="3"/>
        <v>11.900000000000002</v>
      </c>
      <c r="BH8" s="1725">
        <f t="shared" si="3"/>
        <v>6.2399999999999984</v>
      </c>
      <c r="BI8" s="1725">
        <f t="shared" si="3"/>
        <v>59.379999999999988</v>
      </c>
      <c r="BJ8" s="1725">
        <f t="shared" si="3"/>
        <v>104.26999999999988</v>
      </c>
      <c r="BK8" s="1725">
        <f t="shared" si="3"/>
        <v>14.4</v>
      </c>
      <c r="BL8" s="1725">
        <f t="shared" si="3"/>
        <v>9.1</v>
      </c>
      <c r="BM8" s="1725">
        <f t="shared" si="3"/>
        <v>20.45</v>
      </c>
      <c r="BN8" s="1725">
        <f t="shared" si="3"/>
        <v>7.0500000000000007</v>
      </c>
      <c r="BO8" s="1725">
        <f t="shared" si="3"/>
        <v>7.43</v>
      </c>
      <c r="BP8" s="1725">
        <f t="shared" si="3"/>
        <v>11.4</v>
      </c>
      <c r="BQ8" s="1725">
        <f t="shared" si="3"/>
        <v>3</v>
      </c>
      <c r="BR8" s="1725">
        <f t="shared" si="3"/>
        <v>0</v>
      </c>
      <c r="BS8" s="1725">
        <f t="shared" si="3"/>
        <v>0.5</v>
      </c>
      <c r="BT8" s="1726">
        <f t="shared" si="3"/>
        <v>370.81999999999988</v>
      </c>
      <c r="BV8"/>
      <c r="BW8" s="173"/>
    </row>
    <row r="9" spans="1:75" s="1669" customFormat="1" ht="12.75" customHeight="1" thickBot="1" x14ac:dyDescent="0.25">
      <c r="A9" s="164"/>
      <c r="B9" s="186"/>
      <c r="C9" s="220"/>
      <c r="D9" s="220"/>
      <c r="E9" s="78"/>
      <c r="F9" s="315"/>
      <c r="G9" s="173"/>
      <c r="H9" s="1340"/>
      <c r="I9" s="314"/>
      <c r="J9" s="314"/>
      <c r="K9" s="313"/>
      <c r="L9" s="179"/>
      <c r="M9" s="179"/>
      <c r="N9" s="173"/>
      <c r="O9" s="1192"/>
      <c r="P9" s="1218"/>
      <c r="Q9" s="1147"/>
      <c r="R9" s="227"/>
      <c r="S9" s="227"/>
      <c r="T9" s="227"/>
      <c r="U9" s="227"/>
      <c r="V9" s="227"/>
      <c r="W9" s="227"/>
      <c r="X9" s="227"/>
      <c r="Y9" s="1568"/>
      <c r="Z9" s="1774" t="s">
        <v>2117</v>
      </c>
      <c r="AA9" s="1570">
        <f>SUM(AD13:AS1721)</f>
        <v>373.27</v>
      </c>
      <c r="AB9" s="1524">
        <f>SUM(AD8:AS8)</f>
        <v>373.27</v>
      </c>
      <c r="AC9" s="1752"/>
      <c r="AD9" s="1753"/>
      <c r="AE9" s="1753"/>
      <c r="AF9" s="1753"/>
      <c r="AG9" s="1753"/>
      <c r="AH9" s="1753"/>
      <c r="AI9" s="1753"/>
      <c r="AJ9" s="1753"/>
      <c r="AK9" s="1753"/>
      <c r="AL9" s="1753"/>
      <c r="AM9" s="1753"/>
      <c r="AN9" s="1753"/>
      <c r="AO9" s="1753"/>
      <c r="AP9" s="1753"/>
      <c r="AQ9" s="1753"/>
      <c r="AR9" s="1753"/>
      <c r="AS9" s="1753"/>
      <c r="AU9" s="1898" t="s">
        <v>2115</v>
      </c>
      <c r="AV9" s="1727"/>
      <c r="AW9" s="1727"/>
      <c r="AX9" s="1727"/>
      <c r="AY9" s="1727"/>
      <c r="AZ9" s="1727"/>
      <c r="BA9" s="1727"/>
      <c r="BB9" s="1727"/>
      <c r="BC9" s="1727"/>
      <c r="BD9" s="1727"/>
      <c r="BE9" s="1727"/>
      <c r="BF9" s="1727"/>
      <c r="BG9" s="1727"/>
      <c r="BH9" s="1727"/>
      <c r="BI9" s="1727"/>
      <c r="BJ9" s="1727"/>
      <c r="BK9" s="1727"/>
      <c r="BL9" s="1727"/>
      <c r="BM9" s="1727"/>
      <c r="BN9" s="1727"/>
      <c r="BO9" s="1727"/>
      <c r="BP9" s="1727"/>
      <c r="BQ9" s="1727"/>
      <c r="BR9" s="1727"/>
      <c r="BS9" s="1727"/>
      <c r="BT9" s="1728"/>
      <c r="BV9"/>
      <c r="BW9" s="173"/>
    </row>
    <row r="10" spans="1:75" s="1669" customFormat="1" ht="12.75" customHeight="1" thickBot="1" x14ac:dyDescent="0.25">
      <c r="A10" s="164"/>
      <c r="B10" s="186"/>
      <c r="C10" s="220"/>
      <c r="D10" s="220"/>
      <c r="E10" s="78"/>
      <c r="F10" s="315"/>
      <c r="G10" s="173"/>
      <c r="H10" s="1340"/>
      <c r="I10" s="314"/>
      <c r="J10" s="314"/>
      <c r="K10" s="313"/>
      <c r="L10" s="179"/>
      <c r="M10" s="179"/>
      <c r="N10" s="173"/>
      <c r="O10" s="1192"/>
      <c r="P10" s="1218"/>
      <c r="Q10" s="1147"/>
      <c r="R10" s="227"/>
      <c r="S10" s="227"/>
      <c r="T10" s="227"/>
      <c r="U10" s="227"/>
      <c r="V10" s="227"/>
      <c r="W10" s="227"/>
      <c r="X10" s="227"/>
      <c r="Y10" s="1568"/>
      <c r="Z10" s="1773"/>
      <c r="AA10" s="1740"/>
      <c r="AB10" s="64"/>
      <c r="AC10" s="1752"/>
      <c r="AD10" s="1753"/>
      <c r="AE10" s="1753"/>
      <c r="AF10" s="1753"/>
      <c r="AG10" s="1753"/>
      <c r="AH10" s="1753"/>
      <c r="AI10" s="1753"/>
      <c r="AJ10" s="1753"/>
      <c r="AK10" s="1753"/>
      <c r="AL10" s="1753"/>
      <c r="AM10" s="1753"/>
      <c r="AN10" s="1753"/>
      <c r="AO10" s="1753"/>
      <c r="AP10" s="1753"/>
      <c r="AQ10" s="1753"/>
      <c r="AR10" s="1753"/>
      <c r="AS10" s="1753"/>
      <c r="AU10" s="1899"/>
      <c r="AV10" s="1729">
        <f t="array" ref="AV10">SUM(AV13:AV1722*X13:X1722)/1000</f>
        <v>1043.856916</v>
      </c>
      <c r="AW10" s="1729">
        <f t="array" ref="AW10">SUM(AW13:AW1722*X13:X1722)/1000</f>
        <v>388.96370000000002</v>
      </c>
      <c r="AX10" s="1729">
        <f t="array" ref="AX10">SUM(AX13:AX1721*X13:X1721)/1000</f>
        <v>81.499750000000006</v>
      </c>
      <c r="AY10" s="1729">
        <f t="array" ref="AY10">SUM(AY13:AY1722*X13:X1722)/1000</f>
        <v>374.55129999999997</v>
      </c>
      <c r="AZ10" s="1729">
        <f t="array" ref="AZ10">SUM(AZ13:AZ1722*X13:X1722)/1000</f>
        <v>630.65599999999995</v>
      </c>
      <c r="BA10" s="1729">
        <f t="array" ref="BA10">SUM(BA13:BA1722*X13:X1722)/1000</f>
        <v>382.30886099999998</v>
      </c>
      <c r="BB10" s="1729">
        <f t="array" ref="BB10">SUM(BB13:BB1722*X13:X1722)/1000</f>
        <v>125.98</v>
      </c>
      <c r="BC10" s="1729">
        <f t="array" ref="BC10">SUM(BC13:BC1722*X13:X1722)/1000</f>
        <v>874.46074999999996</v>
      </c>
      <c r="BD10" s="1729">
        <f t="array" ref="BD10">SUM(BD13:BD1722*X13:X1722)/1000</f>
        <v>752.93482000000006</v>
      </c>
      <c r="BE10" s="1729">
        <f t="array" ref="BE10">SUM(BE13:BE1722*X13:X1722)/1000</f>
        <v>200.79259999999999</v>
      </c>
      <c r="BF10" s="1729">
        <f t="array" ref="BF10">SUM(BF13:BF1722*X13:X1722)/1000</f>
        <v>77.497</v>
      </c>
      <c r="BG10" s="1729">
        <f t="array" ref="BG10">SUM(BG13:BG1722*X13:X1722)/1000</f>
        <v>366.3109</v>
      </c>
      <c r="BH10" s="1729">
        <f t="array" ref="BH10">SUM(BH13:BH1722*X13:X1722)/1000</f>
        <v>210.88085000000001</v>
      </c>
      <c r="BI10" s="1729">
        <f t="array" ref="BI10">SUM(BI13:BI1722*X13:X1722)/1000</f>
        <v>2580.469525</v>
      </c>
      <c r="BJ10" s="1729">
        <f t="array" ref="BJ10">SUM(BJ13:BJ1722*X13:X1722)/1000</f>
        <v>4664.8423000000003</v>
      </c>
      <c r="BK10" s="1729">
        <f t="array" ref="BK10">SUM(BK13:BK1722*X13:X1722)/1000</f>
        <v>448.96749999999997</v>
      </c>
      <c r="BL10" s="1729">
        <f t="array" ref="BL10">SUM(BL13:BL1722*X13:X1722)/1000</f>
        <v>302.8725</v>
      </c>
      <c r="BM10" s="1729">
        <f t="array" ref="BM10">SUM(BM13:BM1722*X13:X1722)/1000</f>
        <v>698.87762499999997</v>
      </c>
      <c r="BN10" s="1729">
        <f t="array" ref="BN10">SUM(BN13:BN1722*X13:X1722)/1000</f>
        <v>274.70549999999997</v>
      </c>
      <c r="BO10" s="1729">
        <f t="array" ref="BO10">SUM(BO13:BO1722*X13:X1722)/1000</f>
        <v>289.65300000000002</v>
      </c>
      <c r="BP10" s="1729">
        <f t="array" ref="BP10">SUM(BP13:BP1722*X13:X1722)/1000</f>
        <v>409.76249999999999</v>
      </c>
      <c r="BQ10" s="1729">
        <f t="array" ref="BQ10">SUM(BQ13:BQ1722*X13:X1722)/1000</f>
        <v>100.3</v>
      </c>
      <c r="BR10" s="1729">
        <f t="array" ref="BR10">SUM(BR13:BR1722*X13:X1722)/1000</f>
        <v>0</v>
      </c>
      <c r="BS10" s="1729">
        <f t="array" ref="BS10">SUM(BS13:BS1722*X13:X1722)/1000</f>
        <v>10.199999999999999</v>
      </c>
      <c r="BT10" s="1728"/>
      <c r="BV10"/>
      <c r="BW10" s="173"/>
    </row>
    <row r="11" spans="1:75" s="1669" customFormat="1" ht="12.75" customHeight="1" thickBot="1" x14ac:dyDescent="0.25">
      <c r="A11" s="164"/>
      <c r="B11" s="186"/>
      <c r="C11" s="220"/>
      <c r="D11" s="220"/>
      <c r="E11" s="78"/>
      <c r="F11" s="315"/>
      <c r="G11" s="173"/>
      <c r="H11" s="1340"/>
      <c r="I11" s="314"/>
      <c r="J11" s="314"/>
      <c r="K11" s="313"/>
      <c r="L11" s="179"/>
      <c r="M11" s="179"/>
      <c r="N11" s="173"/>
      <c r="O11" s="1192"/>
      <c r="P11" s="1218"/>
      <c r="Q11" s="1147"/>
      <c r="R11" s="227"/>
      <c r="S11" s="227"/>
      <c r="T11" s="227"/>
      <c r="U11" s="227"/>
      <c r="V11" s="227"/>
      <c r="W11" s="227"/>
      <c r="X11" s="227"/>
      <c r="Y11" s="1568"/>
      <c r="Z11" s="1740"/>
      <c r="AA11" s="1740"/>
      <c r="AB11" s="64"/>
      <c r="AC11" s="1752"/>
      <c r="AD11" s="1753"/>
      <c r="AE11" s="1753"/>
      <c r="AF11" s="1753"/>
      <c r="AG11" s="1753"/>
      <c r="AH11" s="1753"/>
      <c r="AI11" s="1753"/>
      <c r="AJ11" s="1753"/>
      <c r="AK11" s="1753"/>
      <c r="AL11" s="1753"/>
      <c r="AM11" s="1753"/>
      <c r="AN11" s="1753"/>
      <c r="AO11" s="1753"/>
      <c r="AP11" s="1753"/>
      <c r="AQ11" s="1753"/>
      <c r="AR11" s="1753"/>
      <c r="AS11" s="1753"/>
      <c r="AU11" s="1899"/>
      <c r="AV11" s="1727"/>
      <c r="AW11" s="1727"/>
      <c r="AX11" s="1727"/>
      <c r="AY11" s="1727"/>
      <c r="AZ11" s="1727"/>
      <c r="BA11" s="1727"/>
      <c r="BB11" s="1727"/>
      <c r="BC11" s="1727"/>
      <c r="BD11" s="1727"/>
      <c r="BE11" s="1727"/>
      <c r="BF11" s="1727"/>
      <c r="BG11" s="1727"/>
      <c r="BH11" s="1727"/>
      <c r="BI11" s="1727"/>
      <c r="BJ11" s="1727"/>
      <c r="BK11" s="1727"/>
      <c r="BL11" s="1727"/>
      <c r="BM11" s="1727"/>
      <c r="BN11" s="1727"/>
      <c r="BO11" s="1727"/>
      <c r="BP11" s="1727"/>
      <c r="BQ11" s="1727"/>
      <c r="BR11" s="1727"/>
      <c r="BS11" s="1727"/>
      <c r="BT11" s="1728"/>
      <c r="BV11"/>
      <c r="BW11" s="173"/>
    </row>
    <row r="12" spans="1:75" s="1516" customFormat="1" ht="12.75" customHeight="1" thickBot="1" x14ac:dyDescent="0.25">
      <c r="A12" s="164"/>
      <c r="B12" s="186"/>
      <c r="C12" s="220"/>
      <c r="D12" s="220"/>
      <c r="E12" s="78"/>
      <c r="F12" s="315"/>
      <c r="G12" s="173"/>
      <c r="H12" s="1340"/>
      <c r="I12" s="314"/>
      <c r="J12" s="314"/>
      <c r="K12" s="313"/>
      <c r="L12" s="179"/>
      <c r="M12" s="179"/>
      <c r="N12" s="173"/>
      <c r="O12" s="1192"/>
      <c r="P12" s="1218"/>
      <c r="Q12" s="1147"/>
      <c r="R12" s="227"/>
      <c r="S12" s="227"/>
      <c r="T12" s="227"/>
      <c r="U12" s="227"/>
      <c r="V12" s="227"/>
      <c r="W12" s="227"/>
      <c r="X12" s="227"/>
      <c r="Y12" s="1568"/>
      <c r="Z12" s="1740"/>
      <c r="AA12" s="1748"/>
      <c r="AB12" s="64"/>
      <c r="AC12" s="227"/>
      <c r="AD12" s="1523"/>
      <c r="AE12" s="1524"/>
      <c r="AF12" s="1524"/>
      <c r="AG12" s="1524"/>
      <c r="AH12" s="1524"/>
      <c r="AI12" s="1524"/>
      <c r="AJ12" s="1524"/>
      <c r="AK12" s="1524"/>
      <c r="AL12" s="1524"/>
      <c r="AM12" s="1524"/>
      <c r="AN12" s="1524"/>
      <c r="AO12" s="1524"/>
      <c r="AP12" s="1524"/>
      <c r="AQ12" s="1524"/>
      <c r="AR12" s="1524"/>
      <c r="AS12" s="1524"/>
      <c r="AU12" s="1524"/>
      <c r="AV12" s="1523"/>
      <c r="AW12" s="1524"/>
      <c r="AX12" s="1524"/>
      <c r="AY12" s="1524"/>
      <c r="AZ12" s="1524"/>
      <c r="BA12" s="1524"/>
      <c r="BB12" s="1524"/>
      <c r="BC12" s="1524"/>
      <c r="BD12" s="1524"/>
      <c r="BE12" s="1524"/>
      <c r="BF12" s="1524"/>
      <c r="BG12" s="1524"/>
      <c r="BH12" s="1524"/>
      <c r="BI12" s="1524"/>
      <c r="BJ12" s="1524"/>
      <c r="BK12" s="1524"/>
      <c r="BL12" s="1524"/>
      <c r="BM12" s="1524"/>
      <c r="BN12" s="1524"/>
      <c r="BO12" s="1524"/>
      <c r="BP12" s="1524"/>
      <c r="BQ12" s="1524"/>
      <c r="BR12" s="1524"/>
      <c r="BS12" s="1524"/>
      <c r="BT12" s="64"/>
      <c r="BV12"/>
      <c r="BW12" s="173"/>
    </row>
    <row r="13" spans="1:75" ht="16" x14ac:dyDescent="0.2">
      <c r="B13" s="175">
        <f>B8+1</f>
        <v>1</v>
      </c>
      <c r="C13" s="265">
        <v>1</v>
      </c>
      <c r="D13" s="228"/>
      <c r="E13" s="798" t="s">
        <v>1555</v>
      </c>
      <c r="F13" s="799" t="s">
        <v>319</v>
      </c>
      <c r="G13" s="823" t="s">
        <v>1819</v>
      </c>
      <c r="H13" s="1015">
        <v>96470</v>
      </c>
      <c r="I13" s="808" t="s">
        <v>351</v>
      </c>
      <c r="J13" s="260"/>
      <c r="K13" s="799"/>
      <c r="L13" s="831">
        <v>1</v>
      </c>
      <c r="M13" s="831">
        <f t="shared" ref="M13:M22" si="4">K13+L13</f>
        <v>1</v>
      </c>
      <c r="N13" s="832" t="s">
        <v>892</v>
      </c>
      <c r="O13" s="1196">
        <v>17461</v>
      </c>
      <c r="P13" s="1218">
        <f t="shared" ref="P13:P28" ca="1" si="5">YEARFRAC(TODAY(),O13)</f>
        <v>69.947222222222223</v>
      </c>
      <c r="Q13" s="1148">
        <v>137500</v>
      </c>
      <c r="R13" s="874"/>
      <c r="S13" s="875">
        <v>7000</v>
      </c>
      <c r="T13" s="875">
        <f>ROUND(Q13*0.15,0)</f>
        <v>20625</v>
      </c>
      <c r="U13" s="875">
        <f>ROUNDDOWN(Q13*0.25,0)</f>
        <v>34375</v>
      </c>
      <c r="V13" s="875"/>
      <c r="W13" s="875"/>
      <c r="X13" s="1026">
        <f t="shared" ref="X13:X28" si="6">(Q13+R13+S13+T13+U13+V13+W13)*M13</f>
        <v>199500</v>
      </c>
      <c r="Y13" s="1512">
        <f t="shared" ref="Y13:Y28" si="7">(T13+U13)*M13/(X13-M13*(T13+U13))</f>
        <v>0.38062283737024222</v>
      </c>
      <c r="Z13" s="1741">
        <f t="shared" ref="Z13:Z28" si="8">M13*(1+Y13)</f>
        <v>1.3806228373702423</v>
      </c>
      <c r="AA13" s="1749">
        <f t="shared" ref="AA13:AA28" si="9">SUM(AD13:AS13)</f>
        <v>0.1</v>
      </c>
      <c r="AB13" s="1810">
        <f>100*AA13/Z13</f>
        <v>7.2431077694235588</v>
      </c>
      <c r="AC13" s="876"/>
      <c r="AD13" s="1525">
        <f t="shared" ref="AD13:AS27" si="10">SUMIF($AV$6:$BS$6,AD$5,$AV13:$BS13)</f>
        <v>0</v>
      </c>
      <c r="AE13" s="1525">
        <f t="shared" si="10"/>
        <v>0</v>
      </c>
      <c r="AF13" s="1525">
        <f t="shared" si="10"/>
        <v>0</v>
      </c>
      <c r="AG13" s="1525">
        <f t="shared" si="10"/>
        <v>0</v>
      </c>
      <c r="AH13" s="1525">
        <f t="shared" si="10"/>
        <v>0</v>
      </c>
      <c r="AI13" s="1525">
        <f t="shared" si="10"/>
        <v>0</v>
      </c>
      <c r="AJ13" s="1525">
        <f t="shared" si="10"/>
        <v>0</v>
      </c>
      <c r="AK13" s="1525">
        <f t="shared" si="10"/>
        <v>0</v>
      </c>
      <c r="AL13" s="1525">
        <f t="shared" si="10"/>
        <v>0.1</v>
      </c>
      <c r="AM13" s="1525">
        <f t="shared" si="10"/>
        <v>0</v>
      </c>
      <c r="AN13" s="1525">
        <f t="shared" si="10"/>
        <v>0</v>
      </c>
      <c r="AO13" s="1525">
        <f t="shared" si="10"/>
        <v>0</v>
      </c>
      <c r="AP13" s="1525">
        <f t="shared" si="10"/>
        <v>0</v>
      </c>
      <c r="AQ13" s="1525">
        <f t="shared" si="10"/>
        <v>0</v>
      </c>
      <c r="AR13" s="1525">
        <f t="shared" si="10"/>
        <v>0</v>
      </c>
      <c r="AS13" s="1525">
        <f t="shared" si="10"/>
        <v>0</v>
      </c>
      <c r="AU13" s="1525"/>
      <c r="AV13" s="1291"/>
      <c r="AW13" s="1292"/>
      <c r="AX13" s="1292"/>
      <c r="AY13" s="1292"/>
      <c r="AZ13" s="1292"/>
      <c r="BA13" s="1292">
        <v>0.1</v>
      </c>
      <c r="BB13" s="1292"/>
      <c r="BC13" s="1292"/>
      <c r="BD13" s="1292"/>
      <c r="BE13" s="1292"/>
      <c r="BF13" s="1292"/>
      <c r="BG13" s="1292"/>
      <c r="BH13" s="1292"/>
      <c r="BI13" s="1292"/>
      <c r="BJ13" s="1292"/>
      <c r="BK13" s="1292"/>
      <c r="BL13" s="1292"/>
      <c r="BM13" s="1292"/>
      <c r="BN13" s="1292"/>
      <c r="BO13" s="1292"/>
      <c r="BP13" s="1292"/>
      <c r="BQ13" s="1292"/>
      <c r="BR13" s="1292"/>
      <c r="BS13" s="1292"/>
      <c r="BT13" s="1670">
        <f>SUM(AV13:BS13)</f>
        <v>0.1</v>
      </c>
      <c r="BW13" s="823" t="s">
        <v>1819</v>
      </c>
    </row>
    <row r="14" spans="1:75" ht="16" x14ac:dyDescent="0.2">
      <c r="B14" s="175">
        <f t="shared" ref="B14:B20" si="11">B13+1</f>
        <v>2</v>
      </c>
      <c r="C14" s="265">
        <v>1</v>
      </c>
      <c r="D14" s="228"/>
      <c r="E14" s="798" t="s">
        <v>1555</v>
      </c>
      <c r="F14" s="798" t="s">
        <v>382</v>
      </c>
      <c r="G14" s="834" t="s">
        <v>437</v>
      </c>
      <c r="H14" s="843">
        <v>7486</v>
      </c>
      <c r="I14" s="808" t="s">
        <v>351</v>
      </c>
      <c r="J14" s="260"/>
      <c r="K14" s="799"/>
      <c r="L14" s="833">
        <v>1</v>
      </c>
      <c r="M14" s="831">
        <f t="shared" si="4"/>
        <v>1</v>
      </c>
      <c r="N14" s="832" t="s">
        <v>892</v>
      </c>
      <c r="O14" s="1196">
        <v>11299</v>
      </c>
      <c r="P14" s="1218">
        <f t="shared" ca="1" si="5"/>
        <v>86.819444444444443</v>
      </c>
      <c r="Q14" s="1148">
        <v>128500</v>
      </c>
      <c r="R14" s="874"/>
      <c r="S14" s="875">
        <v>7000</v>
      </c>
      <c r="T14" s="877"/>
      <c r="U14" s="877"/>
      <c r="V14" s="877"/>
      <c r="W14" s="875"/>
      <c r="X14" s="1026">
        <f t="shared" si="6"/>
        <v>135500</v>
      </c>
      <c r="Y14" s="1512">
        <f t="shared" si="7"/>
        <v>0</v>
      </c>
      <c r="Z14" s="1741">
        <f t="shared" si="8"/>
        <v>1</v>
      </c>
      <c r="AA14" s="1749">
        <f t="shared" si="9"/>
        <v>0.5</v>
      </c>
      <c r="AB14" s="1810">
        <f t="shared" ref="AB14:AB28" si="12">100*AA14/Z14</f>
        <v>50</v>
      </c>
      <c r="AC14" s="876"/>
      <c r="AD14" s="1525">
        <f t="shared" si="10"/>
        <v>0</v>
      </c>
      <c r="AE14" s="1525">
        <f t="shared" si="10"/>
        <v>0</v>
      </c>
      <c r="AF14" s="1525">
        <f t="shared" si="10"/>
        <v>0</v>
      </c>
      <c r="AG14" s="1525">
        <f t="shared" si="10"/>
        <v>0</v>
      </c>
      <c r="AH14" s="1525">
        <f t="shared" si="10"/>
        <v>0.5</v>
      </c>
      <c r="AI14" s="1525">
        <f t="shared" si="10"/>
        <v>0</v>
      </c>
      <c r="AJ14" s="1525">
        <f t="shared" si="10"/>
        <v>0</v>
      </c>
      <c r="AK14" s="1525">
        <f t="shared" si="10"/>
        <v>0</v>
      </c>
      <c r="AL14" s="1525">
        <f t="shared" si="10"/>
        <v>0</v>
      </c>
      <c r="AM14" s="1525">
        <f t="shared" si="10"/>
        <v>0</v>
      </c>
      <c r="AN14" s="1525">
        <f t="shared" si="10"/>
        <v>0</v>
      </c>
      <c r="AO14" s="1525">
        <f t="shared" si="10"/>
        <v>0</v>
      </c>
      <c r="AP14" s="1525">
        <f t="shared" si="10"/>
        <v>0</v>
      </c>
      <c r="AQ14" s="1525">
        <f t="shared" si="10"/>
        <v>0</v>
      </c>
      <c r="AR14" s="1525">
        <f t="shared" si="10"/>
        <v>0</v>
      </c>
      <c r="AS14" s="1525">
        <f t="shared" si="10"/>
        <v>0</v>
      </c>
      <c r="AU14" s="1525"/>
      <c r="AV14" s="1291"/>
      <c r="AW14" s="1292"/>
      <c r="AX14" s="1292"/>
      <c r="AY14" s="1292"/>
      <c r="AZ14" s="1292">
        <v>0.5</v>
      </c>
      <c r="BA14" s="1292"/>
      <c r="BB14" s="1292"/>
      <c r="BC14" s="1292"/>
      <c r="BD14" s="1292"/>
      <c r="BE14" s="1292"/>
      <c r="BF14" s="1292"/>
      <c r="BG14" s="1292"/>
      <c r="BH14" s="1292"/>
      <c r="BI14" s="1292"/>
      <c r="BJ14" s="1292"/>
      <c r="BK14" s="1292"/>
      <c r="BL14" s="1292"/>
      <c r="BM14" s="1292"/>
      <c r="BN14" s="1292"/>
      <c r="BO14" s="1292"/>
      <c r="BP14" s="1292"/>
      <c r="BQ14" s="1292"/>
      <c r="BR14" s="1292"/>
      <c r="BS14" s="1292"/>
      <c r="BT14" s="1670">
        <f t="shared" ref="BT14:BT28" si="13">SUM(AV14:BS14)</f>
        <v>0.5</v>
      </c>
      <c r="BW14" s="834" t="s">
        <v>437</v>
      </c>
    </row>
    <row r="15" spans="1:75" ht="28" x14ac:dyDescent="0.2">
      <c r="B15" s="175">
        <f t="shared" si="11"/>
        <v>3</v>
      </c>
      <c r="C15" s="265">
        <v>1</v>
      </c>
      <c r="D15" s="228"/>
      <c r="E15" s="798" t="s">
        <v>1555</v>
      </c>
      <c r="F15" s="798" t="s">
        <v>708</v>
      </c>
      <c r="G15" s="859" t="s">
        <v>1923</v>
      </c>
      <c r="H15" s="843">
        <v>6182</v>
      </c>
      <c r="I15" s="808" t="s">
        <v>351</v>
      </c>
      <c r="J15" s="282"/>
      <c r="K15" s="799"/>
      <c r="L15" s="831">
        <v>1</v>
      </c>
      <c r="M15" s="831">
        <f t="shared" si="4"/>
        <v>1</v>
      </c>
      <c r="N15" s="857" t="s">
        <v>1326</v>
      </c>
      <c r="O15" s="1196">
        <v>18491</v>
      </c>
      <c r="P15" s="1218">
        <f t="shared" ca="1" si="5"/>
        <v>67.12777777777778</v>
      </c>
      <c r="Q15" s="1148">
        <v>100000</v>
      </c>
      <c r="R15" s="874">
        <f>Q15*0.1</f>
        <v>10000</v>
      </c>
      <c r="S15" s="875">
        <v>3000</v>
      </c>
      <c r="T15" s="875"/>
      <c r="U15" s="875"/>
      <c r="V15" s="875"/>
      <c r="W15" s="875"/>
      <c r="X15" s="1026">
        <f t="shared" si="6"/>
        <v>113000</v>
      </c>
      <c r="Y15" s="1512">
        <f t="shared" si="7"/>
        <v>0</v>
      </c>
      <c r="Z15" s="1741">
        <f t="shared" si="8"/>
        <v>1</v>
      </c>
      <c r="AA15" s="1749">
        <f t="shared" si="9"/>
        <v>0</v>
      </c>
      <c r="AB15" s="1810">
        <f t="shared" si="12"/>
        <v>0</v>
      </c>
      <c r="AC15" s="876"/>
      <c r="AD15" s="1525">
        <f t="shared" si="10"/>
        <v>0</v>
      </c>
      <c r="AE15" s="1525">
        <f t="shared" si="10"/>
        <v>0</v>
      </c>
      <c r="AF15" s="1525">
        <f t="shared" si="10"/>
        <v>0</v>
      </c>
      <c r="AG15" s="1525">
        <f t="shared" si="10"/>
        <v>0</v>
      </c>
      <c r="AH15" s="1525">
        <f t="shared" si="10"/>
        <v>0</v>
      </c>
      <c r="AI15" s="1525">
        <f t="shared" si="10"/>
        <v>0</v>
      </c>
      <c r="AJ15" s="1525">
        <f t="shared" si="10"/>
        <v>0</v>
      </c>
      <c r="AK15" s="1525">
        <f t="shared" si="10"/>
        <v>0</v>
      </c>
      <c r="AL15" s="1525">
        <f t="shared" si="10"/>
        <v>0</v>
      </c>
      <c r="AM15" s="1525">
        <f t="shared" si="10"/>
        <v>0</v>
      </c>
      <c r="AN15" s="1525">
        <f t="shared" si="10"/>
        <v>0</v>
      </c>
      <c r="AO15" s="1525">
        <f t="shared" si="10"/>
        <v>0</v>
      </c>
      <c r="AP15" s="1525">
        <f t="shared" si="10"/>
        <v>0</v>
      </c>
      <c r="AQ15" s="1525">
        <f t="shared" si="10"/>
        <v>0</v>
      </c>
      <c r="AR15" s="1525">
        <f t="shared" si="10"/>
        <v>0</v>
      </c>
      <c r="AS15" s="1525">
        <f t="shared" si="10"/>
        <v>0</v>
      </c>
      <c r="AU15" s="1525"/>
      <c r="AV15" s="1291"/>
      <c r="AW15" s="1292"/>
      <c r="AX15" s="1292"/>
      <c r="AY15" s="1292"/>
      <c r="AZ15" s="1292"/>
      <c r="BA15" s="1292"/>
      <c r="BB15" s="1292"/>
      <c r="BC15" s="1292"/>
      <c r="BD15" s="1292"/>
      <c r="BE15" s="1292"/>
      <c r="BF15" s="1292"/>
      <c r="BG15" s="1292"/>
      <c r="BH15" s="1292"/>
      <c r="BI15" s="1292"/>
      <c r="BJ15" s="1292"/>
      <c r="BK15" s="1292"/>
      <c r="BL15" s="1292"/>
      <c r="BM15" s="1292"/>
      <c r="BN15" s="1292"/>
      <c r="BO15" s="1292"/>
      <c r="BP15" s="1292"/>
      <c r="BQ15" s="1292"/>
      <c r="BR15" s="1292"/>
      <c r="BS15" s="1292"/>
      <c r="BT15" s="1670">
        <f t="shared" si="13"/>
        <v>0</v>
      </c>
      <c r="BW15" s="859" t="s">
        <v>1923</v>
      </c>
    </row>
    <row r="16" spans="1:75" ht="28" x14ac:dyDescent="0.2">
      <c r="B16" s="175">
        <f t="shared" si="11"/>
        <v>4</v>
      </c>
      <c r="C16" s="265">
        <v>1</v>
      </c>
      <c r="D16" s="228"/>
      <c r="E16" s="798" t="s">
        <v>1555</v>
      </c>
      <c r="F16" s="798" t="s">
        <v>708</v>
      </c>
      <c r="G16" s="823" t="s">
        <v>1922</v>
      </c>
      <c r="H16" s="843">
        <v>7414</v>
      </c>
      <c r="I16" s="808" t="s">
        <v>351</v>
      </c>
      <c r="J16" s="569"/>
      <c r="K16" s="799"/>
      <c r="L16" s="831">
        <v>1</v>
      </c>
      <c r="M16" s="831">
        <f t="shared" si="4"/>
        <v>1</v>
      </c>
      <c r="N16" s="832" t="s">
        <v>1454</v>
      </c>
      <c r="O16" s="1196">
        <v>17090</v>
      </c>
      <c r="P16" s="1218">
        <f t="shared" ca="1" si="5"/>
        <v>70.963888888888889</v>
      </c>
      <c r="Q16" s="1148">
        <v>100000</v>
      </c>
      <c r="R16" s="874">
        <f>Q16*0.1</f>
        <v>10000</v>
      </c>
      <c r="S16" s="875">
        <v>7000</v>
      </c>
      <c r="T16" s="875"/>
      <c r="U16" s="875">
        <v>3000</v>
      </c>
      <c r="V16" s="875"/>
      <c r="W16" s="875"/>
      <c r="X16" s="1026">
        <f t="shared" si="6"/>
        <v>120000</v>
      </c>
      <c r="Y16" s="1512">
        <f t="shared" si="7"/>
        <v>2.564102564102564E-2</v>
      </c>
      <c r="Z16" s="1741">
        <f t="shared" si="8"/>
        <v>1.0256410256410255</v>
      </c>
      <c r="AA16" s="1749">
        <f t="shared" si="9"/>
        <v>0</v>
      </c>
      <c r="AB16" s="1810">
        <f t="shared" si="12"/>
        <v>0</v>
      </c>
      <c r="AC16" s="876"/>
      <c r="AD16" s="1525">
        <f t="shared" si="10"/>
        <v>0</v>
      </c>
      <c r="AE16" s="1525">
        <f t="shared" si="10"/>
        <v>0</v>
      </c>
      <c r="AF16" s="1525">
        <f t="shared" si="10"/>
        <v>0</v>
      </c>
      <c r="AG16" s="1525">
        <f t="shared" si="10"/>
        <v>0</v>
      </c>
      <c r="AH16" s="1525">
        <f t="shared" si="10"/>
        <v>0</v>
      </c>
      <c r="AI16" s="1525">
        <f t="shared" si="10"/>
        <v>0</v>
      </c>
      <c r="AJ16" s="1525">
        <f t="shared" si="10"/>
        <v>0</v>
      </c>
      <c r="AK16" s="1525">
        <f t="shared" si="10"/>
        <v>0</v>
      </c>
      <c r="AL16" s="1525">
        <f t="shared" si="10"/>
        <v>0</v>
      </c>
      <c r="AM16" s="1525">
        <f t="shared" si="10"/>
        <v>0</v>
      </c>
      <c r="AN16" s="1525">
        <f t="shared" si="10"/>
        <v>0</v>
      </c>
      <c r="AO16" s="1525">
        <f t="shared" si="10"/>
        <v>0</v>
      </c>
      <c r="AP16" s="1525">
        <f t="shared" si="10"/>
        <v>0</v>
      </c>
      <c r="AQ16" s="1525">
        <f t="shared" si="10"/>
        <v>0</v>
      </c>
      <c r="AR16" s="1525">
        <f t="shared" si="10"/>
        <v>0</v>
      </c>
      <c r="AS16" s="1525">
        <f t="shared" si="10"/>
        <v>0</v>
      </c>
      <c r="AU16" s="1525"/>
      <c r="AV16" s="1291"/>
      <c r="AW16" s="1292"/>
      <c r="AX16" s="1292"/>
      <c r="AY16" s="1292"/>
      <c r="AZ16" s="1292"/>
      <c r="BA16" s="1292"/>
      <c r="BB16" s="1292"/>
      <c r="BC16" s="1292"/>
      <c r="BD16" s="1292"/>
      <c r="BE16" s="1292"/>
      <c r="BF16" s="1292"/>
      <c r="BG16" s="1292"/>
      <c r="BH16" s="1292"/>
      <c r="BI16" s="1292"/>
      <c r="BJ16" s="1292"/>
      <c r="BK16" s="1292"/>
      <c r="BL16" s="1292"/>
      <c r="BM16" s="1292"/>
      <c r="BN16" s="1292"/>
      <c r="BO16" s="1292"/>
      <c r="BP16" s="1292"/>
      <c r="BQ16" s="1292"/>
      <c r="BR16" s="1292"/>
      <c r="BS16" s="1292"/>
      <c r="BT16" s="1670">
        <f t="shared" si="13"/>
        <v>0</v>
      </c>
      <c r="BW16" s="823" t="s">
        <v>1922</v>
      </c>
    </row>
    <row r="17" spans="2:75" ht="28" x14ac:dyDescent="0.2">
      <c r="B17" s="175">
        <f t="shared" si="11"/>
        <v>5</v>
      </c>
      <c r="C17" s="265">
        <v>1</v>
      </c>
      <c r="D17" s="228"/>
      <c r="E17" s="798" t="s">
        <v>1555</v>
      </c>
      <c r="F17" s="798" t="s">
        <v>708</v>
      </c>
      <c r="G17" s="823" t="s">
        <v>1305</v>
      </c>
      <c r="H17" s="843">
        <v>38060</v>
      </c>
      <c r="I17" s="808" t="s">
        <v>351</v>
      </c>
      <c r="J17" s="569"/>
      <c r="K17" s="799"/>
      <c r="L17" s="831">
        <v>1</v>
      </c>
      <c r="M17" s="831">
        <f t="shared" si="4"/>
        <v>1</v>
      </c>
      <c r="N17" s="832" t="s">
        <v>892</v>
      </c>
      <c r="O17" s="1196">
        <v>20006</v>
      </c>
      <c r="P17" s="1218">
        <f t="shared" ca="1" si="5"/>
        <v>62.980555555555554</v>
      </c>
      <c r="Q17" s="1148">
        <v>100000</v>
      </c>
      <c r="R17" s="874"/>
      <c r="S17" s="875">
        <v>7000</v>
      </c>
      <c r="T17" s="875"/>
      <c r="U17" s="875">
        <f>ROUNDDOWN(Q17*0.25,0)</f>
        <v>25000</v>
      </c>
      <c r="V17" s="875"/>
      <c r="W17" s="875"/>
      <c r="X17" s="1026">
        <f t="shared" si="6"/>
        <v>132000</v>
      </c>
      <c r="Y17" s="1512">
        <f t="shared" si="7"/>
        <v>0.23364485981308411</v>
      </c>
      <c r="Z17" s="1741">
        <f t="shared" si="8"/>
        <v>1.233644859813084</v>
      </c>
      <c r="AA17" s="1749">
        <f t="shared" si="9"/>
        <v>0</v>
      </c>
      <c r="AB17" s="1810">
        <f t="shared" si="12"/>
        <v>0</v>
      </c>
      <c r="AC17" s="876"/>
      <c r="AD17" s="1525">
        <f t="shared" si="10"/>
        <v>0</v>
      </c>
      <c r="AE17" s="1525">
        <f t="shared" si="10"/>
        <v>0</v>
      </c>
      <c r="AF17" s="1525">
        <f t="shared" si="10"/>
        <v>0</v>
      </c>
      <c r="AG17" s="1525">
        <f t="shared" si="10"/>
        <v>0</v>
      </c>
      <c r="AH17" s="1525">
        <f t="shared" si="10"/>
        <v>0</v>
      </c>
      <c r="AI17" s="1525">
        <f t="shared" si="10"/>
        <v>0</v>
      </c>
      <c r="AJ17" s="1525">
        <f t="shared" si="10"/>
        <v>0</v>
      </c>
      <c r="AK17" s="1525">
        <f t="shared" si="10"/>
        <v>0</v>
      </c>
      <c r="AL17" s="1525">
        <f t="shared" si="10"/>
        <v>0</v>
      </c>
      <c r="AM17" s="1525">
        <f t="shared" si="10"/>
        <v>0</v>
      </c>
      <c r="AN17" s="1525">
        <f t="shared" si="10"/>
        <v>0</v>
      </c>
      <c r="AO17" s="1525">
        <f t="shared" si="10"/>
        <v>0</v>
      </c>
      <c r="AP17" s="1525">
        <f t="shared" si="10"/>
        <v>0</v>
      </c>
      <c r="AQ17" s="1525">
        <f t="shared" si="10"/>
        <v>0</v>
      </c>
      <c r="AR17" s="1525">
        <f t="shared" si="10"/>
        <v>0</v>
      </c>
      <c r="AS17" s="1525">
        <f t="shared" si="10"/>
        <v>0</v>
      </c>
      <c r="AU17" s="1525"/>
      <c r="AV17" s="1291"/>
      <c r="AW17" s="1292"/>
      <c r="AX17" s="1292"/>
      <c r="AY17" s="1292"/>
      <c r="AZ17" s="1292"/>
      <c r="BA17" s="1292"/>
      <c r="BB17" s="1292"/>
      <c r="BC17" s="1292"/>
      <c r="BD17" s="1292"/>
      <c r="BE17" s="1292"/>
      <c r="BF17" s="1292"/>
      <c r="BG17" s="1292"/>
      <c r="BH17" s="1292"/>
      <c r="BI17" s="1292"/>
      <c r="BJ17" s="1292"/>
      <c r="BK17" s="1292"/>
      <c r="BL17" s="1292"/>
      <c r="BM17" s="1292"/>
      <c r="BN17" s="1292"/>
      <c r="BO17" s="1292"/>
      <c r="BP17" s="1292"/>
      <c r="BQ17" s="1292"/>
      <c r="BR17" s="1292"/>
      <c r="BS17" s="1292"/>
      <c r="BT17" s="1670">
        <f t="shared" si="13"/>
        <v>0</v>
      </c>
      <c r="BW17" s="823" t="s">
        <v>1305</v>
      </c>
    </row>
    <row r="18" spans="2:75" ht="28" x14ac:dyDescent="0.2">
      <c r="B18" s="175">
        <f t="shared" si="11"/>
        <v>6</v>
      </c>
      <c r="C18" s="265">
        <v>1</v>
      </c>
      <c r="D18" s="228"/>
      <c r="E18" s="798" t="s">
        <v>1555</v>
      </c>
      <c r="F18" s="798" t="s">
        <v>708</v>
      </c>
      <c r="G18" s="823" t="s">
        <v>826</v>
      </c>
      <c r="H18" s="843">
        <v>7604</v>
      </c>
      <c r="I18" s="808" t="s">
        <v>351</v>
      </c>
      <c r="J18" s="236"/>
      <c r="K18" s="799"/>
      <c r="L18" s="831">
        <v>1</v>
      </c>
      <c r="M18" s="831">
        <f t="shared" si="4"/>
        <v>1</v>
      </c>
      <c r="N18" s="832" t="s">
        <v>1573</v>
      </c>
      <c r="O18" s="1196">
        <v>16376</v>
      </c>
      <c r="P18" s="1218">
        <f t="shared" ca="1" si="5"/>
        <v>72.922222222222217</v>
      </c>
      <c r="Q18" s="1148">
        <v>80000</v>
      </c>
      <c r="R18" s="874">
        <f>Q18*0.1</f>
        <v>8000</v>
      </c>
      <c r="S18" s="875">
        <v>7000</v>
      </c>
      <c r="T18" s="877"/>
      <c r="U18" s="875">
        <f>ROUNDDOWN(Q18*0.25,0)</f>
        <v>20000</v>
      </c>
      <c r="V18" s="877"/>
      <c r="W18" s="875"/>
      <c r="X18" s="1026">
        <f t="shared" si="6"/>
        <v>115000</v>
      </c>
      <c r="Y18" s="1512">
        <f t="shared" si="7"/>
        <v>0.21052631578947367</v>
      </c>
      <c r="Z18" s="1741">
        <f t="shared" si="8"/>
        <v>1.2105263157894737</v>
      </c>
      <c r="AA18" s="1749">
        <f t="shared" si="9"/>
        <v>0.2</v>
      </c>
      <c r="AB18" s="1810">
        <f t="shared" si="12"/>
        <v>16.521739130434781</v>
      </c>
      <c r="AC18" s="876"/>
      <c r="AD18" s="1525">
        <f t="shared" si="10"/>
        <v>0</v>
      </c>
      <c r="AE18" s="1525">
        <f t="shared" si="10"/>
        <v>0</v>
      </c>
      <c r="AF18" s="1525">
        <f t="shared" si="10"/>
        <v>0</v>
      </c>
      <c r="AG18" s="1525">
        <f t="shared" si="10"/>
        <v>0</v>
      </c>
      <c r="AH18" s="1525">
        <f t="shared" si="10"/>
        <v>0</v>
      </c>
      <c r="AI18" s="1525">
        <f t="shared" si="10"/>
        <v>0</v>
      </c>
      <c r="AJ18" s="1525">
        <f t="shared" si="10"/>
        <v>0</v>
      </c>
      <c r="AK18" s="1525">
        <f t="shared" si="10"/>
        <v>0</v>
      </c>
      <c r="AL18" s="1525">
        <f t="shared" si="10"/>
        <v>0</v>
      </c>
      <c r="AM18" s="1525">
        <f t="shared" si="10"/>
        <v>0.2</v>
      </c>
      <c r="AN18" s="1525">
        <f t="shared" si="10"/>
        <v>0</v>
      </c>
      <c r="AO18" s="1525">
        <f t="shared" si="10"/>
        <v>0</v>
      </c>
      <c r="AP18" s="1525">
        <f t="shared" si="10"/>
        <v>0</v>
      </c>
      <c r="AQ18" s="1525">
        <f t="shared" si="10"/>
        <v>0</v>
      </c>
      <c r="AR18" s="1525">
        <f t="shared" si="10"/>
        <v>0</v>
      </c>
      <c r="AS18" s="1525">
        <f t="shared" si="10"/>
        <v>0</v>
      </c>
      <c r="AU18" s="1525"/>
      <c r="AV18" s="1291"/>
      <c r="AW18" s="1292"/>
      <c r="AX18" s="1292"/>
      <c r="AY18" s="1292"/>
      <c r="AZ18" s="1292"/>
      <c r="BA18" s="1292"/>
      <c r="BB18" s="1292"/>
      <c r="BC18" s="1292"/>
      <c r="BD18" s="1292"/>
      <c r="BE18" s="1292"/>
      <c r="BF18" s="1292"/>
      <c r="BG18" s="1292"/>
      <c r="BH18" s="1292"/>
      <c r="BI18" s="1292"/>
      <c r="BJ18" s="1292"/>
      <c r="BK18" s="1292"/>
      <c r="BL18" s="1292"/>
      <c r="BM18" s="1292"/>
      <c r="BN18" s="1292">
        <v>0.2</v>
      </c>
      <c r="BO18" s="1292"/>
      <c r="BP18" s="1292"/>
      <c r="BQ18" s="1292"/>
      <c r="BR18" s="1292"/>
      <c r="BS18" s="1292"/>
      <c r="BT18" s="1670">
        <f t="shared" si="13"/>
        <v>0.2</v>
      </c>
      <c r="BW18" s="823" t="s">
        <v>826</v>
      </c>
    </row>
    <row r="19" spans="2:75" ht="28" x14ac:dyDescent="0.2">
      <c r="B19" s="175">
        <f t="shared" si="11"/>
        <v>7</v>
      </c>
      <c r="C19" s="265">
        <v>1</v>
      </c>
      <c r="D19" s="228"/>
      <c r="E19" s="798" t="s">
        <v>1555</v>
      </c>
      <c r="F19" s="798" t="s">
        <v>708</v>
      </c>
      <c r="G19" s="823" t="s">
        <v>1820</v>
      </c>
      <c r="H19" s="843">
        <v>99089</v>
      </c>
      <c r="I19" s="808" t="s">
        <v>351</v>
      </c>
      <c r="J19" s="236"/>
      <c r="K19" s="799"/>
      <c r="L19" s="831">
        <v>1</v>
      </c>
      <c r="M19" s="831">
        <f t="shared" si="4"/>
        <v>1</v>
      </c>
      <c r="N19" s="832" t="s">
        <v>892</v>
      </c>
      <c r="O19" s="1196">
        <v>17939</v>
      </c>
      <c r="P19" s="1218">
        <f t="shared" ca="1" si="5"/>
        <v>68.644444444444446</v>
      </c>
      <c r="Q19" s="1148">
        <v>100000</v>
      </c>
      <c r="R19" s="874"/>
      <c r="S19" s="875">
        <v>3000</v>
      </c>
      <c r="T19" s="877">
        <v>9000</v>
      </c>
      <c r="U19" s="875">
        <f>ROUNDDOWN(Q19*0.25,0)</f>
        <v>25000</v>
      </c>
      <c r="V19" s="877"/>
      <c r="W19" s="875"/>
      <c r="X19" s="1026">
        <f t="shared" si="6"/>
        <v>137000</v>
      </c>
      <c r="Y19" s="1512">
        <f t="shared" si="7"/>
        <v>0.3300970873786408</v>
      </c>
      <c r="Z19" s="1741">
        <f t="shared" si="8"/>
        <v>1.3300970873786409</v>
      </c>
      <c r="AA19" s="1749">
        <f t="shared" si="9"/>
        <v>0.3</v>
      </c>
      <c r="AB19" s="1810">
        <f t="shared" si="12"/>
        <v>22.554744525547445</v>
      </c>
      <c r="AC19" s="876"/>
      <c r="AD19" s="1525">
        <f t="shared" si="10"/>
        <v>0</v>
      </c>
      <c r="AE19" s="1525">
        <f t="shared" si="10"/>
        <v>0</v>
      </c>
      <c r="AF19" s="1525">
        <f t="shared" si="10"/>
        <v>0</v>
      </c>
      <c r="AG19" s="1525">
        <f t="shared" si="10"/>
        <v>0</v>
      </c>
      <c r="AH19" s="1525">
        <f t="shared" si="10"/>
        <v>0</v>
      </c>
      <c r="AI19" s="1525">
        <f t="shared" si="10"/>
        <v>0</v>
      </c>
      <c r="AJ19" s="1525">
        <f t="shared" si="10"/>
        <v>0</v>
      </c>
      <c r="AK19" s="1525">
        <f t="shared" si="10"/>
        <v>0</v>
      </c>
      <c r="AL19" s="1525">
        <f t="shared" si="10"/>
        <v>0.3</v>
      </c>
      <c r="AM19" s="1525">
        <f t="shared" si="10"/>
        <v>0</v>
      </c>
      <c r="AN19" s="1525">
        <f t="shared" si="10"/>
        <v>0</v>
      </c>
      <c r="AO19" s="1525">
        <f t="shared" si="10"/>
        <v>0</v>
      </c>
      <c r="AP19" s="1525">
        <f t="shared" si="10"/>
        <v>0</v>
      </c>
      <c r="AQ19" s="1525">
        <f t="shared" si="10"/>
        <v>0</v>
      </c>
      <c r="AR19" s="1525">
        <f t="shared" si="10"/>
        <v>0</v>
      </c>
      <c r="AS19" s="1525">
        <f t="shared" si="10"/>
        <v>0</v>
      </c>
      <c r="AU19" s="1525"/>
      <c r="AV19" s="1291"/>
      <c r="AW19" s="1292"/>
      <c r="AX19" s="1292"/>
      <c r="AY19" s="1292"/>
      <c r="AZ19" s="1292"/>
      <c r="BA19" s="1292">
        <v>0.3</v>
      </c>
      <c r="BB19" s="1292"/>
      <c r="BC19" s="1292"/>
      <c r="BD19" s="1292"/>
      <c r="BE19" s="1292"/>
      <c r="BF19" s="1292"/>
      <c r="BG19" s="1292"/>
      <c r="BH19" s="1292"/>
      <c r="BI19" s="1292"/>
      <c r="BJ19" s="1292"/>
      <c r="BK19" s="1292"/>
      <c r="BL19" s="1292"/>
      <c r="BM19" s="1292"/>
      <c r="BN19" s="1292"/>
      <c r="BO19" s="1292"/>
      <c r="BP19" s="1292"/>
      <c r="BQ19" s="1292"/>
      <c r="BR19" s="1292"/>
      <c r="BS19" s="1292"/>
      <c r="BT19" s="1670">
        <f t="shared" si="13"/>
        <v>0.3</v>
      </c>
      <c r="BW19" s="823" t="s">
        <v>1820</v>
      </c>
    </row>
    <row r="20" spans="2:75" ht="16" x14ac:dyDescent="0.2">
      <c r="B20" s="175">
        <f t="shared" si="11"/>
        <v>8</v>
      </c>
      <c r="C20" s="265">
        <v>1</v>
      </c>
      <c r="D20" s="228"/>
      <c r="E20" s="798" t="s">
        <v>1555</v>
      </c>
      <c r="F20" s="801" t="s">
        <v>1093</v>
      </c>
      <c r="G20" s="834" t="s">
        <v>435</v>
      </c>
      <c r="H20" s="843">
        <v>70672</v>
      </c>
      <c r="I20" s="808" t="s">
        <v>351</v>
      </c>
      <c r="J20" s="575"/>
      <c r="K20" s="835"/>
      <c r="L20" s="831">
        <v>1</v>
      </c>
      <c r="M20" s="831">
        <f t="shared" si="4"/>
        <v>1</v>
      </c>
      <c r="N20" s="832" t="s">
        <v>1573</v>
      </c>
      <c r="O20" s="1196">
        <v>23687</v>
      </c>
      <c r="P20" s="1218">
        <f ca="1">YEARFRAC(TODAY(),O20)</f>
        <v>52.905555555555559</v>
      </c>
      <c r="Q20" s="1148">
        <v>85000</v>
      </c>
      <c r="R20" s="874">
        <f>Q20*0.1</f>
        <v>8500</v>
      </c>
      <c r="S20" s="876">
        <v>3000</v>
      </c>
      <c r="T20" s="876"/>
      <c r="U20" s="876">
        <v>7000</v>
      </c>
      <c r="V20" s="876"/>
      <c r="W20" s="876"/>
      <c r="X20" s="1026">
        <f t="shared" si="6"/>
        <v>103500</v>
      </c>
      <c r="Y20" s="1512">
        <f t="shared" si="7"/>
        <v>7.2538860103626937E-2</v>
      </c>
      <c r="Z20" s="1741">
        <f t="shared" si="8"/>
        <v>1.072538860103627</v>
      </c>
      <c r="AA20" s="1749">
        <f t="shared" si="9"/>
        <v>0.6</v>
      </c>
      <c r="AB20" s="1810">
        <f t="shared" si="12"/>
        <v>55.942028985507243</v>
      </c>
      <c r="AC20" s="876"/>
      <c r="AD20" s="1525">
        <f t="shared" si="10"/>
        <v>0</v>
      </c>
      <c r="AE20" s="1525">
        <f t="shared" si="10"/>
        <v>0</v>
      </c>
      <c r="AF20" s="1525">
        <f t="shared" si="10"/>
        <v>0</v>
      </c>
      <c r="AG20" s="1525">
        <f t="shared" si="10"/>
        <v>0</v>
      </c>
      <c r="AH20" s="1525">
        <f t="shared" si="10"/>
        <v>0.5</v>
      </c>
      <c r="AI20" s="1525">
        <f t="shared" si="10"/>
        <v>0</v>
      </c>
      <c r="AJ20" s="1525">
        <f t="shared" si="10"/>
        <v>0</v>
      </c>
      <c r="AK20" s="1525">
        <f t="shared" si="10"/>
        <v>0</v>
      </c>
      <c r="AL20" s="1525">
        <f t="shared" si="10"/>
        <v>0</v>
      </c>
      <c r="AM20" s="1525">
        <f t="shared" si="10"/>
        <v>0</v>
      </c>
      <c r="AN20" s="1525">
        <f t="shared" si="10"/>
        <v>0.1</v>
      </c>
      <c r="AO20" s="1525">
        <f t="shared" si="10"/>
        <v>0</v>
      </c>
      <c r="AP20" s="1525">
        <f t="shared" si="10"/>
        <v>0</v>
      </c>
      <c r="AQ20" s="1525">
        <f t="shared" si="10"/>
        <v>0</v>
      </c>
      <c r="AR20" s="1525">
        <f t="shared" si="10"/>
        <v>0</v>
      </c>
      <c r="AS20" s="1525">
        <f t="shared" si="10"/>
        <v>0</v>
      </c>
      <c r="AU20" s="1525"/>
      <c r="AV20" s="1292"/>
      <c r="AW20" s="1292"/>
      <c r="AX20" s="1292"/>
      <c r="AY20" s="1292"/>
      <c r="AZ20" s="1292">
        <v>0.5</v>
      </c>
      <c r="BA20" s="1292"/>
      <c r="BB20" s="1292"/>
      <c r="BC20" s="1292"/>
      <c r="BD20" s="1292"/>
      <c r="BE20" s="1292">
        <v>0.1</v>
      </c>
      <c r="BF20" s="1292"/>
      <c r="BG20" s="1292"/>
      <c r="BH20" s="1292"/>
      <c r="BI20" s="1292"/>
      <c r="BJ20" s="1292"/>
      <c r="BK20" s="1292"/>
      <c r="BL20" s="1292"/>
      <c r="BM20" s="1292"/>
      <c r="BN20" s="1292"/>
      <c r="BO20" s="1292"/>
      <c r="BP20" s="1292"/>
      <c r="BQ20" s="1292"/>
      <c r="BR20" s="1292"/>
      <c r="BS20" s="1292"/>
      <c r="BT20" s="1670">
        <f t="shared" si="13"/>
        <v>0.6</v>
      </c>
      <c r="BW20" s="834" t="s">
        <v>435</v>
      </c>
    </row>
    <row r="21" spans="2:75" ht="28" x14ac:dyDescent="0.2">
      <c r="B21" s="224">
        <f>B20+1</f>
        <v>9</v>
      </c>
      <c r="C21" s="265">
        <v>1</v>
      </c>
      <c r="D21" s="228"/>
      <c r="E21" s="798" t="s">
        <v>1555</v>
      </c>
      <c r="F21" s="801" t="s">
        <v>1958</v>
      </c>
      <c r="G21" s="834" t="s">
        <v>1777</v>
      </c>
      <c r="H21" s="1411">
        <v>160055</v>
      </c>
      <c r="I21" s="808" t="s">
        <v>161</v>
      </c>
      <c r="J21" s="575"/>
      <c r="K21" s="835"/>
      <c r="L21" s="831">
        <v>1</v>
      </c>
      <c r="M21" s="831">
        <v>1</v>
      </c>
      <c r="N21" s="832" t="s">
        <v>892</v>
      </c>
      <c r="O21" s="1196">
        <v>20870</v>
      </c>
      <c r="P21" s="1218">
        <f ca="1">YEARFRAC(TODAY(),O21)</f>
        <v>60.619444444444447</v>
      </c>
      <c r="Q21" s="1148">
        <v>80000</v>
      </c>
      <c r="R21" s="874"/>
      <c r="S21" s="876"/>
      <c r="T21" s="876"/>
      <c r="U21" s="876"/>
      <c r="V21" s="876"/>
      <c r="W21" s="876"/>
      <c r="X21" s="1026">
        <f t="shared" si="6"/>
        <v>80000</v>
      </c>
      <c r="Y21" s="1512">
        <f t="shared" si="7"/>
        <v>0</v>
      </c>
      <c r="Z21" s="1741">
        <f t="shared" si="8"/>
        <v>1</v>
      </c>
      <c r="AA21" s="1749">
        <f t="shared" si="9"/>
        <v>0</v>
      </c>
      <c r="AB21" s="1810">
        <f t="shared" si="12"/>
        <v>0</v>
      </c>
      <c r="AC21" s="876"/>
      <c r="AD21" s="1525">
        <f t="shared" si="10"/>
        <v>0</v>
      </c>
      <c r="AE21" s="1525">
        <f t="shared" si="10"/>
        <v>0</v>
      </c>
      <c r="AF21" s="1525">
        <f t="shared" si="10"/>
        <v>0</v>
      </c>
      <c r="AG21" s="1525">
        <f t="shared" si="10"/>
        <v>0</v>
      </c>
      <c r="AH21" s="1525">
        <f t="shared" si="10"/>
        <v>0</v>
      </c>
      <c r="AI21" s="1525">
        <f t="shared" si="10"/>
        <v>0</v>
      </c>
      <c r="AJ21" s="1525">
        <f t="shared" si="10"/>
        <v>0</v>
      </c>
      <c r="AK21" s="1525">
        <f t="shared" si="10"/>
        <v>0</v>
      </c>
      <c r="AL21" s="1525">
        <f t="shared" si="10"/>
        <v>0</v>
      </c>
      <c r="AM21" s="1525">
        <f t="shared" si="10"/>
        <v>0</v>
      </c>
      <c r="AN21" s="1525">
        <f t="shared" si="10"/>
        <v>0</v>
      </c>
      <c r="AO21" s="1525">
        <f t="shared" si="10"/>
        <v>0</v>
      </c>
      <c r="AP21" s="1525">
        <f t="shared" si="10"/>
        <v>0</v>
      </c>
      <c r="AQ21" s="1525">
        <f t="shared" si="10"/>
        <v>0</v>
      </c>
      <c r="AR21" s="1525">
        <f t="shared" si="10"/>
        <v>0</v>
      </c>
      <c r="AS21" s="1525">
        <f t="shared" si="10"/>
        <v>0</v>
      </c>
      <c r="AU21" s="1525"/>
      <c r="AV21" s="1291"/>
      <c r="AW21" s="1292"/>
      <c r="AX21" s="1292"/>
      <c r="AY21" s="1292"/>
      <c r="AZ21" s="1292"/>
      <c r="BA21" s="1292"/>
      <c r="BB21" s="1292"/>
      <c r="BC21" s="1292"/>
      <c r="BD21" s="1292"/>
      <c r="BE21" s="1292"/>
      <c r="BF21" s="1292"/>
      <c r="BG21" s="1292"/>
      <c r="BH21" s="1292"/>
      <c r="BI21" s="1292"/>
      <c r="BJ21" s="1292"/>
      <c r="BK21" s="1292"/>
      <c r="BL21" s="1292"/>
      <c r="BM21" s="1292"/>
      <c r="BN21" s="1292"/>
      <c r="BO21" s="1292"/>
      <c r="BP21" s="1292"/>
      <c r="BQ21" s="1292"/>
      <c r="BR21" s="1292"/>
      <c r="BS21" s="1292"/>
      <c r="BT21" s="1670">
        <f t="shared" si="13"/>
        <v>0</v>
      </c>
      <c r="BW21" s="834" t="s">
        <v>1777</v>
      </c>
    </row>
    <row r="22" spans="2:75" ht="28" x14ac:dyDescent="0.2">
      <c r="B22" s="224">
        <f t="shared" ref="B22:B28" si="14">B21+1</f>
        <v>10</v>
      </c>
      <c r="C22" s="265">
        <v>1</v>
      </c>
      <c r="D22" s="228"/>
      <c r="E22" s="798" t="s">
        <v>1555</v>
      </c>
      <c r="F22" s="809" t="s">
        <v>1091</v>
      </c>
      <c r="G22" s="823" t="s">
        <v>1224</v>
      </c>
      <c r="H22" s="843">
        <v>6304</v>
      </c>
      <c r="I22" s="808" t="s">
        <v>161</v>
      </c>
      <c r="J22" s="569"/>
      <c r="K22" s="799"/>
      <c r="L22" s="831">
        <v>1</v>
      </c>
      <c r="M22" s="831">
        <f t="shared" si="4"/>
        <v>1</v>
      </c>
      <c r="N22" s="832" t="s">
        <v>1573</v>
      </c>
      <c r="O22" s="1196">
        <v>16538</v>
      </c>
      <c r="P22" s="1218">
        <f t="shared" ca="1" si="5"/>
        <v>72.474999999999994</v>
      </c>
      <c r="Q22" s="1148">
        <v>84000</v>
      </c>
      <c r="R22" s="874">
        <f>Q22*0.1</f>
        <v>8400</v>
      </c>
      <c r="S22" s="875"/>
      <c r="T22" s="875"/>
      <c r="U22" s="875"/>
      <c r="V22" s="875"/>
      <c r="W22" s="875"/>
      <c r="X22" s="1026">
        <f t="shared" si="6"/>
        <v>92400</v>
      </c>
      <c r="Y22" s="1512">
        <f t="shared" si="7"/>
        <v>0</v>
      </c>
      <c r="Z22" s="1741">
        <f t="shared" si="8"/>
        <v>1</v>
      </c>
      <c r="AA22" s="1749">
        <f t="shared" si="9"/>
        <v>0.1</v>
      </c>
      <c r="AB22" s="1810">
        <f t="shared" si="12"/>
        <v>10</v>
      </c>
      <c r="AC22" s="876"/>
      <c r="AD22" s="1525">
        <f t="shared" si="10"/>
        <v>0</v>
      </c>
      <c r="AE22" s="1525">
        <f t="shared" si="10"/>
        <v>0</v>
      </c>
      <c r="AF22" s="1525">
        <f t="shared" si="10"/>
        <v>0</v>
      </c>
      <c r="AG22" s="1525">
        <f t="shared" si="10"/>
        <v>0</v>
      </c>
      <c r="AH22" s="1525">
        <f t="shared" si="10"/>
        <v>0</v>
      </c>
      <c r="AI22" s="1525">
        <f t="shared" si="10"/>
        <v>0</v>
      </c>
      <c r="AJ22" s="1525">
        <f t="shared" si="10"/>
        <v>0</v>
      </c>
      <c r="AK22" s="1525">
        <f t="shared" si="10"/>
        <v>0</v>
      </c>
      <c r="AL22" s="1525">
        <f t="shared" si="10"/>
        <v>0</v>
      </c>
      <c r="AM22" s="1525">
        <f t="shared" si="10"/>
        <v>0</v>
      </c>
      <c r="AN22" s="1525">
        <f t="shared" si="10"/>
        <v>0.1</v>
      </c>
      <c r="AO22" s="1525">
        <f t="shared" si="10"/>
        <v>0</v>
      </c>
      <c r="AP22" s="1525">
        <f t="shared" si="10"/>
        <v>0</v>
      </c>
      <c r="AQ22" s="1525">
        <f t="shared" si="10"/>
        <v>0</v>
      </c>
      <c r="AR22" s="1525">
        <f t="shared" si="10"/>
        <v>0</v>
      </c>
      <c r="AS22" s="1525">
        <f t="shared" si="10"/>
        <v>0</v>
      </c>
      <c r="AU22" s="1525"/>
      <c r="AV22" s="1291"/>
      <c r="AW22" s="1292"/>
      <c r="AX22" s="1292"/>
      <c r="AY22" s="1292"/>
      <c r="AZ22" s="1292"/>
      <c r="BA22" s="1292"/>
      <c r="BB22" s="1292"/>
      <c r="BC22" s="1292"/>
      <c r="BD22" s="1292"/>
      <c r="BE22" s="1292">
        <v>0.1</v>
      </c>
      <c r="BF22" s="1292"/>
      <c r="BG22" s="1292"/>
      <c r="BH22" s="1292"/>
      <c r="BI22" s="1292"/>
      <c r="BJ22" s="1292"/>
      <c r="BK22" s="1292"/>
      <c r="BL22" s="1292"/>
      <c r="BM22" s="1292"/>
      <c r="BN22" s="1292"/>
      <c r="BO22" s="1292"/>
      <c r="BP22" s="1292"/>
      <c r="BQ22" s="1292"/>
      <c r="BR22" s="1292"/>
      <c r="BS22" s="1292"/>
      <c r="BT22" s="1670">
        <f t="shared" si="13"/>
        <v>0.1</v>
      </c>
      <c r="BW22" s="823" t="s">
        <v>1224</v>
      </c>
    </row>
    <row r="23" spans="2:75" ht="28" x14ac:dyDescent="0.2">
      <c r="B23" s="224">
        <f t="shared" si="14"/>
        <v>11</v>
      </c>
      <c r="C23" s="265">
        <v>1</v>
      </c>
      <c r="D23" s="228"/>
      <c r="E23" s="798" t="s">
        <v>1555</v>
      </c>
      <c r="F23" s="809" t="s">
        <v>1469</v>
      </c>
      <c r="G23" s="823" t="s">
        <v>1470</v>
      </c>
      <c r="H23" s="843">
        <v>294133</v>
      </c>
      <c r="I23" s="808" t="s">
        <v>161</v>
      </c>
      <c r="J23" s="573"/>
      <c r="K23" s="799"/>
      <c r="L23" s="831">
        <v>1</v>
      </c>
      <c r="M23" s="831">
        <v>1</v>
      </c>
      <c r="N23" s="836" t="s">
        <v>892</v>
      </c>
      <c r="O23" s="1196">
        <v>22332</v>
      </c>
      <c r="P23" s="1218">
        <f t="shared" ca="1" si="5"/>
        <v>56.616666666666667</v>
      </c>
      <c r="Q23" s="1148">
        <v>85000</v>
      </c>
      <c r="R23" s="874"/>
      <c r="S23" s="875"/>
      <c r="T23" s="875"/>
      <c r="U23" s="875">
        <v>6000</v>
      </c>
      <c r="V23" s="875"/>
      <c r="W23" s="875"/>
      <c r="X23" s="1026">
        <f t="shared" si="6"/>
        <v>91000</v>
      </c>
      <c r="Y23" s="1512">
        <f t="shared" si="7"/>
        <v>7.0588235294117646E-2</v>
      </c>
      <c r="Z23" s="1741">
        <f t="shared" si="8"/>
        <v>1.0705882352941176</v>
      </c>
      <c r="AA23" s="1749">
        <f t="shared" si="9"/>
        <v>0</v>
      </c>
      <c r="AB23" s="1810">
        <f t="shared" si="12"/>
        <v>0</v>
      </c>
      <c r="AC23" s="876"/>
      <c r="AD23" s="1525">
        <f t="shared" si="10"/>
        <v>0</v>
      </c>
      <c r="AE23" s="1525">
        <f t="shared" si="10"/>
        <v>0</v>
      </c>
      <c r="AF23" s="1525">
        <f t="shared" si="10"/>
        <v>0</v>
      </c>
      <c r="AG23" s="1525">
        <f t="shared" si="10"/>
        <v>0</v>
      </c>
      <c r="AH23" s="1525">
        <f t="shared" si="10"/>
        <v>0</v>
      </c>
      <c r="AI23" s="1525">
        <f t="shared" si="10"/>
        <v>0</v>
      </c>
      <c r="AJ23" s="1525">
        <f t="shared" si="10"/>
        <v>0</v>
      </c>
      <c r="AK23" s="1525">
        <f t="shared" si="10"/>
        <v>0</v>
      </c>
      <c r="AL23" s="1525">
        <f t="shared" si="10"/>
        <v>0</v>
      </c>
      <c r="AM23" s="1525">
        <f t="shared" si="10"/>
        <v>0</v>
      </c>
      <c r="AN23" s="1525">
        <f t="shared" si="10"/>
        <v>0</v>
      </c>
      <c r="AO23" s="1525">
        <f t="shared" si="10"/>
        <v>0</v>
      </c>
      <c r="AP23" s="1525">
        <f t="shared" si="10"/>
        <v>0</v>
      </c>
      <c r="AQ23" s="1525">
        <f t="shared" si="10"/>
        <v>0</v>
      </c>
      <c r="AR23" s="1525">
        <f t="shared" si="10"/>
        <v>0</v>
      </c>
      <c r="AS23" s="1525">
        <f t="shared" si="10"/>
        <v>0</v>
      </c>
      <c r="AU23" s="1525"/>
      <c r="AV23" s="1291"/>
      <c r="AW23" s="1292"/>
      <c r="AX23" s="1292"/>
      <c r="AY23" s="1292"/>
      <c r="AZ23" s="1292"/>
      <c r="BA23" s="1292"/>
      <c r="BB23" s="1292"/>
      <c r="BC23" s="1292"/>
      <c r="BD23" s="1292"/>
      <c r="BE23" s="1292"/>
      <c r="BF23" s="1292"/>
      <c r="BG23" s="1292"/>
      <c r="BH23" s="1292"/>
      <c r="BI23" s="1292"/>
      <c r="BJ23" s="1292"/>
      <c r="BK23" s="1292"/>
      <c r="BL23" s="1292"/>
      <c r="BM23" s="1292"/>
      <c r="BN23" s="1292"/>
      <c r="BO23" s="1292"/>
      <c r="BP23" s="1292"/>
      <c r="BQ23" s="1292"/>
      <c r="BR23" s="1292"/>
      <c r="BS23" s="1292"/>
      <c r="BT23" s="1670">
        <f t="shared" si="13"/>
        <v>0</v>
      </c>
      <c r="BW23" s="823" t="s">
        <v>1470</v>
      </c>
    </row>
    <row r="24" spans="2:75" ht="16" x14ac:dyDescent="0.2">
      <c r="B24" s="224">
        <f t="shared" si="14"/>
        <v>12</v>
      </c>
      <c r="C24" s="265">
        <v>1</v>
      </c>
      <c r="D24" s="228"/>
      <c r="E24" s="798" t="s">
        <v>1555</v>
      </c>
      <c r="F24" s="798" t="s">
        <v>1092</v>
      </c>
      <c r="G24" s="823" t="s">
        <v>1225</v>
      </c>
      <c r="H24" s="843">
        <v>6101</v>
      </c>
      <c r="I24" s="808" t="s">
        <v>161</v>
      </c>
      <c r="J24" s="236"/>
      <c r="K24" s="799"/>
      <c r="L24" s="831">
        <v>1</v>
      </c>
      <c r="M24" s="831">
        <f>K24+L24</f>
        <v>1</v>
      </c>
      <c r="N24" s="832" t="s">
        <v>1294</v>
      </c>
      <c r="O24" s="1196">
        <v>17125</v>
      </c>
      <c r="P24" s="1218">
        <f t="shared" ca="1" si="5"/>
        <v>70.86944444444444</v>
      </c>
      <c r="Q24" s="1148">
        <v>90000</v>
      </c>
      <c r="R24" s="874">
        <f>Q24*0.1</f>
        <v>9000</v>
      </c>
      <c r="S24" s="875">
        <v>7000</v>
      </c>
      <c r="T24" s="875"/>
      <c r="U24" s="875">
        <f>ROUNDDOWN(Q24*0.25,0)</f>
        <v>22500</v>
      </c>
      <c r="V24" s="875"/>
      <c r="W24" s="875"/>
      <c r="X24" s="1026">
        <f t="shared" si="6"/>
        <v>128500</v>
      </c>
      <c r="Y24" s="1512">
        <f t="shared" si="7"/>
        <v>0.21226415094339623</v>
      </c>
      <c r="Z24" s="1741">
        <f t="shared" si="8"/>
        <v>1.2122641509433962</v>
      </c>
      <c r="AA24" s="1749">
        <f t="shared" si="9"/>
        <v>0</v>
      </c>
      <c r="AB24" s="1810">
        <f t="shared" si="12"/>
        <v>0</v>
      </c>
      <c r="AC24" s="876"/>
      <c r="AD24" s="1525">
        <f t="shared" si="10"/>
        <v>0</v>
      </c>
      <c r="AE24" s="1525">
        <f t="shared" si="10"/>
        <v>0</v>
      </c>
      <c r="AF24" s="1525">
        <f t="shared" si="10"/>
        <v>0</v>
      </c>
      <c r="AG24" s="1525">
        <f t="shared" si="10"/>
        <v>0</v>
      </c>
      <c r="AH24" s="1525">
        <f t="shared" si="10"/>
        <v>0</v>
      </c>
      <c r="AI24" s="1525">
        <f t="shared" si="10"/>
        <v>0</v>
      </c>
      <c r="AJ24" s="1525">
        <f t="shared" si="10"/>
        <v>0</v>
      </c>
      <c r="AK24" s="1525">
        <f t="shared" si="10"/>
        <v>0</v>
      </c>
      <c r="AL24" s="1525">
        <f t="shared" si="10"/>
        <v>0</v>
      </c>
      <c r="AM24" s="1525">
        <f t="shared" si="10"/>
        <v>0</v>
      </c>
      <c r="AN24" s="1525">
        <f t="shared" si="10"/>
        <v>0</v>
      </c>
      <c r="AO24" s="1525">
        <f t="shared" si="10"/>
        <v>0</v>
      </c>
      <c r="AP24" s="1525">
        <f t="shared" si="10"/>
        <v>0</v>
      </c>
      <c r="AQ24" s="1525">
        <f t="shared" si="10"/>
        <v>0</v>
      </c>
      <c r="AR24" s="1525">
        <f t="shared" si="10"/>
        <v>0</v>
      </c>
      <c r="AS24" s="1525">
        <f t="shared" si="10"/>
        <v>0</v>
      </c>
      <c r="AU24" s="1525"/>
      <c r="AV24" s="1291"/>
      <c r="AW24" s="1292"/>
      <c r="AX24" s="1292"/>
      <c r="AY24" s="1292"/>
      <c r="AZ24" s="1292"/>
      <c r="BA24" s="1292"/>
      <c r="BB24" s="1292"/>
      <c r="BC24" s="1292"/>
      <c r="BD24" s="1292"/>
      <c r="BE24" s="1292"/>
      <c r="BF24" s="1292"/>
      <c r="BG24" s="1292"/>
      <c r="BH24" s="1292"/>
      <c r="BI24" s="1292"/>
      <c r="BJ24" s="1292"/>
      <c r="BK24" s="1292"/>
      <c r="BL24" s="1292"/>
      <c r="BM24" s="1292"/>
      <c r="BN24" s="1292"/>
      <c r="BO24" s="1292"/>
      <c r="BP24" s="1292"/>
      <c r="BQ24" s="1292"/>
      <c r="BR24" s="1292"/>
      <c r="BS24" s="1292"/>
      <c r="BT24" s="1670">
        <f t="shared" si="13"/>
        <v>0</v>
      </c>
      <c r="BW24" s="823" t="s">
        <v>1225</v>
      </c>
    </row>
    <row r="25" spans="2:75" ht="16" x14ac:dyDescent="0.2">
      <c r="B25" s="224">
        <f t="shared" si="14"/>
        <v>13</v>
      </c>
      <c r="C25" s="265">
        <v>1</v>
      </c>
      <c r="D25" s="228"/>
      <c r="E25" s="798" t="s">
        <v>1555</v>
      </c>
      <c r="F25" s="798" t="s">
        <v>158</v>
      </c>
      <c r="G25" s="821" t="s">
        <v>1413</v>
      </c>
      <c r="H25" s="1015">
        <v>21882</v>
      </c>
      <c r="I25" s="808" t="s">
        <v>161</v>
      </c>
      <c r="J25" s="282"/>
      <c r="K25" s="799"/>
      <c r="L25" s="837">
        <v>1</v>
      </c>
      <c r="M25" s="837">
        <f>K25+L25</f>
        <v>1</v>
      </c>
      <c r="N25" s="836" t="s">
        <v>1326</v>
      </c>
      <c r="O25" s="1196">
        <v>20589</v>
      </c>
      <c r="P25" s="1218">
        <f t="shared" ca="1" si="5"/>
        <v>61.383333333333333</v>
      </c>
      <c r="Q25" s="1148">
        <v>90000</v>
      </c>
      <c r="R25" s="874">
        <f>Q25*0.1</f>
        <v>9000</v>
      </c>
      <c r="S25" s="875">
        <v>3000</v>
      </c>
      <c r="T25" s="875">
        <v>55000</v>
      </c>
      <c r="U25" s="875">
        <v>3000</v>
      </c>
      <c r="V25" s="875"/>
      <c r="W25" s="875"/>
      <c r="X25" s="1026">
        <f t="shared" si="6"/>
        <v>160000</v>
      </c>
      <c r="Y25" s="1512">
        <f t="shared" si="7"/>
        <v>0.56862745098039214</v>
      </c>
      <c r="Z25" s="1741">
        <f t="shared" si="8"/>
        <v>1.5686274509803921</v>
      </c>
      <c r="AA25" s="1749">
        <f t="shared" si="9"/>
        <v>0</v>
      </c>
      <c r="AB25" s="1810">
        <f t="shared" si="12"/>
        <v>0</v>
      </c>
      <c r="AC25" s="876"/>
      <c r="AD25" s="1525">
        <f t="shared" si="10"/>
        <v>0</v>
      </c>
      <c r="AE25" s="1525">
        <f t="shared" si="10"/>
        <v>0</v>
      </c>
      <c r="AF25" s="1525">
        <f t="shared" si="10"/>
        <v>0</v>
      </c>
      <c r="AG25" s="1525">
        <f t="shared" si="10"/>
        <v>0</v>
      </c>
      <c r="AH25" s="1525">
        <f t="shared" si="10"/>
        <v>0</v>
      </c>
      <c r="AI25" s="1525">
        <f t="shared" si="10"/>
        <v>0</v>
      </c>
      <c r="AJ25" s="1525">
        <f t="shared" si="10"/>
        <v>0</v>
      </c>
      <c r="AK25" s="1525">
        <f t="shared" si="10"/>
        <v>0</v>
      </c>
      <c r="AL25" s="1525">
        <f t="shared" si="10"/>
        <v>0</v>
      </c>
      <c r="AM25" s="1525">
        <f t="shared" si="10"/>
        <v>0</v>
      </c>
      <c r="AN25" s="1525">
        <f t="shared" si="10"/>
        <v>0</v>
      </c>
      <c r="AO25" s="1525">
        <f t="shared" si="10"/>
        <v>0</v>
      </c>
      <c r="AP25" s="1525">
        <f t="shared" si="10"/>
        <v>0</v>
      </c>
      <c r="AQ25" s="1525">
        <f t="shared" si="10"/>
        <v>0</v>
      </c>
      <c r="AR25" s="1525">
        <f t="shared" si="10"/>
        <v>0</v>
      </c>
      <c r="AS25" s="1525">
        <f t="shared" si="10"/>
        <v>0</v>
      </c>
      <c r="AU25" s="1525"/>
      <c r="AV25" s="1291"/>
      <c r="AW25" s="1292"/>
      <c r="AX25" s="1292"/>
      <c r="AY25" s="1292"/>
      <c r="AZ25" s="1292"/>
      <c r="BA25" s="1292"/>
      <c r="BB25" s="1292"/>
      <c r="BC25" s="1292"/>
      <c r="BD25" s="1292"/>
      <c r="BE25" s="1292"/>
      <c r="BF25" s="1292"/>
      <c r="BG25" s="1292"/>
      <c r="BH25" s="1292"/>
      <c r="BI25" s="1292"/>
      <c r="BJ25" s="1292"/>
      <c r="BK25" s="1292"/>
      <c r="BL25" s="1292"/>
      <c r="BM25" s="1292"/>
      <c r="BN25" s="1292"/>
      <c r="BO25" s="1292"/>
      <c r="BP25" s="1292"/>
      <c r="BQ25" s="1292"/>
      <c r="BR25" s="1292"/>
      <c r="BS25" s="1292"/>
      <c r="BT25" s="1670">
        <f t="shared" si="13"/>
        <v>0</v>
      </c>
      <c r="BW25" s="821" t="s">
        <v>1413</v>
      </c>
    </row>
    <row r="26" spans="2:75" ht="16" x14ac:dyDescent="0.2">
      <c r="B26" s="224">
        <f t="shared" si="14"/>
        <v>14</v>
      </c>
      <c r="C26" s="265">
        <v>1</v>
      </c>
      <c r="D26" s="228"/>
      <c r="E26" s="798" t="s">
        <v>1555</v>
      </c>
      <c r="F26" s="798" t="s">
        <v>158</v>
      </c>
      <c r="G26" s="821" t="s">
        <v>243</v>
      </c>
      <c r="H26" s="1015">
        <v>115144</v>
      </c>
      <c r="I26" s="808" t="s">
        <v>161</v>
      </c>
      <c r="J26" s="569"/>
      <c r="K26" s="799"/>
      <c r="L26" s="837">
        <v>1</v>
      </c>
      <c r="M26" s="837">
        <v>1</v>
      </c>
      <c r="N26" s="836" t="s">
        <v>892</v>
      </c>
      <c r="O26" s="1196">
        <v>20380</v>
      </c>
      <c r="P26" s="1218">
        <f t="shared" ca="1" si="5"/>
        <v>61.955555555555556</v>
      </c>
      <c r="Q26" s="1148">
        <v>62000</v>
      </c>
      <c r="R26" s="874"/>
      <c r="S26" s="875"/>
      <c r="T26" s="875"/>
      <c r="U26" s="875">
        <v>7000</v>
      </c>
      <c r="V26" s="875"/>
      <c r="W26" s="875"/>
      <c r="X26" s="1026">
        <f t="shared" si="6"/>
        <v>69000</v>
      </c>
      <c r="Y26" s="1512">
        <f t="shared" si="7"/>
        <v>0.11290322580645161</v>
      </c>
      <c r="Z26" s="1741">
        <f t="shared" si="8"/>
        <v>1.1129032258064515</v>
      </c>
      <c r="AA26" s="1749">
        <f t="shared" si="9"/>
        <v>0</v>
      </c>
      <c r="AB26" s="1810">
        <f t="shared" si="12"/>
        <v>0</v>
      </c>
      <c r="AC26" s="876"/>
      <c r="AD26" s="1525">
        <f t="shared" si="10"/>
        <v>0</v>
      </c>
      <c r="AE26" s="1525">
        <f t="shared" si="10"/>
        <v>0</v>
      </c>
      <c r="AF26" s="1525">
        <f t="shared" si="10"/>
        <v>0</v>
      </c>
      <c r="AG26" s="1525">
        <f t="shared" si="10"/>
        <v>0</v>
      </c>
      <c r="AH26" s="1525">
        <f t="shared" si="10"/>
        <v>0</v>
      </c>
      <c r="AI26" s="1525">
        <f t="shared" si="10"/>
        <v>0</v>
      </c>
      <c r="AJ26" s="1525">
        <f t="shared" si="10"/>
        <v>0</v>
      </c>
      <c r="AK26" s="1525">
        <f t="shared" si="10"/>
        <v>0</v>
      </c>
      <c r="AL26" s="1525">
        <f t="shared" si="10"/>
        <v>0</v>
      </c>
      <c r="AM26" s="1525">
        <f t="shared" si="10"/>
        <v>0</v>
      </c>
      <c r="AN26" s="1525">
        <f t="shared" si="10"/>
        <v>0</v>
      </c>
      <c r="AO26" s="1525">
        <f t="shared" si="10"/>
        <v>0</v>
      </c>
      <c r="AP26" s="1525">
        <f t="shared" si="10"/>
        <v>0</v>
      </c>
      <c r="AQ26" s="1525">
        <f t="shared" si="10"/>
        <v>0</v>
      </c>
      <c r="AR26" s="1525">
        <f t="shared" si="10"/>
        <v>0</v>
      </c>
      <c r="AS26" s="1525">
        <f t="shared" si="10"/>
        <v>0</v>
      </c>
      <c r="AU26" s="1525"/>
      <c r="AV26" s="1291"/>
      <c r="AW26" s="1292"/>
      <c r="AX26" s="1292"/>
      <c r="AY26" s="1292"/>
      <c r="AZ26" s="1292"/>
      <c r="BA26" s="1292"/>
      <c r="BB26" s="1292"/>
      <c r="BC26" s="1292"/>
      <c r="BD26" s="1292"/>
      <c r="BE26" s="1292"/>
      <c r="BF26" s="1292"/>
      <c r="BG26" s="1292"/>
      <c r="BH26" s="1292"/>
      <c r="BI26" s="1292"/>
      <c r="BJ26" s="1292"/>
      <c r="BK26" s="1292"/>
      <c r="BL26" s="1292"/>
      <c r="BM26" s="1292"/>
      <c r="BN26" s="1292"/>
      <c r="BO26" s="1292"/>
      <c r="BP26" s="1292"/>
      <c r="BQ26" s="1292"/>
      <c r="BR26" s="1292"/>
      <c r="BS26" s="1292"/>
      <c r="BT26" s="1670">
        <f t="shared" si="13"/>
        <v>0</v>
      </c>
      <c r="BW26" s="821" t="s">
        <v>243</v>
      </c>
    </row>
    <row r="27" spans="2:75" ht="16" x14ac:dyDescent="0.2">
      <c r="B27" s="224">
        <f t="shared" si="14"/>
        <v>15</v>
      </c>
      <c r="C27" s="265">
        <v>1</v>
      </c>
      <c r="D27" s="228"/>
      <c r="E27" s="798" t="s">
        <v>1555</v>
      </c>
      <c r="F27" s="801" t="s">
        <v>158</v>
      </c>
      <c r="G27" s="801" t="s">
        <v>671</v>
      </c>
      <c r="H27" s="1002">
        <v>204061</v>
      </c>
      <c r="I27" s="984" t="s">
        <v>161</v>
      </c>
      <c r="J27" s="1300"/>
      <c r="K27" s="844"/>
      <c r="L27" s="999">
        <v>1</v>
      </c>
      <c r="M27" s="999">
        <v>1</v>
      </c>
      <c r="N27" s="836" t="s">
        <v>1326</v>
      </c>
      <c r="O27" s="1196">
        <v>26481</v>
      </c>
      <c r="P27" s="1218">
        <f t="shared" ca="1" si="5"/>
        <v>45.25277777777778</v>
      </c>
      <c r="Q27" s="1148">
        <v>80000</v>
      </c>
      <c r="R27" s="874">
        <f>Q27*0.1</f>
        <v>8000</v>
      </c>
      <c r="S27" s="875"/>
      <c r="T27" s="875">
        <v>30000</v>
      </c>
      <c r="U27" s="875">
        <v>8000</v>
      </c>
      <c r="V27" s="875"/>
      <c r="W27" s="875"/>
      <c r="X27" s="1026">
        <f t="shared" si="6"/>
        <v>126000</v>
      </c>
      <c r="Y27" s="1512">
        <f t="shared" si="7"/>
        <v>0.43181818181818182</v>
      </c>
      <c r="Z27" s="1741">
        <f t="shared" si="8"/>
        <v>1.4318181818181819</v>
      </c>
      <c r="AA27" s="1749">
        <f t="shared" si="9"/>
        <v>0</v>
      </c>
      <c r="AB27" s="1810">
        <f t="shared" si="12"/>
        <v>0</v>
      </c>
      <c r="AC27" s="876"/>
      <c r="AD27" s="1525">
        <f t="shared" si="10"/>
        <v>0</v>
      </c>
      <c r="AE27" s="1525">
        <f t="shared" si="10"/>
        <v>0</v>
      </c>
      <c r="AF27" s="1525">
        <f t="shared" si="10"/>
        <v>0</v>
      </c>
      <c r="AG27" s="1525">
        <f t="shared" si="10"/>
        <v>0</v>
      </c>
      <c r="AH27" s="1525">
        <f t="shared" si="10"/>
        <v>0</v>
      </c>
      <c r="AI27" s="1525">
        <f t="shared" si="10"/>
        <v>0</v>
      </c>
      <c r="AJ27" s="1525">
        <f t="shared" si="10"/>
        <v>0</v>
      </c>
      <c r="AK27" s="1525">
        <f t="shared" si="10"/>
        <v>0</v>
      </c>
      <c r="AL27" s="1525">
        <f t="shared" si="10"/>
        <v>0</v>
      </c>
      <c r="AM27" s="1525">
        <f t="shared" si="10"/>
        <v>0</v>
      </c>
      <c r="AN27" s="1525">
        <f t="shared" si="10"/>
        <v>0</v>
      </c>
      <c r="AO27" s="1525">
        <f t="shared" si="10"/>
        <v>0</v>
      </c>
      <c r="AP27" s="1525">
        <f t="shared" si="10"/>
        <v>0</v>
      </c>
      <c r="AQ27" s="1525">
        <f t="shared" si="10"/>
        <v>0</v>
      </c>
      <c r="AR27" s="1525">
        <f t="shared" si="10"/>
        <v>0</v>
      </c>
      <c r="AS27" s="1525">
        <f t="shared" si="10"/>
        <v>0</v>
      </c>
      <c r="AU27" s="1525"/>
      <c r="AV27" s="1291"/>
      <c r="AW27" s="1292"/>
      <c r="AX27" s="1292"/>
      <c r="AY27" s="1292"/>
      <c r="AZ27" s="1292"/>
      <c r="BA27" s="1292"/>
      <c r="BB27" s="1292"/>
      <c r="BC27" s="1292"/>
      <c r="BD27" s="1292"/>
      <c r="BE27" s="1292"/>
      <c r="BF27" s="1292"/>
      <c r="BG27" s="1292"/>
      <c r="BH27" s="1292"/>
      <c r="BI27" s="1292"/>
      <c r="BJ27" s="1292"/>
      <c r="BK27" s="1292"/>
      <c r="BL27" s="1292"/>
      <c r="BM27" s="1292"/>
      <c r="BN27" s="1292"/>
      <c r="BO27" s="1292"/>
      <c r="BP27" s="1292"/>
      <c r="BQ27" s="1292"/>
      <c r="BR27" s="1292"/>
      <c r="BS27" s="1292"/>
      <c r="BT27" s="1670">
        <f t="shared" si="13"/>
        <v>0</v>
      </c>
      <c r="BW27" s="801" t="s">
        <v>671</v>
      </c>
    </row>
    <row r="28" spans="2:75" ht="16" x14ac:dyDescent="0.2">
      <c r="B28" s="224">
        <f t="shared" si="14"/>
        <v>16</v>
      </c>
      <c r="C28" s="265">
        <v>1</v>
      </c>
      <c r="D28" s="228"/>
      <c r="E28" s="798" t="s">
        <v>1555</v>
      </c>
      <c r="F28" s="798" t="s">
        <v>158</v>
      </c>
      <c r="G28" s="798" t="s">
        <v>1752</v>
      </c>
      <c r="H28" s="1015">
        <v>154221</v>
      </c>
      <c r="I28" s="808" t="s">
        <v>161</v>
      </c>
      <c r="J28" s="569"/>
      <c r="K28" s="799"/>
      <c r="L28" s="837">
        <v>1</v>
      </c>
      <c r="M28" s="837">
        <v>1</v>
      </c>
      <c r="N28" s="836" t="s">
        <v>1326</v>
      </c>
      <c r="O28" s="1196">
        <v>27927</v>
      </c>
      <c r="P28" s="1218">
        <f t="shared" ca="1" si="5"/>
        <v>41.294444444444444</v>
      </c>
      <c r="Q28" s="1148">
        <v>60000</v>
      </c>
      <c r="R28" s="874">
        <f>Q28*0.1</f>
        <v>6000</v>
      </c>
      <c r="S28" s="875"/>
      <c r="T28" s="875"/>
      <c r="U28" s="875"/>
      <c r="V28" s="875"/>
      <c r="W28" s="875"/>
      <c r="X28" s="1026">
        <f t="shared" si="6"/>
        <v>66000</v>
      </c>
      <c r="Y28" s="1512">
        <f t="shared" si="7"/>
        <v>0</v>
      </c>
      <c r="Z28" s="1741">
        <f t="shared" si="8"/>
        <v>1</v>
      </c>
      <c r="AA28" s="1749">
        <f t="shared" si="9"/>
        <v>0.1</v>
      </c>
      <c r="AB28" s="1810">
        <f t="shared" si="12"/>
        <v>10</v>
      </c>
      <c r="AC28" s="876"/>
      <c r="AD28" s="1525">
        <f t="shared" ref="AD28:AR28" si="15">SUMIF($AV$6:$BS$6,AD$5,$AV28:$BS28)</f>
        <v>0</v>
      </c>
      <c r="AE28" s="1525">
        <f t="shared" si="15"/>
        <v>0</v>
      </c>
      <c r="AF28" s="1525">
        <f t="shared" si="15"/>
        <v>0</v>
      </c>
      <c r="AG28" s="1525">
        <f t="shared" si="15"/>
        <v>0</v>
      </c>
      <c r="AH28" s="1525">
        <f t="shared" si="15"/>
        <v>0</v>
      </c>
      <c r="AI28" s="1525">
        <f t="shared" si="15"/>
        <v>0</v>
      </c>
      <c r="AJ28" s="1525">
        <f t="shared" si="15"/>
        <v>0</v>
      </c>
      <c r="AK28" s="1525">
        <f t="shared" si="15"/>
        <v>0</v>
      </c>
      <c r="AL28" s="1525">
        <f t="shared" si="15"/>
        <v>0</v>
      </c>
      <c r="AM28" s="1525">
        <f t="shared" si="15"/>
        <v>0</v>
      </c>
      <c r="AN28" s="1525">
        <f t="shared" si="15"/>
        <v>0.1</v>
      </c>
      <c r="AO28" s="1525">
        <f t="shared" si="15"/>
        <v>0</v>
      </c>
      <c r="AP28" s="1525">
        <f t="shared" si="15"/>
        <v>0</v>
      </c>
      <c r="AQ28" s="1525">
        <f t="shared" si="15"/>
        <v>0</v>
      </c>
      <c r="AR28" s="1525">
        <f t="shared" si="15"/>
        <v>0</v>
      </c>
      <c r="AS28" s="1525">
        <f t="shared" ref="AS28" si="16">SUMIF($AV$6:$BS$6,AS$5,$AV28:$BS28)</f>
        <v>0</v>
      </c>
      <c r="AU28" s="1525"/>
      <c r="AV28" s="1291"/>
      <c r="AW28" s="1292"/>
      <c r="AX28" s="1292"/>
      <c r="AY28" s="1292"/>
      <c r="AZ28" s="1292"/>
      <c r="BA28" s="1292"/>
      <c r="BB28" s="1292"/>
      <c r="BC28" s="1292"/>
      <c r="BD28" s="1292"/>
      <c r="BE28" s="1292">
        <v>0.1</v>
      </c>
      <c r="BF28" s="1292"/>
      <c r="BG28" s="1292"/>
      <c r="BH28" s="1292"/>
      <c r="BI28" s="1292"/>
      <c r="BJ28" s="1292"/>
      <c r="BK28" s="1292"/>
      <c r="BL28" s="1292"/>
      <c r="BM28" s="1292"/>
      <c r="BN28" s="1292"/>
      <c r="BO28" s="1292"/>
      <c r="BP28" s="1292"/>
      <c r="BQ28" s="1292"/>
      <c r="BR28" s="1292"/>
      <c r="BS28" s="1292"/>
      <c r="BT28" s="1670">
        <f t="shared" si="13"/>
        <v>0.1</v>
      </c>
      <c r="BW28" s="798" t="s">
        <v>1752</v>
      </c>
    </row>
    <row r="29" spans="2:75" ht="16" x14ac:dyDescent="0.2">
      <c r="B29" s="224"/>
      <c r="C29" s="265"/>
      <c r="D29" s="228"/>
      <c r="E29" s="798"/>
      <c r="F29" s="798"/>
      <c r="G29" s="798"/>
      <c r="H29" s="1015"/>
      <c r="I29" s="808"/>
      <c r="J29" s="569"/>
      <c r="K29" s="799"/>
      <c r="L29" s="837"/>
      <c r="M29" s="837"/>
      <c r="N29" s="836"/>
      <c r="O29" s="1196"/>
      <c r="P29" s="1218"/>
      <c r="Q29" s="1148"/>
      <c r="R29" s="874"/>
      <c r="S29" s="875"/>
      <c r="T29" s="875"/>
      <c r="U29" s="875"/>
      <c r="V29" s="875"/>
      <c r="W29" s="875"/>
      <c r="X29" s="1026"/>
      <c r="Y29" s="1562"/>
      <c r="Z29" s="1742"/>
      <c r="AA29" s="1749"/>
      <c r="AB29" s="1811"/>
      <c r="AC29" s="876"/>
      <c r="AD29" s="1295"/>
      <c r="AE29" s="1525"/>
      <c r="AF29" s="1525"/>
      <c r="AG29" s="1525"/>
      <c r="AH29" s="1525"/>
      <c r="AI29" s="1525"/>
      <c r="AJ29" s="1525"/>
      <c r="AK29" s="1525"/>
      <c r="AL29" s="1525"/>
      <c r="AM29" s="1525"/>
      <c r="AN29" s="1525"/>
      <c r="AO29" s="1525"/>
      <c r="AP29" s="1525"/>
      <c r="AQ29" s="1525"/>
      <c r="AR29" s="1525"/>
      <c r="AS29" s="1525"/>
      <c r="AU29" s="1525"/>
      <c r="AV29" s="1291"/>
      <c r="AW29" s="1292"/>
      <c r="AX29" s="1292"/>
      <c r="AY29" s="1292"/>
      <c r="AZ29" s="1292"/>
      <c r="BA29" s="1292"/>
      <c r="BB29" s="1292"/>
      <c r="BC29" s="1292"/>
      <c r="BD29" s="1292"/>
      <c r="BE29" s="1292"/>
      <c r="BF29" s="1292"/>
      <c r="BG29" s="1292"/>
      <c r="BH29" s="1292"/>
      <c r="BI29" s="1292"/>
      <c r="BJ29" s="1292"/>
      <c r="BK29" s="1292"/>
      <c r="BL29" s="1292"/>
      <c r="BM29" s="1292"/>
      <c r="BN29" s="1292"/>
      <c r="BO29" s="1292"/>
      <c r="BP29" s="1292"/>
      <c r="BQ29" s="1292"/>
      <c r="BR29" s="1292"/>
      <c r="BS29" s="1292"/>
      <c r="BT29" s="1670"/>
      <c r="BW29" s="798"/>
    </row>
    <row r="30" spans="2:75" s="164" customFormat="1" ht="16" x14ac:dyDescent="0.2">
      <c r="B30" s="224"/>
      <c r="C30" s="265"/>
      <c r="D30" s="228"/>
      <c r="E30" s="798"/>
      <c r="F30" s="810" t="s">
        <v>436</v>
      </c>
      <c r="G30" s="821"/>
      <c r="H30" s="1336" t="s">
        <v>1508</v>
      </c>
      <c r="I30" s="808"/>
      <c r="J30" s="569"/>
      <c r="K30" s="799"/>
      <c r="L30" s="837"/>
      <c r="M30" s="837"/>
      <c r="N30" s="836"/>
      <c r="O30" s="1196" t="s">
        <v>1508</v>
      </c>
      <c r="P30" s="1218"/>
      <c r="Q30" s="1148"/>
      <c r="R30" s="874"/>
      <c r="S30" s="875"/>
      <c r="T30" s="875"/>
      <c r="U30" s="875"/>
      <c r="V30" s="875"/>
      <c r="W30" s="875"/>
      <c r="X30" s="1026"/>
      <c r="Y30" s="1562"/>
      <c r="Z30" s="1742"/>
      <c r="AA30" s="1749"/>
      <c r="AB30" s="1811"/>
      <c r="AC30" s="876"/>
      <c r="AD30" s="1295"/>
      <c r="AE30" s="1525"/>
      <c r="AF30" s="1525"/>
      <c r="AG30" s="1525"/>
      <c r="AH30" s="1525"/>
      <c r="AI30" s="1525"/>
      <c r="AJ30" s="1525"/>
      <c r="AK30" s="1525"/>
      <c r="AL30" s="1525"/>
      <c r="AM30" s="1525"/>
      <c r="AN30" s="1525"/>
      <c r="AO30" s="1525"/>
      <c r="AP30" s="1525"/>
      <c r="AQ30" s="1525"/>
      <c r="AR30" s="1525"/>
      <c r="AS30" s="1525"/>
      <c r="AU30" s="1525"/>
      <c r="AV30" s="1295"/>
      <c r="AW30" s="1525"/>
      <c r="AX30" s="1525"/>
      <c r="AY30" s="1525"/>
      <c r="AZ30" s="1525"/>
      <c r="BA30" s="1525"/>
      <c r="BB30" s="1525"/>
      <c r="BC30" s="1525"/>
      <c r="BD30" s="1525"/>
      <c r="BE30" s="1525"/>
      <c r="BF30" s="1525"/>
      <c r="BG30" s="1525"/>
      <c r="BH30" s="1525"/>
      <c r="BI30" s="1525"/>
      <c r="BJ30" s="1525"/>
      <c r="BK30" s="1525"/>
      <c r="BL30" s="1525"/>
      <c r="BM30" s="1525"/>
      <c r="BN30" s="1525"/>
      <c r="BO30" s="1525"/>
      <c r="BP30" s="1525"/>
      <c r="BQ30" s="1525"/>
      <c r="BR30" s="1525"/>
      <c r="BS30" s="1525"/>
      <c r="BT30" s="1670"/>
      <c r="BV30"/>
      <c r="BW30" s="821"/>
    </row>
    <row r="31" spans="2:75" ht="28" x14ac:dyDescent="0.2">
      <c r="B31" s="224">
        <f>B28+1</f>
        <v>17</v>
      </c>
      <c r="C31" s="265">
        <v>1</v>
      </c>
      <c r="D31" s="228"/>
      <c r="E31" s="798" t="s">
        <v>1555</v>
      </c>
      <c r="F31" s="1564" t="s">
        <v>708</v>
      </c>
      <c r="G31" s="821" t="s">
        <v>1817</v>
      </c>
      <c r="H31" s="1565">
        <v>154881</v>
      </c>
      <c r="I31" s="808" t="s">
        <v>351</v>
      </c>
      <c r="J31" s="569"/>
      <c r="K31" s="831">
        <v>1</v>
      </c>
      <c r="L31" s="837"/>
      <c r="M31" s="837">
        <v>1</v>
      </c>
      <c r="N31" s="836" t="s">
        <v>892</v>
      </c>
      <c r="O31" s="1196">
        <v>20103</v>
      </c>
      <c r="P31" s="1218">
        <f ca="1">YEARFRAC(TODAY(),O31)</f>
        <v>62.716666666666669</v>
      </c>
      <c r="Q31" s="1148">
        <v>100000</v>
      </c>
      <c r="R31" s="874"/>
      <c r="S31" s="875">
        <v>7000</v>
      </c>
      <c r="T31" s="875"/>
      <c r="U31" s="875"/>
      <c r="V31" s="875"/>
      <c r="W31" s="875"/>
      <c r="X31" s="1026">
        <f>(Q31+R31+S31+T31+U31+V31+W31)*M31</f>
        <v>107000</v>
      </c>
      <c r="Y31" s="1512">
        <f>(T31+U31)*M31/(X31-M31*(T31+U31))</f>
        <v>0</v>
      </c>
      <c r="Z31" s="1741">
        <f>M31*(1+Y31)</f>
        <v>1</v>
      </c>
      <c r="AA31" s="1749">
        <f>SUM(AD31:AS31)</f>
        <v>0</v>
      </c>
      <c r="AB31" s="1810">
        <f>100*AA31/Z31</f>
        <v>0</v>
      </c>
      <c r="AC31" s="876"/>
      <c r="AD31" s="1525">
        <f t="shared" ref="AD31:AS31" si="17">SUMIF($AV$6:$BS$6,AD$5,$AV31:$BS31)</f>
        <v>0</v>
      </c>
      <c r="AE31" s="1525">
        <f t="shared" si="17"/>
        <v>0</v>
      </c>
      <c r="AF31" s="1525">
        <f t="shared" si="17"/>
        <v>0</v>
      </c>
      <c r="AG31" s="1525">
        <f t="shared" si="17"/>
        <v>0</v>
      </c>
      <c r="AH31" s="1525">
        <f t="shared" si="17"/>
        <v>0</v>
      </c>
      <c r="AI31" s="1525">
        <f t="shared" si="17"/>
        <v>0</v>
      </c>
      <c r="AJ31" s="1525">
        <f t="shared" si="17"/>
        <v>0</v>
      </c>
      <c r="AK31" s="1525">
        <f t="shared" si="17"/>
        <v>0</v>
      </c>
      <c r="AL31" s="1525">
        <f t="shared" si="17"/>
        <v>0</v>
      </c>
      <c r="AM31" s="1525">
        <f t="shared" si="17"/>
        <v>0</v>
      </c>
      <c r="AN31" s="1525">
        <f t="shared" si="17"/>
        <v>0</v>
      </c>
      <c r="AO31" s="1525">
        <f t="shared" si="17"/>
        <v>0</v>
      </c>
      <c r="AP31" s="1525">
        <f t="shared" si="17"/>
        <v>0</v>
      </c>
      <c r="AQ31" s="1525">
        <f t="shared" si="17"/>
        <v>0</v>
      </c>
      <c r="AR31" s="1525">
        <f t="shared" si="17"/>
        <v>0</v>
      </c>
      <c r="AS31" s="1525">
        <f t="shared" si="17"/>
        <v>0</v>
      </c>
      <c r="AU31" s="1525"/>
      <c r="AV31" s="1291"/>
      <c r="AW31" s="1292"/>
      <c r="AX31" s="1292"/>
      <c r="AY31" s="1292"/>
      <c r="AZ31" s="1292"/>
      <c r="BA31" s="1292"/>
      <c r="BB31" s="1292"/>
      <c r="BC31" s="1292"/>
      <c r="BD31" s="1292"/>
      <c r="BE31" s="1292"/>
      <c r="BF31" s="1292"/>
      <c r="BG31" s="1292"/>
      <c r="BH31" s="1292"/>
      <c r="BI31" s="1292"/>
      <c r="BJ31" s="1292"/>
      <c r="BK31" s="1292"/>
      <c r="BL31" s="1292"/>
      <c r="BM31" s="1292"/>
      <c r="BN31" s="1292"/>
      <c r="BO31" s="1292"/>
      <c r="BP31" s="1292"/>
      <c r="BQ31" s="1292"/>
      <c r="BR31" s="1292"/>
      <c r="BS31" s="1292"/>
      <c r="BT31" s="1670">
        <f>SUM(AV31:BS31)</f>
        <v>0</v>
      </c>
      <c r="BW31" s="821" t="s">
        <v>1817</v>
      </c>
    </row>
    <row r="32" spans="2:75" s="164" customFormat="1" ht="14" customHeight="1" x14ac:dyDescent="0.2">
      <c r="B32" s="175"/>
      <c r="C32" s="265"/>
      <c r="D32" s="228"/>
      <c r="E32" s="798"/>
      <c r="F32" s="798"/>
      <c r="G32" s="821"/>
      <c r="H32" s="1336" t="s">
        <v>1508</v>
      </c>
      <c r="I32" s="808"/>
      <c r="J32" s="569"/>
      <c r="K32" s="799"/>
      <c r="L32" s="837"/>
      <c r="M32" s="837"/>
      <c r="N32" s="836"/>
      <c r="O32" s="1190"/>
      <c r="P32" s="1219"/>
      <c r="Q32" s="1148"/>
      <c r="R32" s="874"/>
      <c r="S32" s="875"/>
      <c r="T32" s="875"/>
      <c r="U32" s="875"/>
      <c r="V32" s="875"/>
      <c r="W32" s="875"/>
      <c r="X32" s="1026"/>
      <c r="Y32" s="1513"/>
      <c r="Z32" s="1741"/>
      <c r="AA32" s="1749"/>
      <c r="AB32" s="1812"/>
      <c r="AC32" s="876"/>
      <c r="AD32" s="1295"/>
      <c r="AE32" s="1525"/>
      <c r="AF32" s="1525"/>
      <c r="AG32" s="1525"/>
      <c r="AH32" s="1525"/>
      <c r="AI32" s="1525"/>
      <c r="AJ32" s="1525"/>
      <c r="AK32" s="1525"/>
      <c r="AL32" s="1525"/>
      <c r="AM32" s="1525"/>
      <c r="AN32" s="1525"/>
      <c r="AO32" s="1525"/>
      <c r="AP32" s="1525"/>
      <c r="AQ32" s="1525"/>
      <c r="AR32" s="1525"/>
      <c r="AS32" s="1525"/>
      <c r="AU32" s="1525"/>
      <c r="AV32" s="1295"/>
      <c r="AW32" s="1525"/>
      <c r="AX32" s="1525"/>
      <c r="AY32" s="1525"/>
      <c r="AZ32" s="1525"/>
      <c r="BA32" s="1525"/>
      <c r="BB32" s="1525"/>
      <c r="BC32" s="1525"/>
      <c r="BD32" s="1525"/>
      <c r="BE32" s="1525"/>
      <c r="BF32" s="1525"/>
      <c r="BG32" s="1525"/>
      <c r="BH32" s="1525"/>
      <c r="BI32" s="1525"/>
      <c r="BJ32" s="1525"/>
      <c r="BK32" s="1525"/>
      <c r="BL32" s="1525"/>
      <c r="BM32" s="1525"/>
      <c r="BN32" s="1525"/>
      <c r="BO32" s="1525"/>
      <c r="BP32" s="1525"/>
      <c r="BQ32" s="1525"/>
      <c r="BR32" s="1525"/>
      <c r="BS32" s="1525"/>
      <c r="BT32" s="1670"/>
      <c r="BV32"/>
      <c r="BW32" s="821"/>
    </row>
    <row r="33" spans="2:75" s="164" customFormat="1" ht="12.75" customHeight="1" x14ac:dyDescent="0.15">
      <c r="B33" s="1297">
        <f>SUBTOTAL(2,B13:B32)</f>
        <v>17</v>
      </c>
      <c r="C33" s="728" t="s">
        <v>139</v>
      </c>
      <c r="D33" s="577" t="s">
        <v>346</v>
      </c>
      <c r="E33" s="800" t="s">
        <v>989</v>
      </c>
      <c r="F33" s="811"/>
      <c r="G33" s="863">
        <f>COUNTA(G13:G32)</f>
        <v>17</v>
      </c>
      <c r="H33" s="1343"/>
      <c r="I33" s="812"/>
      <c r="J33" s="577"/>
      <c r="K33" s="838">
        <f>SUM(K13:K32)</f>
        <v>1</v>
      </c>
      <c r="L33" s="838">
        <f>SUM(L13:L32)</f>
        <v>16</v>
      </c>
      <c r="M33" s="838">
        <f>SUM(M13:M32)</f>
        <v>17</v>
      </c>
      <c r="N33" s="840"/>
      <c r="O33" s="840"/>
      <c r="P33" s="1220"/>
      <c r="Q33" s="1149"/>
      <c r="R33" s="878"/>
      <c r="S33" s="879"/>
      <c r="T33" s="879"/>
      <c r="U33" s="879"/>
      <c r="V33" s="879"/>
      <c r="W33" s="879"/>
      <c r="X33" s="1276">
        <f>SUM(X13:X31)</f>
        <v>1975400</v>
      </c>
      <c r="Y33" s="1665"/>
      <c r="Z33" s="1665">
        <f t="shared" ref="Z33:AA33" si="18">SUM(Z13:Z31)</f>
        <v>19.649272230938632</v>
      </c>
      <c r="AA33" s="1777">
        <f t="shared" si="18"/>
        <v>1.9000000000000004</v>
      </c>
      <c r="AB33" s="1813">
        <f t="shared" ref="AB33" si="19">100*AA33/Z33</f>
        <v>9.6695693238366758</v>
      </c>
      <c r="AC33" s="1055"/>
      <c r="AD33" s="1295"/>
      <c r="AE33" s="1525"/>
      <c r="AF33" s="1525"/>
      <c r="AG33" s="1525"/>
      <c r="AH33" s="1525"/>
      <c r="AI33" s="1525"/>
      <c r="AJ33" s="1525"/>
      <c r="AK33" s="1525"/>
      <c r="AL33" s="1525"/>
      <c r="AM33" s="1525"/>
      <c r="AN33" s="1525"/>
      <c r="AO33" s="1525"/>
      <c r="AP33" s="1525"/>
      <c r="AQ33" s="1525"/>
      <c r="AR33" s="1525"/>
      <c r="AS33" s="1525"/>
      <c r="AU33" s="1525"/>
      <c r="AV33" s="1295"/>
      <c r="AW33" s="1525"/>
      <c r="AX33" s="1525"/>
      <c r="AY33" s="1525"/>
      <c r="AZ33" s="1525"/>
      <c r="BA33" s="1525"/>
      <c r="BB33" s="1525"/>
      <c r="BC33" s="1525"/>
      <c r="BD33" s="1525"/>
      <c r="BE33" s="1525"/>
      <c r="BF33" s="1525"/>
      <c r="BG33" s="1525"/>
      <c r="BH33" s="1525"/>
      <c r="BI33" s="1525"/>
      <c r="BJ33" s="1525"/>
      <c r="BK33" s="1525"/>
      <c r="BL33" s="1525"/>
      <c r="BM33" s="1525"/>
      <c r="BN33" s="1525"/>
      <c r="BO33" s="1525"/>
      <c r="BP33" s="1525"/>
      <c r="BQ33" s="1525"/>
      <c r="BR33" s="1525"/>
      <c r="BS33" s="1525"/>
      <c r="BT33" s="1670"/>
      <c r="BV33"/>
      <c r="BW33" s="839"/>
    </row>
    <row r="34" spans="2:75" s="164" customFormat="1" ht="12.75" customHeight="1" x14ac:dyDescent="0.15">
      <c r="B34" s="175"/>
      <c r="C34" s="1084"/>
      <c r="D34" s="1083"/>
      <c r="E34" s="1085" t="s">
        <v>328</v>
      </c>
      <c r="F34" s="1086"/>
      <c r="G34" s="1089"/>
      <c r="H34" s="1344"/>
      <c r="I34" s="1087"/>
      <c r="J34" s="1087"/>
      <c r="K34" s="1088"/>
      <c r="L34" s="1088"/>
      <c r="M34" s="1088"/>
      <c r="N34" s="972"/>
      <c r="O34" s="972"/>
      <c r="P34" s="1221"/>
      <c r="Q34" s="1150"/>
      <c r="R34" s="1070"/>
      <c r="S34" s="1077"/>
      <c r="T34" s="1077"/>
      <c r="U34" s="1077"/>
      <c r="V34" s="1077"/>
      <c r="W34" s="1077"/>
      <c r="X34" s="1543"/>
      <c r="Y34" s="1513"/>
      <c r="Z34" s="1741"/>
      <c r="AA34" s="1749"/>
      <c r="AB34" s="1812"/>
      <c r="AC34" s="1055"/>
      <c r="AD34" s="1295"/>
      <c r="AE34" s="1525"/>
      <c r="AF34" s="1525"/>
      <c r="AG34" s="1525"/>
      <c r="AH34" s="1525"/>
      <c r="AI34" s="1525"/>
      <c r="AJ34" s="1525"/>
      <c r="AK34" s="1525"/>
      <c r="AL34" s="1525"/>
      <c r="AM34" s="1525"/>
      <c r="AN34" s="1525"/>
      <c r="AO34" s="1525"/>
      <c r="AP34" s="1525"/>
      <c r="AQ34" s="1525"/>
      <c r="AR34" s="1525"/>
      <c r="AS34" s="1525"/>
      <c r="AU34" s="1525"/>
      <c r="AV34" s="1295"/>
      <c r="AW34" s="1525"/>
      <c r="AX34" s="1525"/>
      <c r="AY34" s="1525"/>
      <c r="AZ34" s="1525"/>
      <c r="BA34" s="1525"/>
      <c r="BB34" s="1525"/>
      <c r="BC34" s="1525"/>
      <c r="BD34" s="1525"/>
      <c r="BE34" s="1525"/>
      <c r="BF34" s="1525"/>
      <c r="BG34" s="1525"/>
      <c r="BH34" s="1525"/>
      <c r="BI34" s="1525"/>
      <c r="BJ34" s="1525"/>
      <c r="BK34" s="1525"/>
      <c r="BL34" s="1525"/>
      <c r="BM34" s="1525"/>
      <c r="BN34" s="1525"/>
      <c r="BO34" s="1525"/>
      <c r="BP34" s="1525"/>
      <c r="BQ34" s="1525"/>
      <c r="BR34" s="1525"/>
      <c r="BS34" s="1525"/>
      <c r="BT34" s="1670"/>
      <c r="BV34"/>
      <c r="BW34" s="1089"/>
    </row>
    <row r="35" spans="2:75" s="164" customFormat="1" ht="12.75" customHeight="1" x14ac:dyDescent="0.15">
      <c r="B35" s="175"/>
      <c r="E35" s="798"/>
      <c r="F35" s="813" t="s">
        <v>833</v>
      </c>
      <c r="G35" s="1311"/>
      <c r="H35" s="1342" t="s">
        <v>1508</v>
      </c>
      <c r="I35" s="984"/>
      <c r="J35" s="313"/>
      <c r="K35" s="833"/>
      <c r="L35" s="893"/>
      <c r="M35" s="893"/>
      <c r="N35" s="832"/>
      <c r="O35" s="1200"/>
      <c r="P35" s="550"/>
      <c r="Q35" s="1151"/>
      <c r="R35" s="876"/>
      <c r="S35" s="876"/>
      <c r="T35" s="876"/>
      <c r="U35" s="876"/>
      <c r="V35" s="876"/>
      <c r="W35" s="876"/>
      <c r="X35" s="1026"/>
      <c r="Y35" s="1513"/>
      <c r="Z35" s="1741"/>
      <c r="AA35" s="1749"/>
      <c r="AB35" s="1812"/>
      <c r="AC35" s="876"/>
      <c r="AD35" s="1295"/>
      <c r="AE35" s="1525"/>
      <c r="AF35" s="1525"/>
      <c r="AG35" s="1525"/>
      <c r="AH35" s="1525"/>
      <c r="AI35" s="1525"/>
      <c r="AJ35" s="1525"/>
      <c r="AK35" s="1525"/>
      <c r="AL35" s="1525"/>
      <c r="AM35" s="1525"/>
      <c r="AN35" s="1525"/>
      <c r="AO35" s="1525"/>
      <c r="AP35" s="1525"/>
      <c r="AQ35" s="1525"/>
      <c r="AR35" s="1525"/>
      <c r="AS35" s="1525"/>
      <c r="AU35" s="1525"/>
      <c r="AV35" s="1295"/>
      <c r="AW35" s="1525"/>
      <c r="AX35" s="1525"/>
      <c r="AY35" s="1525"/>
      <c r="AZ35" s="1525"/>
      <c r="BA35" s="1525"/>
      <c r="BB35" s="1525"/>
      <c r="BC35" s="1525"/>
      <c r="BD35" s="1525"/>
      <c r="BE35" s="1525"/>
      <c r="BF35" s="1525"/>
      <c r="BG35" s="1525"/>
      <c r="BH35" s="1525"/>
      <c r="BI35" s="1525"/>
      <c r="BJ35" s="1525"/>
      <c r="BK35" s="1525"/>
      <c r="BL35" s="1525"/>
      <c r="BM35" s="1525"/>
      <c r="BN35" s="1525"/>
      <c r="BO35" s="1525"/>
      <c r="BP35" s="1525"/>
      <c r="BQ35" s="1525"/>
      <c r="BR35" s="1525"/>
      <c r="BS35" s="1525"/>
      <c r="BT35" s="1670"/>
      <c r="BV35"/>
      <c r="BW35" s="1311"/>
    </row>
    <row r="36" spans="2:75" s="164" customFormat="1" ht="14" customHeight="1" x14ac:dyDescent="0.15">
      <c r="B36" s="175"/>
      <c r="E36" s="799"/>
      <c r="F36" s="799"/>
      <c r="G36" s="799"/>
      <c r="H36" s="1336" t="s">
        <v>1508</v>
      </c>
      <c r="I36" s="799"/>
      <c r="K36" s="799"/>
      <c r="L36" s="799"/>
      <c r="M36" s="799"/>
      <c r="N36" s="799"/>
      <c r="O36" s="1200"/>
      <c r="P36" s="550"/>
      <c r="Q36" s="1151"/>
      <c r="R36" s="876"/>
      <c r="S36" s="876"/>
      <c r="T36" s="876"/>
      <c r="U36" s="876"/>
      <c r="V36" s="876"/>
      <c r="W36" s="876"/>
      <c r="X36" s="1026"/>
      <c r="Y36" s="1513"/>
      <c r="Z36" s="1741"/>
      <c r="AA36" s="1749"/>
      <c r="AB36" s="1812"/>
      <c r="AC36" s="876"/>
      <c r="AD36" s="1295"/>
      <c r="AE36" s="1525"/>
      <c r="AF36" s="1525"/>
      <c r="AG36" s="1525"/>
      <c r="AH36" s="1525"/>
      <c r="AI36" s="1525"/>
      <c r="AJ36" s="1525"/>
      <c r="AK36" s="1525"/>
      <c r="AL36" s="1525"/>
      <c r="AM36" s="1525"/>
      <c r="AN36" s="1525"/>
      <c r="AO36" s="1525"/>
      <c r="AP36" s="1525"/>
      <c r="AQ36" s="1525"/>
      <c r="AR36" s="1525"/>
      <c r="AS36" s="1525"/>
      <c r="AU36" s="1525"/>
      <c r="AV36" s="1295"/>
      <c r="AW36" s="1525"/>
      <c r="AX36" s="1525"/>
      <c r="AY36" s="1525"/>
      <c r="AZ36" s="1525"/>
      <c r="BA36" s="1525"/>
      <c r="BB36" s="1525"/>
      <c r="BC36" s="1525"/>
      <c r="BD36" s="1525"/>
      <c r="BE36" s="1525"/>
      <c r="BF36" s="1525"/>
      <c r="BG36" s="1525"/>
      <c r="BH36" s="1525"/>
      <c r="BI36" s="1525"/>
      <c r="BJ36" s="1525"/>
      <c r="BK36" s="1525"/>
      <c r="BL36" s="1525"/>
      <c r="BM36" s="1525"/>
      <c r="BN36" s="1525"/>
      <c r="BO36" s="1525"/>
      <c r="BP36" s="1525"/>
      <c r="BQ36" s="1525"/>
      <c r="BR36" s="1525"/>
      <c r="BS36" s="1525"/>
      <c r="BT36" s="1670"/>
      <c r="BV36"/>
      <c r="BW36" s="799"/>
    </row>
    <row r="37" spans="2:75" ht="14" customHeight="1" x14ac:dyDescent="0.2">
      <c r="B37" s="175">
        <f>B36+1</f>
        <v>1</v>
      </c>
      <c r="C37" s="1208">
        <v>2</v>
      </c>
      <c r="D37"/>
      <c r="E37" s="801" t="s">
        <v>834</v>
      </c>
      <c r="F37" s="809" t="s">
        <v>832</v>
      </c>
      <c r="G37" s="823" t="s">
        <v>438</v>
      </c>
      <c r="H37" s="1015">
        <v>282364</v>
      </c>
      <c r="I37" s="808" t="s">
        <v>351</v>
      </c>
      <c r="J37" s="236">
        <v>1</v>
      </c>
      <c r="K37" s="799"/>
      <c r="L37" s="843">
        <v>0.5</v>
      </c>
      <c r="M37" s="831">
        <f>K37+L37</f>
        <v>0.5</v>
      </c>
      <c r="N37" s="836" t="s">
        <v>892</v>
      </c>
      <c r="O37" s="1196">
        <v>16893</v>
      </c>
      <c r="P37" s="1218">
        <f ca="1">YEARFRAC(TODAY(),O37)</f>
        <v>71.50277777777778</v>
      </c>
      <c r="Q37" s="1148">
        <v>56500</v>
      </c>
      <c r="R37" s="874"/>
      <c r="S37" s="875"/>
      <c r="T37" s="875"/>
      <c r="U37" s="875"/>
      <c r="V37" s="875"/>
      <c r="W37" s="875"/>
      <c r="X37" s="1026">
        <f>(Q37+R37+S37+T37+U37+V37+W37)*M37</f>
        <v>28250</v>
      </c>
      <c r="Y37" s="1512">
        <f>(T37+U37)*M37/(X37-M37*(T37+U37))</f>
        <v>0</v>
      </c>
      <c r="Z37" s="1741">
        <f>M37*(1+Y37)</f>
        <v>0.5</v>
      </c>
      <c r="AA37" s="1749">
        <f>SUM(AD37:AS37)</f>
        <v>0</v>
      </c>
      <c r="AB37" s="1810">
        <f t="shared" ref="AB37:AB42" si="20">100*AA37/Z37</f>
        <v>0</v>
      </c>
      <c r="AC37" s="876"/>
      <c r="AD37" s="1525">
        <f t="shared" ref="AD37:AS41" si="21">SUMIF($AV$6:$BS$6,AD$5,$AV37:$BS37)</f>
        <v>0</v>
      </c>
      <c r="AE37" s="1525">
        <f t="shared" si="21"/>
        <v>0</v>
      </c>
      <c r="AF37" s="1525">
        <f t="shared" si="21"/>
        <v>0</v>
      </c>
      <c r="AG37" s="1525">
        <f t="shared" si="21"/>
        <v>0</v>
      </c>
      <c r="AH37" s="1525">
        <f t="shared" si="21"/>
        <v>0</v>
      </c>
      <c r="AI37" s="1525">
        <f t="shared" si="21"/>
        <v>0</v>
      </c>
      <c r="AJ37" s="1525">
        <f t="shared" si="21"/>
        <v>0</v>
      </c>
      <c r="AK37" s="1525">
        <f t="shared" si="21"/>
        <v>0</v>
      </c>
      <c r="AL37" s="1525">
        <f t="shared" si="21"/>
        <v>0</v>
      </c>
      <c r="AM37" s="1525">
        <f t="shared" si="21"/>
        <v>0</v>
      </c>
      <c r="AN37" s="1525">
        <f t="shared" si="21"/>
        <v>0</v>
      </c>
      <c r="AO37" s="1525">
        <f t="shared" si="21"/>
        <v>0</v>
      </c>
      <c r="AP37" s="1525">
        <f t="shared" si="21"/>
        <v>0</v>
      </c>
      <c r="AQ37" s="1525">
        <f t="shared" si="21"/>
        <v>0</v>
      </c>
      <c r="AR37" s="1525">
        <f t="shared" si="21"/>
        <v>0</v>
      </c>
      <c r="AS37" s="1525">
        <f t="shared" si="21"/>
        <v>0</v>
      </c>
      <c r="AU37" s="1525"/>
      <c r="AV37" s="1291"/>
      <c r="AW37" s="1292"/>
      <c r="AX37" s="1292"/>
      <c r="AY37" s="1292"/>
      <c r="AZ37" s="1292"/>
      <c r="BA37" s="1292"/>
      <c r="BB37" s="1292"/>
      <c r="BC37" s="1292"/>
      <c r="BD37" s="1292"/>
      <c r="BE37" s="1292"/>
      <c r="BF37" s="1292"/>
      <c r="BG37" s="1292"/>
      <c r="BH37" s="1292"/>
      <c r="BI37" s="1292"/>
      <c r="BJ37" s="1292"/>
      <c r="BK37" s="1292"/>
      <c r="BL37" s="1292"/>
      <c r="BM37" s="1292"/>
      <c r="BN37" s="1292"/>
      <c r="BO37" s="1292"/>
      <c r="BP37" s="1292"/>
      <c r="BQ37" s="1292"/>
      <c r="BR37" s="1292"/>
      <c r="BS37" s="1292"/>
      <c r="BT37" s="1670">
        <f t="shared" ref="BT37:BT41" si="22">SUM(AV37:BS37)</f>
        <v>0</v>
      </c>
      <c r="BW37" s="823" t="s">
        <v>438</v>
      </c>
    </row>
    <row r="38" spans="2:75" ht="14" customHeight="1" x14ac:dyDescent="0.2">
      <c r="B38" s="175">
        <f>B37+1</f>
        <v>2</v>
      </c>
      <c r="C38" s="729">
        <v>2</v>
      </c>
      <c r="D38" s="80"/>
      <c r="E38" s="801" t="s">
        <v>834</v>
      </c>
      <c r="F38" s="809" t="s">
        <v>1372</v>
      </c>
      <c r="G38" s="823" t="s">
        <v>1317</v>
      </c>
      <c r="H38" s="1015">
        <v>7084</v>
      </c>
      <c r="I38" s="808" t="s">
        <v>351</v>
      </c>
      <c r="J38" s="573"/>
      <c r="K38" s="799"/>
      <c r="L38" s="843">
        <v>0.5</v>
      </c>
      <c r="M38" s="831">
        <v>0.5</v>
      </c>
      <c r="N38" s="836" t="s">
        <v>1326</v>
      </c>
      <c r="O38" s="1196">
        <v>11626</v>
      </c>
      <c r="P38" s="1218">
        <f ca="1">YEARFRAC(TODAY(),O38)</f>
        <v>85.922222222222217</v>
      </c>
      <c r="Q38" s="1148">
        <v>48050</v>
      </c>
      <c r="R38" s="874">
        <f>Q38*0.1</f>
        <v>4805</v>
      </c>
      <c r="S38" s="875">
        <v>7000</v>
      </c>
      <c r="T38" s="875">
        <v>12500</v>
      </c>
      <c r="U38" s="875"/>
      <c r="V38" s="875"/>
      <c r="W38" s="875"/>
      <c r="X38" s="1026">
        <f>(Q38+R38+S38+T38+U38+V38+W38)*M38</f>
        <v>36177.5</v>
      </c>
      <c r="Y38" s="1512">
        <f>(T38+U38)*M38/(X38-M38*(T38+U38))</f>
        <v>0.20883802522763345</v>
      </c>
      <c r="Z38" s="1741">
        <f>M38*(1+Y38)</f>
        <v>0.6044190126138167</v>
      </c>
      <c r="AA38" s="1749">
        <f>SUM(AD38:AS38)</f>
        <v>0</v>
      </c>
      <c r="AB38" s="1810">
        <f t="shared" si="20"/>
        <v>0</v>
      </c>
      <c r="AC38" s="876"/>
      <c r="AD38" s="1525">
        <f t="shared" si="21"/>
        <v>0</v>
      </c>
      <c r="AE38" s="1525">
        <f t="shared" si="21"/>
        <v>0</v>
      </c>
      <c r="AF38" s="1525">
        <f t="shared" si="21"/>
        <v>0</v>
      </c>
      <c r="AG38" s="1525">
        <f t="shared" si="21"/>
        <v>0</v>
      </c>
      <c r="AH38" s="1525">
        <f t="shared" si="21"/>
        <v>0</v>
      </c>
      <c r="AI38" s="1525">
        <f t="shared" si="21"/>
        <v>0</v>
      </c>
      <c r="AJ38" s="1525">
        <f t="shared" si="21"/>
        <v>0</v>
      </c>
      <c r="AK38" s="1525">
        <f t="shared" si="21"/>
        <v>0</v>
      </c>
      <c r="AL38" s="1525">
        <f t="shared" si="21"/>
        <v>0</v>
      </c>
      <c r="AM38" s="1525">
        <f t="shared" si="21"/>
        <v>0</v>
      </c>
      <c r="AN38" s="1525">
        <f t="shared" si="21"/>
        <v>0</v>
      </c>
      <c r="AO38" s="1525">
        <f t="shared" si="21"/>
        <v>0</v>
      </c>
      <c r="AP38" s="1525">
        <f t="shared" si="21"/>
        <v>0</v>
      </c>
      <c r="AQ38" s="1525">
        <f t="shared" si="21"/>
        <v>0</v>
      </c>
      <c r="AR38" s="1525">
        <f t="shared" si="21"/>
        <v>0</v>
      </c>
      <c r="AS38" s="1525">
        <f t="shared" si="21"/>
        <v>0</v>
      </c>
      <c r="AU38" s="1525"/>
      <c r="AV38" s="1291"/>
      <c r="AW38" s="1292"/>
      <c r="AX38" s="1292"/>
      <c r="AY38" s="1292"/>
      <c r="AZ38" s="1292"/>
      <c r="BA38" s="1292"/>
      <c r="BB38" s="1292"/>
      <c r="BC38" s="1292"/>
      <c r="BD38" s="1292"/>
      <c r="BE38" s="1292"/>
      <c r="BF38" s="1292"/>
      <c r="BG38" s="1292"/>
      <c r="BH38" s="1292"/>
      <c r="BI38" s="1292"/>
      <c r="BJ38" s="1292"/>
      <c r="BK38" s="1292"/>
      <c r="BL38" s="1292"/>
      <c r="BM38" s="1292"/>
      <c r="BN38" s="1292">
        <v>0</v>
      </c>
      <c r="BO38" s="1292"/>
      <c r="BP38" s="1292"/>
      <c r="BQ38" s="1292"/>
      <c r="BR38" s="1292"/>
      <c r="BS38" s="1292"/>
      <c r="BT38" s="1670">
        <f t="shared" si="22"/>
        <v>0</v>
      </c>
      <c r="BW38" s="823" t="s">
        <v>1317</v>
      </c>
    </row>
    <row r="39" spans="2:75" ht="14" customHeight="1" x14ac:dyDescent="0.2">
      <c r="B39" s="175">
        <f>B38+1</f>
        <v>3</v>
      </c>
      <c r="C39" s="729">
        <v>2</v>
      </c>
      <c r="D39" s="80"/>
      <c r="E39" s="801" t="s">
        <v>834</v>
      </c>
      <c r="F39" s="809" t="s">
        <v>1372</v>
      </c>
      <c r="G39" s="823" t="s">
        <v>542</v>
      </c>
      <c r="H39" s="1015">
        <v>7446</v>
      </c>
      <c r="I39" s="808" t="s">
        <v>351</v>
      </c>
      <c r="J39" s="573"/>
      <c r="K39" s="799"/>
      <c r="L39" s="843">
        <v>1</v>
      </c>
      <c r="M39" s="831">
        <v>1</v>
      </c>
      <c r="N39" s="836"/>
      <c r="O39" s="1196">
        <v>14434</v>
      </c>
      <c r="P39" s="1218">
        <f ca="1">YEARFRAC(TODAY(),O39)</f>
        <v>78.233333333333334</v>
      </c>
      <c r="Q39" s="1148">
        <v>35300</v>
      </c>
      <c r="R39" s="874"/>
      <c r="S39" s="875">
        <v>7000</v>
      </c>
      <c r="T39" s="875"/>
      <c r="U39" s="875"/>
      <c r="V39" s="875"/>
      <c r="W39" s="875"/>
      <c r="X39" s="1026">
        <f>(Q39+R39+S39+T39+U39+V39+W39)*M39</f>
        <v>42300</v>
      </c>
      <c r="Y39" s="1512">
        <f>(T39+U39)*M39/(X39-M39*(T39+U39))</f>
        <v>0</v>
      </c>
      <c r="Z39" s="1741">
        <f>M39*(1+Y39)</f>
        <v>1</v>
      </c>
      <c r="AA39" s="1749">
        <f>SUM(AD39:AS39)</f>
        <v>0.2</v>
      </c>
      <c r="AB39" s="1810">
        <f t="shared" si="20"/>
        <v>20</v>
      </c>
      <c r="AC39" s="876"/>
      <c r="AD39" s="1525">
        <f t="shared" si="21"/>
        <v>0</v>
      </c>
      <c r="AE39" s="1525">
        <f t="shared" si="21"/>
        <v>0</v>
      </c>
      <c r="AF39" s="1525">
        <f t="shared" si="21"/>
        <v>0</v>
      </c>
      <c r="AG39" s="1525">
        <f t="shared" si="21"/>
        <v>0</v>
      </c>
      <c r="AH39" s="1525">
        <f t="shared" si="21"/>
        <v>0.2</v>
      </c>
      <c r="AI39" s="1525">
        <f t="shared" si="21"/>
        <v>0</v>
      </c>
      <c r="AJ39" s="1525">
        <f t="shared" si="21"/>
        <v>0</v>
      </c>
      <c r="AK39" s="1525">
        <f t="shared" si="21"/>
        <v>0</v>
      </c>
      <c r="AL39" s="1525">
        <f t="shared" si="21"/>
        <v>0</v>
      </c>
      <c r="AM39" s="1525">
        <f t="shared" si="21"/>
        <v>0</v>
      </c>
      <c r="AN39" s="1525">
        <f t="shared" si="21"/>
        <v>0</v>
      </c>
      <c r="AO39" s="1525">
        <f t="shared" si="21"/>
        <v>0</v>
      </c>
      <c r="AP39" s="1525">
        <f t="shared" si="21"/>
        <v>0</v>
      </c>
      <c r="AQ39" s="1525">
        <f t="shared" si="21"/>
        <v>0</v>
      </c>
      <c r="AR39" s="1525">
        <f t="shared" si="21"/>
        <v>0</v>
      </c>
      <c r="AS39" s="1525">
        <f t="shared" si="21"/>
        <v>0</v>
      </c>
      <c r="AU39" s="1525"/>
      <c r="AV39" s="1291"/>
      <c r="AW39" s="1292"/>
      <c r="AX39" s="1292"/>
      <c r="AY39" s="1292"/>
      <c r="AZ39" s="1292">
        <v>0.2</v>
      </c>
      <c r="BA39" s="1292"/>
      <c r="BB39" s="1292"/>
      <c r="BC39" s="1292"/>
      <c r="BD39" s="1292"/>
      <c r="BE39" s="1292"/>
      <c r="BF39" s="1292"/>
      <c r="BG39" s="1292"/>
      <c r="BH39" s="1292"/>
      <c r="BI39" s="1292"/>
      <c r="BJ39" s="1292"/>
      <c r="BK39" s="1292"/>
      <c r="BL39" s="1292"/>
      <c r="BM39" s="1292"/>
      <c r="BN39" s="1292"/>
      <c r="BO39" s="1292"/>
      <c r="BP39" s="1292"/>
      <c r="BQ39" s="1292"/>
      <c r="BR39" s="1292"/>
      <c r="BS39" s="1292"/>
      <c r="BT39" s="1670">
        <f t="shared" si="22"/>
        <v>0.2</v>
      </c>
      <c r="BW39" s="823" t="s">
        <v>542</v>
      </c>
    </row>
    <row r="40" spans="2:75" ht="14" customHeight="1" x14ac:dyDescent="0.2">
      <c r="B40" s="175">
        <f>B39+1</f>
        <v>4</v>
      </c>
      <c r="C40" s="1208">
        <v>2</v>
      </c>
      <c r="D40"/>
      <c r="E40" s="801" t="s">
        <v>834</v>
      </c>
      <c r="F40" s="801" t="s">
        <v>516</v>
      </c>
      <c r="G40" s="823" t="s">
        <v>1341</v>
      </c>
      <c r="H40" s="1015">
        <v>3046</v>
      </c>
      <c r="I40" s="808" t="s">
        <v>351</v>
      </c>
      <c r="J40" s="236"/>
      <c r="K40" s="799"/>
      <c r="L40" s="843">
        <v>0.5</v>
      </c>
      <c r="M40" s="831">
        <v>0.5</v>
      </c>
      <c r="N40" s="836" t="s">
        <v>892</v>
      </c>
      <c r="O40" s="1196">
        <v>14978</v>
      </c>
      <c r="P40" s="1218">
        <f ca="1">YEARFRAC(TODAY(),O40)</f>
        <v>76.75</v>
      </c>
      <c r="Q40" s="1148">
        <v>53700</v>
      </c>
      <c r="R40" s="874"/>
      <c r="S40" s="875"/>
      <c r="T40" s="875">
        <v>29000</v>
      </c>
      <c r="U40" s="875"/>
      <c r="V40" s="875"/>
      <c r="W40" s="875"/>
      <c r="X40" s="1026">
        <f>(Q40+R40+S40+T40+U40+V40+W40)*M40</f>
        <v>41350</v>
      </c>
      <c r="Y40" s="1512">
        <f>(T40+U40)*M40/(X40-M40*(T40+U40))</f>
        <v>0.54003724394785846</v>
      </c>
      <c r="Z40" s="1741">
        <f>M40*(1+Y40)</f>
        <v>0.77001862197392923</v>
      </c>
      <c r="AA40" s="1749">
        <f>SUM(AD40:AS40)</f>
        <v>0</v>
      </c>
      <c r="AB40" s="1810">
        <f t="shared" si="20"/>
        <v>0</v>
      </c>
      <c r="AC40" s="876"/>
      <c r="AD40" s="1525">
        <f t="shared" si="21"/>
        <v>0</v>
      </c>
      <c r="AE40" s="1525">
        <f t="shared" si="21"/>
        <v>0</v>
      </c>
      <c r="AF40" s="1525">
        <f t="shared" si="21"/>
        <v>0</v>
      </c>
      <c r="AG40" s="1525">
        <f t="shared" si="21"/>
        <v>0</v>
      </c>
      <c r="AH40" s="1525">
        <f t="shared" si="21"/>
        <v>0</v>
      </c>
      <c r="AI40" s="1525">
        <f t="shared" si="21"/>
        <v>0</v>
      </c>
      <c r="AJ40" s="1525">
        <f t="shared" si="21"/>
        <v>0</v>
      </c>
      <c r="AK40" s="1525">
        <f t="shared" si="21"/>
        <v>0</v>
      </c>
      <c r="AL40" s="1525">
        <f t="shared" si="21"/>
        <v>0</v>
      </c>
      <c r="AM40" s="1525">
        <f t="shared" si="21"/>
        <v>0</v>
      </c>
      <c r="AN40" s="1525">
        <f t="shared" si="21"/>
        <v>0</v>
      </c>
      <c r="AO40" s="1525">
        <f t="shared" si="21"/>
        <v>0</v>
      </c>
      <c r="AP40" s="1525">
        <f t="shared" si="21"/>
        <v>0</v>
      </c>
      <c r="AQ40" s="1525">
        <f t="shared" si="21"/>
        <v>0</v>
      </c>
      <c r="AR40" s="1525">
        <f t="shared" si="21"/>
        <v>0</v>
      </c>
      <c r="AS40" s="1525">
        <f t="shared" si="21"/>
        <v>0</v>
      </c>
      <c r="AU40" s="1525"/>
      <c r="AV40" s="1291"/>
      <c r="AW40" s="1292"/>
      <c r="AX40" s="1292"/>
      <c r="AY40" s="1292"/>
      <c r="AZ40" s="1292"/>
      <c r="BA40" s="1292"/>
      <c r="BB40" s="1292"/>
      <c r="BC40" s="1292"/>
      <c r="BD40" s="1292"/>
      <c r="BE40" s="1292"/>
      <c r="BF40" s="1292"/>
      <c r="BG40" s="1292"/>
      <c r="BH40" s="1292"/>
      <c r="BI40" s="1292"/>
      <c r="BJ40" s="1292"/>
      <c r="BK40" s="1292"/>
      <c r="BL40" s="1292"/>
      <c r="BM40" s="1292"/>
      <c r="BN40" s="1292"/>
      <c r="BO40" s="1292"/>
      <c r="BP40" s="1292"/>
      <c r="BQ40" s="1292"/>
      <c r="BR40" s="1292"/>
      <c r="BS40" s="1292"/>
      <c r="BT40" s="1670">
        <f t="shared" si="22"/>
        <v>0</v>
      </c>
      <c r="BW40" s="823" t="s">
        <v>1341</v>
      </c>
    </row>
    <row r="41" spans="2:75" ht="14" customHeight="1" x14ac:dyDescent="0.2">
      <c r="B41" s="175">
        <f>B40+1</f>
        <v>5</v>
      </c>
      <c r="C41" s="282">
        <v>2</v>
      </c>
      <c r="D41" s="464"/>
      <c r="E41" s="801" t="s">
        <v>834</v>
      </c>
      <c r="F41" s="801" t="s">
        <v>189</v>
      </c>
      <c r="G41" s="844" t="s">
        <v>822</v>
      </c>
      <c r="H41" s="1015">
        <v>3256</v>
      </c>
      <c r="I41" s="808" t="s">
        <v>351</v>
      </c>
      <c r="J41" s="581"/>
      <c r="K41" s="799"/>
      <c r="L41" s="833">
        <v>1</v>
      </c>
      <c r="M41" s="831">
        <f>K41+L41</f>
        <v>1</v>
      </c>
      <c r="N41" s="833" t="s">
        <v>892</v>
      </c>
      <c r="O41" s="1196">
        <v>15313</v>
      </c>
      <c r="P41" s="1218">
        <f ca="1">YEARFRAC(TODAY(),O41)</f>
        <v>75.830555555555549</v>
      </c>
      <c r="Q41" s="1148">
        <v>53700</v>
      </c>
      <c r="R41" s="874"/>
      <c r="S41" s="875">
        <v>3000</v>
      </c>
      <c r="T41" s="877">
        <v>6000</v>
      </c>
      <c r="U41" s="877"/>
      <c r="V41" s="877"/>
      <c r="W41" s="875"/>
      <c r="X41" s="1026">
        <f>(Q41+R41+S41+T41+U41+V41+W41)*M41</f>
        <v>62700</v>
      </c>
      <c r="Y41" s="1512">
        <f>(T41+U41)*M41/(X41-M41*(T41+U41))</f>
        <v>0.10582010582010581</v>
      </c>
      <c r="Z41" s="1741">
        <f>M41*(1+Y41)</f>
        <v>1.1058201058201058</v>
      </c>
      <c r="AA41" s="1749">
        <f>SUM(AD41:AS41)</f>
        <v>0</v>
      </c>
      <c r="AB41" s="1810">
        <f t="shared" si="20"/>
        <v>0</v>
      </c>
      <c r="AC41" s="876"/>
      <c r="AD41" s="1525">
        <f t="shared" si="21"/>
        <v>0</v>
      </c>
      <c r="AE41" s="1525">
        <f t="shared" si="21"/>
        <v>0</v>
      </c>
      <c r="AF41" s="1525">
        <f t="shared" si="21"/>
        <v>0</v>
      </c>
      <c r="AG41" s="1525">
        <f t="shared" si="21"/>
        <v>0</v>
      </c>
      <c r="AH41" s="1525">
        <f t="shared" si="21"/>
        <v>0</v>
      </c>
      <c r="AI41" s="1525">
        <f t="shared" si="21"/>
        <v>0</v>
      </c>
      <c r="AJ41" s="1525">
        <f t="shared" si="21"/>
        <v>0</v>
      </c>
      <c r="AK41" s="1525">
        <f t="shared" si="21"/>
        <v>0</v>
      </c>
      <c r="AL41" s="1525">
        <f t="shared" si="21"/>
        <v>0</v>
      </c>
      <c r="AM41" s="1525">
        <f t="shared" si="21"/>
        <v>0</v>
      </c>
      <c r="AN41" s="1525">
        <f t="shared" si="21"/>
        <v>0</v>
      </c>
      <c r="AO41" s="1525">
        <f t="shared" si="21"/>
        <v>0</v>
      </c>
      <c r="AP41" s="1525">
        <f t="shared" si="21"/>
        <v>0</v>
      </c>
      <c r="AQ41" s="1525">
        <f t="shared" si="21"/>
        <v>0</v>
      </c>
      <c r="AR41" s="1525">
        <f t="shared" si="21"/>
        <v>0</v>
      </c>
      <c r="AS41" s="1525">
        <f t="shared" si="21"/>
        <v>0</v>
      </c>
      <c r="AU41" s="1525"/>
      <c r="AV41" s="1291"/>
      <c r="AW41" s="1292"/>
      <c r="AX41" s="1292"/>
      <c r="AY41" s="1292"/>
      <c r="AZ41" s="1292"/>
      <c r="BA41" s="1292"/>
      <c r="BB41" s="1292"/>
      <c r="BC41" s="1292"/>
      <c r="BD41" s="1292"/>
      <c r="BE41" s="1292"/>
      <c r="BF41" s="1292"/>
      <c r="BG41" s="1292"/>
      <c r="BH41" s="1292"/>
      <c r="BI41" s="1292"/>
      <c r="BJ41" s="1292"/>
      <c r="BK41" s="1292"/>
      <c r="BL41" s="1292"/>
      <c r="BM41" s="1292"/>
      <c r="BN41" s="1292"/>
      <c r="BO41" s="1292"/>
      <c r="BP41" s="1292"/>
      <c r="BQ41" s="1292"/>
      <c r="BR41" s="1292"/>
      <c r="BS41" s="1292"/>
      <c r="BT41" s="1670">
        <f t="shared" si="22"/>
        <v>0</v>
      </c>
      <c r="BW41" s="844" t="s">
        <v>822</v>
      </c>
    </row>
    <row r="42" spans="2:75" s="164" customFormat="1" ht="14" customHeight="1" x14ac:dyDescent="0.15">
      <c r="B42" s="1297">
        <f>SUBTOTAL(2,B36:B41)</f>
        <v>5</v>
      </c>
      <c r="C42" s="730" t="s">
        <v>139</v>
      </c>
      <c r="D42" s="586" t="s">
        <v>346</v>
      </c>
      <c r="E42" s="802" t="s">
        <v>1599</v>
      </c>
      <c r="F42" s="814"/>
      <c r="G42" s="863">
        <f>COUNTA(G37:G41)</f>
        <v>5</v>
      </c>
      <c r="H42" s="1343"/>
      <c r="I42" s="815"/>
      <c r="J42" s="582"/>
      <c r="K42" s="838">
        <f>SUM(K37:K41)</f>
        <v>0</v>
      </c>
      <c r="L42" s="838">
        <f>SUM(L37:L41)</f>
        <v>3.5</v>
      </c>
      <c r="M42" s="838">
        <f>SUM(M37:M41)</f>
        <v>3.5</v>
      </c>
      <c r="N42" s="840"/>
      <c r="O42" s="840"/>
      <c r="P42" s="1220"/>
      <c r="Q42" s="1149"/>
      <c r="R42" s="878"/>
      <c r="S42" s="879"/>
      <c r="T42" s="879"/>
      <c r="U42" s="879"/>
      <c r="V42" s="879"/>
      <c r="W42" s="879"/>
      <c r="X42" s="1276">
        <f>SUM(X37:X41)</f>
        <v>210777.5</v>
      </c>
      <c r="Y42" s="1510"/>
      <c r="Z42" s="1665">
        <f>SUM(Z37:Z41)</f>
        <v>3.9802577404078514</v>
      </c>
      <c r="AA42" s="1777">
        <f>SUM(AA37:AA41)</f>
        <v>0.2</v>
      </c>
      <c r="AB42" s="1813">
        <f t="shared" si="20"/>
        <v>5.0248002276231061</v>
      </c>
      <c r="AC42" s="1721"/>
      <c r="AD42" s="1295"/>
      <c r="AE42" s="1525"/>
      <c r="AF42" s="1525"/>
      <c r="AG42" s="1525"/>
      <c r="AH42" s="1525"/>
      <c r="AI42" s="1525"/>
      <c r="AJ42" s="1525"/>
      <c r="AK42" s="1525"/>
      <c r="AL42" s="1525"/>
      <c r="AM42" s="1525"/>
      <c r="AN42" s="1525"/>
      <c r="AO42" s="1525"/>
      <c r="AP42" s="1525"/>
      <c r="AQ42" s="1525"/>
      <c r="AR42" s="1525"/>
      <c r="AS42" s="1525"/>
      <c r="AU42" s="1525"/>
      <c r="AV42" s="1295"/>
      <c r="AW42" s="1525"/>
      <c r="AX42" s="1525"/>
      <c r="AY42" s="1525"/>
      <c r="AZ42" s="1525"/>
      <c r="BA42" s="1525"/>
      <c r="BB42" s="1525"/>
      <c r="BC42" s="1525"/>
      <c r="BD42" s="1525"/>
      <c r="BE42" s="1525"/>
      <c r="BF42" s="1525"/>
      <c r="BG42" s="1525"/>
      <c r="BH42" s="1525"/>
      <c r="BI42" s="1525"/>
      <c r="BJ42" s="1525"/>
      <c r="BK42" s="1525"/>
      <c r="BL42" s="1525"/>
      <c r="BM42" s="1525"/>
      <c r="BN42" s="1525"/>
      <c r="BO42" s="1525"/>
      <c r="BP42" s="1525"/>
      <c r="BQ42" s="1525"/>
      <c r="BR42" s="1525"/>
      <c r="BS42" s="1525"/>
      <c r="BT42" s="1670"/>
      <c r="BV42"/>
      <c r="BW42" s="839"/>
    </row>
    <row r="43" spans="2:75" s="164" customFormat="1" ht="12.75" customHeight="1" x14ac:dyDescent="0.15">
      <c r="B43" s="175"/>
      <c r="E43" s="798"/>
      <c r="F43" s="816"/>
      <c r="G43" s="823"/>
      <c r="H43" s="1345" t="s">
        <v>1508</v>
      </c>
      <c r="I43" s="817"/>
      <c r="J43" s="293"/>
      <c r="K43" s="845"/>
      <c r="L43" s="846"/>
      <c r="M43" s="846"/>
      <c r="N43" s="832"/>
      <c r="O43" s="1200"/>
      <c r="P43" s="550"/>
      <c r="Q43" s="1153"/>
      <c r="R43" s="877"/>
      <c r="S43" s="875"/>
      <c r="T43" s="875"/>
      <c r="U43" s="875"/>
      <c r="V43" s="875"/>
      <c r="W43" s="875"/>
      <c r="X43" s="1026"/>
      <c r="Y43" s="1513"/>
      <c r="Z43" s="1741"/>
      <c r="AA43" s="1749"/>
      <c r="AB43" s="1812"/>
      <c r="AC43" s="876"/>
      <c r="AD43" s="1295"/>
      <c r="AE43" s="1525"/>
      <c r="AF43" s="1525"/>
      <c r="AG43" s="1525"/>
      <c r="AH43" s="1525"/>
      <c r="AI43" s="1525"/>
      <c r="AJ43" s="1525"/>
      <c r="AK43" s="1525"/>
      <c r="AL43" s="1525"/>
      <c r="AM43" s="1525"/>
      <c r="AN43" s="1525"/>
      <c r="AO43" s="1525"/>
      <c r="AP43" s="1525"/>
      <c r="AQ43" s="1525"/>
      <c r="AR43" s="1525"/>
      <c r="AS43" s="1525"/>
      <c r="AU43" s="1525"/>
      <c r="AV43" s="1295"/>
      <c r="AW43" s="1525"/>
      <c r="AX43" s="1525"/>
      <c r="AY43" s="1525"/>
      <c r="AZ43" s="1525"/>
      <c r="BA43" s="1525"/>
      <c r="BB43" s="1525"/>
      <c r="BC43" s="1525"/>
      <c r="BD43" s="1525"/>
      <c r="BE43" s="1525"/>
      <c r="BF43" s="1525"/>
      <c r="BG43" s="1525"/>
      <c r="BH43" s="1525"/>
      <c r="BI43" s="1525"/>
      <c r="BJ43" s="1525"/>
      <c r="BK43" s="1525"/>
      <c r="BL43" s="1525"/>
      <c r="BM43" s="1525"/>
      <c r="BN43" s="1525"/>
      <c r="BO43" s="1525"/>
      <c r="BP43" s="1525"/>
      <c r="BQ43" s="1525"/>
      <c r="BR43" s="1525"/>
      <c r="BS43" s="1525"/>
      <c r="BT43" s="1670"/>
      <c r="BV43"/>
      <c r="BW43" s="823"/>
    </row>
    <row r="44" spans="2:75" s="164" customFormat="1" ht="12.75" customHeight="1" x14ac:dyDescent="0.2">
      <c r="B44" s="175"/>
      <c r="E44" s="798"/>
      <c r="F44" s="818" t="s">
        <v>823</v>
      </c>
      <c r="G44" s="854"/>
      <c r="H44" s="1345" t="s">
        <v>1508</v>
      </c>
      <c r="I44" s="819"/>
      <c r="J44" s="209"/>
      <c r="K44" s="853"/>
      <c r="L44" s="846"/>
      <c r="M44" s="846"/>
      <c r="N44" s="855"/>
      <c r="O44" s="1192"/>
      <c r="P44" s="550"/>
      <c r="Q44" s="1151"/>
      <c r="R44" s="876"/>
      <c r="S44" s="876"/>
      <c r="T44" s="876"/>
      <c r="U44" s="876"/>
      <c r="V44" s="876"/>
      <c r="W44" s="876"/>
      <c r="X44" s="1026"/>
      <c r="Y44" s="1513"/>
      <c r="Z44" s="1741"/>
      <c r="AA44" s="1749"/>
      <c r="AB44" s="1812"/>
      <c r="AC44" s="876"/>
      <c r="AD44" s="1295"/>
      <c r="AE44" s="1525"/>
      <c r="AF44" s="1525"/>
      <c r="AG44" s="1525"/>
      <c r="AH44" s="1525"/>
      <c r="AI44" s="1525"/>
      <c r="AJ44" s="1525"/>
      <c r="AK44" s="1525"/>
      <c r="AL44" s="1525"/>
      <c r="AM44" s="1525"/>
      <c r="AN44" s="1525"/>
      <c r="AO44" s="1525"/>
      <c r="AP44" s="1525"/>
      <c r="AQ44" s="1525"/>
      <c r="AR44" s="1525"/>
      <c r="AS44" s="1525"/>
      <c r="AU44" s="1525"/>
      <c r="AV44" s="1295"/>
      <c r="AW44" s="1525"/>
      <c r="AX44" s="1525"/>
      <c r="AY44" s="1525"/>
      <c r="AZ44" s="1525"/>
      <c r="BA44" s="1525"/>
      <c r="BB44" s="1525"/>
      <c r="BC44" s="1525"/>
      <c r="BD44" s="1525"/>
      <c r="BE44" s="1525"/>
      <c r="BF44" s="1525"/>
      <c r="BG44" s="1525"/>
      <c r="BH44" s="1525"/>
      <c r="BI44" s="1525"/>
      <c r="BJ44" s="1525"/>
      <c r="BK44" s="1525"/>
      <c r="BL44" s="1525"/>
      <c r="BM44" s="1525"/>
      <c r="BN44" s="1525"/>
      <c r="BO44" s="1525"/>
      <c r="BP44" s="1525"/>
      <c r="BQ44" s="1525"/>
      <c r="BR44" s="1525"/>
      <c r="BS44" s="1525"/>
      <c r="BT44" s="1670"/>
      <c r="BV44"/>
      <c r="BW44" s="854"/>
    </row>
    <row r="45" spans="2:75" s="164" customFormat="1" ht="12.75" customHeight="1" x14ac:dyDescent="0.2">
      <c r="B45" s="175"/>
      <c r="E45" s="798"/>
      <c r="F45" s="1567" t="s">
        <v>533</v>
      </c>
      <c r="G45" s="854"/>
      <c r="H45" s="1345" t="s">
        <v>1508</v>
      </c>
      <c r="I45" s="819"/>
      <c r="J45" s="209"/>
      <c r="K45" s="853"/>
      <c r="L45" s="846"/>
      <c r="M45" s="846"/>
      <c r="N45" s="855"/>
      <c r="O45" s="1192"/>
      <c r="P45" s="550"/>
      <c r="Q45" s="1151"/>
      <c r="R45" s="876"/>
      <c r="S45" s="876"/>
      <c r="T45" s="876"/>
      <c r="U45" s="876"/>
      <c r="V45" s="876"/>
      <c r="W45" s="876"/>
      <c r="X45" s="1026"/>
      <c r="Y45" s="1513"/>
      <c r="Z45" s="1741"/>
      <c r="AA45" s="1749"/>
      <c r="AB45" s="1812"/>
      <c r="AC45" s="876"/>
      <c r="AD45" s="1295"/>
      <c r="AE45" s="1525"/>
      <c r="AF45" s="1525"/>
      <c r="AG45" s="1525"/>
      <c r="AH45" s="1525"/>
      <c r="AI45" s="1525"/>
      <c r="AJ45" s="1525"/>
      <c r="AK45" s="1525"/>
      <c r="AL45" s="1525"/>
      <c r="AM45" s="1525"/>
      <c r="AN45" s="1525"/>
      <c r="AO45" s="1525"/>
      <c r="AP45" s="1525"/>
      <c r="AQ45" s="1525"/>
      <c r="AR45" s="1525"/>
      <c r="AS45" s="1525"/>
      <c r="AU45" s="1525"/>
      <c r="AV45" s="1295"/>
      <c r="AW45" s="1525"/>
      <c r="AX45" s="1525"/>
      <c r="AY45" s="1525"/>
      <c r="AZ45" s="1525"/>
      <c r="BA45" s="1525"/>
      <c r="BB45" s="1525"/>
      <c r="BC45" s="1525"/>
      <c r="BD45" s="1525"/>
      <c r="BE45" s="1525"/>
      <c r="BF45" s="1525"/>
      <c r="BG45" s="1525"/>
      <c r="BH45" s="1525"/>
      <c r="BI45" s="1525"/>
      <c r="BJ45" s="1525"/>
      <c r="BK45" s="1525"/>
      <c r="BL45" s="1525"/>
      <c r="BM45" s="1525"/>
      <c r="BN45" s="1525"/>
      <c r="BO45" s="1525"/>
      <c r="BP45" s="1525"/>
      <c r="BQ45" s="1525"/>
      <c r="BR45" s="1525"/>
      <c r="BS45" s="1525"/>
      <c r="BT45" s="1670"/>
      <c r="BV45"/>
      <c r="BW45" s="854"/>
    </row>
    <row r="46" spans="2:75" s="164" customFormat="1" ht="12.75" customHeight="1" x14ac:dyDescent="0.2">
      <c r="B46" s="175"/>
      <c r="E46" s="798"/>
      <c r="F46" s="820"/>
      <c r="G46" s="856"/>
      <c r="H46" s="1345" t="s">
        <v>1508</v>
      </c>
      <c r="I46" s="819"/>
      <c r="J46" s="209"/>
      <c r="K46" s="853"/>
      <c r="L46" s="846"/>
      <c r="M46" s="846"/>
      <c r="N46" s="855"/>
      <c r="O46" s="1192"/>
      <c r="P46" s="550"/>
      <c r="Q46" s="1151"/>
      <c r="R46" s="876"/>
      <c r="S46" s="876"/>
      <c r="T46" s="876"/>
      <c r="U46" s="876"/>
      <c r="V46" s="876"/>
      <c r="W46" s="876"/>
      <c r="X46" s="1026"/>
      <c r="Y46" s="1513"/>
      <c r="Z46" s="1741"/>
      <c r="AA46" s="1749"/>
      <c r="AB46" s="1812"/>
      <c r="AC46" s="876"/>
      <c r="AD46" s="1295"/>
      <c r="AE46" s="1525"/>
      <c r="AF46" s="1525"/>
      <c r="AG46" s="1525"/>
      <c r="AH46" s="1525"/>
      <c r="AI46" s="1525"/>
      <c r="AJ46" s="1525"/>
      <c r="AK46" s="1525"/>
      <c r="AL46" s="1525"/>
      <c r="AM46" s="1525"/>
      <c r="AN46" s="1525"/>
      <c r="AO46" s="1525"/>
      <c r="AP46" s="1525"/>
      <c r="AQ46" s="1525"/>
      <c r="AR46" s="1525"/>
      <c r="AS46" s="1525"/>
      <c r="AU46" s="1525"/>
      <c r="AV46" s="1295"/>
      <c r="AW46" s="1525"/>
      <c r="AX46" s="1525"/>
      <c r="AY46" s="1525"/>
      <c r="AZ46" s="1525"/>
      <c r="BA46" s="1525"/>
      <c r="BB46" s="1525"/>
      <c r="BC46" s="1525"/>
      <c r="BD46" s="1525"/>
      <c r="BE46" s="1525"/>
      <c r="BF46" s="1525"/>
      <c r="BG46" s="1525"/>
      <c r="BH46" s="1525"/>
      <c r="BI46" s="1525"/>
      <c r="BJ46" s="1525"/>
      <c r="BK46" s="1525"/>
      <c r="BL46" s="1525"/>
      <c r="BM46" s="1525"/>
      <c r="BN46" s="1525"/>
      <c r="BO46" s="1525"/>
      <c r="BP46" s="1525"/>
      <c r="BQ46" s="1525"/>
      <c r="BR46" s="1525"/>
      <c r="BS46" s="1525"/>
      <c r="BT46" s="1670"/>
      <c r="BV46"/>
      <c r="BW46" s="856"/>
    </row>
    <row r="47" spans="2:75" ht="12.75" customHeight="1" x14ac:dyDescent="0.2">
      <c r="B47" s="175">
        <f t="shared" ref="B47:B52" si="23">B46+1</f>
        <v>1</v>
      </c>
      <c r="C47" s="573">
        <v>27</v>
      </c>
      <c r="D47" s="574"/>
      <c r="E47" s="803" t="s">
        <v>140</v>
      </c>
      <c r="F47" s="803" t="s">
        <v>1324</v>
      </c>
      <c r="G47" s="859" t="s">
        <v>1325</v>
      </c>
      <c r="H47" s="858">
        <v>275391</v>
      </c>
      <c r="I47" s="821" t="s">
        <v>351</v>
      </c>
      <c r="J47" s="215"/>
      <c r="K47" s="857"/>
      <c r="L47" s="858">
        <v>1</v>
      </c>
      <c r="M47" s="858">
        <f>K47+L47</f>
        <v>1</v>
      </c>
      <c r="N47" s="857" t="s">
        <v>1326</v>
      </c>
      <c r="O47" s="1196">
        <v>21926</v>
      </c>
      <c r="P47" s="1218">
        <f t="shared" ref="P47:P55" ca="1" si="24">YEARFRAC(TODAY(),O47)</f>
        <v>57.725000000000001</v>
      </c>
      <c r="Q47" s="1148">
        <v>73400</v>
      </c>
      <c r="R47" s="885">
        <f>Q47*0.1</f>
        <v>7340</v>
      </c>
      <c r="S47" s="875">
        <v>3000</v>
      </c>
      <c r="T47" s="875">
        <v>43900</v>
      </c>
      <c r="U47" s="875"/>
      <c r="V47" s="875"/>
      <c r="W47" s="875"/>
      <c r="X47" s="1026">
        <f t="shared" ref="X47:X54" si="25">(Q47+R47+S47+T47+U47+V47+W47)*M47</f>
        <v>127640</v>
      </c>
      <c r="Y47" s="1512">
        <f>(T47+U47)*M47/(X47-M47*(T47+U47))</f>
        <v>0.52424170050155239</v>
      </c>
      <c r="Z47" s="1741">
        <f t="shared" ref="Z47:Z52" si="26">M47*(1+Y47)</f>
        <v>1.5242417005015523</v>
      </c>
      <c r="AA47" s="1749">
        <f t="shared" ref="AA47:AA52" si="27">SUM(AD47:AS47)</f>
        <v>0</v>
      </c>
      <c r="AB47" s="1810">
        <f>100*AA47/Z47</f>
        <v>0</v>
      </c>
      <c r="AC47" s="876"/>
      <c r="AD47" s="1525">
        <f t="shared" ref="AD47:AS48" si="28">SUMIF($AV$6:$BS$6,AD$5,$AV47:$BS47)</f>
        <v>0</v>
      </c>
      <c r="AE47" s="1525">
        <f t="shared" si="28"/>
        <v>0</v>
      </c>
      <c r="AF47" s="1525">
        <f t="shared" si="28"/>
        <v>0</v>
      </c>
      <c r="AG47" s="1525">
        <f t="shared" si="28"/>
        <v>0</v>
      </c>
      <c r="AH47" s="1525">
        <f t="shared" si="28"/>
        <v>0</v>
      </c>
      <c r="AI47" s="1525">
        <f t="shared" si="28"/>
        <v>0</v>
      </c>
      <c r="AJ47" s="1525">
        <f t="shared" si="28"/>
        <v>0</v>
      </c>
      <c r="AK47" s="1525">
        <f t="shared" si="28"/>
        <v>0</v>
      </c>
      <c r="AL47" s="1525">
        <f t="shared" si="28"/>
        <v>0</v>
      </c>
      <c r="AM47" s="1525">
        <f t="shared" si="28"/>
        <v>0</v>
      </c>
      <c r="AN47" s="1525">
        <f t="shared" si="28"/>
        <v>0</v>
      </c>
      <c r="AO47" s="1525">
        <f t="shared" si="28"/>
        <v>0</v>
      </c>
      <c r="AP47" s="1525">
        <f t="shared" si="28"/>
        <v>0</v>
      </c>
      <c r="AQ47" s="1525">
        <f t="shared" si="28"/>
        <v>0</v>
      </c>
      <c r="AR47" s="1525">
        <f t="shared" si="28"/>
        <v>0</v>
      </c>
      <c r="AS47" s="1525">
        <f t="shared" si="28"/>
        <v>0</v>
      </c>
      <c r="AU47" s="1525"/>
      <c r="AV47" s="1291"/>
      <c r="AW47" s="1292"/>
      <c r="AX47" s="1292"/>
      <c r="AY47" s="1292"/>
      <c r="AZ47" s="1292"/>
      <c r="BA47" s="1292"/>
      <c r="BB47" s="1292"/>
      <c r="BC47" s="1292"/>
      <c r="BD47" s="1292"/>
      <c r="BE47" s="1292"/>
      <c r="BF47" s="1292"/>
      <c r="BG47" s="1292"/>
      <c r="BH47" s="1292"/>
      <c r="BI47" s="1292"/>
      <c r="BJ47" s="1292"/>
      <c r="BK47" s="1292"/>
      <c r="BL47" s="1292"/>
      <c r="BM47" s="1292"/>
      <c r="BN47" s="1292"/>
      <c r="BO47" s="1292"/>
      <c r="BP47" s="1292"/>
      <c r="BQ47" s="1292"/>
      <c r="BR47" s="1292"/>
      <c r="BS47" s="1292"/>
      <c r="BT47" s="1670">
        <f>SUM(AV47:BS47)</f>
        <v>0</v>
      </c>
      <c r="BW47" s="859" t="s">
        <v>1325</v>
      </c>
    </row>
    <row r="48" spans="2:75" ht="12.75" customHeight="1" x14ac:dyDescent="0.2">
      <c r="B48" s="175">
        <f t="shared" si="23"/>
        <v>2</v>
      </c>
      <c r="C48" s="573"/>
      <c r="D48" s="574"/>
      <c r="E48" s="803" t="s">
        <v>140</v>
      </c>
      <c r="F48" s="803" t="s">
        <v>1471</v>
      </c>
      <c r="G48" s="859" t="s">
        <v>1761</v>
      </c>
      <c r="H48" s="858">
        <v>154815</v>
      </c>
      <c r="I48" s="821" t="s">
        <v>583</v>
      </c>
      <c r="J48" s="215"/>
      <c r="K48" s="857"/>
      <c r="L48" s="858">
        <v>0.5</v>
      </c>
      <c r="M48" s="858">
        <v>0.5</v>
      </c>
      <c r="N48" s="857" t="s">
        <v>1326</v>
      </c>
      <c r="O48" s="1196">
        <v>21877</v>
      </c>
      <c r="P48" s="1218">
        <f t="shared" ca="1" si="24"/>
        <v>57.858333333333334</v>
      </c>
      <c r="Q48" s="1148">
        <v>65000</v>
      </c>
      <c r="R48" s="885">
        <f>Q48*0.1</f>
        <v>6500</v>
      </c>
      <c r="S48" s="875"/>
      <c r="T48" s="875">
        <v>10000</v>
      </c>
      <c r="U48" s="875"/>
      <c r="V48" s="875"/>
      <c r="W48" s="875"/>
      <c r="X48" s="1026">
        <f t="shared" si="25"/>
        <v>40750</v>
      </c>
      <c r="Y48" s="1512">
        <f>(T48+U48)*M48/(X48-M48*(T48-U48))</f>
        <v>0.13986013986013987</v>
      </c>
      <c r="Z48" s="1741">
        <f t="shared" si="26"/>
        <v>0.56993006993006989</v>
      </c>
      <c r="AA48" s="1749">
        <f t="shared" si="27"/>
        <v>0</v>
      </c>
      <c r="AB48" s="1810">
        <f>100*AA48/Z48</f>
        <v>0</v>
      </c>
      <c r="AC48" s="876"/>
      <c r="AD48" s="1525">
        <f t="shared" si="28"/>
        <v>0</v>
      </c>
      <c r="AE48" s="1525">
        <f t="shared" si="28"/>
        <v>0</v>
      </c>
      <c r="AF48" s="1525">
        <f t="shared" si="28"/>
        <v>0</v>
      </c>
      <c r="AG48" s="1525">
        <f t="shared" si="28"/>
        <v>0</v>
      </c>
      <c r="AH48" s="1525">
        <f t="shared" si="28"/>
        <v>0</v>
      </c>
      <c r="AI48" s="1525">
        <f t="shared" si="28"/>
        <v>0</v>
      </c>
      <c r="AJ48" s="1525">
        <f t="shared" si="28"/>
        <v>0</v>
      </c>
      <c r="AK48" s="1525">
        <f t="shared" si="28"/>
        <v>0</v>
      </c>
      <c r="AL48" s="1525">
        <f t="shared" si="28"/>
        <v>0</v>
      </c>
      <c r="AM48" s="1525">
        <f t="shared" si="28"/>
        <v>0</v>
      </c>
      <c r="AN48" s="1525">
        <f t="shared" si="28"/>
        <v>0</v>
      </c>
      <c r="AO48" s="1525">
        <f t="shared" si="28"/>
        <v>0</v>
      </c>
      <c r="AP48" s="1525">
        <f t="shared" si="28"/>
        <v>0</v>
      </c>
      <c r="AQ48" s="1525">
        <f t="shared" si="28"/>
        <v>0</v>
      </c>
      <c r="AR48" s="1525">
        <f t="shared" si="28"/>
        <v>0</v>
      </c>
      <c r="AS48" s="1525">
        <f t="shared" si="28"/>
        <v>0</v>
      </c>
      <c r="AU48" s="1525"/>
      <c r="AV48" s="1291"/>
      <c r="AW48" s="1292"/>
      <c r="AX48" s="1292"/>
      <c r="AY48" s="1292"/>
      <c r="AZ48" s="1292"/>
      <c r="BA48" s="1292"/>
      <c r="BB48" s="1292"/>
      <c r="BC48" s="1292"/>
      <c r="BD48" s="1292"/>
      <c r="BE48" s="1292"/>
      <c r="BF48" s="1292"/>
      <c r="BG48" s="1292"/>
      <c r="BH48" s="1292"/>
      <c r="BI48" s="1292"/>
      <c r="BJ48" s="1292"/>
      <c r="BK48" s="1292"/>
      <c r="BL48" s="1292"/>
      <c r="BM48" s="1292"/>
      <c r="BN48" s="1292"/>
      <c r="BO48" s="1292"/>
      <c r="BP48" s="1292"/>
      <c r="BQ48" s="1292"/>
      <c r="BR48" s="1292"/>
      <c r="BS48" s="1292"/>
      <c r="BT48" s="1670"/>
      <c r="BW48" s="859" t="s">
        <v>1761</v>
      </c>
    </row>
    <row r="49" spans="2:75" ht="12.75" customHeight="1" x14ac:dyDescent="0.2">
      <c r="B49" s="175">
        <f t="shared" si="23"/>
        <v>3</v>
      </c>
      <c r="C49" s="573">
        <v>6</v>
      </c>
      <c r="D49" s="574"/>
      <c r="E49" s="803" t="s">
        <v>140</v>
      </c>
      <c r="F49" s="822" t="s">
        <v>167</v>
      </c>
      <c r="G49" s="856" t="s">
        <v>448</v>
      </c>
      <c r="H49" s="858">
        <v>251209</v>
      </c>
      <c r="I49" s="821" t="s">
        <v>351</v>
      </c>
      <c r="J49" s="215"/>
      <c r="K49" s="857"/>
      <c r="L49" s="858">
        <v>0.25</v>
      </c>
      <c r="M49" s="858">
        <v>0.25</v>
      </c>
      <c r="N49" s="855" t="s">
        <v>892</v>
      </c>
      <c r="O49" s="1196">
        <v>19217</v>
      </c>
      <c r="P49" s="1218">
        <f t="shared" ca="1" si="24"/>
        <v>65.141666666666666</v>
      </c>
      <c r="Q49" s="1148">
        <v>40300</v>
      </c>
      <c r="R49" s="885"/>
      <c r="S49" s="875"/>
      <c r="T49" s="875"/>
      <c r="U49" s="875"/>
      <c r="V49" s="875"/>
      <c r="W49" s="875"/>
      <c r="X49" s="1026">
        <f t="shared" si="25"/>
        <v>10075</v>
      </c>
      <c r="Y49" s="1512">
        <f>(T49+U49)*M49/(X49-M49*(T49+U49))</f>
        <v>0</v>
      </c>
      <c r="Z49" s="1741">
        <f t="shared" si="26"/>
        <v>0.25</v>
      </c>
      <c r="AA49" s="1749">
        <f t="shared" si="27"/>
        <v>0</v>
      </c>
      <c r="AB49" s="1810">
        <f t="shared" ref="AB49:AB52" si="29">100*AA49/Z49</f>
        <v>0</v>
      </c>
      <c r="AC49" s="876"/>
      <c r="AD49" s="1525">
        <f t="shared" ref="AD49:AS54" si="30">SUMIF($AV$6:$BS$6,AD$5,$AV49:$BS49)</f>
        <v>0</v>
      </c>
      <c r="AE49" s="1525">
        <f t="shared" si="30"/>
        <v>0</v>
      </c>
      <c r="AF49" s="1525">
        <f t="shared" si="30"/>
        <v>0</v>
      </c>
      <c r="AG49" s="1525">
        <f t="shared" si="30"/>
        <v>0</v>
      </c>
      <c r="AH49" s="1525">
        <f t="shared" si="30"/>
        <v>0</v>
      </c>
      <c r="AI49" s="1525">
        <f t="shared" si="30"/>
        <v>0</v>
      </c>
      <c r="AJ49" s="1525">
        <f t="shared" si="30"/>
        <v>0</v>
      </c>
      <c r="AK49" s="1525">
        <f t="shared" si="30"/>
        <v>0</v>
      </c>
      <c r="AL49" s="1525">
        <f t="shared" si="30"/>
        <v>0</v>
      </c>
      <c r="AM49" s="1525">
        <f t="shared" si="30"/>
        <v>0</v>
      </c>
      <c r="AN49" s="1525">
        <f t="shared" si="30"/>
        <v>0</v>
      </c>
      <c r="AO49" s="1525">
        <f t="shared" si="30"/>
        <v>0</v>
      </c>
      <c r="AP49" s="1525">
        <f t="shared" si="30"/>
        <v>0</v>
      </c>
      <c r="AQ49" s="1525">
        <f t="shared" si="30"/>
        <v>0</v>
      </c>
      <c r="AR49" s="1525">
        <f t="shared" si="30"/>
        <v>0</v>
      </c>
      <c r="AS49" s="1525">
        <f t="shared" si="30"/>
        <v>0</v>
      </c>
      <c r="AU49" s="1525"/>
      <c r="AV49" s="1291"/>
      <c r="AW49" s="1292"/>
      <c r="AX49" s="1292"/>
      <c r="AY49" s="1292"/>
      <c r="AZ49" s="1292"/>
      <c r="BA49" s="1292"/>
      <c r="BB49" s="1292"/>
      <c r="BC49" s="1292"/>
      <c r="BD49" s="1292"/>
      <c r="BE49" s="1292"/>
      <c r="BF49" s="1292"/>
      <c r="BG49" s="1292"/>
      <c r="BH49" s="1292"/>
      <c r="BI49" s="1292"/>
      <c r="BJ49" s="1292"/>
      <c r="BK49" s="1292"/>
      <c r="BL49" s="1292"/>
      <c r="BM49" s="1292"/>
      <c r="BN49" s="1292"/>
      <c r="BO49" s="1292"/>
      <c r="BP49" s="1292"/>
      <c r="BQ49" s="1292"/>
      <c r="BR49" s="1292"/>
      <c r="BS49" s="1292"/>
      <c r="BT49" s="1670">
        <f t="shared" ref="BT49:BT55" si="31">SUM(AV49:BS49)</f>
        <v>0</v>
      </c>
      <c r="BW49" s="856" t="s">
        <v>448</v>
      </c>
    </row>
    <row r="50" spans="2:75" ht="12.75" customHeight="1" x14ac:dyDescent="0.2">
      <c r="B50" s="175">
        <f t="shared" si="23"/>
        <v>4</v>
      </c>
      <c r="C50" s="573">
        <v>7</v>
      </c>
      <c r="D50" s="574"/>
      <c r="E50" s="803" t="s">
        <v>140</v>
      </c>
      <c r="F50" s="803" t="s">
        <v>1334</v>
      </c>
      <c r="G50" s="862" t="s">
        <v>625</v>
      </c>
      <c r="H50" s="861">
        <v>3166</v>
      </c>
      <c r="I50" s="821" t="s">
        <v>351</v>
      </c>
      <c r="J50" s="836"/>
      <c r="K50" s="861"/>
      <c r="L50" s="858">
        <v>1</v>
      </c>
      <c r="M50" s="836">
        <v>1</v>
      </c>
      <c r="N50" s="857" t="s">
        <v>892</v>
      </c>
      <c r="O50" s="1196">
        <v>18102</v>
      </c>
      <c r="P50" s="1218">
        <f t="shared" ca="1" si="24"/>
        <v>68.191666666666663</v>
      </c>
      <c r="Q50" s="1148">
        <v>43800</v>
      </c>
      <c r="R50" s="885"/>
      <c r="S50" s="875">
        <v>7000</v>
      </c>
      <c r="T50" s="875">
        <v>14300</v>
      </c>
      <c r="U50" s="875"/>
      <c r="V50" s="875"/>
      <c r="W50" s="875"/>
      <c r="X50" s="1026">
        <f t="shared" si="25"/>
        <v>65100</v>
      </c>
      <c r="Y50" s="1512">
        <f>(T50+U50)*M50/(X50-M50*(T50+U50))</f>
        <v>0.28149606299212598</v>
      </c>
      <c r="Z50" s="1741">
        <f t="shared" si="26"/>
        <v>1.2814960629921259</v>
      </c>
      <c r="AA50" s="1749">
        <f t="shared" si="27"/>
        <v>0</v>
      </c>
      <c r="AB50" s="1810">
        <f t="shared" si="29"/>
        <v>0</v>
      </c>
      <c r="AC50" s="876"/>
      <c r="AD50" s="1525">
        <f t="shared" si="30"/>
        <v>0</v>
      </c>
      <c r="AE50" s="1525">
        <f t="shared" si="30"/>
        <v>0</v>
      </c>
      <c r="AF50" s="1525">
        <f t="shared" si="30"/>
        <v>0</v>
      </c>
      <c r="AG50" s="1525">
        <f t="shared" si="30"/>
        <v>0</v>
      </c>
      <c r="AH50" s="1525">
        <f t="shared" si="30"/>
        <v>0</v>
      </c>
      <c r="AI50" s="1525">
        <f t="shared" si="30"/>
        <v>0</v>
      </c>
      <c r="AJ50" s="1525">
        <f t="shared" si="30"/>
        <v>0</v>
      </c>
      <c r="AK50" s="1525">
        <f t="shared" si="30"/>
        <v>0</v>
      </c>
      <c r="AL50" s="1525">
        <f t="shared" si="30"/>
        <v>0</v>
      </c>
      <c r="AM50" s="1525">
        <f t="shared" si="30"/>
        <v>0</v>
      </c>
      <c r="AN50" s="1525">
        <f t="shared" si="30"/>
        <v>0</v>
      </c>
      <c r="AO50" s="1525">
        <f t="shared" si="30"/>
        <v>0</v>
      </c>
      <c r="AP50" s="1525">
        <f t="shared" si="30"/>
        <v>0</v>
      </c>
      <c r="AQ50" s="1525">
        <f t="shared" si="30"/>
        <v>0</v>
      </c>
      <c r="AR50" s="1525">
        <f t="shared" si="30"/>
        <v>0</v>
      </c>
      <c r="AS50" s="1525">
        <f t="shared" si="30"/>
        <v>0</v>
      </c>
      <c r="AU50" s="1525"/>
      <c r="AV50" s="1291"/>
      <c r="AW50" s="1292"/>
      <c r="AX50" s="1292"/>
      <c r="AY50" s="1292"/>
      <c r="AZ50" s="1292"/>
      <c r="BA50" s="1292"/>
      <c r="BB50" s="1292"/>
      <c r="BC50" s="1292"/>
      <c r="BD50" s="1292"/>
      <c r="BE50" s="1292"/>
      <c r="BF50" s="1292"/>
      <c r="BG50" s="1292"/>
      <c r="BH50" s="1292"/>
      <c r="BI50" s="1292"/>
      <c r="BJ50" s="1292"/>
      <c r="BK50" s="1292"/>
      <c r="BL50" s="1292"/>
      <c r="BM50" s="1292"/>
      <c r="BN50" s="1292"/>
      <c r="BO50" s="1292"/>
      <c r="BP50" s="1292"/>
      <c r="BQ50" s="1292"/>
      <c r="BR50" s="1292"/>
      <c r="BS50" s="1292"/>
      <c r="BT50" s="1670">
        <f t="shared" si="31"/>
        <v>0</v>
      </c>
      <c r="BW50" s="862" t="s">
        <v>625</v>
      </c>
    </row>
    <row r="51" spans="2:75" ht="12.75" customHeight="1" x14ac:dyDescent="0.2">
      <c r="B51" s="175">
        <f t="shared" si="23"/>
        <v>5</v>
      </c>
      <c r="C51" s="581">
        <v>2</v>
      </c>
      <c r="D51" s="1302"/>
      <c r="E51" s="824" t="s">
        <v>140</v>
      </c>
      <c r="F51" s="1307" t="s">
        <v>189</v>
      </c>
      <c r="G51" s="913" t="s">
        <v>214</v>
      </c>
      <c r="H51" s="861">
        <v>7619</v>
      </c>
      <c r="I51" s="834" t="s">
        <v>351</v>
      </c>
      <c r="J51" s="181"/>
      <c r="K51" s="832"/>
      <c r="L51" s="893">
        <v>1</v>
      </c>
      <c r="M51" s="861">
        <f>K51+L51</f>
        <v>1</v>
      </c>
      <c r="N51" s="832" t="s">
        <v>892</v>
      </c>
      <c r="O51" s="1196">
        <v>14808</v>
      </c>
      <c r="P51" s="1262">
        <f t="shared" ca="1" si="24"/>
        <v>77.211111111111109</v>
      </c>
      <c r="Q51" s="1148">
        <v>53700</v>
      </c>
      <c r="R51" s="874"/>
      <c r="S51" s="876"/>
      <c r="T51" s="876">
        <v>47300</v>
      </c>
      <c r="U51" s="876"/>
      <c r="V51" s="876"/>
      <c r="W51" s="876"/>
      <c r="X51" s="1026">
        <f t="shared" si="25"/>
        <v>101000</v>
      </c>
      <c r="Y51" s="1512">
        <f>(T51+U51)*M51/(X51-M51*(T51+U51))</f>
        <v>0.88081936685288642</v>
      </c>
      <c r="Z51" s="1741">
        <f t="shared" si="26"/>
        <v>1.8808193668528865</v>
      </c>
      <c r="AA51" s="1749">
        <f t="shared" si="27"/>
        <v>0</v>
      </c>
      <c r="AB51" s="1810">
        <f t="shared" si="29"/>
        <v>0</v>
      </c>
      <c r="AC51" s="876"/>
      <c r="AD51" s="1525">
        <f t="shared" si="30"/>
        <v>0</v>
      </c>
      <c r="AE51" s="1525">
        <f t="shared" si="30"/>
        <v>0</v>
      </c>
      <c r="AF51" s="1525">
        <f t="shared" si="30"/>
        <v>0</v>
      </c>
      <c r="AG51" s="1525">
        <f t="shared" si="30"/>
        <v>0</v>
      </c>
      <c r="AH51" s="1525">
        <f t="shared" si="30"/>
        <v>0</v>
      </c>
      <c r="AI51" s="1525">
        <f t="shared" si="30"/>
        <v>0</v>
      </c>
      <c r="AJ51" s="1525">
        <f t="shared" si="30"/>
        <v>0</v>
      </c>
      <c r="AK51" s="1525">
        <f t="shared" si="30"/>
        <v>0</v>
      </c>
      <c r="AL51" s="1525">
        <f t="shared" si="30"/>
        <v>0</v>
      </c>
      <c r="AM51" s="1525">
        <f t="shared" si="30"/>
        <v>0</v>
      </c>
      <c r="AN51" s="1525">
        <f t="shared" si="30"/>
        <v>0</v>
      </c>
      <c r="AO51" s="1525">
        <f t="shared" si="30"/>
        <v>0</v>
      </c>
      <c r="AP51" s="1525">
        <f t="shared" si="30"/>
        <v>0</v>
      </c>
      <c r="AQ51" s="1525">
        <f t="shared" si="30"/>
        <v>0</v>
      </c>
      <c r="AR51" s="1525">
        <f t="shared" si="30"/>
        <v>0</v>
      </c>
      <c r="AS51" s="1525">
        <f t="shared" si="30"/>
        <v>0</v>
      </c>
      <c r="AU51" s="1525"/>
      <c r="AV51" s="1291"/>
      <c r="AW51" s="1292"/>
      <c r="AX51" s="1292"/>
      <c r="AY51" s="1292"/>
      <c r="AZ51" s="1292"/>
      <c r="BA51" s="1292"/>
      <c r="BB51" s="1292"/>
      <c r="BC51" s="1292"/>
      <c r="BD51" s="1292"/>
      <c r="BE51" s="1292"/>
      <c r="BF51" s="1292"/>
      <c r="BG51" s="1292"/>
      <c r="BH51" s="1292"/>
      <c r="BI51" s="1292"/>
      <c r="BJ51" s="1292"/>
      <c r="BK51" s="1292"/>
      <c r="BL51" s="1292"/>
      <c r="BM51" s="1292"/>
      <c r="BN51" s="1292"/>
      <c r="BO51" s="1292"/>
      <c r="BP51" s="1292"/>
      <c r="BQ51" s="1292"/>
      <c r="BR51" s="1292"/>
      <c r="BS51" s="1292"/>
      <c r="BT51" s="1670">
        <f t="shared" si="31"/>
        <v>0</v>
      </c>
      <c r="BW51" s="913" t="s">
        <v>214</v>
      </c>
    </row>
    <row r="52" spans="2:75" ht="12.75" customHeight="1" x14ac:dyDescent="0.2">
      <c r="B52" s="175">
        <f t="shared" si="23"/>
        <v>6</v>
      </c>
      <c r="C52" s="282">
        <v>2</v>
      </c>
      <c r="D52" s="464"/>
      <c r="E52" s="803" t="s">
        <v>140</v>
      </c>
      <c r="F52" s="822" t="s">
        <v>516</v>
      </c>
      <c r="G52" s="860" t="s">
        <v>1478</v>
      </c>
      <c r="H52" s="858">
        <v>7986</v>
      </c>
      <c r="I52" s="823" t="s">
        <v>351</v>
      </c>
      <c r="J52" s="248"/>
      <c r="K52" s="855"/>
      <c r="L52" s="841">
        <v>0.5</v>
      </c>
      <c r="M52" s="858">
        <f>K52+L52</f>
        <v>0.5</v>
      </c>
      <c r="N52" s="857" t="s">
        <v>892</v>
      </c>
      <c r="O52" s="1196">
        <v>10592</v>
      </c>
      <c r="P52" s="1218">
        <f t="shared" ca="1" si="24"/>
        <v>88.75555555555556</v>
      </c>
      <c r="Q52" s="1148">
        <v>33300</v>
      </c>
      <c r="R52" s="885"/>
      <c r="S52" s="875">
        <v>3000</v>
      </c>
      <c r="T52" s="875">
        <v>7000</v>
      </c>
      <c r="U52" s="875"/>
      <c r="V52" s="875"/>
      <c r="W52" s="875"/>
      <c r="X52" s="1026">
        <f t="shared" si="25"/>
        <v>21650</v>
      </c>
      <c r="Y52" s="1512">
        <f>(T52+U52)*M52/(X52-M52*(T52+U52))</f>
        <v>0.1928374655647383</v>
      </c>
      <c r="Z52" s="1741">
        <f t="shared" si="26"/>
        <v>0.59641873278236912</v>
      </c>
      <c r="AA52" s="1749">
        <f t="shared" si="27"/>
        <v>0</v>
      </c>
      <c r="AB52" s="1810">
        <f t="shared" si="29"/>
        <v>0</v>
      </c>
      <c r="AC52" s="876"/>
      <c r="AD52" s="1525">
        <f t="shared" si="30"/>
        <v>0</v>
      </c>
      <c r="AE52" s="1525">
        <f t="shared" si="30"/>
        <v>0</v>
      </c>
      <c r="AF52" s="1525">
        <f t="shared" si="30"/>
        <v>0</v>
      </c>
      <c r="AG52" s="1525">
        <f t="shared" si="30"/>
        <v>0</v>
      </c>
      <c r="AH52" s="1525">
        <f t="shared" si="30"/>
        <v>0</v>
      </c>
      <c r="AI52" s="1525">
        <f t="shared" si="30"/>
        <v>0</v>
      </c>
      <c r="AJ52" s="1525">
        <f t="shared" si="30"/>
        <v>0</v>
      </c>
      <c r="AK52" s="1525">
        <f t="shared" si="30"/>
        <v>0</v>
      </c>
      <c r="AL52" s="1525">
        <f t="shared" si="30"/>
        <v>0</v>
      </c>
      <c r="AM52" s="1525">
        <f t="shared" si="30"/>
        <v>0</v>
      </c>
      <c r="AN52" s="1525">
        <f t="shared" si="30"/>
        <v>0</v>
      </c>
      <c r="AO52" s="1525">
        <f t="shared" si="30"/>
        <v>0</v>
      </c>
      <c r="AP52" s="1525">
        <f t="shared" si="30"/>
        <v>0</v>
      </c>
      <c r="AQ52" s="1525">
        <f t="shared" si="30"/>
        <v>0</v>
      </c>
      <c r="AR52" s="1525">
        <f t="shared" si="30"/>
        <v>0</v>
      </c>
      <c r="AS52" s="1525">
        <f t="shared" si="30"/>
        <v>0</v>
      </c>
      <c r="AU52" s="1525"/>
      <c r="AV52" s="1291"/>
      <c r="AW52" s="1292"/>
      <c r="AX52" s="1292"/>
      <c r="AY52" s="1292"/>
      <c r="AZ52" s="1292"/>
      <c r="BA52" s="1292"/>
      <c r="BB52" s="1292"/>
      <c r="BC52" s="1292"/>
      <c r="BD52" s="1292"/>
      <c r="BE52" s="1292"/>
      <c r="BF52" s="1292"/>
      <c r="BG52" s="1292"/>
      <c r="BH52" s="1292"/>
      <c r="BI52" s="1292"/>
      <c r="BJ52" s="1292"/>
      <c r="BK52" s="1292"/>
      <c r="BL52" s="1292"/>
      <c r="BM52" s="1292"/>
      <c r="BN52" s="1292"/>
      <c r="BO52" s="1292"/>
      <c r="BP52" s="1292"/>
      <c r="BQ52" s="1292"/>
      <c r="BR52" s="1292"/>
      <c r="BS52" s="1292"/>
      <c r="BT52" s="1670">
        <f t="shared" si="31"/>
        <v>0</v>
      </c>
      <c r="BW52" s="860" t="s">
        <v>1478</v>
      </c>
    </row>
    <row r="53" spans="2:75" ht="12.75" customHeight="1" x14ac:dyDescent="0.2">
      <c r="B53" s="175">
        <f>B52+1</f>
        <v>7</v>
      </c>
      <c r="C53" s="219">
        <v>10</v>
      </c>
      <c r="D53" s="170"/>
      <c r="E53" s="803" t="s">
        <v>140</v>
      </c>
      <c r="F53" s="803" t="s">
        <v>1396</v>
      </c>
      <c r="G53" s="862" t="s">
        <v>2017</v>
      </c>
      <c r="H53" s="858">
        <v>170665</v>
      </c>
      <c r="I53" s="821" t="s">
        <v>351</v>
      </c>
      <c r="J53" s="174"/>
      <c r="K53" s="836"/>
      <c r="L53" s="861">
        <v>1</v>
      </c>
      <c r="M53" s="858">
        <v>1</v>
      </c>
      <c r="N53" s="857" t="s">
        <v>892</v>
      </c>
      <c r="O53" s="1196">
        <v>30444</v>
      </c>
      <c r="P53" s="1218">
        <f t="shared" ca="1" si="24"/>
        <v>34.4</v>
      </c>
      <c r="Q53" s="1148">
        <v>36000</v>
      </c>
      <c r="R53" s="885"/>
      <c r="S53" s="875">
        <v>3000</v>
      </c>
      <c r="T53" s="875">
        <v>10000</v>
      </c>
      <c r="U53" s="875"/>
      <c r="V53" s="875"/>
      <c r="W53" s="875"/>
      <c r="X53" s="1026">
        <f t="shared" si="25"/>
        <v>49000</v>
      </c>
      <c r="Y53" s="1512">
        <f t="shared" ref="Y53:Y54" si="32">(T53+U53)*M53/(X53-M53*(T53+U53))</f>
        <v>0.25641025641025639</v>
      </c>
      <c r="Z53" s="1741">
        <f t="shared" ref="Z53:Z54" si="33">M53*(1+Y53)</f>
        <v>1.2564102564102564</v>
      </c>
      <c r="AA53" s="1749">
        <f t="shared" ref="AA53:AA54" si="34">SUM(AD53:AS53)</f>
        <v>0</v>
      </c>
      <c r="AB53" s="1810">
        <f t="shared" ref="AB53:AB54" si="35">100*AA53/Z53</f>
        <v>0</v>
      </c>
      <c r="AC53" s="224"/>
      <c r="AD53" s="1525">
        <f t="shared" si="30"/>
        <v>0</v>
      </c>
      <c r="AE53" s="1525">
        <f t="shared" si="30"/>
        <v>0</v>
      </c>
      <c r="AF53" s="1525">
        <f t="shared" si="30"/>
        <v>0</v>
      </c>
      <c r="AG53" s="1525">
        <f t="shared" si="30"/>
        <v>0</v>
      </c>
      <c r="AH53" s="1525">
        <f t="shared" si="30"/>
        <v>0</v>
      </c>
      <c r="AI53" s="1525">
        <f t="shared" si="30"/>
        <v>0</v>
      </c>
      <c r="AJ53" s="1525">
        <f t="shared" si="30"/>
        <v>0</v>
      </c>
      <c r="AK53" s="1525">
        <f t="shared" si="30"/>
        <v>0</v>
      </c>
      <c r="AL53" s="1525">
        <f t="shared" si="30"/>
        <v>0</v>
      </c>
      <c r="AM53" s="1525">
        <f t="shared" si="30"/>
        <v>0</v>
      </c>
      <c r="AN53" s="1525">
        <f t="shared" si="30"/>
        <v>0</v>
      </c>
      <c r="AO53" s="1525">
        <f t="shared" si="30"/>
        <v>0</v>
      </c>
      <c r="AP53" s="1525">
        <f t="shared" si="30"/>
        <v>0</v>
      </c>
      <c r="AQ53" s="1525">
        <f t="shared" si="30"/>
        <v>0</v>
      </c>
      <c r="AR53" s="1525">
        <f t="shared" si="30"/>
        <v>0</v>
      </c>
      <c r="AS53" s="1525">
        <f t="shared" si="30"/>
        <v>0</v>
      </c>
      <c r="AU53" s="224"/>
      <c r="AV53" s="1292"/>
      <c r="AX53" s="1292"/>
      <c r="BT53" s="1671"/>
      <c r="BV53" s="224"/>
      <c r="BW53" s="224"/>
    </row>
    <row r="54" spans="2:75" ht="12.75" customHeight="1" x14ac:dyDescent="0.2">
      <c r="B54" s="175">
        <f>B53+1</f>
        <v>8</v>
      </c>
      <c r="C54" s="219">
        <v>10</v>
      </c>
      <c r="D54" s="170"/>
      <c r="E54" s="803" t="s">
        <v>140</v>
      </c>
      <c r="F54" s="803" t="s">
        <v>1396</v>
      </c>
      <c r="G54" s="862" t="s">
        <v>2018</v>
      </c>
      <c r="H54" s="858">
        <v>170438</v>
      </c>
      <c r="I54" s="821" t="s">
        <v>351</v>
      </c>
      <c r="J54" s="174"/>
      <c r="K54" s="836"/>
      <c r="L54" s="861">
        <v>0.1</v>
      </c>
      <c r="M54" s="858">
        <f>K54+L54</f>
        <v>0.1</v>
      </c>
      <c r="N54" s="857" t="s">
        <v>892</v>
      </c>
      <c r="O54" s="1196">
        <v>27451</v>
      </c>
      <c r="P54" s="1218">
        <f t="shared" ca="1" si="24"/>
        <v>42.6</v>
      </c>
      <c r="Q54" s="1148">
        <v>35000</v>
      </c>
      <c r="R54" s="885"/>
      <c r="S54" s="875"/>
      <c r="T54" s="875"/>
      <c r="U54" s="875"/>
      <c r="V54" s="875"/>
      <c r="W54" s="875"/>
      <c r="X54" s="1026">
        <f t="shared" si="25"/>
        <v>3500</v>
      </c>
      <c r="Y54" s="1512">
        <f t="shared" si="32"/>
        <v>0</v>
      </c>
      <c r="Z54" s="1741">
        <f t="shared" si="33"/>
        <v>0.1</v>
      </c>
      <c r="AA54" s="1749">
        <f t="shared" si="34"/>
        <v>0</v>
      </c>
      <c r="AB54" s="1810">
        <f t="shared" si="35"/>
        <v>0</v>
      </c>
      <c r="AC54" s="224"/>
      <c r="AD54" s="1525">
        <f t="shared" si="30"/>
        <v>0</v>
      </c>
      <c r="AE54" s="1525">
        <f t="shared" si="30"/>
        <v>0</v>
      </c>
      <c r="AF54" s="1525">
        <f t="shared" si="30"/>
        <v>0</v>
      </c>
      <c r="AG54" s="1525">
        <f t="shared" si="30"/>
        <v>0</v>
      </c>
      <c r="AH54" s="1525">
        <f t="shared" si="30"/>
        <v>0</v>
      </c>
      <c r="AI54" s="1525">
        <f t="shared" si="30"/>
        <v>0</v>
      </c>
      <c r="AJ54" s="1525">
        <f t="shared" si="30"/>
        <v>0</v>
      </c>
      <c r="AK54" s="1525">
        <f t="shared" si="30"/>
        <v>0</v>
      </c>
      <c r="AL54" s="1525">
        <f t="shared" si="30"/>
        <v>0</v>
      </c>
      <c r="AM54" s="1525">
        <f t="shared" si="30"/>
        <v>0</v>
      </c>
      <c r="AN54" s="1525">
        <f t="shared" si="30"/>
        <v>0</v>
      </c>
      <c r="AO54" s="1525">
        <f t="shared" si="30"/>
        <v>0</v>
      </c>
      <c r="AP54" s="1525">
        <f t="shared" si="30"/>
        <v>0</v>
      </c>
      <c r="AQ54" s="1525">
        <f t="shared" si="30"/>
        <v>0</v>
      </c>
      <c r="AR54" s="1525">
        <f t="shared" si="30"/>
        <v>0</v>
      </c>
      <c r="AS54" s="1525">
        <f t="shared" si="30"/>
        <v>0</v>
      </c>
      <c r="AU54" s="224"/>
      <c r="AV54" s="1292"/>
      <c r="AX54" s="1292"/>
      <c r="BT54" s="1671"/>
      <c r="BV54" s="224"/>
      <c r="BW54" s="224"/>
    </row>
    <row r="55" spans="2:75" ht="12.75" customHeight="1" x14ac:dyDescent="0.2">
      <c r="B55" s="175">
        <f>B54+1</f>
        <v>9</v>
      </c>
      <c r="C55" s="219">
        <v>9</v>
      </c>
      <c r="E55" s="803" t="s">
        <v>140</v>
      </c>
      <c r="F55" s="803" t="s">
        <v>1396</v>
      </c>
      <c r="G55" s="862" t="s">
        <v>142</v>
      </c>
      <c r="H55" s="858">
        <v>101433</v>
      </c>
      <c r="I55" s="821" t="s">
        <v>351</v>
      </c>
      <c r="J55" s="174"/>
      <c r="K55" s="836"/>
      <c r="L55" s="861">
        <v>1</v>
      </c>
      <c r="M55" s="858">
        <f>K55+L55</f>
        <v>1</v>
      </c>
      <c r="N55" s="857" t="s">
        <v>892</v>
      </c>
      <c r="O55" s="1196">
        <v>31395</v>
      </c>
      <c r="P55" s="1218">
        <f t="shared" ca="1" si="24"/>
        <v>31.8</v>
      </c>
      <c r="Q55" s="1148">
        <v>26050</v>
      </c>
      <c r="R55" s="885"/>
      <c r="S55" s="875"/>
      <c r="T55" s="875">
        <v>7000</v>
      </c>
      <c r="U55" s="875"/>
      <c r="V55" s="875"/>
      <c r="W55" s="875"/>
      <c r="X55" s="1026">
        <f>(Q55+R55+S55+T55+U55+V55+W55)*M55</f>
        <v>33050</v>
      </c>
      <c r="Y55" s="1512">
        <f>(T55+U55)*M55/(X55-M55*(T55+U55))</f>
        <v>0.2687140115163148</v>
      </c>
      <c r="Z55" s="1741">
        <f>M55*(1+Y55)</f>
        <v>1.2687140115163147</v>
      </c>
      <c r="AA55" s="1749">
        <f>SUM(AD55:AS55)</f>
        <v>0</v>
      </c>
      <c r="AB55" s="1810">
        <f>100*AA55/Z55</f>
        <v>0</v>
      </c>
      <c r="AC55" s="876"/>
      <c r="AD55" s="1525">
        <f t="shared" ref="AD55:AS55" si="36">SUMIF($AV$6:$BS$6,AD$5,$AV55:$BS55)</f>
        <v>0</v>
      </c>
      <c r="AE55" s="1525">
        <f t="shared" si="36"/>
        <v>0</v>
      </c>
      <c r="AF55" s="1525">
        <f t="shared" si="36"/>
        <v>0</v>
      </c>
      <c r="AG55" s="1525">
        <f t="shared" si="36"/>
        <v>0</v>
      </c>
      <c r="AH55" s="1525">
        <f t="shared" si="36"/>
        <v>0</v>
      </c>
      <c r="AI55" s="1525">
        <f t="shared" si="36"/>
        <v>0</v>
      </c>
      <c r="AJ55" s="1525">
        <f t="shared" si="36"/>
        <v>0</v>
      </c>
      <c r="AK55" s="1525">
        <f t="shared" si="36"/>
        <v>0</v>
      </c>
      <c r="AL55" s="1525">
        <f t="shared" si="36"/>
        <v>0</v>
      </c>
      <c r="AM55" s="1525">
        <f t="shared" si="36"/>
        <v>0</v>
      </c>
      <c r="AN55" s="1525">
        <f t="shared" si="36"/>
        <v>0</v>
      </c>
      <c r="AO55" s="1525">
        <f t="shared" si="36"/>
        <v>0</v>
      </c>
      <c r="AP55" s="1525">
        <f t="shared" si="36"/>
        <v>0</v>
      </c>
      <c r="AQ55" s="1525">
        <f t="shared" si="36"/>
        <v>0</v>
      </c>
      <c r="AR55" s="1525">
        <f t="shared" si="36"/>
        <v>0</v>
      </c>
      <c r="AS55" s="1525">
        <f t="shared" si="36"/>
        <v>0</v>
      </c>
      <c r="AU55" s="1525"/>
      <c r="AV55" s="1291"/>
      <c r="AW55" s="1292"/>
      <c r="AX55" s="1292"/>
      <c r="AY55" s="1292"/>
      <c r="AZ55" s="1292"/>
      <c r="BA55" s="1292"/>
      <c r="BB55" s="1292"/>
      <c r="BC55" s="1292"/>
      <c r="BD55" s="1292"/>
      <c r="BE55" s="1292"/>
      <c r="BF55" s="1292"/>
      <c r="BG55" s="1292"/>
      <c r="BH55" s="1292"/>
      <c r="BI55" s="1292"/>
      <c r="BJ55" s="1292"/>
      <c r="BK55" s="1292"/>
      <c r="BL55" s="1292"/>
      <c r="BM55" s="1292"/>
      <c r="BN55" s="1292"/>
      <c r="BO55" s="1292"/>
      <c r="BP55" s="1292"/>
      <c r="BQ55" s="1292"/>
      <c r="BR55" s="1292"/>
      <c r="BS55" s="1292"/>
      <c r="BT55" s="1670">
        <f t="shared" si="31"/>
        <v>0</v>
      </c>
      <c r="BW55" s="862" t="s">
        <v>142</v>
      </c>
    </row>
    <row r="56" spans="2:75" s="164" customFormat="1" ht="12.75" customHeight="1" x14ac:dyDescent="0.15">
      <c r="B56" s="175"/>
      <c r="C56" s="648" t="s">
        <v>344</v>
      </c>
      <c r="D56" s="649" t="s">
        <v>346</v>
      </c>
      <c r="E56" s="804" t="s">
        <v>141</v>
      </c>
      <c r="F56" s="802" t="s">
        <v>379</v>
      </c>
      <c r="G56" s="863">
        <f>COUNTA(G46:G55)</f>
        <v>9</v>
      </c>
      <c r="H56" s="1348" t="s">
        <v>1508</v>
      </c>
      <c r="I56" s="826"/>
      <c r="J56" s="371"/>
      <c r="K56" s="863">
        <f>SUM(K47:K55)</f>
        <v>0</v>
      </c>
      <c r="L56" s="863">
        <f>SUM(L47:L55)</f>
        <v>6.35</v>
      </c>
      <c r="M56" s="863">
        <f>SUM(M47:M55)</f>
        <v>6.35</v>
      </c>
      <c r="N56" s="840"/>
      <c r="O56" s="840"/>
      <c r="P56" s="1222"/>
      <c r="Q56" s="1154"/>
      <c r="R56" s="887"/>
      <c r="S56" s="880"/>
      <c r="T56" s="880"/>
      <c r="U56" s="880"/>
      <c r="V56" s="880"/>
      <c r="W56" s="880"/>
      <c r="X56" s="1276">
        <f>SUM(X47:X55)</f>
        <v>451765</v>
      </c>
      <c r="Y56" s="1511"/>
      <c r="Z56" s="1665">
        <f>SUM(Z47:Z55)</f>
        <v>8.7280302009855735</v>
      </c>
      <c r="AA56" s="1777">
        <f>SUM(AA47:AA55)</f>
        <v>0</v>
      </c>
      <c r="AB56" s="1813">
        <f t="shared" ref="AB56" si="37">100*AA56/Z56</f>
        <v>0</v>
      </c>
      <c r="AC56" s="1721"/>
      <c r="AD56" s="1291"/>
      <c r="AE56" s="1292"/>
      <c r="AF56" s="1525"/>
      <c r="AG56" s="1525"/>
      <c r="AH56" s="1525"/>
      <c r="AI56" s="1525"/>
      <c r="AJ56" s="1525"/>
      <c r="AK56" s="1525"/>
      <c r="AL56" s="1525"/>
      <c r="AM56" s="1525"/>
      <c r="AN56" s="1525"/>
      <c r="AO56" s="1525"/>
      <c r="AP56" s="1525"/>
      <c r="AQ56" s="1525"/>
      <c r="AR56" s="1525"/>
      <c r="AS56" s="1525"/>
      <c r="AU56" s="1525"/>
      <c r="AV56" s="1295"/>
      <c r="AW56" s="1525"/>
      <c r="AX56" s="1525"/>
      <c r="AY56" s="1525"/>
      <c r="AZ56" s="1525"/>
      <c r="BA56" s="1525"/>
      <c r="BB56" s="1525"/>
      <c r="BC56" s="1525"/>
      <c r="BD56" s="1525"/>
      <c r="BE56" s="1525"/>
      <c r="BF56" s="1525"/>
      <c r="BG56" s="1525"/>
      <c r="BH56" s="1525"/>
      <c r="BI56" s="1525"/>
      <c r="BJ56" s="1525"/>
      <c r="BK56" s="1525"/>
      <c r="BL56" s="1525"/>
      <c r="BM56" s="1525"/>
      <c r="BN56" s="1525"/>
      <c r="BO56" s="1525"/>
      <c r="BP56" s="1525"/>
      <c r="BQ56" s="1525"/>
      <c r="BR56" s="1525"/>
      <c r="BS56" s="1525"/>
      <c r="BT56" s="1670"/>
      <c r="BV56"/>
      <c r="BW56" s="864"/>
    </row>
    <row r="57" spans="2:75" s="164" customFormat="1" ht="12.5" customHeight="1" x14ac:dyDescent="0.15">
      <c r="B57" s="175"/>
      <c r="C57" s="732" t="s">
        <v>136</v>
      </c>
      <c r="D57" s="732"/>
      <c r="E57" s="805" t="s">
        <v>141</v>
      </c>
      <c r="F57" s="805" t="s">
        <v>893</v>
      </c>
      <c r="G57" s="867"/>
      <c r="H57" s="1349" t="s">
        <v>1508</v>
      </c>
      <c r="I57" s="827"/>
      <c r="J57" s="598"/>
      <c r="K57" s="865"/>
      <c r="L57" s="866"/>
      <c r="M57" s="866"/>
      <c r="N57" s="865"/>
      <c r="O57" s="865"/>
      <c r="P57" s="1223"/>
      <c r="Q57" s="1155"/>
      <c r="R57" s="888"/>
      <c r="S57" s="889"/>
      <c r="T57" s="889"/>
      <c r="U57" s="889"/>
      <c r="V57" s="889"/>
      <c r="W57" s="889"/>
      <c r="X57" s="1693">
        <v>187450</v>
      </c>
      <c r="Y57" s="1040"/>
      <c r="Z57" s="1335"/>
      <c r="AA57" s="1775"/>
      <c r="AB57" s="1812"/>
      <c r="AC57" s="1288"/>
      <c r="AD57" s="1295"/>
      <c r="AE57" s="1525"/>
      <c r="AF57" s="1525"/>
      <c r="AG57" s="1525"/>
      <c r="AH57" s="1525"/>
      <c r="AI57" s="1525"/>
      <c r="AJ57" s="1525"/>
      <c r="AK57" s="1525"/>
      <c r="AL57" s="1525"/>
      <c r="AM57" s="1525"/>
      <c r="AN57" s="1525"/>
      <c r="AO57" s="1525"/>
      <c r="AP57" s="1525"/>
      <c r="AQ57" s="1525"/>
      <c r="AR57" s="1525"/>
      <c r="AS57" s="1525"/>
      <c r="AU57" s="1525"/>
      <c r="AV57" s="1295"/>
      <c r="AW57" s="1525"/>
      <c r="AX57" s="1525"/>
      <c r="AY57" s="1525"/>
      <c r="AZ57" s="1525"/>
      <c r="BA57" s="1525"/>
      <c r="BB57" s="1525"/>
      <c r="BC57" s="1525"/>
      <c r="BD57" s="1525"/>
      <c r="BE57" s="1525"/>
      <c r="BF57" s="1525"/>
      <c r="BG57" s="1525"/>
      <c r="BH57" s="1525"/>
      <c r="BI57" s="1525"/>
      <c r="BJ57" s="1525"/>
      <c r="BK57" s="1525"/>
      <c r="BL57" s="1525"/>
      <c r="BM57" s="1525"/>
      <c r="BN57" s="1525"/>
      <c r="BO57" s="1525"/>
      <c r="BP57" s="1525"/>
      <c r="BQ57" s="1525"/>
      <c r="BR57" s="1525"/>
      <c r="BS57" s="1525"/>
      <c r="BT57" s="1670"/>
      <c r="BV57"/>
      <c r="BW57" s="867"/>
    </row>
    <row r="58" spans="2:75" s="164" customFormat="1" ht="0.75" customHeight="1" x14ac:dyDescent="0.2">
      <c r="B58" s="175"/>
      <c r="C58" s="780"/>
      <c r="D58" s="780"/>
      <c r="E58" s="806"/>
      <c r="F58" s="806" t="s">
        <v>884</v>
      </c>
      <c r="G58" s="870"/>
      <c r="H58" s="1350" t="s">
        <v>1508</v>
      </c>
      <c r="I58" s="828"/>
      <c r="J58" s="782"/>
      <c r="K58" s="868"/>
      <c r="L58" s="869"/>
      <c r="M58" s="869"/>
      <c r="N58" s="868"/>
      <c r="O58" s="1191"/>
      <c r="P58" s="1224"/>
      <c r="Q58" s="1155"/>
      <c r="R58" s="888"/>
      <c r="S58" s="889"/>
      <c r="T58" s="889"/>
      <c r="U58" s="889"/>
      <c r="V58" s="889"/>
      <c r="W58" s="889"/>
      <c r="X58" s="1694"/>
      <c r="Y58" s="1513"/>
      <c r="Z58" s="1335"/>
      <c r="AA58" s="1775"/>
      <c r="AB58" s="1812"/>
      <c r="AC58" s="876"/>
      <c r="AD58" s="1295"/>
      <c r="AE58" s="1525"/>
      <c r="AF58" s="1525"/>
      <c r="AG58" s="1525"/>
      <c r="AH58" s="1525"/>
      <c r="AI58" s="1525"/>
      <c r="AJ58" s="1525"/>
      <c r="AK58" s="1525"/>
      <c r="AL58" s="1525"/>
      <c r="AM58" s="1525"/>
      <c r="AN58" s="1525"/>
      <c r="AO58" s="1525"/>
      <c r="AP58" s="1525"/>
      <c r="AQ58" s="1525"/>
      <c r="AR58" s="1525"/>
      <c r="AS58" s="1525"/>
      <c r="AU58" s="1525"/>
      <c r="AV58" s="1295"/>
      <c r="AW58" s="1525"/>
      <c r="AX58" s="1525"/>
      <c r="AY58" s="1525"/>
      <c r="AZ58" s="1525"/>
      <c r="BA58" s="1525"/>
      <c r="BB58" s="1525"/>
      <c r="BC58" s="1525"/>
      <c r="BD58" s="1525"/>
      <c r="BE58" s="1525"/>
      <c r="BF58" s="1525"/>
      <c r="BG58" s="1525"/>
      <c r="BH58" s="1525"/>
      <c r="BI58" s="1525"/>
      <c r="BJ58" s="1525"/>
      <c r="BK58" s="1525"/>
      <c r="BL58" s="1525"/>
      <c r="BM58" s="1525"/>
      <c r="BN58" s="1525"/>
      <c r="BO58" s="1525"/>
      <c r="BP58" s="1525"/>
      <c r="BQ58" s="1525"/>
      <c r="BR58" s="1525"/>
      <c r="BS58" s="1525"/>
      <c r="BT58" s="1670"/>
      <c r="BV58"/>
      <c r="BW58" s="870"/>
    </row>
    <row r="59" spans="2:75" s="164" customFormat="1" ht="0.75" customHeight="1" x14ac:dyDescent="0.2">
      <c r="B59" s="175"/>
      <c r="C59" s="768"/>
      <c r="D59" s="768"/>
      <c r="E59" s="1106"/>
      <c r="F59" s="1106"/>
      <c r="G59" s="971"/>
      <c r="H59" s="1351" t="s">
        <v>1508</v>
      </c>
      <c r="I59" s="1089"/>
      <c r="J59" s="1099"/>
      <c r="K59" s="972"/>
      <c r="L59" s="892"/>
      <c r="M59" s="892"/>
      <c r="N59" s="972"/>
      <c r="O59" s="1191"/>
      <c r="P59" s="1225"/>
      <c r="Q59" s="1156"/>
      <c r="R59" s="1039"/>
      <c r="S59" s="1040"/>
      <c r="T59" s="1040"/>
      <c r="U59" s="1040"/>
      <c r="V59" s="1040"/>
      <c r="W59" s="1040"/>
      <c r="X59" s="1695"/>
      <c r="Y59" s="1513"/>
      <c r="Z59" s="1335"/>
      <c r="AA59" s="1775"/>
      <c r="AB59" s="1812"/>
      <c r="AC59" s="876"/>
      <c r="AD59" s="1295"/>
      <c r="AE59" s="1525"/>
      <c r="AF59" s="1525"/>
      <c r="AG59" s="1525"/>
      <c r="AH59" s="1525"/>
      <c r="AI59" s="1525"/>
      <c r="AJ59" s="1525"/>
      <c r="AK59" s="1525"/>
      <c r="AL59" s="1525"/>
      <c r="AM59" s="1525"/>
      <c r="AN59" s="1525"/>
      <c r="AO59" s="1525"/>
      <c r="AP59" s="1525"/>
      <c r="AQ59" s="1525"/>
      <c r="AR59" s="1525"/>
      <c r="AS59" s="1525"/>
      <c r="AU59" s="1525"/>
      <c r="AV59" s="1295"/>
      <c r="AW59" s="1525"/>
      <c r="AX59" s="1525"/>
      <c r="AY59" s="1525"/>
      <c r="AZ59" s="1525"/>
      <c r="BA59" s="1525"/>
      <c r="BB59" s="1525"/>
      <c r="BC59" s="1525"/>
      <c r="BD59" s="1525"/>
      <c r="BE59" s="1525"/>
      <c r="BF59" s="1525"/>
      <c r="BG59" s="1525"/>
      <c r="BH59" s="1525"/>
      <c r="BI59" s="1525"/>
      <c r="BJ59" s="1525"/>
      <c r="BK59" s="1525"/>
      <c r="BL59" s="1525"/>
      <c r="BM59" s="1525"/>
      <c r="BN59" s="1525"/>
      <c r="BO59" s="1525"/>
      <c r="BP59" s="1525"/>
      <c r="BQ59" s="1525"/>
      <c r="BR59" s="1525"/>
      <c r="BS59" s="1525"/>
      <c r="BT59" s="1670"/>
      <c r="BV59"/>
      <c r="BW59" s="971"/>
    </row>
    <row r="60" spans="2:75" s="164" customFormat="1" ht="18" customHeight="1" x14ac:dyDescent="0.2">
      <c r="B60" s="175"/>
      <c r="C60" s="768"/>
      <c r="D60" s="768"/>
      <c r="E60" s="1106"/>
      <c r="F60" s="1106"/>
      <c r="G60" s="971"/>
      <c r="H60" s="1351" t="s">
        <v>1508</v>
      </c>
      <c r="I60" s="1089"/>
      <c r="J60" s="1099"/>
      <c r="K60" s="972"/>
      <c r="L60" s="892"/>
      <c r="M60" s="892"/>
      <c r="N60" s="972"/>
      <c r="O60" s="1191"/>
      <c r="P60" s="1225"/>
      <c r="Q60" s="1156"/>
      <c r="R60" s="1039"/>
      <c r="S60" s="1040"/>
      <c r="T60" s="1040"/>
      <c r="U60" s="1040"/>
      <c r="V60" s="1040"/>
      <c r="W60" s="1040"/>
      <c r="X60" s="1695"/>
      <c r="Y60" s="1513"/>
      <c r="Z60" s="1335"/>
      <c r="AA60" s="1775"/>
      <c r="AB60" s="1812"/>
      <c r="AC60" s="876"/>
      <c r="AD60" s="1295"/>
      <c r="AE60" s="1525"/>
      <c r="AF60" s="1525"/>
      <c r="AG60" s="1525"/>
      <c r="AH60" s="1525"/>
      <c r="AI60" s="1525"/>
      <c r="AJ60" s="1525"/>
      <c r="AK60" s="1525"/>
      <c r="AL60" s="1525"/>
      <c r="AM60" s="1525"/>
      <c r="AN60" s="1525"/>
      <c r="AO60" s="1525"/>
      <c r="AP60" s="1525"/>
      <c r="AQ60" s="1525"/>
      <c r="AR60" s="1525"/>
      <c r="AS60" s="1525"/>
      <c r="AU60" s="1525"/>
      <c r="AV60" s="1295"/>
      <c r="AW60" s="1525"/>
      <c r="AX60" s="1525"/>
      <c r="AY60" s="1525"/>
      <c r="AZ60" s="1525"/>
      <c r="BA60" s="1525"/>
      <c r="BB60" s="1525"/>
      <c r="BC60" s="1525"/>
      <c r="BD60" s="1525"/>
      <c r="BE60" s="1525"/>
      <c r="BF60" s="1525"/>
      <c r="BG60" s="1525"/>
      <c r="BH60" s="1525"/>
      <c r="BI60" s="1525"/>
      <c r="BJ60" s="1525"/>
      <c r="BK60" s="1525"/>
      <c r="BL60" s="1525"/>
      <c r="BM60" s="1525"/>
      <c r="BN60" s="1525"/>
      <c r="BO60" s="1525"/>
      <c r="BP60" s="1525"/>
      <c r="BQ60" s="1525"/>
      <c r="BR60" s="1525"/>
      <c r="BS60" s="1525"/>
      <c r="BT60" s="1670"/>
      <c r="BV60"/>
      <c r="BW60" s="971"/>
    </row>
    <row r="61" spans="2:75" s="164" customFormat="1" ht="12.75" customHeight="1" x14ac:dyDescent="0.2">
      <c r="B61" s="175"/>
      <c r="C61" s="422"/>
      <c r="D61" s="422"/>
      <c r="E61" s="803"/>
      <c r="F61" s="824"/>
      <c r="G61" s="862"/>
      <c r="H61" s="1347" t="s">
        <v>1508</v>
      </c>
      <c r="I61" s="825"/>
      <c r="J61" s="174"/>
      <c r="K61" s="836"/>
      <c r="L61" s="861"/>
      <c r="M61" s="861"/>
      <c r="N61" s="836"/>
      <c r="O61" s="1192"/>
      <c r="P61" s="550"/>
      <c r="Q61" s="1151"/>
      <c r="R61" s="876"/>
      <c r="S61" s="876"/>
      <c r="T61" s="876"/>
      <c r="U61" s="876"/>
      <c r="V61" s="876"/>
      <c r="W61" s="876"/>
      <c r="X61" s="1026"/>
      <c r="Y61" s="1513"/>
      <c r="Z61" s="1335"/>
      <c r="AA61" s="1775"/>
      <c r="AB61" s="1812"/>
      <c r="AC61" s="876"/>
      <c r="AD61" s="1295"/>
      <c r="AE61" s="1525"/>
      <c r="AF61" s="1525"/>
      <c r="AG61" s="1525"/>
      <c r="AH61" s="1525"/>
      <c r="AI61" s="1525"/>
      <c r="AJ61" s="1525"/>
      <c r="AK61" s="1525"/>
      <c r="AL61" s="1525"/>
      <c r="AM61" s="1525"/>
      <c r="AN61" s="1525"/>
      <c r="AO61" s="1525"/>
      <c r="AP61" s="1525"/>
      <c r="AQ61" s="1525"/>
      <c r="AR61" s="1525"/>
      <c r="AS61" s="1525"/>
      <c r="AU61" s="1525"/>
      <c r="AV61" s="1295"/>
      <c r="AW61" s="1525"/>
      <c r="AX61" s="1525"/>
      <c r="AY61" s="1525"/>
      <c r="AZ61" s="1525"/>
      <c r="BA61" s="1525"/>
      <c r="BB61" s="1525"/>
      <c r="BC61" s="1525"/>
      <c r="BD61" s="1525"/>
      <c r="BE61" s="1525"/>
      <c r="BF61" s="1525"/>
      <c r="BG61" s="1525"/>
      <c r="BH61" s="1525"/>
      <c r="BI61" s="1525"/>
      <c r="BJ61" s="1525"/>
      <c r="BK61" s="1525"/>
      <c r="BL61" s="1525"/>
      <c r="BM61" s="1525"/>
      <c r="BN61" s="1525"/>
      <c r="BO61" s="1525"/>
      <c r="BP61" s="1525"/>
      <c r="BQ61" s="1525"/>
      <c r="BR61" s="1525"/>
      <c r="BS61" s="1525"/>
      <c r="BT61" s="1670"/>
      <c r="BV61"/>
      <c r="BW61" s="862"/>
    </row>
    <row r="62" spans="2:75" s="164" customFormat="1" ht="12.75" customHeight="1" x14ac:dyDescent="0.2">
      <c r="B62" s="175"/>
      <c r="C62" s="422"/>
      <c r="D62" s="422"/>
      <c r="E62" s="803"/>
      <c r="F62" s="1103" t="s">
        <v>1026</v>
      </c>
      <c r="G62" s="862"/>
      <c r="H62" s="1352" t="s">
        <v>1508</v>
      </c>
      <c r="I62" s="1102"/>
      <c r="J62" s="625"/>
      <c r="K62" s="861"/>
      <c r="L62" s="861"/>
      <c r="M62" s="862"/>
      <c r="N62" s="836"/>
      <c r="O62" s="1192"/>
      <c r="P62" s="550"/>
      <c r="Q62" s="1151"/>
      <c r="R62" s="876"/>
      <c r="S62" s="876"/>
      <c r="T62" s="876"/>
      <c r="U62" s="876"/>
      <c r="V62" s="876"/>
      <c r="W62" s="876"/>
      <c r="X62" s="1026"/>
      <c r="Y62" s="1513"/>
      <c r="Z62" s="1335"/>
      <c r="AA62" s="1775"/>
      <c r="AB62" s="1812"/>
      <c r="AC62" s="876"/>
      <c r="AD62" s="1295"/>
      <c r="AE62" s="1525"/>
      <c r="AF62" s="1525"/>
      <c r="AG62" s="1525"/>
      <c r="AH62" s="1525"/>
      <c r="AI62" s="1525"/>
      <c r="AJ62" s="1525"/>
      <c r="AK62" s="1525"/>
      <c r="AL62" s="1525"/>
      <c r="AM62" s="1525"/>
      <c r="AN62" s="1525"/>
      <c r="AO62" s="1525"/>
      <c r="AP62" s="1525"/>
      <c r="AQ62" s="1525"/>
      <c r="AR62" s="1525"/>
      <c r="AS62" s="1525"/>
      <c r="AU62" s="1525"/>
      <c r="AV62" s="1295"/>
      <c r="AW62" s="1525"/>
      <c r="AX62" s="1525"/>
      <c r="AY62" s="1525"/>
      <c r="AZ62" s="1525"/>
      <c r="BA62" s="1525"/>
      <c r="BB62" s="1525"/>
      <c r="BC62" s="1525"/>
      <c r="BD62" s="1525"/>
      <c r="BE62" s="1525"/>
      <c r="BF62" s="1525"/>
      <c r="BG62" s="1525"/>
      <c r="BH62" s="1525"/>
      <c r="BI62" s="1525"/>
      <c r="BJ62" s="1525"/>
      <c r="BK62" s="1525"/>
      <c r="BL62" s="1525"/>
      <c r="BM62" s="1525"/>
      <c r="BN62" s="1525"/>
      <c r="BO62" s="1525"/>
      <c r="BP62" s="1525"/>
      <c r="BQ62" s="1525"/>
      <c r="BR62" s="1525"/>
      <c r="BS62" s="1525"/>
      <c r="BT62" s="1670"/>
      <c r="BV62"/>
      <c r="BW62" s="862"/>
    </row>
    <row r="63" spans="2:75" s="164" customFormat="1" ht="12.75" customHeight="1" x14ac:dyDescent="0.2">
      <c r="B63" s="175"/>
      <c r="C63" s="422"/>
      <c r="D63" s="422"/>
      <c r="E63" s="803"/>
      <c r="F63" s="476"/>
      <c r="G63" s="862"/>
      <c r="H63" s="1352" t="s">
        <v>1508</v>
      </c>
      <c r="I63" s="1102"/>
      <c r="J63" s="625"/>
      <c r="K63" s="861"/>
      <c r="L63" s="861"/>
      <c r="M63" s="862"/>
      <c r="N63" s="836"/>
      <c r="O63" s="1192"/>
      <c r="P63" s="550"/>
      <c r="Q63" s="1151"/>
      <c r="R63" s="876"/>
      <c r="S63" s="876"/>
      <c r="T63" s="876"/>
      <c r="U63" s="876"/>
      <c r="V63" s="876"/>
      <c r="W63" s="876"/>
      <c r="X63" s="1026"/>
      <c r="Y63" s="1513"/>
      <c r="Z63" s="1335"/>
      <c r="AA63" s="1775"/>
      <c r="AB63" s="1812"/>
      <c r="AC63" s="876"/>
      <c r="AD63" s="1295"/>
      <c r="AE63" s="1525"/>
      <c r="AF63" s="1525"/>
      <c r="AG63" s="1525"/>
      <c r="AH63" s="1525"/>
      <c r="AI63" s="1525"/>
      <c r="AJ63" s="1525"/>
      <c r="AK63" s="1525"/>
      <c r="AL63" s="1525"/>
      <c r="AM63" s="1525"/>
      <c r="AN63" s="1525"/>
      <c r="AO63" s="1525"/>
      <c r="AP63" s="1525"/>
      <c r="AQ63" s="1525"/>
      <c r="AR63" s="1525"/>
      <c r="AS63" s="1525"/>
      <c r="AU63" s="1525"/>
      <c r="AV63" s="1295"/>
      <c r="AW63" s="1525"/>
      <c r="AX63" s="1525"/>
      <c r="AY63" s="1525"/>
      <c r="AZ63" s="1525"/>
      <c r="BA63" s="1525"/>
      <c r="BB63" s="1525"/>
      <c r="BC63" s="1525"/>
      <c r="BD63" s="1525"/>
      <c r="BE63" s="1525"/>
      <c r="BF63" s="1525"/>
      <c r="BG63" s="1525"/>
      <c r="BH63" s="1525"/>
      <c r="BI63" s="1525"/>
      <c r="BJ63" s="1525"/>
      <c r="BK63" s="1525"/>
      <c r="BL63" s="1525"/>
      <c r="BM63" s="1525"/>
      <c r="BN63" s="1525"/>
      <c r="BO63" s="1525"/>
      <c r="BP63" s="1525"/>
      <c r="BQ63" s="1525"/>
      <c r="BR63" s="1525"/>
      <c r="BS63" s="1525"/>
      <c r="BT63" s="1670"/>
      <c r="BV63"/>
      <c r="BW63" s="862"/>
    </row>
    <row r="64" spans="2:75" s="164" customFormat="1" ht="12.75" customHeight="1" x14ac:dyDescent="0.2">
      <c r="B64" s="175">
        <f>B63+1</f>
        <v>1</v>
      </c>
      <c r="C64" s="1100">
        <v>4</v>
      </c>
      <c r="D64" s="422"/>
      <c r="E64" s="1101" t="s">
        <v>1032</v>
      </c>
      <c r="F64" s="476" t="s">
        <v>629</v>
      </c>
      <c r="G64" s="862" t="s">
        <v>1027</v>
      </c>
      <c r="H64" s="858">
        <v>991570</v>
      </c>
      <c r="I64" s="1102" t="s">
        <v>351</v>
      </c>
      <c r="J64" s="174"/>
      <c r="K64" s="836"/>
      <c r="L64" s="861">
        <v>1</v>
      </c>
      <c r="M64" s="858">
        <f t="shared" ref="M64:M68" si="38">K64+L64</f>
        <v>1</v>
      </c>
      <c r="N64" s="836" t="s">
        <v>892</v>
      </c>
      <c r="O64" s="1196">
        <v>27644</v>
      </c>
      <c r="P64" s="1218">
        <f t="shared" ref="P64:P68" ca="1" si="39">YEARFRAC(TODAY(),O64)</f>
        <v>42.069444444444443</v>
      </c>
      <c r="Q64" s="1153">
        <v>78900</v>
      </c>
      <c r="R64" s="884"/>
      <c r="S64" s="876">
        <v>7000</v>
      </c>
      <c r="T64" s="876">
        <v>46000</v>
      </c>
      <c r="U64" s="876"/>
      <c r="V64" s="876"/>
      <c r="W64" s="876"/>
      <c r="X64" s="1026">
        <f>(Q64+R64+S64+T64+U64+V64+W64)*M64</f>
        <v>131900</v>
      </c>
      <c r="Y64" s="1512">
        <f>(T64+U64)*M64/(X64-M64*(T64+U64))</f>
        <v>0.53550640279394646</v>
      </c>
      <c r="Z64" s="1741">
        <f t="shared" ref="Z64:Z68" si="40">M64*(1+Y64)</f>
        <v>1.5355064027939465</v>
      </c>
      <c r="AA64" s="1749">
        <f>SUM(AD64:AS64)</f>
        <v>0</v>
      </c>
      <c r="AB64" s="1810">
        <f t="shared" ref="AB64:AB68" si="41">100*AA64/Z64</f>
        <v>0</v>
      </c>
      <c r="AC64" s="876"/>
      <c r="AD64" s="1525">
        <f t="shared" ref="AD64:AS68" si="42">SUMIF($AV$6:$BS$6,AD$5,$AV64:$BS64)</f>
        <v>0</v>
      </c>
      <c r="AE64" s="1525">
        <f t="shared" si="42"/>
        <v>0</v>
      </c>
      <c r="AF64" s="1525">
        <f t="shared" si="42"/>
        <v>0</v>
      </c>
      <c r="AG64" s="1525">
        <f t="shared" si="42"/>
        <v>0</v>
      </c>
      <c r="AH64" s="1525">
        <f t="shared" si="42"/>
        <v>0</v>
      </c>
      <c r="AI64" s="1525">
        <f t="shared" si="42"/>
        <v>0</v>
      </c>
      <c r="AJ64" s="1525">
        <f t="shared" si="42"/>
        <v>0</v>
      </c>
      <c r="AK64" s="1525">
        <f t="shared" si="42"/>
        <v>0</v>
      </c>
      <c r="AL64" s="1525">
        <f t="shared" si="42"/>
        <v>0</v>
      </c>
      <c r="AM64" s="1525">
        <f t="shared" si="42"/>
        <v>0</v>
      </c>
      <c r="AN64" s="1525">
        <f t="shared" si="42"/>
        <v>0</v>
      </c>
      <c r="AO64" s="1525">
        <f t="shared" si="42"/>
        <v>0</v>
      </c>
      <c r="AP64" s="1525">
        <f t="shared" si="42"/>
        <v>0</v>
      </c>
      <c r="AQ64" s="1525">
        <f t="shared" si="42"/>
        <v>0</v>
      </c>
      <c r="AR64" s="1525">
        <f t="shared" si="42"/>
        <v>0</v>
      </c>
      <c r="AS64" s="1525">
        <f t="shared" si="42"/>
        <v>0</v>
      </c>
      <c r="AU64" s="1525"/>
      <c r="AV64" s="1295"/>
      <c r="AW64" s="1525"/>
      <c r="AX64" s="1525"/>
      <c r="AY64" s="1525"/>
      <c r="AZ64" s="1525"/>
      <c r="BA64" s="1525"/>
      <c r="BB64" s="1525"/>
      <c r="BC64" s="1525"/>
      <c r="BD64" s="1525"/>
      <c r="BE64" s="1525"/>
      <c r="BF64" s="1525"/>
      <c r="BG64" s="1525"/>
      <c r="BH64" s="1525"/>
      <c r="BI64" s="1525"/>
      <c r="BJ64" s="1525"/>
      <c r="BK64" s="1525"/>
      <c r="BL64" s="1525"/>
      <c r="BM64" s="1525"/>
      <c r="BN64" s="1525"/>
      <c r="BO64" s="1525"/>
      <c r="BP64" s="1525"/>
      <c r="BQ64" s="1525"/>
      <c r="BR64" s="1525"/>
      <c r="BS64" s="1525"/>
      <c r="BT64" s="1670">
        <f t="shared" ref="BT64:BT68" si="43">SUM(AV64:BS64)</f>
        <v>0</v>
      </c>
      <c r="BV64"/>
      <c r="BW64" s="862" t="s">
        <v>1027</v>
      </c>
    </row>
    <row r="65" spans="2:75" s="164" customFormat="1" ht="12.75" customHeight="1" x14ac:dyDescent="0.2">
      <c r="B65" s="175">
        <f t="shared" ref="B65:B68" si="44">B64+1</f>
        <v>2</v>
      </c>
      <c r="C65" s="1100">
        <v>12</v>
      </c>
      <c r="D65" s="422"/>
      <c r="E65" s="1101" t="s">
        <v>1032</v>
      </c>
      <c r="F65" s="4" t="s">
        <v>1235</v>
      </c>
      <c r="G65" s="862" t="s">
        <v>221</v>
      </c>
      <c r="H65" s="858">
        <v>60812</v>
      </c>
      <c r="I65" s="197" t="s">
        <v>583</v>
      </c>
      <c r="J65" s="174"/>
      <c r="K65" s="836"/>
      <c r="L65" s="861">
        <v>1</v>
      </c>
      <c r="M65" s="858">
        <f t="shared" si="38"/>
        <v>1</v>
      </c>
      <c r="N65" s="836" t="s">
        <v>1326</v>
      </c>
      <c r="O65" s="1196">
        <v>23056</v>
      </c>
      <c r="P65" s="1218">
        <f t="shared" ca="1" si="39"/>
        <v>54.633333333333333</v>
      </c>
      <c r="Q65" s="1153">
        <v>33000</v>
      </c>
      <c r="R65" s="874">
        <f>Q65*0.1</f>
        <v>3300</v>
      </c>
      <c r="S65" s="876"/>
      <c r="T65" s="876"/>
      <c r="U65" s="876"/>
      <c r="V65" s="876"/>
      <c r="W65" s="876"/>
      <c r="X65" s="1026">
        <f>(Q65+R65+S65+T65+U65+V65+W65)*M65</f>
        <v>36300</v>
      </c>
      <c r="Y65" s="1512">
        <f>(T65+U65)*M65/(X65-M65*(T65+U65))</f>
        <v>0</v>
      </c>
      <c r="Z65" s="1741">
        <f t="shared" si="40"/>
        <v>1</v>
      </c>
      <c r="AA65" s="1749">
        <f>SUM(AD65:AS65)</f>
        <v>0</v>
      </c>
      <c r="AB65" s="1810">
        <f t="shared" si="41"/>
        <v>0</v>
      </c>
      <c r="AC65" s="876"/>
      <c r="AD65" s="1525">
        <f t="shared" si="42"/>
        <v>0</v>
      </c>
      <c r="AE65" s="1525">
        <f t="shared" si="42"/>
        <v>0</v>
      </c>
      <c r="AF65" s="1525">
        <f t="shared" si="42"/>
        <v>0</v>
      </c>
      <c r="AG65" s="1525">
        <f t="shared" si="42"/>
        <v>0</v>
      </c>
      <c r="AH65" s="1525">
        <f t="shared" si="42"/>
        <v>0</v>
      </c>
      <c r="AI65" s="1525">
        <f t="shared" si="42"/>
        <v>0</v>
      </c>
      <c r="AJ65" s="1525">
        <f t="shared" si="42"/>
        <v>0</v>
      </c>
      <c r="AK65" s="1525">
        <f t="shared" si="42"/>
        <v>0</v>
      </c>
      <c r="AL65" s="1525">
        <f t="shared" si="42"/>
        <v>0</v>
      </c>
      <c r="AM65" s="1525">
        <f t="shared" si="42"/>
        <v>0</v>
      </c>
      <c r="AN65" s="1525">
        <f t="shared" si="42"/>
        <v>0</v>
      </c>
      <c r="AO65" s="1525">
        <f t="shared" si="42"/>
        <v>0</v>
      </c>
      <c r="AP65" s="1525">
        <f t="shared" si="42"/>
        <v>0</v>
      </c>
      <c r="AQ65" s="1525">
        <f t="shared" si="42"/>
        <v>0</v>
      </c>
      <c r="AR65" s="1525">
        <f t="shared" si="42"/>
        <v>0</v>
      </c>
      <c r="AS65" s="1525">
        <f t="shared" si="42"/>
        <v>0</v>
      </c>
      <c r="AU65" s="1525"/>
      <c r="AV65" s="1295"/>
      <c r="AW65" s="1525"/>
      <c r="AX65" s="1525"/>
      <c r="AY65" s="1525"/>
      <c r="AZ65" s="1525"/>
      <c r="BA65" s="1525"/>
      <c r="BB65" s="1525"/>
      <c r="BC65" s="1525"/>
      <c r="BD65" s="1525"/>
      <c r="BE65" s="1525"/>
      <c r="BF65" s="1525"/>
      <c r="BG65" s="1525"/>
      <c r="BH65" s="1525"/>
      <c r="BI65" s="1525"/>
      <c r="BJ65" s="1525"/>
      <c r="BK65" s="1525"/>
      <c r="BL65" s="1525"/>
      <c r="BM65" s="1525"/>
      <c r="BN65" s="1525"/>
      <c r="BO65" s="1525"/>
      <c r="BP65" s="1525"/>
      <c r="BQ65" s="1525"/>
      <c r="BR65" s="1525"/>
      <c r="BS65" s="1525"/>
      <c r="BT65" s="1670">
        <f t="shared" si="43"/>
        <v>0</v>
      </c>
      <c r="BV65"/>
      <c r="BW65" s="862" t="s">
        <v>221</v>
      </c>
    </row>
    <row r="66" spans="2:75" s="164" customFormat="1" ht="12.75" customHeight="1" x14ac:dyDescent="0.2">
      <c r="B66" s="175">
        <f t="shared" si="44"/>
        <v>3</v>
      </c>
      <c r="C66" s="1100">
        <v>13</v>
      </c>
      <c r="D66" s="422"/>
      <c r="E66" s="1101" t="s">
        <v>1032</v>
      </c>
      <c r="F66" s="4" t="s">
        <v>1272</v>
      </c>
      <c r="G66" s="862" t="s">
        <v>1959</v>
      </c>
      <c r="H66" s="1412">
        <v>130002</v>
      </c>
      <c r="I66" s="197" t="s">
        <v>583</v>
      </c>
      <c r="J66" s="174"/>
      <c r="K66" s="836"/>
      <c r="L66" s="861">
        <v>1</v>
      </c>
      <c r="M66" s="861">
        <f t="shared" si="38"/>
        <v>1</v>
      </c>
      <c r="N66" s="836" t="s">
        <v>892</v>
      </c>
      <c r="O66" s="1196">
        <v>32728</v>
      </c>
      <c r="P66" s="1218">
        <f t="shared" ca="1" si="39"/>
        <v>28.15</v>
      </c>
      <c r="Q66" s="1153">
        <v>28200</v>
      </c>
      <c r="R66" s="884"/>
      <c r="S66" s="876"/>
      <c r="T66" s="876"/>
      <c r="U66" s="876"/>
      <c r="V66" s="876"/>
      <c r="W66" s="876"/>
      <c r="X66" s="1026">
        <f>(Q66+R66+S66+T66+U66+V66+W66)*M66</f>
        <v>28200</v>
      </c>
      <c r="Y66" s="1512">
        <f>(T66+U66)*M66/(X66-M66*(T66+U66))</f>
        <v>0</v>
      </c>
      <c r="Z66" s="1741">
        <f t="shared" si="40"/>
        <v>1</v>
      </c>
      <c r="AA66" s="1749">
        <f>SUM(AD66:AS66)</f>
        <v>0</v>
      </c>
      <c r="AB66" s="1810">
        <f t="shared" si="41"/>
        <v>0</v>
      </c>
      <c r="AC66" s="876"/>
      <c r="AD66" s="1525">
        <f t="shared" si="42"/>
        <v>0</v>
      </c>
      <c r="AE66" s="1525">
        <f t="shared" si="42"/>
        <v>0</v>
      </c>
      <c r="AF66" s="1525">
        <f t="shared" si="42"/>
        <v>0</v>
      </c>
      <c r="AG66" s="1525">
        <f t="shared" si="42"/>
        <v>0</v>
      </c>
      <c r="AH66" s="1525">
        <f t="shared" si="42"/>
        <v>0</v>
      </c>
      <c r="AI66" s="1525">
        <f t="shared" si="42"/>
        <v>0</v>
      </c>
      <c r="AJ66" s="1525">
        <f t="shared" si="42"/>
        <v>0</v>
      </c>
      <c r="AK66" s="1525">
        <f t="shared" si="42"/>
        <v>0</v>
      </c>
      <c r="AL66" s="1525">
        <f t="shared" si="42"/>
        <v>0</v>
      </c>
      <c r="AM66" s="1525">
        <f t="shared" si="42"/>
        <v>0</v>
      </c>
      <c r="AN66" s="1525">
        <f t="shared" si="42"/>
        <v>0</v>
      </c>
      <c r="AO66" s="1525">
        <f t="shared" si="42"/>
        <v>0</v>
      </c>
      <c r="AP66" s="1525">
        <f t="shared" si="42"/>
        <v>0</v>
      </c>
      <c r="AQ66" s="1525">
        <f t="shared" si="42"/>
        <v>0</v>
      </c>
      <c r="AR66" s="1525">
        <f t="shared" si="42"/>
        <v>0</v>
      </c>
      <c r="AS66" s="1525">
        <f t="shared" si="42"/>
        <v>0</v>
      </c>
      <c r="AU66" s="1525"/>
      <c r="AV66" s="1295"/>
      <c r="AW66" s="1525"/>
      <c r="AX66" s="1525"/>
      <c r="AY66" s="1525"/>
      <c r="AZ66" s="1525"/>
      <c r="BA66" s="1525"/>
      <c r="BB66" s="1525"/>
      <c r="BC66" s="1525"/>
      <c r="BD66" s="1525"/>
      <c r="BE66" s="1525"/>
      <c r="BF66" s="1525"/>
      <c r="BG66" s="1525"/>
      <c r="BH66" s="1525"/>
      <c r="BI66" s="1525"/>
      <c r="BJ66" s="1525"/>
      <c r="BK66" s="1525"/>
      <c r="BL66" s="1525"/>
      <c r="BM66" s="1525"/>
      <c r="BN66" s="1525"/>
      <c r="BO66" s="1525"/>
      <c r="BP66" s="1525"/>
      <c r="BQ66" s="1525"/>
      <c r="BR66" s="1525"/>
      <c r="BS66" s="1525"/>
      <c r="BT66" s="1670">
        <f t="shared" si="43"/>
        <v>0</v>
      </c>
      <c r="BV66"/>
      <c r="BW66" s="862" t="s">
        <v>1959</v>
      </c>
    </row>
    <row r="67" spans="2:75" s="164" customFormat="1" ht="12.75" customHeight="1" x14ac:dyDescent="0.2">
      <c r="B67" s="175">
        <f t="shared" si="44"/>
        <v>4</v>
      </c>
      <c r="C67" s="1100">
        <v>14</v>
      </c>
      <c r="D67" s="422"/>
      <c r="E67" s="1101" t="s">
        <v>1032</v>
      </c>
      <c r="F67" s="4" t="s">
        <v>626</v>
      </c>
      <c r="G67" s="862" t="s">
        <v>406</v>
      </c>
      <c r="H67" s="861">
        <v>123385</v>
      </c>
      <c r="I67" s="197" t="s">
        <v>583</v>
      </c>
      <c r="J67" s="174"/>
      <c r="K67" s="836"/>
      <c r="L67" s="861">
        <v>1</v>
      </c>
      <c r="M67" s="861">
        <f t="shared" si="38"/>
        <v>1</v>
      </c>
      <c r="N67" s="836" t="s">
        <v>892</v>
      </c>
      <c r="O67" s="1196">
        <v>30803</v>
      </c>
      <c r="P67" s="1218">
        <f t="shared" ca="1" si="39"/>
        <v>33.419444444444444</v>
      </c>
      <c r="Q67" s="1153">
        <v>26000</v>
      </c>
      <c r="R67" s="884"/>
      <c r="S67" s="876"/>
      <c r="T67" s="876"/>
      <c r="U67" s="876"/>
      <c r="V67" s="876"/>
      <c r="W67" s="876"/>
      <c r="X67" s="1026">
        <f>(Q67+R67+S67+T67+U67+V67+W67)*M67</f>
        <v>26000</v>
      </c>
      <c r="Y67" s="1512">
        <f>(T67+U67)*M67/(X67-M67*(T67+U67))</f>
        <v>0</v>
      </c>
      <c r="Z67" s="1741">
        <f t="shared" si="40"/>
        <v>1</v>
      </c>
      <c r="AA67" s="1749">
        <f>SUM(AD67:AS67)</f>
        <v>0</v>
      </c>
      <c r="AB67" s="1810">
        <f t="shared" si="41"/>
        <v>0</v>
      </c>
      <c r="AC67" s="876"/>
      <c r="AD67" s="1525">
        <f t="shared" si="42"/>
        <v>0</v>
      </c>
      <c r="AE67" s="1525">
        <f t="shared" si="42"/>
        <v>0</v>
      </c>
      <c r="AF67" s="1525">
        <f t="shared" si="42"/>
        <v>0</v>
      </c>
      <c r="AG67" s="1525">
        <f t="shared" si="42"/>
        <v>0</v>
      </c>
      <c r="AH67" s="1525">
        <f t="shared" si="42"/>
        <v>0</v>
      </c>
      <c r="AI67" s="1525">
        <f t="shared" si="42"/>
        <v>0</v>
      </c>
      <c r="AJ67" s="1525">
        <f t="shared" si="42"/>
        <v>0</v>
      </c>
      <c r="AK67" s="1525">
        <f t="shared" si="42"/>
        <v>0</v>
      </c>
      <c r="AL67" s="1525">
        <f t="shared" si="42"/>
        <v>0</v>
      </c>
      <c r="AM67" s="1525">
        <f t="shared" si="42"/>
        <v>0</v>
      </c>
      <c r="AN67" s="1525">
        <f t="shared" si="42"/>
        <v>0</v>
      </c>
      <c r="AO67" s="1525">
        <f t="shared" si="42"/>
        <v>0</v>
      </c>
      <c r="AP67" s="1525">
        <f t="shared" si="42"/>
        <v>0</v>
      </c>
      <c r="AQ67" s="1525">
        <f t="shared" si="42"/>
        <v>0</v>
      </c>
      <c r="AR67" s="1525">
        <f t="shared" si="42"/>
        <v>0</v>
      </c>
      <c r="AS67" s="1525">
        <f t="shared" si="42"/>
        <v>0</v>
      </c>
      <c r="AU67" s="1525"/>
      <c r="AV67" s="1295"/>
      <c r="AW67" s="1525"/>
      <c r="AX67" s="1525"/>
      <c r="AY67" s="1525"/>
      <c r="AZ67" s="1525"/>
      <c r="BA67" s="1525"/>
      <c r="BB67" s="1525"/>
      <c r="BC67" s="1525"/>
      <c r="BD67" s="1525"/>
      <c r="BE67" s="1525"/>
      <c r="BF67" s="1525"/>
      <c r="BG67" s="1525"/>
      <c r="BH67" s="1525"/>
      <c r="BI67" s="1525"/>
      <c r="BJ67" s="1525"/>
      <c r="BK67" s="1525"/>
      <c r="BL67" s="1525"/>
      <c r="BM67" s="1525"/>
      <c r="BN67" s="1525"/>
      <c r="BO67" s="1525"/>
      <c r="BP67" s="1525"/>
      <c r="BQ67" s="1525"/>
      <c r="BR67" s="1525"/>
      <c r="BS67" s="1525"/>
      <c r="BT67" s="1670">
        <f t="shared" si="43"/>
        <v>0</v>
      </c>
      <c r="BV67"/>
      <c r="BW67" s="862" t="s">
        <v>406</v>
      </c>
    </row>
    <row r="68" spans="2:75" s="164" customFormat="1" ht="12.75" customHeight="1" x14ac:dyDescent="0.2">
      <c r="B68" s="175">
        <f t="shared" si="44"/>
        <v>5</v>
      </c>
      <c r="C68" s="1100">
        <v>18</v>
      </c>
      <c r="D68" s="422"/>
      <c r="E68" s="1101" t="s">
        <v>1032</v>
      </c>
      <c r="F68" s="4" t="s">
        <v>584</v>
      </c>
      <c r="G68" s="862" t="s">
        <v>1721</v>
      </c>
      <c r="H68" s="861">
        <v>150547</v>
      </c>
      <c r="I68" s="197" t="s">
        <v>583</v>
      </c>
      <c r="J68" s="174"/>
      <c r="K68" s="836"/>
      <c r="L68" s="861">
        <v>1</v>
      </c>
      <c r="M68" s="861">
        <f t="shared" si="38"/>
        <v>1</v>
      </c>
      <c r="N68" s="836" t="s">
        <v>892</v>
      </c>
      <c r="O68" s="1196">
        <v>30960</v>
      </c>
      <c r="P68" s="1218">
        <f t="shared" ca="1" si="39"/>
        <v>32.991666666666667</v>
      </c>
      <c r="Q68" s="1153">
        <v>25700</v>
      </c>
      <c r="R68" s="884"/>
      <c r="S68" s="876"/>
      <c r="T68" s="876"/>
      <c r="U68" s="876"/>
      <c r="V68" s="876"/>
      <c r="W68" s="876"/>
      <c r="X68" s="1026">
        <f>(Q68+R68+S68+T68+U68+V68+W68)*M68</f>
        <v>25700</v>
      </c>
      <c r="Y68" s="1512">
        <f>(T68+U68)*M68/(X68-M68*(T68+U68))</f>
        <v>0</v>
      </c>
      <c r="Z68" s="1741">
        <f t="shared" si="40"/>
        <v>1</v>
      </c>
      <c r="AA68" s="1749">
        <f>SUM(AD68:AS68)</f>
        <v>0</v>
      </c>
      <c r="AB68" s="1810">
        <f t="shared" si="41"/>
        <v>0</v>
      </c>
      <c r="AC68" s="876"/>
      <c r="AD68" s="1525">
        <f t="shared" si="42"/>
        <v>0</v>
      </c>
      <c r="AE68" s="1525">
        <f t="shared" si="42"/>
        <v>0</v>
      </c>
      <c r="AF68" s="1525">
        <f t="shared" si="42"/>
        <v>0</v>
      </c>
      <c r="AG68" s="1525">
        <f t="shared" si="42"/>
        <v>0</v>
      </c>
      <c r="AH68" s="1525">
        <f t="shared" si="42"/>
        <v>0</v>
      </c>
      <c r="AI68" s="1525">
        <f t="shared" si="42"/>
        <v>0</v>
      </c>
      <c r="AJ68" s="1525">
        <f t="shared" si="42"/>
        <v>0</v>
      </c>
      <c r="AK68" s="1525">
        <f t="shared" si="42"/>
        <v>0</v>
      </c>
      <c r="AL68" s="1525">
        <f t="shared" si="42"/>
        <v>0</v>
      </c>
      <c r="AM68" s="1525">
        <f t="shared" si="42"/>
        <v>0</v>
      </c>
      <c r="AN68" s="1525">
        <f t="shared" si="42"/>
        <v>0</v>
      </c>
      <c r="AO68" s="1525">
        <f t="shared" si="42"/>
        <v>0</v>
      </c>
      <c r="AP68" s="1525">
        <f t="shared" si="42"/>
        <v>0</v>
      </c>
      <c r="AQ68" s="1525">
        <f t="shared" si="42"/>
        <v>0</v>
      </c>
      <c r="AR68" s="1525">
        <f t="shared" si="42"/>
        <v>0</v>
      </c>
      <c r="AS68" s="1525">
        <f t="shared" si="42"/>
        <v>0</v>
      </c>
      <c r="AU68" s="1525"/>
      <c r="AV68" s="1295"/>
      <c r="AW68" s="1525"/>
      <c r="AX68" s="1525"/>
      <c r="AY68" s="1525"/>
      <c r="AZ68" s="1525"/>
      <c r="BA68" s="1525"/>
      <c r="BB68" s="1525"/>
      <c r="BC68" s="1525"/>
      <c r="BD68" s="1525"/>
      <c r="BE68" s="1525"/>
      <c r="BF68" s="1525"/>
      <c r="BG68" s="1525"/>
      <c r="BH68" s="1525"/>
      <c r="BI68" s="1525"/>
      <c r="BJ68" s="1525"/>
      <c r="BK68" s="1525"/>
      <c r="BL68" s="1525"/>
      <c r="BM68" s="1525"/>
      <c r="BN68" s="1525"/>
      <c r="BO68" s="1525"/>
      <c r="BP68" s="1525"/>
      <c r="BQ68" s="1525"/>
      <c r="BR68" s="1525"/>
      <c r="BS68" s="1525"/>
      <c r="BT68" s="1670">
        <f t="shared" si="43"/>
        <v>0</v>
      </c>
      <c r="BV68"/>
      <c r="BW68" s="862" t="s">
        <v>1721</v>
      </c>
    </row>
    <row r="69" spans="2:75" s="164" customFormat="1" ht="12.75" customHeight="1" x14ac:dyDescent="0.2">
      <c r="B69" s="175"/>
      <c r="C69" s="219" t="s">
        <v>1120</v>
      </c>
      <c r="D69" s="422"/>
      <c r="E69" s="1101"/>
      <c r="F69" s="476" t="s">
        <v>1038</v>
      </c>
      <c r="G69" s="862"/>
      <c r="H69" s="1351" t="s">
        <v>1508</v>
      </c>
      <c r="I69" s="1102"/>
      <c r="J69" s="174"/>
      <c r="K69" s="836"/>
      <c r="L69" s="892">
        <f>SUM(L64:L68)</f>
        <v>5</v>
      </c>
      <c r="M69" s="892">
        <f>SUM(M64:M68)</f>
        <v>5</v>
      </c>
      <c r="N69" s="836"/>
      <c r="O69" s="1196" t="s">
        <v>1508</v>
      </c>
      <c r="P69" s="550"/>
      <c r="Q69" s="1153"/>
      <c r="R69" s="884"/>
      <c r="S69" s="876"/>
      <c r="T69" s="876"/>
      <c r="U69" s="876"/>
      <c r="V69" s="876"/>
      <c r="W69" s="876"/>
      <c r="X69" s="1026"/>
      <c r="Y69" s="1335"/>
      <c r="Z69" s="1335"/>
      <c r="AA69" s="1749"/>
      <c r="AB69" s="1812"/>
      <c r="AC69" s="876"/>
      <c r="AD69" s="1295"/>
      <c r="AE69" s="1525"/>
      <c r="AF69" s="1525"/>
      <c r="AG69" s="1525"/>
      <c r="AH69" s="1525"/>
      <c r="AI69" s="1525"/>
      <c r="AJ69" s="1525"/>
      <c r="AK69" s="1525"/>
      <c r="AL69" s="1525"/>
      <c r="AM69" s="1525"/>
      <c r="AN69" s="1525"/>
      <c r="AO69" s="1525"/>
      <c r="AP69" s="1525"/>
      <c r="AQ69" s="1525"/>
      <c r="AR69" s="1525"/>
      <c r="AS69" s="1525"/>
      <c r="AU69" s="1525"/>
      <c r="AV69" s="1295"/>
      <c r="AW69" s="1525"/>
      <c r="AX69" s="1525"/>
      <c r="AY69" s="1525"/>
      <c r="AZ69" s="1525"/>
      <c r="BA69" s="1525"/>
      <c r="BB69" s="1525"/>
      <c r="BC69" s="1525"/>
      <c r="BD69" s="1525"/>
      <c r="BE69" s="1525"/>
      <c r="BF69" s="1525"/>
      <c r="BG69" s="1525"/>
      <c r="BH69" s="1525"/>
      <c r="BI69" s="1525"/>
      <c r="BJ69" s="1525"/>
      <c r="BK69" s="1525"/>
      <c r="BL69" s="1525"/>
      <c r="BM69" s="1525"/>
      <c r="BN69" s="1525"/>
      <c r="BO69" s="1525"/>
      <c r="BP69" s="1525"/>
      <c r="BQ69" s="1525"/>
      <c r="BR69" s="1525"/>
      <c r="BS69" s="1525"/>
      <c r="BT69" s="1670"/>
      <c r="BV69"/>
      <c r="BW69" s="862"/>
    </row>
    <row r="70" spans="2:75" s="164" customFormat="1" ht="12.75" customHeight="1" x14ac:dyDescent="0.2">
      <c r="B70" s="175"/>
      <c r="C70" s="1100"/>
      <c r="D70" s="422"/>
      <c r="E70" s="1101"/>
      <c r="F70" s="476"/>
      <c r="G70" s="862"/>
      <c r="H70" s="1347" t="s">
        <v>1508</v>
      </c>
      <c r="I70" s="1102"/>
      <c r="J70" s="174"/>
      <c r="K70" s="836"/>
      <c r="L70" s="861"/>
      <c r="M70" s="861"/>
      <c r="N70" s="836"/>
      <c r="O70" s="1196" t="s">
        <v>1508</v>
      </c>
      <c r="P70" s="550"/>
      <c r="Q70" s="1153"/>
      <c r="R70" s="884"/>
      <c r="S70" s="876"/>
      <c r="T70" s="876"/>
      <c r="U70" s="876"/>
      <c r="V70" s="876"/>
      <c r="W70" s="876"/>
      <c r="X70" s="1026"/>
      <c r="Y70" s="1512"/>
      <c r="Z70" s="1741"/>
      <c r="AA70" s="1749"/>
      <c r="AB70" s="1812"/>
      <c r="AC70" s="876"/>
      <c r="AD70" s="1295"/>
      <c r="AE70" s="1525"/>
      <c r="AF70" s="1525"/>
      <c r="AG70" s="1525"/>
      <c r="AH70" s="1525"/>
      <c r="AI70" s="1525"/>
      <c r="AJ70" s="1525"/>
      <c r="AK70" s="1525"/>
      <c r="AL70" s="1525"/>
      <c r="AM70" s="1525"/>
      <c r="AN70" s="1525"/>
      <c r="AO70" s="1525"/>
      <c r="AP70" s="1525"/>
      <c r="AQ70" s="1525"/>
      <c r="AR70" s="1525"/>
      <c r="AS70" s="1525"/>
      <c r="AU70" s="1525"/>
      <c r="AV70" s="1295"/>
      <c r="AW70" s="1525"/>
      <c r="AX70" s="1525"/>
      <c r="AY70" s="1525"/>
      <c r="AZ70" s="1525"/>
      <c r="BA70" s="1525"/>
      <c r="BB70" s="1525"/>
      <c r="BC70" s="1525"/>
      <c r="BD70" s="1525"/>
      <c r="BE70" s="1525"/>
      <c r="BF70" s="1525"/>
      <c r="BG70" s="1525"/>
      <c r="BH70" s="1525"/>
      <c r="BI70" s="1525"/>
      <c r="BJ70" s="1525"/>
      <c r="BK70" s="1525"/>
      <c r="BL70" s="1525"/>
      <c r="BM70" s="1525"/>
      <c r="BN70" s="1525"/>
      <c r="BO70" s="1525"/>
      <c r="BP70" s="1525"/>
      <c r="BQ70" s="1525"/>
      <c r="BR70" s="1525"/>
      <c r="BS70" s="1525"/>
      <c r="BT70" s="1670"/>
      <c r="BV70"/>
      <c r="BW70" s="862"/>
    </row>
    <row r="71" spans="2:75" s="164" customFormat="1" ht="12.75" customHeight="1" x14ac:dyDescent="0.2">
      <c r="B71" s="175"/>
      <c r="C71" s="1100"/>
      <c r="D71" s="422"/>
      <c r="E71" s="1101"/>
      <c r="F71" s="1103" t="s">
        <v>1029</v>
      </c>
      <c r="G71" s="862"/>
      <c r="H71" s="1347" t="s">
        <v>1508</v>
      </c>
      <c r="I71" s="1102"/>
      <c r="J71" s="174"/>
      <c r="K71" s="836"/>
      <c r="L71" s="861"/>
      <c r="M71" s="861"/>
      <c r="N71" s="836"/>
      <c r="O71" s="1196" t="s">
        <v>1508</v>
      </c>
      <c r="P71" s="550"/>
      <c r="Q71" s="1153"/>
      <c r="R71" s="884"/>
      <c r="S71" s="876"/>
      <c r="T71" s="876"/>
      <c r="U71" s="876"/>
      <c r="V71" s="876"/>
      <c r="W71" s="876"/>
      <c r="X71" s="1026"/>
      <c r="Y71" s="1512"/>
      <c r="Z71" s="1741"/>
      <c r="AA71" s="1749"/>
      <c r="AB71" s="1812"/>
      <c r="AC71" s="876"/>
      <c r="AD71" s="1295"/>
      <c r="AE71" s="1525"/>
      <c r="AF71" s="1525"/>
      <c r="AG71" s="1525"/>
      <c r="AH71" s="1525"/>
      <c r="AI71" s="1525"/>
      <c r="AJ71" s="1525"/>
      <c r="AK71" s="1525"/>
      <c r="AL71" s="1525"/>
      <c r="AM71" s="1525"/>
      <c r="AN71" s="1525"/>
      <c r="AO71" s="1525"/>
      <c r="AP71" s="1525"/>
      <c r="AQ71" s="1525"/>
      <c r="AR71" s="1525"/>
      <c r="AS71" s="1525"/>
      <c r="AU71" s="1525"/>
      <c r="AV71" s="1295"/>
      <c r="AW71" s="1525"/>
      <c r="AX71" s="1525"/>
      <c r="AY71" s="1525"/>
      <c r="AZ71" s="1525"/>
      <c r="BA71" s="1525"/>
      <c r="BB71" s="1525"/>
      <c r="BC71" s="1525"/>
      <c r="BD71" s="1525"/>
      <c r="BE71" s="1525"/>
      <c r="BF71" s="1525"/>
      <c r="BG71" s="1525"/>
      <c r="BH71" s="1525"/>
      <c r="BI71" s="1525"/>
      <c r="BJ71" s="1525"/>
      <c r="BK71" s="1525"/>
      <c r="BL71" s="1525"/>
      <c r="BM71" s="1525"/>
      <c r="BN71" s="1525"/>
      <c r="BO71" s="1525"/>
      <c r="BP71" s="1525"/>
      <c r="BQ71" s="1525"/>
      <c r="BR71" s="1525"/>
      <c r="BS71" s="1525"/>
      <c r="BT71" s="1670"/>
      <c r="BV71"/>
      <c r="BW71" s="862"/>
    </row>
    <row r="72" spans="2:75" s="164" customFormat="1" ht="12.75" customHeight="1" x14ac:dyDescent="0.2">
      <c r="B72" s="175"/>
      <c r="C72" s="1100"/>
      <c r="D72" s="422"/>
      <c r="E72" s="1101"/>
      <c r="F72" s="1103"/>
      <c r="G72" s="862"/>
      <c r="H72" s="1347" t="s">
        <v>1508</v>
      </c>
      <c r="I72" s="1102"/>
      <c r="J72" s="174"/>
      <c r="K72" s="836"/>
      <c r="L72" s="861"/>
      <c r="M72" s="861"/>
      <c r="N72" s="836"/>
      <c r="O72" s="1196" t="s">
        <v>1508</v>
      </c>
      <c r="P72" s="550"/>
      <c r="Q72" s="1153"/>
      <c r="R72" s="884"/>
      <c r="S72" s="876"/>
      <c r="T72" s="876"/>
      <c r="U72" s="876"/>
      <c r="V72" s="876"/>
      <c r="W72" s="876"/>
      <c r="X72" s="1026"/>
      <c r="Y72" s="1512"/>
      <c r="Z72" s="1741"/>
      <c r="AA72" s="1749"/>
      <c r="AB72" s="1812"/>
      <c r="AC72" s="876"/>
      <c r="AD72" s="1295"/>
      <c r="AE72" s="1525"/>
      <c r="AF72" s="1525"/>
      <c r="AG72" s="1525"/>
      <c r="AH72" s="1525"/>
      <c r="AI72" s="1525"/>
      <c r="AJ72" s="1525"/>
      <c r="AK72" s="1525"/>
      <c r="AL72" s="1525"/>
      <c r="AM72" s="1525"/>
      <c r="AN72" s="1525"/>
      <c r="AO72" s="1525"/>
      <c r="AP72" s="1525"/>
      <c r="AQ72" s="1525"/>
      <c r="AR72" s="1525"/>
      <c r="AS72" s="1525"/>
      <c r="AU72" s="1525"/>
      <c r="AV72" s="1295"/>
      <c r="AW72" s="1525"/>
      <c r="AX72" s="1525"/>
      <c r="AY72" s="1525"/>
      <c r="AZ72" s="1525"/>
      <c r="BA72" s="1525"/>
      <c r="BB72" s="1525"/>
      <c r="BC72" s="1525"/>
      <c r="BD72" s="1525"/>
      <c r="BE72" s="1525"/>
      <c r="BF72" s="1525"/>
      <c r="BG72" s="1525"/>
      <c r="BH72" s="1525"/>
      <c r="BI72" s="1525"/>
      <c r="BJ72" s="1525"/>
      <c r="BK72" s="1525"/>
      <c r="BL72" s="1525"/>
      <c r="BM72" s="1525"/>
      <c r="BN72" s="1525"/>
      <c r="BO72" s="1525"/>
      <c r="BP72" s="1525"/>
      <c r="BQ72" s="1525"/>
      <c r="BR72" s="1525"/>
      <c r="BS72" s="1525"/>
      <c r="BT72" s="1670"/>
      <c r="BV72"/>
      <c r="BW72" s="862"/>
    </row>
    <row r="73" spans="2:75" s="164" customFormat="1" ht="12.75" customHeight="1" x14ac:dyDescent="0.2">
      <c r="B73" s="175">
        <f>B72+1</f>
        <v>1</v>
      </c>
      <c r="C73" s="1100">
        <v>12</v>
      </c>
      <c r="D73" s="422"/>
      <c r="E73" s="1101" t="s">
        <v>1032</v>
      </c>
      <c r="F73" s="4" t="s">
        <v>1235</v>
      </c>
      <c r="G73" s="862" t="s">
        <v>581</v>
      </c>
      <c r="H73" s="861">
        <v>130157</v>
      </c>
      <c r="I73" s="197" t="s">
        <v>583</v>
      </c>
      <c r="J73" s="174"/>
      <c r="K73" s="836"/>
      <c r="L73" s="861">
        <v>1</v>
      </c>
      <c r="M73" s="861">
        <v>1</v>
      </c>
      <c r="N73" s="836" t="s">
        <v>892</v>
      </c>
      <c r="O73" s="1196">
        <v>20404</v>
      </c>
      <c r="P73" s="1218">
        <f t="shared" ref="P73:P80" ca="1" si="45">YEARFRAC(TODAY(),O73)</f>
        <v>61.891666666666666</v>
      </c>
      <c r="Q73" s="1153">
        <v>38500</v>
      </c>
      <c r="R73" s="874"/>
      <c r="S73" s="876"/>
      <c r="T73" s="876">
        <v>33000</v>
      </c>
      <c r="U73" s="876"/>
      <c r="V73" s="876"/>
      <c r="W73" s="876"/>
      <c r="X73" s="1026">
        <f t="shared" ref="X73:X80" si="46">(Q73+R73+S73+T73+U73+V73+W73)*M73</f>
        <v>71500</v>
      </c>
      <c r="Y73" s="1512">
        <f t="shared" ref="Y73:Y80" si="47">(T73+U73)*M73/(X73-M73*(T73+U73))</f>
        <v>0.8571428571428571</v>
      </c>
      <c r="Z73" s="1741">
        <f t="shared" ref="Z73:Z80" si="48">M73*(1+Y73)</f>
        <v>1.8571428571428572</v>
      </c>
      <c r="AA73" s="1749">
        <f t="shared" ref="AA73:AA80" si="49">SUM(AD73:AS73)</f>
        <v>0</v>
      </c>
      <c r="AB73" s="1810">
        <f t="shared" ref="AB73:AB78" si="50">100*AA73/Z73</f>
        <v>0</v>
      </c>
      <c r="AC73" s="876"/>
      <c r="AD73" s="1525">
        <f t="shared" ref="AD73:AS78" si="51">SUMIF($AV$6:$BS$6,AD$5,$AV73:$BS73)</f>
        <v>0</v>
      </c>
      <c r="AE73" s="1525">
        <f t="shared" si="51"/>
        <v>0</v>
      </c>
      <c r="AF73" s="1525">
        <f t="shared" si="51"/>
        <v>0</v>
      </c>
      <c r="AG73" s="1525">
        <f t="shared" si="51"/>
        <v>0</v>
      </c>
      <c r="AH73" s="1525">
        <f t="shared" si="51"/>
        <v>0</v>
      </c>
      <c r="AI73" s="1525">
        <f t="shared" si="51"/>
        <v>0</v>
      </c>
      <c r="AJ73" s="1525">
        <f t="shared" si="51"/>
        <v>0</v>
      </c>
      <c r="AK73" s="1525">
        <f t="shared" si="51"/>
        <v>0</v>
      </c>
      <c r="AL73" s="1525">
        <f t="shared" si="51"/>
        <v>0</v>
      </c>
      <c r="AM73" s="1525">
        <f t="shared" si="51"/>
        <v>0</v>
      </c>
      <c r="AN73" s="1525">
        <f t="shared" si="51"/>
        <v>0</v>
      </c>
      <c r="AO73" s="1525">
        <f t="shared" si="51"/>
        <v>0</v>
      </c>
      <c r="AP73" s="1525">
        <f t="shared" si="51"/>
        <v>0</v>
      </c>
      <c r="AQ73" s="1525">
        <f t="shared" si="51"/>
        <v>0</v>
      </c>
      <c r="AR73" s="1525">
        <f t="shared" si="51"/>
        <v>0</v>
      </c>
      <c r="AS73" s="1525">
        <f t="shared" si="51"/>
        <v>0</v>
      </c>
      <c r="AU73" s="1525"/>
      <c r="AV73" s="1295"/>
      <c r="AW73" s="1525"/>
      <c r="AX73" s="1525"/>
      <c r="AY73" s="1525"/>
      <c r="AZ73" s="1525"/>
      <c r="BA73" s="1525"/>
      <c r="BB73" s="1525"/>
      <c r="BC73" s="1525"/>
      <c r="BD73" s="1525"/>
      <c r="BE73" s="1525"/>
      <c r="BF73" s="1525"/>
      <c r="BG73" s="1525"/>
      <c r="BH73" s="1525"/>
      <c r="BI73" s="1525"/>
      <c r="BJ73" s="1525"/>
      <c r="BK73" s="1525"/>
      <c r="BL73" s="1525"/>
      <c r="BM73" s="1525"/>
      <c r="BN73" s="1525"/>
      <c r="BO73" s="1525"/>
      <c r="BP73" s="1525"/>
      <c r="BQ73" s="1525"/>
      <c r="BR73" s="1525"/>
      <c r="BS73" s="1525"/>
      <c r="BT73" s="1670">
        <f t="shared" ref="BT73:BT80" si="52">SUM(AV73:BS73)</f>
        <v>0</v>
      </c>
      <c r="BV73"/>
      <c r="BW73" s="862" t="s">
        <v>581</v>
      </c>
    </row>
    <row r="74" spans="2:75" s="164" customFormat="1" ht="12.75" customHeight="1" x14ac:dyDescent="0.2">
      <c r="B74" s="175">
        <f t="shared" ref="B74:B80" si="53">B73+1</f>
        <v>2</v>
      </c>
      <c r="C74" s="1100">
        <v>12</v>
      </c>
      <c r="D74" s="422"/>
      <c r="E74" s="1101" t="s">
        <v>1032</v>
      </c>
      <c r="F74" s="4" t="s">
        <v>1235</v>
      </c>
      <c r="G74" s="862" t="s">
        <v>258</v>
      </c>
      <c r="H74" s="858">
        <v>6615</v>
      </c>
      <c r="I74" s="197" t="s">
        <v>583</v>
      </c>
      <c r="J74" s="174"/>
      <c r="K74" s="836"/>
      <c r="L74" s="861">
        <v>1</v>
      </c>
      <c r="M74" s="858">
        <f t="shared" ref="M74:M80" si="54">K74+L74</f>
        <v>1</v>
      </c>
      <c r="N74" s="836" t="s">
        <v>1326</v>
      </c>
      <c r="O74" s="1196">
        <v>14406</v>
      </c>
      <c r="P74" s="1218">
        <f t="shared" ca="1" si="45"/>
        <v>78.311111111111117</v>
      </c>
      <c r="Q74" s="1153">
        <v>24000</v>
      </c>
      <c r="R74" s="874">
        <f>Q74*0.1</f>
        <v>2400</v>
      </c>
      <c r="S74" s="876"/>
      <c r="T74" s="876"/>
      <c r="U74" s="876"/>
      <c r="V74" s="876"/>
      <c r="W74" s="876"/>
      <c r="X74" s="1026">
        <f t="shared" si="46"/>
        <v>26400</v>
      </c>
      <c r="Y74" s="1512">
        <f t="shared" si="47"/>
        <v>0</v>
      </c>
      <c r="Z74" s="1741">
        <f t="shared" si="48"/>
        <v>1</v>
      </c>
      <c r="AA74" s="1749">
        <f t="shared" si="49"/>
        <v>0</v>
      </c>
      <c r="AB74" s="1810">
        <f t="shared" si="50"/>
        <v>0</v>
      </c>
      <c r="AC74" s="876"/>
      <c r="AD74" s="1525">
        <f t="shared" si="51"/>
        <v>0</v>
      </c>
      <c r="AE74" s="1525">
        <f t="shared" si="51"/>
        <v>0</v>
      </c>
      <c r="AF74" s="1525">
        <f t="shared" si="51"/>
        <v>0</v>
      </c>
      <c r="AG74" s="1525">
        <f t="shared" si="51"/>
        <v>0</v>
      </c>
      <c r="AH74" s="1525">
        <f t="shared" si="51"/>
        <v>0</v>
      </c>
      <c r="AI74" s="1525">
        <f t="shared" si="51"/>
        <v>0</v>
      </c>
      <c r="AJ74" s="1525">
        <f t="shared" si="51"/>
        <v>0</v>
      </c>
      <c r="AK74" s="1525">
        <f t="shared" si="51"/>
        <v>0</v>
      </c>
      <c r="AL74" s="1525">
        <f t="shared" si="51"/>
        <v>0</v>
      </c>
      <c r="AM74" s="1525">
        <f t="shared" si="51"/>
        <v>0</v>
      </c>
      <c r="AN74" s="1525">
        <f t="shared" si="51"/>
        <v>0</v>
      </c>
      <c r="AO74" s="1525">
        <f t="shared" si="51"/>
        <v>0</v>
      </c>
      <c r="AP74" s="1525">
        <f t="shared" si="51"/>
        <v>0</v>
      </c>
      <c r="AQ74" s="1525">
        <f t="shared" si="51"/>
        <v>0</v>
      </c>
      <c r="AR74" s="1525">
        <f t="shared" si="51"/>
        <v>0</v>
      </c>
      <c r="AS74" s="1525">
        <f t="shared" si="51"/>
        <v>0</v>
      </c>
      <c r="AU74" s="1525"/>
      <c r="AV74" s="1295"/>
      <c r="AW74" s="1525"/>
      <c r="AX74" s="1525"/>
      <c r="AY74" s="1525"/>
      <c r="AZ74" s="1525"/>
      <c r="BA74" s="1525"/>
      <c r="BB74" s="1525"/>
      <c r="BC74" s="1525"/>
      <c r="BD74" s="1525"/>
      <c r="BE74" s="1525"/>
      <c r="BF74" s="1525"/>
      <c r="BG74" s="1525"/>
      <c r="BH74" s="1525"/>
      <c r="BI74" s="1525"/>
      <c r="BJ74" s="1525"/>
      <c r="BK74" s="1525"/>
      <c r="BL74" s="1525"/>
      <c r="BM74" s="1525"/>
      <c r="BN74" s="1525"/>
      <c r="BO74" s="1525"/>
      <c r="BP74" s="1525"/>
      <c r="BQ74" s="1525"/>
      <c r="BR74" s="1525"/>
      <c r="BS74" s="1525"/>
      <c r="BT74" s="1670">
        <f t="shared" si="52"/>
        <v>0</v>
      </c>
      <c r="BV74"/>
      <c r="BW74" s="862" t="s">
        <v>258</v>
      </c>
    </row>
    <row r="75" spans="2:75" s="164" customFormat="1" ht="12.75" customHeight="1" x14ac:dyDescent="0.2">
      <c r="B75" s="175">
        <f t="shared" si="53"/>
        <v>3</v>
      </c>
      <c r="C75" s="1100">
        <v>12</v>
      </c>
      <c r="D75" s="422"/>
      <c r="E75" s="1101" t="s">
        <v>1032</v>
      </c>
      <c r="F75" s="4" t="s">
        <v>1235</v>
      </c>
      <c r="G75" s="862" t="s">
        <v>98</v>
      </c>
      <c r="H75" s="858">
        <v>122367</v>
      </c>
      <c r="I75" s="197" t="s">
        <v>583</v>
      </c>
      <c r="J75" s="174"/>
      <c r="K75" s="836"/>
      <c r="L75" s="861">
        <v>1</v>
      </c>
      <c r="M75" s="858">
        <f t="shared" si="54"/>
        <v>1</v>
      </c>
      <c r="N75" s="836" t="s">
        <v>892</v>
      </c>
      <c r="O75" s="1196">
        <v>23483</v>
      </c>
      <c r="P75" s="1218">
        <f t="shared" ca="1" si="45"/>
        <v>53.461111111111109</v>
      </c>
      <c r="Q75" s="1153">
        <v>30000</v>
      </c>
      <c r="R75" s="884"/>
      <c r="S75" s="876"/>
      <c r="T75" s="876">
        <v>8000</v>
      </c>
      <c r="U75" s="876"/>
      <c r="V75" s="876"/>
      <c r="W75" s="876"/>
      <c r="X75" s="1026">
        <f t="shared" si="46"/>
        <v>38000</v>
      </c>
      <c r="Y75" s="1512">
        <f t="shared" si="47"/>
        <v>0.26666666666666666</v>
      </c>
      <c r="Z75" s="1741">
        <f t="shared" si="48"/>
        <v>1.2666666666666666</v>
      </c>
      <c r="AA75" s="1749">
        <f t="shared" si="49"/>
        <v>0</v>
      </c>
      <c r="AB75" s="1810">
        <f t="shared" si="50"/>
        <v>0</v>
      </c>
      <c r="AC75" s="876"/>
      <c r="AD75" s="1525">
        <f t="shared" si="51"/>
        <v>0</v>
      </c>
      <c r="AE75" s="1525">
        <f t="shared" si="51"/>
        <v>0</v>
      </c>
      <c r="AF75" s="1525">
        <f t="shared" si="51"/>
        <v>0</v>
      </c>
      <c r="AG75" s="1525">
        <f t="shared" si="51"/>
        <v>0</v>
      </c>
      <c r="AH75" s="1525">
        <f t="shared" si="51"/>
        <v>0</v>
      </c>
      <c r="AI75" s="1525">
        <f t="shared" si="51"/>
        <v>0</v>
      </c>
      <c r="AJ75" s="1525">
        <f t="shared" si="51"/>
        <v>0</v>
      </c>
      <c r="AK75" s="1525">
        <f t="shared" si="51"/>
        <v>0</v>
      </c>
      <c r="AL75" s="1525">
        <f t="shared" si="51"/>
        <v>0</v>
      </c>
      <c r="AM75" s="1525">
        <f t="shared" si="51"/>
        <v>0</v>
      </c>
      <c r="AN75" s="1525">
        <f t="shared" si="51"/>
        <v>0</v>
      </c>
      <c r="AO75" s="1525">
        <f t="shared" si="51"/>
        <v>0</v>
      </c>
      <c r="AP75" s="1525">
        <f t="shared" si="51"/>
        <v>0</v>
      </c>
      <c r="AQ75" s="1525">
        <f t="shared" si="51"/>
        <v>0</v>
      </c>
      <c r="AR75" s="1525">
        <f t="shared" si="51"/>
        <v>0</v>
      </c>
      <c r="AS75" s="1525">
        <f t="shared" si="51"/>
        <v>0</v>
      </c>
      <c r="AU75" s="1525"/>
      <c r="AV75" s="1295"/>
      <c r="AW75" s="1525"/>
      <c r="AX75" s="1525"/>
      <c r="AY75" s="1525"/>
      <c r="AZ75" s="1525"/>
      <c r="BA75" s="1525"/>
      <c r="BB75" s="1525"/>
      <c r="BC75" s="1525"/>
      <c r="BD75" s="1525"/>
      <c r="BE75" s="1525"/>
      <c r="BF75" s="1525"/>
      <c r="BG75" s="1525"/>
      <c r="BH75" s="1525"/>
      <c r="BI75" s="1525"/>
      <c r="BJ75" s="1525"/>
      <c r="BK75" s="1525"/>
      <c r="BL75" s="1525"/>
      <c r="BM75" s="1525"/>
      <c r="BN75" s="1525"/>
      <c r="BO75" s="1525"/>
      <c r="BP75" s="1525"/>
      <c r="BQ75" s="1525"/>
      <c r="BR75" s="1525"/>
      <c r="BS75" s="1525"/>
      <c r="BT75" s="1670">
        <f t="shared" si="52"/>
        <v>0</v>
      </c>
      <c r="BV75"/>
      <c r="BW75" s="862" t="s">
        <v>98</v>
      </c>
    </row>
    <row r="76" spans="2:75" s="164" customFormat="1" ht="12.75" customHeight="1" x14ac:dyDescent="0.2">
      <c r="B76" s="175">
        <f t="shared" si="53"/>
        <v>4</v>
      </c>
      <c r="C76" s="1100">
        <v>12</v>
      </c>
      <c r="D76" s="422"/>
      <c r="E76" s="1101" t="s">
        <v>1032</v>
      </c>
      <c r="F76" s="4" t="s">
        <v>41</v>
      </c>
      <c r="G76" s="862" t="s">
        <v>1877</v>
      </c>
      <c r="H76" s="1413">
        <v>160300</v>
      </c>
      <c r="I76" s="197" t="s">
        <v>583</v>
      </c>
      <c r="J76" s="174"/>
      <c r="K76" s="836"/>
      <c r="L76" s="861">
        <v>1</v>
      </c>
      <c r="M76" s="858">
        <f t="shared" si="54"/>
        <v>1</v>
      </c>
      <c r="N76" s="836" t="s">
        <v>892</v>
      </c>
      <c r="O76" s="1196">
        <v>32346</v>
      </c>
      <c r="P76" s="1218">
        <f t="shared" ca="1" si="45"/>
        <v>29.194444444444443</v>
      </c>
      <c r="Q76" s="1153">
        <v>26500</v>
      </c>
      <c r="R76" s="884"/>
      <c r="S76" s="876"/>
      <c r="T76" s="876"/>
      <c r="U76" s="876"/>
      <c r="V76" s="876"/>
      <c r="W76" s="876"/>
      <c r="X76" s="1026">
        <f t="shared" si="46"/>
        <v>26500</v>
      </c>
      <c r="Y76" s="1512">
        <f t="shared" si="47"/>
        <v>0</v>
      </c>
      <c r="Z76" s="1741">
        <f t="shared" si="48"/>
        <v>1</v>
      </c>
      <c r="AA76" s="1749">
        <f t="shared" si="49"/>
        <v>0</v>
      </c>
      <c r="AB76" s="1810">
        <f t="shared" si="50"/>
        <v>0</v>
      </c>
      <c r="AC76" s="876"/>
      <c r="AD76" s="1525">
        <f t="shared" si="51"/>
        <v>0</v>
      </c>
      <c r="AE76" s="1525">
        <f t="shared" si="51"/>
        <v>0</v>
      </c>
      <c r="AF76" s="1525">
        <f t="shared" si="51"/>
        <v>0</v>
      </c>
      <c r="AG76" s="1525">
        <f t="shared" si="51"/>
        <v>0</v>
      </c>
      <c r="AH76" s="1525">
        <f t="shared" si="51"/>
        <v>0</v>
      </c>
      <c r="AI76" s="1525">
        <f t="shared" si="51"/>
        <v>0</v>
      </c>
      <c r="AJ76" s="1525">
        <f t="shared" si="51"/>
        <v>0</v>
      </c>
      <c r="AK76" s="1525">
        <f t="shared" si="51"/>
        <v>0</v>
      </c>
      <c r="AL76" s="1525">
        <f t="shared" si="51"/>
        <v>0</v>
      </c>
      <c r="AM76" s="1525">
        <f t="shared" si="51"/>
        <v>0</v>
      </c>
      <c r="AN76" s="1525">
        <f t="shared" si="51"/>
        <v>0</v>
      </c>
      <c r="AO76" s="1525">
        <f t="shared" si="51"/>
        <v>0</v>
      </c>
      <c r="AP76" s="1525">
        <f t="shared" si="51"/>
        <v>0</v>
      </c>
      <c r="AQ76" s="1525">
        <f t="shared" si="51"/>
        <v>0</v>
      </c>
      <c r="AR76" s="1525">
        <f t="shared" si="51"/>
        <v>0</v>
      </c>
      <c r="AS76" s="1525">
        <f t="shared" si="51"/>
        <v>0</v>
      </c>
      <c r="AU76" s="1525"/>
      <c r="AV76" s="1295"/>
      <c r="AW76" s="1525"/>
      <c r="AX76" s="1525"/>
      <c r="AY76" s="1525"/>
      <c r="AZ76" s="1525"/>
      <c r="BA76" s="1525"/>
      <c r="BB76" s="1525"/>
      <c r="BC76" s="1525"/>
      <c r="BD76" s="1525"/>
      <c r="BE76" s="1525"/>
      <c r="BF76" s="1525"/>
      <c r="BG76" s="1525"/>
      <c r="BH76" s="1525"/>
      <c r="BI76" s="1525"/>
      <c r="BJ76" s="1525"/>
      <c r="BK76" s="1525"/>
      <c r="BL76" s="1525"/>
      <c r="BM76" s="1525"/>
      <c r="BN76" s="1525"/>
      <c r="BO76" s="1525"/>
      <c r="BP76" s="1525"/>
      <c r="BQ76" s="1525"/>
      <c r="BR76" s="1525"/>
      <c r="BS76" s="1525"/>
      <c r="BT76" s="1670">
        <f t="shared" si="52"/>
        <v>0</v>
      </c>
      <c r="BV76"/>
      <c r="BW76" s="862" t="s">
        <v>1877</v>
      </c>
    </row>
    <row r="77" spans="2:75" s="164" customFormat="1" ht="12.75" customHeight="1" x14ac:dyDescent="0.2">
      <c r="B77" s="175">
        <f t="shared" si="53"/>
        <v>5</v>
      </c>
      <c r="C77" s="1100">
        <v>14</v>
      </c>
      <c r="D77" s="422"/>
      <c r="E77" s="1101" t="s">
        <v>1032</v>
      </c>
      <c r="F77" s="4" t="s">
        <v>626</v>
      </c>
      <c r="G77" s="862" t="s">
        <v>273</v>
      </c>
      <c r="H77" s="858">
        <v>273471</v>
      </c>
      <c r="I77" s="197" t="s">
        <v>583</v>
      </c>
      <c r="J77" s="174"/>
      <c r="K77" s="836"/>
      <c r="L77" s="861">
        <v>1</v>
      </c>
      <c r="M77" s="858">
        <f t="shared" si="54"/>
        <v>1</v>
      </c>
      <c r="N77" s="836" t="s">
        <v>1326</v>
      </c>
      <c r="O77" s="1196">
        <v>31343</v>
      </c>
      <c r="P77" s="1218">
        <f t="shared" ca="1" si="45"/>
        <v>31.941666666666666</v>
      </c>
      <c r="Q77" s="1153">
        <v>25500</v>
      </c>
      <c r="R77" s="874">
        <f>Q77*0.1</f>
        <v>2550</v>
      </c>
      <c r="S77" s="876"/>
      <c r="T77" s="876"/>
      <c r="U77" s="876"/>
      <c r="V77" s="876"/>
      <c r="W77" s="876"/>
      <c r="X77" s="1026">
        <f t="shared" si="46"/>
        <v>28050</v>
      </c>
      <c r="Y77" s="1512">
        <f t="shared" si="47"/>
        <v>0</v>
      </c>
      <c r="Z77" s="1741">
        <f t="shared" si="48"/>
        <v>1</v>
      </c>
      <c r="AA77" s="1749">
        <f t="shared" si="49"/>
        <v>0</v>
      </c>
      <c r="AB77" s="1810">
        <f t="shared" si="50"/>
        <v>0</v>
      </c>
      <c r="AC77" s="876"/>
      <c r="AD77" s="1525">
        <f t="shared" si="51"/>
        <v>0</v>
      </c>
      <c r="AE77" s="1525">
        <f t="shared" si="51"/>
        <v>0</v>
      </c>
      <c r="AF77" s="1525">
        <f t="shared" si="51"/>
        <v>0</v>
      </c>
      <c r="AG77" s="1525">
        <f t="shared" si="51"/>
        <v>0</v>
      </c>
      <c r="AH77" s="1525">
        <f t="shared" si="51"/>
        <v>0</v>
      </c>
      <c r="AI77" s="1525">
        <f t="shared" si="51"/>
        <v>0</v>
      </c>
      <c r="AJ77" s="1525">
        <f t="shared" si="51"/>
        <v>0</v>
      </c>
      <c r="AK77" s="1525">
        <f t="shared" si="51"/>
        <v>0</v>
      </c>
      <c r="AL77" s="1525">
        <f t="shared" si="51"/>
        <v>0</v>
      </c>
      <c r="AM77" s="1525">
        <f t="shared" si="51"/>
        <v>0</v>
      </c>
      <c r="AN77" s="1525">
        <f t="shared" si="51"/>
        <v>0</v>
      </c>
      <c r="AO77" s="1525">
        <f t="shared" si="51"/>
        <v>0</v>
      </c>
      <c r="AP77" s="1525">
        <f t="shared" si="51"/>
        <v>0</v>
      </c>
      <c r="AQ77" s="1525">
        <f t="shared" si="51"/>
        <v>0</v>
      </c>
      <c r="AR77" s="1525">
        <f t="shared" si="51"/>
        <v>0</v>
      </c>
      <c r="AS77" s="1525">
        <f t="shared" si="51"/>
        <v>0</v>
      </c>
      <c r="AU77" s="1525"/>
      <c r="AV77" s="1295"/>
      <c r="AW77" s="1525"/>
      <c r="AX77" s="1525"/>
      <c r="AY77" s="1525"/>
      <c r="AZ77" s="1525"/>
      <c r="BA77" s="1525"/>
      <c r="BB77" s="1525"/>
      <c r="BC77" s="1525"/>
      <c r="BD77" s="1525"/>
      <c r="BE77" s="1525"/>
      <c r="BF77" s="1525"/>
      <c r="BG77" s="1525"/>
      <c r="BH77" s="1525"/>
      <c r="BI77" s="1525"/>
      <c r="BJ77" s="1525"/>
      <c r="BK77" s="1525"/>
      <c r="BL77" s="1525"/>
      <c r="BM77" s="1525"/>
      <c r="BN77" s="1525"/>
      <c r="BO77" s="1525"/>
      <c r="BP77" s="1525"/>
      <c r="BQ77" s="1525"/>
      <c r="BR77" s="1525"/>
      <c r="BS77" s="1525"/>
      <c r="BT77" s="1670">
        <f t="shared" si="52"/>
        <v>0</v>
      </c>
      <c r="BV77"/>
      <c r="BW77" s="862" t="s">
        <v>273</v>
      </c>
    </row>
    <row r="78" spans="2:75" s="164" customFormat="1" ht="12.75" customHeight="1" x14ac:dyDescent="0.2">
      <c r="B78" s="175">
        <f t="shared" si="53"/>
        <v>6</v>
      </c>
      <c r="C78" s="262">
        <v>14</v>
      </c>
      <c r="D78" s="547"/>
      <c r="E78" s="1573" t="s">
        <v>1032</v>
      </c>
      <c r="F78" s="4" t="s">
        <v>626</v>
      </c>
      <c r="G78" s="862" t="s">
        <v>2019</v>
      </c>
      <c r="H78" s="861">
        <v>170827</v>
      </c>
      <c r="I78" s="197" t="s">
        <v>583</v>
      </c>
      <c r="J78" s="174"/>
      <c r="K78" s="836"/>
      <c r="L78" s="861">
        <v>1</v>
      </c>
      <c r="M78" s="861">
        <f t="shared" si="54"/>
        <v>1</v>
      </c>
      <c r="N78" s="836" t="s">
        <v>892</v>
      </c>
      <c r="O78" s="1196">
        <v>32819</v>
      </c>
      <c r="P78" s="1218">
        <f t="shared" ca="1" si="45"/>
        <v>27.902777777777779</v>
      </c>
      <c r="Q78" s="1153">
        <v>25000</v>
      </c>
      <c r="R78" s="884"/>
      <c r="S78" s="876"/>
      <c r="T78" s="876"/>
      <c r="U78" s="876"/>
      <c r="V78" s="876"/>
      <c r="W78" s="876"/>
      <c r="X78" s="1026">
        <f t="shared" si="46"/>
        <v>25000</v>
      </c>
      <c r="Y78" s="1512">
        <f t="shared" si="47"/>
        <v>0</v>
      </c>
      <c r="Z78" s="1741">
        <f t="shared" si="48"/>
        <v>1</v>
      </c>
      <c r="AA78" s="1749">
        <f t="shared" si="49"/>
        <v>0</v>
      </c>
      <c r="AB78" s="1810">
        <f t="shared" si="50"/>
        <v>0</v>
      </c>
      <c r="AC78" s="224"/>
      <c r="AD78" s="1525">
        <f t="shared" si="51"/>
        <v>0</v>
      </c>
      <c r="AE78" s="1525">
        <f t="shared" si="51"/>
        <v>0</v>
      </c>
      <c r="AF78" s="1525">
        <f t="shared" si="51"/>
        <v>0</v>
      </c>
      <c r="AG78" s="1525">
        <f t="shared" si="51"/>
        <v>0</v>
      </c>
      <c r="AH78" s="1525">
        <f t="shared" si="51"/>
        <v>0</v>
      </c>
      <c r="AI78" s="1525">
        <f t="shared" si="51"/>
        <v>0</v>
      </c>
      <c r="AJ78" s="1525">
        <f t="shared" si="51"/>
        <v>0</v>
      </c>
      <c r="AK78" s="1525">
        <f t="shared" si="51"/>
        <v>0</v>
      </c>
      <c r="AL78" s="1525">
        <f t="shared" si="51"/>
        <v>0</v>
      </c>
      <c r="AM78" s="1525">
        <f t="shared" si="51"/>
        <v>0</v>
      </c>
      <c r="AN78" s="1525">
        <f t="shared" si="51"/>
        <v>0</v>
      </c>
      <c r="AO78" s="1525">
        <f t="shared" si="51"/>
        <v>0</v>
      </c>
      <c r="AP78" s="1525">
        <f t="shared" si="51"/>
        <v>0</v>
      </c>
      <c r="AQ78" s="1525">
        <f t="shared" si="51"/>
        <v>0</v>
      </c>
      <c r="AR78" s="1525">
        <f t="shared" si="51"/>
        <v>0</v>
      </c>
      <c r="AS78" s="1525">
        <f t="shared" si="51"/>
        <v>0</v>
      </c>
      <c r="AV78" s="553"/>
      <c r="AX78" s="553"/>
      <c r="BT78" s="1672"/>
    </row>
    <row r="79" spans="2:75" s="164" customFormat="1" ht="12.75" customHeight="1" x14ac:dyDescent="0.2">
      <c r="B79" s="175">
        <f t="shared" si="53"/>
        <v>7</v>
      </c>
      <c r="C79" s="1100">
        <v>14</v>
      </c>
      <c r="D79" s="422"/>
      <c r="E79" s="1101" t="s">
        <v>1032</v>
      </c>
      <c r="F79" s="4" t="s">
        <v>626</v>
      </c>
      <c r="G79" s="862" t="s">
        <v>455</v>
      </c>
      <c r="H79" s="861">
        <v>115290</v>
      </c>
      <c r="I79" s="197" t="s">
        <v>583</v>
      </c>
      <c r="J79" s="174"/>
      <c r="K79" s="836"/>
      <c r="L79" s="861">
        <v>1</v>
      </c>
      <c r="M79" s="861">
        <f t="shared" si="54"/>
        <v>1</v>
      </c>
      <c r="N79" s="836" t="s">
        <v>892</v>
      </c>
      <c r="O79" s="1196">
        <v>29195</v>
      </c>
      <c r="P79" s="1218">
        <f t="shared" ca="1" si="45"/>
        <v>37.822222222222223</v>
      </c>
      <c r="Q79" s="1153">
        <v>33600</v>
      </c>
      <c r="R79" s="884"/>
      <c r="S79" s="876"/>
      <c r="T79" s="876">
        <v>27000</v>
      </c>
      <c r="U79" s="876"/>
      <c r="V79" s="876"/>
      <c r="W79" s="876"/>
      <c r="X79" s="1026">
        <f t="shared" si="46"/>
        <v>60600</v>
      </c>
      <c r="Y79" s="1512">
        <f t="shared" si="47"/>
        <v>0.8035714285714286</v>
      </c>
      <c r="Z79" s="1741">
        <f t="shared" si="48"/>
        <v>1.8035714285714286</v>
      </c>
      <c r="AA79" s="1749">
        <f t="shared" si="49"/>
        <v>0</v>
      </c>
      <c r="AB79" s="1810">
        <f t="shared" ref="AB79:AB80" si="55">100*AA79/Z79</f>
        <v>0</v>
      </c>
      <c r="AC79" s="876"/>
      <c r="AD79" s="1525">
        <f t="shared" ref="AD79:AS80" si="56">SUMIF($AV$6:$BS$6,AD$5,$AV79:$BS79)</f>
        <v>0</v>
      </c>
      <c r="AE79" s="1525">
        <f t="shared" si="56"/>
        <v>0</v>
      </c>
      <c r="AF79" s="1525">
        <f t="shared" si="56"/>
        <v>0</v>
      </c>
      <c r="AG79" s="1525">
        <f t="shared" si="56"/>
        <v>0</v>
      </c>
      <c r="AH79" s="1525">
        <f t="shared" si="56"/>
        <v>0</v>
      </c>
      <c r="AI79" s="1525">
        <f t="shared" si="56"/>
        <v>0</v>
      </c>
      <c r="AJ79" s="1525">
        <f t="shared" si="56"/>
        <v>0</v>
      </c>
      <c r="AK79" s="1525">
        <f t="shared" si="56"/>
        <v>0</v>
      </c>
      <c r="AL79" s="1525">
        <f t="shared" si="56"/>
        <v>0</v>
      </c>
      <c r="AM79" s="1525">
        <f t="shared" si="56"/>
        <v>0</v>
      </c>
      <c r="AN79" s="1525">
        <f t="shared" si="56"/>
        <v>0</v>
      </c>
      <c r="AO79" s="1525">
        <f t="shared" si="56"/>
        <v>0</v>
      </c>
      <c r="AP79" s="1525">
        <f t="shared" si="56"/>
        <v>0</v>
      </c>
      <c r="AQ79" s="1525">
        <f t="shared" si="56"/>
        <v>0</v>
      </c>
      <c r="AR79" s="1525">
        <f t="shared" si="56"/>
        <v>0</v>
      </c>
      <c r="AS79" s="1525">
        <f t="shared" si="56"/>
        <v>0</v>
      </c>
      <c r="AU79" s="1525"/>
      <c r="AV79" s="1295"/>
      <c r="AW79" s="1525"/>
      <c r="AX79" s="1525"/>
      <c r="AY79" s="1525"/>
      <c r="AZ79" s="1525"/>
      <c r="BA79" s="1525"/>
      <c r="BB79" s="1525"/>
      <c r="BC79" s="1525"/>
      <c r="BD79" s="1525"/>
      <c r="BE79" s="1525"/>
      <c r="BF79" s="1525"/>
      <c r="BG79" s="1525"/>
      <c r="BH79" s="1525"/>
      <c r="BI79" s="1525"/>
      <c r="BJ79" s="1525"/>
      <c r="BK79" s="1525"/>
      <c r="BL79" s="1525"/>
      <c r="BM79" s="1525"/>
      <c r="BN79" s="1525"/>
      <c r="BO79" s="1525"/>
      <c r="BP79" s="1525"/>
      <c r="BQ79" s="1525"/>
      <c r="BR79" s="1525"/>
      <c r="BS79" s="1525"/>
      <c r="BT79" s="1670">
        <f t="shared" si="52"/>
        <v>0</v>
      </c>
      <c r="BV79"/>
      <c r="BW79" s="862" t="s">
        <v>455</v>
      </c>
    </row>
    <row r="80" spans="2:75" s="164" customFormat="1" ht="12.75" customHeight="1" x14ac:dyDescent="0.2">
      <c r="B80" s="175">
        <f t="shared" si="53"/>
        <v>8</v>
      </c>
      <c r="C80" s="1100">
        <v>18</v>
      </c>
      <c r="D80" s="422"/>
      <c r="E80" s="1101" t="s">
        <v>1032</v>
      </c>
      <c r="F80" s="4" t="s">
        <v>584</v>
      </c>
      <c r="G80" s="862" t="s">
        <v>1734</v>
      </c>
      <c r="H80" s="861">
        <v>151134</v>
      </c>
      <c r="I80" s="197" t="s">
        <v>583</v>
      </c>
      <c r="J80" s="174"/>
      <c r="K80" s="836"/>
      <c r="L80" s="861">
        <v>1</v>
      </c>
      <c r="M80" s="861">
        <f t="shared" si="54"/>
        <v>1</v>
      </c>
      <c r="N80" s="836" t="s">
        <v>892</v>
      </c>
      <c r="O80" s="1196">
        <v>27549</v>
      </c>
      <c r="P80" s="1218">
        <f t="shared" ca="1" si="45"/>
        <v>42.327777777777776</v>
      </c>
      <c r="Q80" s="1153">
        <v>23400</v>
      </c>
      <c r="R80" s="884"/>
      <c r="S80" s="876"/>
      <c r="T80" s="876"/>
      <c r="U80" s="876"/>
      <c r="V80" s="876"/>
      <c r="W80" s="876"/>
      <c r="X80" s="1026">
        <f t="shared" si="46"/>
        <v>23400</v>
      </c>
      <c r="Y80" s="1512">
        <f t="shared" si="47"/>
        <v>0</v>
      </c>
      <c r="Z80" s="1741">
        <f t="shared" si="48"/>
        <v>1</v>
      </c>
      <c r="AA80" s="1749">
        <f t="shared" si="49"/>
        <v>0</v>
      </c>
      <c r="AB80" s="1810">
        <f t="shared" si="55"/>
        <v>0</v>
      </c>
      <c r="AC80" s="876"/>
      <c r="AD80" s="1525">
        <f t="shared" si="56"/>
        <v>0</v>
      </c>
      <c r="AE80" s="1525">
        <f t="shared" si="56"/>
        <v>0</v>
      </c>
      <c r="AF80" s="1525">
        <f t="shared" si="56"/>
        <v>0</v>
      </c>
      <c r="AG80" s="1525">
        <f t="shared" si="56"/>
        <v>0</v>
      </c>
      <c r="AH80" s="1525">
        <f t="shared" si="56"/>
        <v>0</v>
      </c>
      <c r="AI80" s="1525">
        <f t="shared" si="56"/>
        <v>0</v>
      </c>
      <c r="AJ80" s="1525">
        <f t="shared" si="56"/>
        <v>0</v>
      </c>
      <c r="AK80" s="1525">
        <f t="shared" si="56"/>
        <v>0</v>
      </c>
      <c r="AL80" s="1525">
        <f t="shared" si="56"/>
        <v>0</v>
      </c>
      <c r="AM80" s="1525">
        <f t="shared" si="56"/>
        <v>0</v>
      </c>
      <c r="AN80" s="1525">
        <f t="shared" si="56"/>
        <v>0</v>
      </c>
      <c r="AO80" s="1525">
        <f t="shared" si="56"/>
        <v>0</v>
      </c>
      <c r="AP80" s="1525">
        <f t="shared" si="56"/>
        <v>0</v>
      </c>
      <c r="AQ80" s="1525">
        <f t="shared" si="56"/>
        <v>0</v>
      </c>
      <c r="AR80" s="1525">
        <f t="shared" si="56"/>
        <v>0</v>
      </c>
      <c r="AS80" s="1525">
        <f t="shared" si="56"/>
        <v>0</v>
      </c>
      <c r="AU80" s="1525"/>
      <c r="AV80" s="1295"/>
      <c r="AW80" s="1525"/>
      <c r="AX80" s="1525"/>
      <c r="AY80" s="1525"/>
      <c r="AZ80" s="1525"/>
      <c r="BA80" s="1525"/>
      <c r="BB80" s="1525"/>
      <c r="BC80" s="1525"/>
      <c r="BD80" s="1525"/>
      <c r="BE80" s="1525"/>
      <c r="BF80" s="1525"/>
      <c r="BG80" s="1525"/>
      <c r="BH80" s="1525"/>
      <c r="BI80" s="1525"/>
      <c r="BJ80" s="1525"/>
      <c r="BK80" s="1525"/>
      <c r="BL80" s="1525"/>
      <c r="BM80" s="1525"/>
      <c r="BN80" s="1525"/>
      <c r="BO80" s="1525"/>
      <c r="BP80" s="1525"/>
      <c r="BQ80" s="1525"/>
      <c r="BR80" s="1525"/>
      <c r="BS80" s="1525"/>
      <c r="BT80" s="1670">
        <f t="shared" si="52"/>
        <v>0</v>
      </c>
      <c r="BV80"/>
      <c r="BW80" s="862" t="s">
        <v>1734</v>
      </c>
    </row>
    <row r="81" spans="2:75" s="164" customFormat="1" ht="12.75" customHeight="1" x14ac:dyDescent="0.2">
      <c r="B81" s="175"/>
      <c r="C81" s="219" t="s">
        <v>1120</v>
      </c>
      <c r="D81" s="422"/>
      <c r="E81" s="1101"/>
      <c r="F81" s="4" t="s">
        <v>500</v>
      </c>
      <c r="G81" s="862"/>
      <c r="H81" s="1351" t="s">
        <v>1508</v>
      </c>
      <c r="I81" s="1102"/>
      <c r="J81" s="174"/>
      <c r="K81" s="836"/>
      <c r="L81" s="892">
        <f>SUM(L73:L80)</f>
        <v>8</v>
      </c>
      <c r="M81" s="892">
        <f>SUM(M73:M80)</f>
        <v>8</v>
      </c>
      <c r="N81" s="836"/>
      <c r="O81" s="1196" t="s">
        <v>1508</v>
      </c>
      <c r="P81" s="550"/>
      <c r="Q81" s="1153"/>
      <c r="R81" s="884"/>
      <c r="S81" s="876"/>
      <c r="T81" s="876"/>
      <c r="U81" s="876"/>
      <c r="V81" s="876"/>
      <c r="W81" s="876"/>
      <c r="X81" s="1026"/>
      <c r="Y81" s="1335"/>
      <c r="Z81" s="1335"/>
      <c r="AA81" s="1749"/>
      <c r="AB81" s="1812"/>
      <c r="AC81" s="876"/>
      <c r="AD81" s="1295"/>
      <c r="AE81" s="1525"/>
      <c r="AF81" s="1525"/>
      <c r="AG81" s="1525"/>
      <c r="AH81" s="1525"/>
      <c r="AI81" s="1525"/>
      <c r="AJ81" s="1525"/>
      <c r="AK81" s="1525"/>
      <c r="AL81" s="1525"/>
      <c r="AM81" s="1525"/>
      <c r="AN81" s="1525"/>
      <c r="AO81" s="1525"/>
      <c r="AP81" s="1525"/>
      <c r="AQ81" s="1525"/>
      <c r="AR81" s="1525"/>
      <c r="AS81" s="1525"/>
      <c r="AU81" s="1525"/>
      <c r="AV81" s="1295"/>
      <c r="AW81" s="1525"/>
      <c r="AX81" s="1525"/>
      <c r="AY81" s="1525"/>
      <c r="AZ81" s="1525"/>
      <c r="BA81" s="1525"/>
      <c r="BB81" s="1525"/>
      <c r="BC81" s="1525"/>
      <c r="BD81" s="1525"/>
      <c r="BE81" s="1525"/>
      <c r="BF81" s="1525"/>
      <c r="BG81" s="1525"/>
      <c r="BH81" s="1525"/>
      <c r="BI81" s="1525"/>
      <c r="BJ81" s="1525"/>
      <c r="BK81" s="1525"/>
      <c r="BL81" s="1525"/>
      <c r="BM81" s="1525"/>
      <c r="BN81" s="1525"/>
      <c r="BO81" s="1525"/>
      <c r="BP81" s="1525"/>
      <c r="BQ81" s="1525"/>
      <c r="BR81" s="1525"/>
      <c r="BS81" s="1525"/>
      <c r="BT81" s="1670"/>
      <c r="BV81"/>
      <c r="BW81" s="862"/>
    </row>
    <row r="82" spans="2:75" s="164" customFormat="1" ht="12.75" customHeight="1" x14ac:dyDescent="0.2">
      <c r="B82" s="175"/>
      <c r="C82" s="1100"/>
      <c r="D82" s="422"/>
      <c r="E82" s="1101"/>
      <c r="F82" s="476"/>
      <c r="G82" s="862"/>
      <c r="H82" s="1347"/>
      <c r="I82" s="1102"/>
      <c r="J82" s="174"/>
      <c r="K82" s="836"/>
      <c r="L82" s="861"/>
      <c r="M82" s="861"/>
      <c r="N82" s="836"/>
      <c r="O82" s="1196"/>
      <c r="P82" s="550"/>
      <c r="Q82" s="1153"/>
      <c r="R82" s="884"/>
      <c r="S82" s="876"/>
      <c r="T82" s="876"/>
      <c r="U82" s="876"/>
      <c r="V82" s="876"/>
      <c r="W82" s="876"/>
      <c r="X82" s="1026"/>
      <c r="Y82" s="1512"/>
      <c r="Z82" s="1741"/>
      <c r="AA82" s="1749"/>
      <c r="AB82" s="1812"/>
      <c r="AC82" s="876"/>
      <c r="AD82" s="1295"/>
      <c r="AE82" s="1525"/>
      <c r="AF82" s="1525"/>
      <c r="AG82" s="1525"/>
      <c r="AH82" s="1525"/>
      <c r="AI82" s="1525"/>
      <c r="AJ82" s="1525"/>
      <c r="AK82" s="1525"/>
      <c r="AL82" s="1525"/>
      <c r="AM82" s="1525"/>
      <c r="AN82" s="1525"/>
      <c r="AO82" s="1525"/>
      <c r="AP82" s="1525"/>
      <c r="AQ82" s="1525"/>
      <c r="AR82" s="1525"/>
      <c r="AS82" s="1525"/>
      <c r="AU82" s="1525"/>
      <c r="AV82" s="1295"/>
      <c r="AW82" s="1525"/>
      <c r="AX82" s="1525"/>
      <c r="AY82" s="1525"/>
      <c r="AZ82" s="1525"/>
      <c r="BA82" s="1525"/>
      <c r="BB82" s="1525"/>
      <c r="BC82" s="1525"/>
      <c r="BD82" s="1525"/>
      <c r="BE82" s="1525"/>
      <c r="BF82" s="1525"/>
      <c r="BG82" s="1525"/>
      <c r="BH82" s="1525"/>
      <c r="BI82" s="1525"/>
      <c r="BJ82" s="1525"/>
      <c r="BK82" s="1525"/>
      <c r="BL82" s="1525"/>
      <c r="BM82" s="1525"/>
      <c r="BN82" s="1525"/>
      <c r="BO82" s="1525"/>
      <c r="BP82" s="1525"/>
      <c r="BQ82" s="1525"/>
      <c r="BR82" s="1525"/>
      <c r="BS82" s="1525"/>
      <c r="BT82" s="1670"/>
      <c r="BV82"/>
      <c r="BW82" s="862"/>
    </row>
    <row r="83" spans="2:75" s="164" customFormat="1" ht="12.75" customHeight="1" x14ac:dyDescent="0.2">
      <c r="B83" s="175"/>
      <c r="C83" s="1100"/>
      <c r="D83" s="422"/>
      <c r="E83" s="1101"/>
      <c r="F83" s="1103" t="s">
        <v>1960</v>
      </c>
      <c r="G83" s="862"/>
      <c r="H83" s="1347"/>
      <c r="I83" s="1102"/>
      <c r="J83" s="174"/>
      <c r="K83" s="836"/>
      <c r="L83" s="861"/>
      <c r="M83" s="861"/>
      <c r="N83" s="836"/>
      <c r="O83" s="1196"/>
      <c r="P83" s="550"/>
      <c r="Q83" s="1153"/>
      <c r="R83" s="884"/>
      <c r="S83" s="876"/>
      <c r="T83" s="876"/>
      <c r="U83" s="876"/>
      <c r="V83" s="876"/>
      <c r="W83" s="876"/>
      <c r="X83" s="1026"/>
      <c r="Y83" s="1512"/>
      <c r="Z83" s="1741"/>
      <c r="AA83" s="1749"/>
      <c r="AB83" s="1812"/>
      <c r="AC83" s="876"/>
      <c r="AD83" s="1295"/>
      <c r="AE83" s="1525"/>
      <c r="AF83" s="1525"/>
      <c r="AG83" s="1525"/>
      <c r="AH83" s="1525"/>
      <c r="AI83" s="1525"/>
      <c r="AJ83" s="1525"/>
      <c r="AK83" s="1525"/>
      <c r="AL83" s="1525"/>
      <c r="AM83" s="1525"/>
      <c r="AN83" s="1525"/>
      <c r="AO83" s="1525"/>
      <c r="AP83" s="1525"/>
      <c r="AQ83" s="1525"/>
      <c r="AR83" s="1525"/>
      <c r="AS83" s="1525"/>
      <c r="AU83" s="1525"/>
      <c r="AV83" s="1295"/>
      <c r="AW83" s="1525"/>
      <c r="AX83" s="1525"/>
      <c r="AY83" s="1525"/>
      <c r="AZ83" s="1525"/>
      <c r="BA83" s="1525"/>
      <c r="BB83" s="1525"/>
      <c r="BC83" s="1525"/>
      <c r="BD83" s="1525"/>
      <c r="BE83" s="1525"/>
      <c r="BF83" s="1525"/>
      <c r="BG83" s="1525"/>
      <c r="BH83" s="1525"/>
      <c r="BI83" s="1525"/>
      <c r="BJ83" s="1525"/>
      <c r="BK83" s="1525"/>
      <c r="BL83" s="1525"/>
      <c r="BM83" s="1525"/>
      <c r="BN83" s="1525"/>
      <c r="BO83" s="1525"/>
      <c r="BP83" s="1525"/>
      <c r="BQ83" s="1525"/>
      <c r="BR83" s="1525"/>
      <c r="BS83" s="1525"/>
      <c r="BT83" s="1670"/>
      <c r="BV83"/>
      <c r="BW83" s="862"/>
    </row>
    <row r="84" spans="2:75" s="164" customFormat="1" ht="12.75" customHeight="1" x14ac:dyDescent="0.2">
      <c r="B84" s="175"/>
      <c r="C84" s="1100"/>
      <c r="D84" s="422"/>
      <c r="E84" s="1101"/>
      <c r="F84" s="1103"/>
      <c r="G84" s="862"/>
      <c r="H84" s="1347"/>
      <c r="I84" s="1102"/>
      <c r="J84" s="174"/>
      <c r="K84" s="836"/>
      <c r="L84" s="861"/>
      <c r="M84" s="861"/>
      <c r="N84" s="836"/>
      <c r="O84" s="1196"/>
      <c r="P84" s="550"/>
      <c r="Q84" s="1153"/>
      <c r="R84" s="884"/>
      <c r="S84" s="876"/>
      <c r="T84" s="876"/>
      <c r="U84" s="876"/>
      <c r="V84" s="876"/>
      <c r="W84" s="876"/>
      <c r="X84" s="1026"/>
      <c r="Y84" s="1512"/>
      <c r="Z84" s="1741"/>
      <c r="AA84" s="1749"/>
      <c r="AB84" s="1812"/>
      <c r="AC84" s="876"/>
      <c r="AD84" s="1295"/>
      <c r="AE84" s="1525"/>
      <c r="AF84" s="1525"/>
      <c r="AG84" s="1525"/>
      <c r="AH84" s="1525"/>
      <c r="AI84" s="1525"/>
      <c r="AJ84" s="1525"/>
      <c r="AK84" s="1525"/>
      <c r="AL84" s="1525"/>
      <c r="AM84" s="1525"/>
      <c r="AN84" s="1525"/>
      <c r="AO84" s="1525"/>
      <c r="AP84" s="1525"/>
      <c r="AQ84" s="1525"/>
      <c r="AR84" s="1525"/>
      <c r="AS84" s="1525"/>
      <c r="AU84" s="1525"/>
      <c r="AV84" s="1295"/>
      <c r="AW84" s="1525"/>
      <c r="AX84" s="1525"/>
      <c r="AY84" s="1525"/>
      <c r="AZ84" s="1525"/>
      <c r="BA84" s="1525"/>
      <c r="BB84" s="1525"/>
      <c r="BC84" s="1525"/>
      <c r="BD84" s="1525"/>
      <c r="BE84" s="1525"/>
      <c r="BF84" s="1525"/>
      <c r="BG84" s="1525"/>
      <c r="BH84" s="1525"/>
      <c r="BI84" s="1525"/>
      <c r="BJ84" s="1525"/>
      <c r="BK84" s="1525"/>
      <c r="BL84" s="1525"/>
      <c r="BM84" s="1525"/>
      <c r="BN84" s="1525"/>
      <c r="BO84" s="1525"/>
      <c r="BP84" s="1525"/>
      <c r="BQ84" s="1525"/>
      <c r="BR84" s="1525"/>
      <c r="BS84" s="1525"/>
      <c r="BT84" s="1670"/>
      <c r="BV84"/>
      <c r="BW84" s="862"/>
    </row>
    <row r="85" spans="2:75" s="164" customFormat="1" ht="12.75" customHeight="1" x14ac:dyDescent="0.2">
      <c r="B85" s="175">
        <f>B84+1</f>
        <v>1</v>
      </c>
      <c r="C85" s="1100">
        <v>14</v>
      </c>
      <c r="D85" s="422"/>
      <c r="E85" s="1101" t="s">
        <v>1032</v>
      </c>
      <c r="F85" s="4" t="s">
        <v>626</v>
      </c>
      <c r="G85" s="862" t="s">
        <v>1884</v>
      </c>
      <c r="H85" s="1412">
        <v>153618</v>
      </c>
      <c r="I85" s="197" t="s">
        <v>583</v>
      </c>
      <c r="J85" s="174"/>
      <c r="K85" s="836"/>
      <c r="L85" s="861">
        <v>1</v>
      </c>
      <c r="M85" s="861">
        <v>1</v>
      </c>
      <c r="N85" s="836" t="s">
        <v>892</v>
      </c>
      <c r="O85" s="1196">
        <v>31231</v>
      </c>
      <c r="P85" s="550">
        <f ca="1">YEARFRAC(TODAY(),O85)</f>
        <v>32.24722222222222</v>
      </c>
      <c r="Q85" s="1153">
        <v>30800</v>
      </c>
      <c r="R85" s="884"/>
      <c r="S85" s="876"/>
      <c r="T85" s="876">
        <v>19000</v>
      </c>
      <c r="U85" s="876"/>
      <c r="V85" s="876"/>
      <c r="W85" s="876"/>
      <c r="X85" s="1026">
        <f>(Q85+R85+S85+T85+U85+V85+W85)*M85</f>
        <v>49800</v>
      </c>
      <c r="Y85" s="1512">
        <f>(T85+U85)*M85/(X85-M85*(T85+U85))</f>
        <v>0.61688311688311692</v>
      </c>
      <c r="Z85" s="1741">
        <f>M85*(1+Y85)</f>
        <v>1.616883116883117</v>
      </c>
      <c r="AA85" s="1749">
        <f>SUM(AD85:AS85)</f>
        <v>0</v>
      </c>
      <c r="AB85" s="1810">
        <f t="shared" ref="AB85:AB88" si="57">100*AA85/Z85</f>
        <v>0</v>
      </c>
      <c r="AC85" s="876"/>
      <c r="AD85" s="1525">
        <f t="shared" ref="AD85:AS88" si="58">SUMIF($AV$6:$BS$6,AD$5,$AV85:$BS85)</f>
        <v>0</v>
      </c>
      <c r="AE85" s="1525">
        <f t="shared" si="58"/>
        <v>0</v>
      </c>
      <c r="AF85" s="1525">
        <f t="shared" si="58"/>
        <v>0</v>
      </c>
      <c r="AG85" s="1525">
        <f t="shared" si="58"/>
        <v>0</v>
      </c>
      <c r="AH85" s="1525">
        <f t="shared" si="58"/>
        <v>0</v>
      </c>
      <c r="AI85" s="1525">
        <f t="shared" si="58"/>
        <v>0</v>
      </c>
      <c r="AJ85" s="1525">
        <f t="shared" si="58"/>
        <v>0</v>
      </c>
      <c r="AK85" s="1525">
        <f t="shared" si="58"/>
        <v>0</v>
      </c>
      <c r="AL85" s="1525">
        <f t="shared" si="58"/>
        <v>0</v>
      </c>
      <c r="AM85" s="1525">
        <f t="shared" si="58"/>
        <v>0</v>
      </c>
      <c r="AN85" s="1525">
        <f t="shared" si="58"/>
        <v>0</v>
      </c>
      <c r="AO85" s="1525">
        <f t="shared" si="58"/>
        <v>0</v>
      </c>
      <c r="AP85" s="1525">
        <f t="shared" si="58"/>
        <v>0</v>
      </c>
      <c r="AQ85" s="1525">
        <f t="shared" si="58"/>
        <v>0</v>
      </c>
      <c r="AR85" s="1525">
        <f t="shared" si="58"/>
        <v>0</v>
      </c>
      <c r="AS85" s="1525">
        <f t="shared" si="58"/>
        <v>0</v>
      </c>
      <c r="AU85" s="1525"/>
      <c r="AV85" s="1295"/>
      <c r="AW85" s="1525"/>
      <c r="AX85" s="1525"/>
      <c r="AY85" s="1525"/>
      <c r="AZ85" s="1525"/>
      <c r="BA85" s="1525"/>
      <c r="BB85" s="1525"/>
      <c r="BC85" s="1525"/>
      <c r="BD85" s="1525"/>
      <c r="BE85" s="1525"/>
      <c r="BF85" s="1525"/>
      <c r="BG85" s="1525"/>
      <c r="BH85" s="1525"/>
      <c r="BI85" s="1525"/>
      <c r="BJ85" s="1525"/>
      <c r="BK85" s="1525"/>
      <c r="BL85" s="1525"/>
      <c r="BM85" s="1525"/>
      <c r="BN85" s="1525"/>
      <c r="BO85" s="1525"/>
      <c r="BP85" s="1525"/>
      <c r="BQ85" s="1525"/>
      <c r="BR85" s="1525"/>
      <c r="BS85" s="1525"/>
      <c r="BT85" s="1670">
        <f t="shared" ref="BT85:BT88" si="59">SUM(AV85:BS85)</f>
        <v>0</v>
      </c>
      <c r="BV85"/>
      <c r="BW85" s="862" t="s">
        <v>1884</v>
      </c>
    </row>
    <row r="86" spans="2:75" s="164" customFormat="1" ht="12.75" customHeight="1" x14ac:dyDescent="0.2">
      <c r="B86" s="175">
        <f>B85+1</f>
        <v>2</v>
      </c>
      <c r="C86" s="1100">
        <v>17</v>
      </c>
      <c r="D86" s="422"/>
      <c r="E86" s="1101" t="s">
        <v>1032</v>
      </c>
      <c r="F86" s="4" t="s">
        <v>1643</v>
      </c>
      <c r="G86" s="862" t="s">
        <v>1873</v>
      </c>
      <c r="H86" s="1412">
        <v>161024</v>
      </c>
      <c r="I86" s="197" t="s">
        <v>583</v>
      </c>
      <c r="J86" s="174"/>
      <c r="K86" s="836"/>
      <c r="L86" s="861">
        <v>1</v>
      </c>
      <c r="M86" s="861">
        <v>1</v>
      </c>
      <c r="N86" s="836" t="s">
        <v>892</v>
      </c>
      <c r="O86" s="1196">
        <v>34575</v>
      </c>
      <c r="P86" s="550">
        <f ca="1">YEARFRAC(TODAY(),O86)</f>
        <v>23.091666666666665</v>
      </c>
      <c r="Q86" s="1153">
        <v>21000</v>
      </c>
      <c r="R86" s="884"/>
      <c r="S86" s="876"/>
      <c r="T86" s="876"/>
      <c r="U86" s="876"/>
      <c r="V86" s="876"/>
      <c r="W86" s="876"/>
      <c r="X86" s="1026">
        <f>(Q86+R86+S86+T86+U86+V86+W86)*M86</f>
        <v>21000</v>
      </c>
      <c r="Y86" s="1512">
        <f>(T86+U86)*M86/(X86-M86*(T86+U86))</f>
        <v>0</v>
      </c>
      <c r="Z86" s="1741">
        <f>M86*(1+Y86)</f>
        <v>1</v>
      </c>
      <c r="AA86" s="1749">
        <f>SUM(AD86:AS86)</f>
        <v>0</v>
      </c>
      <c r="AB86" s="1810">
        <f t="shared" si="57"/>
        <v>0</v>
      </c>
      <c r="AC86" s="876"/>
      <c r="AD86" s="1525">
        <f t="shared" si="58"/>
        <v>0</v>
      </c>
      <c r="AE86" s="1525">
        <f t="shared" si="58"/>
        <v>0</v>
      </c>
      <c r="AF86" s="1525">
        <f t="shared" si="58"/>
        <v>0</v>
      </c>
      <c r="AG86" s="1525">
        <f t="shared" si="58"/>
        <v>0</v>
      </c>
      <c r="AH86" s="1525">
        <f t="shared" si="58"/>
        <v>0</v>
      </c>
      <c r="AI86" s="1525">
        <f t="shared" si="58"/>
        <v>0</v>
      </c>
      <c r="AJ86" s="1525">
        <f t="shared" si="58"/>
        <v>0</v>
      </c>
      <c r="AK86" s="1525">
        <f t="shared" si="58"/>
        <v>0</v>
      </c>
      <c r="AL86" s="1525">
        <f t="shared" si="58"/>
        <v>0</v>
      </c>
      <c r="AM86" s="1525">
        <f t="shared" si="58"/>
        <v>0</v>
      </c>
      <c r="AN86" s="1525">
        <f t="shared" si="58"/>
        <v>0</v>
      </c>
      <c r="AO86" s="1525">
        <f t="shared" si="58"/>
        <v>0</v>
      </c>
      <c r="AP86" s="1525">
        <f t="shared" si="58"/>
        <v>0</v>
      </c>
      <c r="AQ86" s="1525">
        <f t="shared" si="58"/>
        <v>0</v>
      </c>
      <c r="AR86" s="1525">
        <f t="shared" si="58"/>
        <v>0</v>
      </c>
      <c r="AS86" s="1525">
        <f t="shared" si="58"/>
        <v>0</v>
      </c>
      <c r="AU86" s="1525"/>
      <c r="AV86" s="1295"/>
      <c r="AW86" s="1525"/>
      <c r="AX86" s="1525"/>
      <c r="AY86" s="1525"/>
      <c r="AZ86" s="1525"/>
      <c r="BA86" s="1525"/>
      <c r="BB86" s="1525"/>
      <c r="BC86" s="1525"/>
      <c r="BD86" s="1525"/>
      <c r="BE86" s="1525"/>
      <c r="BF86" s="1525"/>
      <c r="BG86" s="1525"/>
      <c r="BH86" s="1525"/>
      <c r="BI86" s="1525"/>
      <c r="BJ86" s="1525"/>
      <c r="BK86" s="1525"/>
      <c r="BL86" s="1525"/>
      <c r="BM86" s="1525"/>
      <c r="BN86" s="1525"/>
      <c r="BO86" s="1525"/>
      <c r="BP86" s="1525"/>
      <c r="BQ86" s="1525"/>
      <c r="BR86" s="1525"/>
      <c r="BS86" s="1525"/>
      <c r="BT86" s="1670">
        <f t="shared" si="59"/>
        <v>0</v>
      </c>
      <c r="BV86"/>
      <c r="BW86" s="862" t="s">
        <v>1873</v>
      </c>
    </row>
    <row r="87" spans="2:75" s="164" customFormat="1" ht="12.75" customHeight="1" x14ac:dyDescent="0.2">
      <c r="B87" s="175">
        <f>B86+1</f>
        <v>3</v>
      </c>
      <c r="C87" s="1100">
        <v>18</v>
      </c>
      <c r="D87" s="422"/>
      <c r="E87" s="1101" t="s">
        <v>1032</v>
      </c>
      <c r="F87" s="4" t="s">
        <v>1342</v>
      </c>
      <c r="G87" s="862" t="s">
        <v>1875</v>
      </c>
      <c r="H87" s="1412">
        <v>154207</v>
      </c>
      <c r="I87" s="1102" t="s">
        <v>1442</v>
      </c>
      <c r="J87" s="174"/>
      <c r="K87" s="836"/>
      <c r="L87" s="861">
        <v>1</v>
      </c>
      <c r="M87" s="861">
        <v>1</v>
      </c>
      <c r="N87" s="836" t="s">
        <v>892</v>
      </c>
      <c r="O87" s="1196">
        <v>23820</v>
      </c>
      <c r="P87" s="550">
        <f ca="1">YEARFRAC(TODAY(),O87)</f>
        <v>52.536111111111111</v>
      </c>
      <c r="Q87" s="1153">
        <v>26500</v>
      </c>
      <c r="R87" s="884"/>
      <c r="S87" s="876"/>
      <c r="T87" s="876"/>
      <c r="U87" s="876"/>
      <c r="V87" s="876"/>
      <c r="W87" s="876"/>
      <c r="X87" s="1026">
        <f>(Q87+R87+S87+T87+U87+V87+W87)*M87</f>
        <v>26500</v>
      </c>
      <c r="Y87" s="1512">
        <f>(T87+U87)*M87/(X87-M87*(T87+U87))</f>
        <v>0</v>
      </c>
      <c r="Z87" s="1741">
        <f>M87*(1+Y87)</f>
        <v>1</v>
      </c>
      <c r="AA87" s="1749">
        <f>SUM(AD87:AS87)</f>
        <v>0</v>
      </c>
      <c r="AB87" s="1810">
        <f t="shared" si="57"/>
        <v>0</v>
      </c>
      <c r="AC87" s="876"/>
      <c r="AD87" s="1525">
        <f t="shared" si="58"/>
        <v>0</v>
      </c>
      <c r="AE87" s="1525">
        <f t="shared" si="58"/>
        <v>0</v>
      </c>
      <c r="AF87" s="1525">
        <f t="shared" si="58"/>
        <v>0</v>
      </c>
      <c r="AG87" s="1525">
        <f t="shared" si="58"/>
        <v>0</v>
      </c>
      <c r="AH87" s="1525">
        <f t="shared" si="58"/>
        <v>0</v>
      </c>
      <c r="AI87" s="1525">
        <f t="shared" si="58"/>
        <v>0</v>
      </c>
      <c r="AJ87" s="1525">
        <f t="shared" si="58"/>
        <v>0</v>
      </c>
      <c r="AK87" s="1525">
        <f t="shared" si="58"/>
        <v>0</v>
      </c>
      <c r="AL87" s="1525">
        <f t="shared" si="58"/>
        <v>0</v>
      </c>
      <c r="AM87" s="1525">
        <f t="shared" si="58"/>
        <v>0</v>
      </c>
      <c r="AN87" s="1525">
        <f t="shared" si="58"/>
        <v>0</v>
      </c>
      <c r="AO87" s="1525">
        <f t="shared" si="58"/>
        <v>0</v>
      </c>
      <c r="AP87" s="1525">
        <f t="shared" si="58"/>
        <v>0</v>
      </c>
      <c r="AQ87" s="1525">
        <f t="shared" si="58"/>
        <v>0</v>
      </c>
      <c r="AR87" s="1525">
        <f t="shared" si="58"/>
        <v>0</v>
      </c>
      <c r="AS87" s="1525">
        <f t="shared" si="58"/>
        <v>0</v>
      </c>
      <c r="AU87" s="1525"/>
      <c r="AV87" s="1295"/>
      <c r="AW87" s="1525"/>
      <c r="AX87" s="1525"/>
      <c r="AY87" s="1525"/>
      <c r="AZ87" s="1525"/>
      <c r="BA87" s="1525"/>
      <c r="BB87" s="1525"/>
      <c r="BC87" s="1525"/>
      <c r="BD87" s="1525"/>
      <c r="BE87" s="1525"/>
      <c r="BF87" s="1525"/>
      <c r="BG87" s="1525"/>
      <c r="BH87" s="1525"/>
      <c r="BI87" s="1525"/>
      <c r="BJ87" s="1525"/>
      <c r="BK87" s="1525"/>
      <c r="BL87" s="1525"/>
      <c r="BM87" s="1525"/>
      <c r="BN87" s="1525"/>
      <c r="BO87" s="1525"/>
      <c r="BP87" s="1525"/>
      <c r="BQ87" s="1525"/>
      <c r="BR87" s="1525"/>
      <c r="BS87" s="1525"/>
      <c r="BT87" s="1670">
        <f t="shared" si="59"/>
        <v>0</v>
      </c>
      <c r="BV87"/>
      <c r="BW87" s="862" t="s">
        <v>1875</v>
      </c>
    </row>
    <row r="88" spans="2:75" s="164" customFormat="1" ht="12.75" customHeight="1" x14ac:dyDescent="0.2">
      <c r="B88" s="175">
        <f>B87+1</f>
        <v>4</v>
      </c>
      <c r="C88" s="1100">
        <v>18</v>
      </c>
      <c r="D88" s="422"/>
      <c r="E88" s="1101" t="s">
        <v>1032</v>
      </c>
      <c r="F88" s="4" t="s">
        <v>1961</v>
      </c>
      <c r="G88" s="862" t="s">
        <v>1876</v>
      </c>
      <c r="H88" s="1412">
        <v>154355</v>
      </c>
      <c r="I88" s="1102" t="s">
        <v>1442</v>
      </c>
      <c r="J88" s="174"/>
      <c r="K88" s="836"/>
      <c r="L88" s="861">
        <v>1</v>
      </c>
      <c r="M88" s="861">
        <v>1</v>
      </c>
      <c r="N88" s="836" t="s">
        <v>892</v>
      </c>
      <c r="O88" s="1196">
        <v>30132</v>
      </c>
      <c r="P88" s="550">
        <f ca="1">YEARFRAC(TODAY(),O88)</f>
        <v>35.255555555555553</v>
      </c>
      <c r="Q88" s="1153">
        <v>22000</v>
      </c>
      <c r="R88" s="884"/>
      <c r="S88" s="876"/>
      <c r="T88" s="876"/>
      <c r="U88" s="876"/>
      <c r="V88" s="876"/>
      <c r="W88" s="876"/>
      <c r="X88" s="1026">
        <f>(Q88+R88+S88+T88+U88+V88+W88)*M88</f>
        <v>22000</v>
      </c>
      <c r="Y88" s="1512">
        <f>(T88+U88)*M88/(X88-M88*(T88+U88))</f>
        <v>0</v>
      </c>
      <c r="Z88" s="1741">
        <f>M88*(1+Y88)</f>
        <v>1</v>
      </c>
      <c r="AA88" s="1749">
        <f>SUM(AD88:AS88)</f>
        <v>0</v>
      </c>
      <c r="AB88" s="1810">
        <f t="shared" si="57"/>
        <v>0</v>
      </c>
      <c r="AC88" s="876"/>
      <c r="AD88" s="1525">
        <f t="shared" si="58"/>
        <v>0</v>
      </c>
      <c r="AE88" s="1525">
        <f t="shared" si="58"/>
        <v>0</v>
      </c>
      <c r="AF88" s="1525">
        <f t="shared" si="58"/>
        <v>0</v>
      </c>
      <c r="AG88" s="1525">
        <f t="shared" si="58"/>
        <v>0</v>
      </c>
      <c r="AH88" s="1525">
        <f t="shared" si="58"/>
        <v>0</v>
      </c>
      <c r="AI88" s="1525">
        <f t="shared" si="58"/>
        <v>0</v>
      </c>
      <c r="AJ88" s="1525">
        <f t="shared" si="58"/>
        <v>0</v>
      </c>
      <c r="AK88" s="1525">
        <f t="shared" si="58"/>
        <v>0</v>
      </c>
      <c r="AL88" s="1525">
        <f t="shared" si="58"/>
        <v>0</v>
      </c>
      <c r="AM88" s="1525">
        <f t="shared" si="58"/>
        <v>0</v>
      </c>
      <c r="AN88" s="1525">
        <f t="shared" si="58"/>
        <v>0</v>
      </c>
      <c r="AO88" s="1525">
        <f t="shared" si="58"/>
        <v>0</v>
      </c>
      <c r="AP88" s="1525">
        <f t="shared" si="58"/>
        <v>0</v>
      </c>
      <c r="AQ88" s="1525">
        <f t="shared" si="58"/>
        <v>0</v>
      </c>
      <c r="AR88" s="1525">
        <f t="shared" si="58"/>
        <v>0</v>
      </c>
      <c r="AS88" s="1525">
        <f t="shared" si="58"/>
        <v>0</v>
      </c>
      <c r="AU88" s="1525"/>
      <c r="AV88" s="1295"/>
      <c r="AW88" s="1525"/>
      <c r="AX88" s="1525"/>
      <c r="AY88" s="1525"/>
      <c r="AZ88" s="1525"/>
      <c r="BA88" s="1525"/>
      <c r="BB88" s="1525"/>
      <c r="BC88" s="1525"/>
      <c r="BD88" s="1525"/>
      <c r="BE88" s="1525"/>
      <c r="BF88" s="1525"/>
      <c r="BG88" s="1525"/>
      <c r="BH88" s="1525"/>
      <c r="BI88" s="1525"/>
      <c r="BJ88" s="1525"/>
      <c r="BK88" s="1525"/>
      <c r="BL88" s="1525"/>
      <c r="BM88" s="1525"/>
      <c r="BN88" s="1525"/>
      <c r="BO88" s="1525"/>
      <c r="BP88" s="1525"/>
      <c r="BQ88" s="1525"/>
      <c r="BR88" s="1525"/>
      <c r="BS88" s="1525"/>
      <c r="BT88" s="1670">
        <f t="shared" si="59"/>
        <v>0</v>
      </c>
      <c r="BV88"/>
      <c r="BW88" s="862" t="s">
        <v>1876</v>
      </c>
    </row>
    <row r="89" spans="2:75" s="164" customFormat="1" ht="12.75" customHeight="1" x14ac:dyDescent="0.2">
      <c r="B89" s="175"/>
      <c r="C89" s="219" t="s">
        <v>1120</v>
      </c>
      <c r="D89" s="422"/>
      <c r="E89" s="1101"/>
      <c r="F89" s="330" t="s">
        <v>1500</v>
      </c>
      <c r="G89" s="928"/>
      <c r="H89" s="1353"/>
      <c r="I89" s="1325"/>
      <c r="J89" s="174"/>
      <c r="K89" s="836"/>
      <c r="L89" s="1324">
        <f>SUM(L85:L88)</f>
        <v>4</v>
      </c>
      <c r="M89" s="1324">
        <f>SUM(L85:L88)</f>
        <v>4</v>
      </c>
      <c r="N89" s="905"/>
      <c r="O89" s="1196"/>
      <c r="P89" s="550"/>
      <c r="Q89" s="1153"/>
      <c r="R89" s="884"/>
      <c r="S89" s="876"/>
      <c r="T89" s="876"/>
      <c r="U89" s="876"/>
      <c r="V89" s="876"/>
      <c r="W89" s="876"/>
      <c r="X89" s="1026"/>
      <c r="Y89" s="1335"/>
      <c r="Z89" s="1335"/>
      <c r="AA89" s="1749"/>
      <c r="AB89" s="1812"/>
      <c r="AC89" s="876"/>
      <c r="AD89" s="1295"/>
      <c r="AE89" s="1525"/>
      <c r="AF89" s="1525"/>
      <c r="AG89" s="1525"/>
      <c r="AH89" s="1525"/>
      <c r="AI89" s="1525"/>
      <c r="AJ89" s="1525"/>
      <c r="AK89" s="1525"/>
      <c r="AL89" s="1525"/>
      <c r="AM89" s="1525"/>
      <c r="AN89" s="1525"/>
      <c r="AO89" s="1525"/>
      <c r="AP89" s="1525"/>
      <c r="AQ89" s="1525"/>
      <c r="AR89" s="1525"/>
      <c r="AS89" s="1525"/>
      <c r="AU89" s="1525"/>
      <c r="AV89" s="1295"/>
      <c r="AW89" s="1525"/>
      <c r="AX89" s="1525"/>
      <c r="AY89" s="1525"/>
      <c r="AZ89" s="1525"/>
      <c r="BA89" s="1525"/>
      <c r="BB89" s="1525"/>
      <c r="BC89" s="1525"/>
      <c r="BD89" s="1525"/>
      <c r="BE89" s="1525"/>
      <c r="BF89" s="1525"/>
      <c r="BG89" s="1525"/>
      <c r="BH89" s="1525"/>
      <c r="BI89" s="1525"/>
      <c r="BJ89" s="1525"/>
      <c r="BK89" s="1525"/>
      <c r="BL89" s="1525"/>
      <c r="BM89" s="1525"/>
      <c r="BN89" s="1525"/>
      <c r="BO89" s="1525"/>
      <c r="BP89" s="1525"/>
      <c r="BQ89" s="1525"/>
      <c r="BR89" s="1525"/>
      <c r="BS89" s="1525"/>
      <c r="BT89" s="1670"/>
      <c r="BV89"/>
      <c r="BW89" s="928"/>
    </row>
    <row r="90" spans="2:75" s="164" customFormat="1" ht="12.75" customHeight="1" x14ac:dyDescent="0.2">
      <c r="B90" s="175"/>
      <c r="C90" s="1100"/>
      <c r="D90" s="422"/>
      <c r="E90" s="1101"/>
      <c r="F90" s="476"/>
      <c r="G90" s="862"/>
      <c r="H90" s="1347" t="s">
        <v>1508</v>
      </c>
      <c r="I90" s="1102"/>
      <c r="J90" s="174"/>
      <c r="K90" s="836"/>
      <c r="L90" s="861"/>
      <c r="M90" s="861"/>
      <c r="N90" s="836"/>
      <c r="O90" s="1196" t="s">
        <v>1508</v>
      </c>
      <c r="P90" s="550"/>
      <c r="Q90" s="1153"/>
      <c r="R90" s="884"/>
      <c r="S90" s="876"/>
      <c r="T90" s="876"/>
      <c r="U90" s="876"/>
      <c r="V90" s="876"/>
      <c r="W90" s="876"/>
      <c r="X90" s="1026"/>
      <c r="Y90" s="1512"/>
      <c r="Z90" s="1741"/>
      <c r="AA90" s="1749"/>
      <c r="AB90" s="1812"/>
      <c r="AC90" s="876"/>
      <c r="AD90" s="1295"/>
      <c r="AE90" s="1525"/>
      <c r="AF90" s="1525"/>
      <c r="AG90" s="1525"/>
      <c r="AH90" s="1525"/>
      <c r="AI90" s="1525"/>
      <c r="AJ90" s="1525"/>
      <c r="AK90" s="1525"/>
      <c r="AL90" s="1525"/>
      <c r="AM90" s="1525"/>
      <c r="AN90" s="1525"/>
      <c r="AO90" s="1525"/>
      <c r="AP90" s="1525"/>
      <c r="AQ90" s="1525"/>
      <c r="AR90" s="1525"/>
      <c r="AS90" s="1525"/>
      <c r="AU90" s="1525"/>
      <c r="AV90" s="1295"/>
      <c r="AW90" s="1525"/>
      <c r="AX90" s="1525"/>
      <c r="AY90" s="1525"/>
      <c r="AZ90" s="1525"/>
      <c r="BA90" s="1525"/>
      <c r="BB90" s="1525"/>
      <c r="BC90" s="1525"/>
      <c r="BD90" s="1525"/>
      <c r="BE90" s="1525"/>
      <c r="BF90" s="1525"/>
      <c r="BG90" s="1525"/>
      <c r="BH90" s="1525"/>
      <c r="BI90" s="1525"/>
      <c r="BJ90" s="1525"/>
      <c r="BK90" s="1525"/>
      <c r="BL90" s="1525"/>
      <c r="BM90" s="1525"/>
      <c r="BN90" s="1525"/>
      <c r="BO90" s="1525"/>
      <c r="BP90" s="1525"/>
      <c r="BQ90" s="1525"/>
      <c r="BR90" s="1525"/>
      <c r="BS90" s="1525"/>
      <c r="BT90" s="1670"/>
      <c r="BV90"/>
      <c r="BW90" s="862"/>
    </row>
    <row r="91" spans="2:75" s="164" customFormat="1" ht="12.75" customHeight="1" x14ac:dyDescent="0.2">
      <c r="B91" s="175"/>
      <c r="C91" s="1100"/>
      <c r="D91" s="422"/>
      <c r="E91" s="1101"/>
      <c r="F91" s="1103" t="s">
        <v>2020</v>
      </c>
      <c r="G91" s="862"/>
      <c r="H91" s="1347" t="s">
        <v>1508</v>
      </c>
      <c r="I91" s="1102"/>
      <c r="J91" s="174"/>
      <c r="K91" s="836"/>
      <c r="L91" s="861"/>
      <c r="M91" s="861"/>
      <c r="N91" s="836"/>
      <c r="O91" s="1196" t="s">
        <v>1508</v>
      </c>
      <c r="P91" s="550"/>
      <c r="Q91" s="1153"/>
      <c r="R91" s="884"/>
      <c r="S91" s="876"/>
      <c r="T91" s="876"/>
      <c r="U91" s="876"/>
      <c r="V91" s="876"/>
      <c r="W91" s="876"/>
      <c r="X91" s="1026"/>
      <c r="Y91" s="1512"/>
      <c r="Z91" s="1741"/>
      <c r="AA91" s="1749"/>
      <c r="AB91" s="1812"/>
      <c r="AC91" s="876"/>
      <c r="AD91" s="1295"/>
      <c r="AE91" s="1525"/>
      <c r="AF91" s="1525"/>
      <c r="AG91" s="1525"/>
      <c r="AH91" s="1525"/>
      <c r="AI91" s="1525"/>
      <c r="AJ91" s="1525"/>
      <c r="AK91" s="1525"/>
      <c r="AL91" s="1525"/>
      <c r="AM91" s="1525"/>
      <c r="AN91" s="1525"/>
      <c r="AO91" s="1525"/>
      <c r="AP91" s="1525"/>
      <c r="AQ91" s="1525"/>
      <c r="AR91" s="1525"/>
      <c r="AS91" s="1525"/>
      <c r="AU91" s="1525"/>
      <c r="AV91" s="1295"/>
      <c r="AW91" s="1525"/>
      <c r="AX91" s="1525"/>
      <c r="AY91" s="1525"/>
      <c r="AZ91" s="1525"/>
      <c r="BA91" s="1525"/>
      <c r="BB91" s="1525"/>
      <c r="BC91" s="1525"/>
      <c r="BD91" s="1525"/>
      <c r="BE91" s="1525"/>
      <c r="BF91" s="1525"/>
      <c r="BG91" s="1525"/>
      <c r="BH91" s="1525"/>
      <c r="BI91" s="1525"/>
      <c r="BJ91" s="1525"/>
      <c r="BK91" s="1525"/>
      <c r="BL91" s="1525"/>
      <c r="BM91" s="1525"/>
      <c r="BN91" s="1525"/>
      <c r="BO91" s="1525"/>
      <c r="BP91" s="1525"/>
      <c r="BQ91" s="1525"/>
      <c r="BR91" s="1525"/>
      <c r="BS91" s="1525"/>
      <c r="BT91" s="1670"/>
      <c r="BV91"/>
      <c r="BW91" s="862"/>
    </row>
    <row r="92" spans="2:75" s="164" customFormat="1" ht="12.75" customHeight="1" x14ac:dyDescent="0.2">
      <c r="B92" s="175"/>
      <c r="C92" s="1100"/>
      <c r="D92" s="422"/>
      <c r="E92" s="1101"/>
      <c r="F92" s="476"/>
      <c r="G92" s="862"/>
      <c r="H92" s="1347" t="s">
        <v>1508</v>
      </c>
      <c r="I92" s="1102"/>
      <c r="J92" s="174"/>
      <c r="K92" s="836"/>
      <c r="L92" s="861"/>
      <c r="M92" s="861"/>
      <c r="N92" s="836"/>
      <c r="O92" s="1196" t="s">
        <v>1508</v>
      </c>
      <c r="P92" s="550"/>
      <c r="Q92" s="1153"/>
      <c r="R92" s="884"/>
      <c r="S92" s="876"/>
      <c r="T92" s="876"/>
      <c r="U92" s="876"/>
      <c r="V92" s="876"/>
      <c r="W92" s="876"/>
      <c r="X92" s="1026"/>
      <c r="Y92" s="1512"/>
      <c r="Z92" s="1741"/>
      <c r="AA92" s="1749"/>
      <c r="AB92" s="1812"/>
      <c r="AC92" s="876"/>
      <c r="AD92" s="1295"/>
      <c r="AE92" s="1525"/>
      <c r="AF92" s="1525"/>
      <c r="AG92" s="1525"/>
      <c r="AH92" s="1525"/>
      <c r="AI92" s="1525"/>
      <c r="AJ92" s="1525"/>
      <c r="AK92" s="1525"/>
      <c r="AL92" s="1525"/>
      <c r="AM92" s="1525"/>
      <c r="AN92" s="1525"/>
      <c r="AO92" s="1525"/>
      <c r="AP92" s="1525"/>
      <c r="AQ92" s="1525"/>
      <c r="AR92" s="1525"/>
      <c r="AS92" s="1525"/>
      <c r="AU92" s="1525"/>
      <c r="AV92" s="1295"/>
      <c r="AW92" s="1525"/>
      <c r="AX92" s="1525"/>
      <c r="AY92" s="1525"/>
      <c r="AZ92" s="1525"/>
      <c r="BA92" s="1525"/>
      <c r="BB92" s="1525"/>
      <c r="BC92" s="1525"/>
      <c r="BD92" s="1525"/>
      <c r="BE92" s="1525"/>
      <c r="BF92" s="1525"/>
      <c r="BG92" s="1525"/>
      <c r="BH92" s="1525"/>
      <c r="BI92" s="1525"/>
      <c r="BJ92" s="1525"/>
      <c r="BK92" s="1525"/>
      <c r="BL92" s="1525"/>
      <c r="BM92" s="1525"/>
      <c r="BN92" s="1525"/>
      <c r="BO92" s="1525"/>
      <c r="BP92" s="1525"/>
      <c r="BQ92" s="1525"/>
      <c r="BR92" s="1525"/>
      <c r="BS92" s="1525"/>
      <c r="BT92" s="1670"/>
      <c r="BV92"/>
      <c r="BW92" s="862"/>
    </row>
    <row r="93" spans="2:75" s="164" customFormat="1" ht="12.75" customHeight="1" x14ac:dyDescent="0.2">
      <c r="B93" s="175">
        <f>B92+1</f>
        <v>1</v>
      </c>
      <c r="C93" s="1100">
        <v>5</v>
      </c>
      <c r="D93" s="422"/>
      <c r="E93" s="1101" t="s">
        <v>1032</v>
      </c>
      <c r="F93" s="476" t="s">
        <v>166</v>
      </c>
      <c r="G93" s="862" t="s">
        <v>256</v>
      </c>
      <c r="H93" s="1413">
        <v>6651</v>
      </c>
      <c r="I93" s="1102" t="s">
        <v>351</v>
      </c>
      <c r="J93" s="174"/>
      <c r="K93" s="836"/>
      <c r="L93" s="861">
        <v>1</v>
      </c>
      <c r="M93" s="858">
        <f>K93+L93</f>
        <v>1</v>
      </c>
      <c r="N93" s="836" t="s">
        <v>1326</v>
      </c>
      <c r="O93" s="1196">
        <v>20871</v>
      </c>
      <c r="P93" s="550">
        <f ca="1">YEARFRAC(TODAY(),O93)</f>
        <v>60.616666666666667</v>
      </c>
      <c r="Q93" s="1153">
        <v>52100</v>
      </c>
      <c r="R93" s="874">
        <f>Q93*0.1</f>
        <v>5210</v>
      </c>
      <c r="S93" s="876"/>
      <c r="T93" s="876">
        <v>30000</v>
      </c>
      <c r="U93" s="876"/>
      <c r="V93" s="876"/>
      <c r="W93" s="876"/>
      <c r="X93" s="1026">
        <f t="shared" ref="X93:X104" si="60">(Q93+R93+S93+T93+U93+V93+W93)*M93</f>
        <v>87310</v>
      </c>
      <c r="Y93" s="1512">
        <f t="shared" ref="Y93:Y104" si="61">(T93+U93)*M93/(X93-M93*(T93+U93))</f>
        <v>0.5234688536032106</v>
      </c>
      <c r="Z93" s="1741">
        <f>M93*(1+Y93)</f>
        <v>1.5234688536032106</v>
      </c>
      <c r="AA93" s="1749">
        <f t="shared" ref="AA93:AA104" si="62">SUM(AD93:AS93)</f>
        <v>0</v>
      </c>
      <c r="AB93" s="1810">
        <f t="shared" ref="AB93:AB104" si="63">100*AA93/Z93</f>
        <v>0</v>
      </c>
      <c r="AC93" s="876"/>
      <c r="AD93" s="1525">
        <f t="shared" ref="AD93:AS104" si="64">SUMIF($AV$6:$BS$6,AD$5,$AV93:$BS93)</f>
        <v>0</v>
      </c>
      <c r="AE93" s="1525">
        <f t="shared" si="64"/>
        <v>0</v>
      </c>
      <c r="AF93" s="1525">
        <f t="shared" si="64"/>
        <v>0</v>
      </c>
      <c r="AG93" s="1525">
        <f t="shared" si="64"/>
        <v>0</v>
      </c>
      <c r="AH93" s="1525">
        <f t="shared" si="64"/>
        <v>0</v>
      </c>
      <c r="AI93" s="1525">
        <f t="shared" si="64"/>
        <v>0</v>
      </c>
      <c r="AJ93" s="1525">
        <f t="shared" si="64"/>
        <v>0</v>
      </c>
      <c r="AK93" s="1525">
        <f t="shared" si="64"/>
        <v>0</v>
      </c>
      <c r="AL93" s="1525">
        <f t="shared" si="64"/>
        <v>0</v>
      </c>
      <c r="AM93" s="1525">
        <f t="shared" si="64"/>
        <v>0</v>
      </c>
      <c r="AN93" s="1525">
        <f t="shared" si="64"/>
        <v>0</v>
      </c>
      <c r="AO93" s="1525">
        <f t="shared" si="64"/>
        <v>0</v>
      </c>
      <c r="AP93" s="1525">
        <f t="shared" si="64"/>
        <v>0</v>
      </c>
      <c r="AQ93" s="1525">
        <f t="shared" si="64"/>
        <v>0</v>
      </c>
      <c r="AR93" s="1525">
        <f t="shared" si="64"/>
        <v>0</v>
      </c>
      <c r="AS93" s="1525">
        <f t="shared" si="64"/>
        <v>0</v>
      </c>
      <c r="AU93" s="1525"/>
      <c r="AV93" s="1295"/>
      <c r="AW93" s="1525"/>
      <c r="AX93" s="1525"/>
      <c r="AY93" s="1525"/>
      <c r="AZ93" s="1525"/>
      <c r="BA93" s="1525"/>
      <c r="BB93" s="1525"/>
      <c r="BC93" s="1525"/>
      <c r="BD93" s="1525"/>
      <c r="BE93" s="1525"/>
      <c r="BF93" s="1525"/>
      <c r="BG93" s="1525"/>
      <c r="BH93" s="1525"/>
      <c r="BI93" s="1525"/>
      <c r="BJ93" s="1525"/>
      <c r="BK93" s="1525"/>
      <c r="BL93" s="1525"/>
      <c r="BM93" s="1525"/>
      <c r="BN93" s="1525"/>
      <c r="BO93" s="1525"/>
      <c r="BP93" s="1525"/>
      <c r="BQ93" s="1525"/>
      <c r="BR93" s="1525"/>
      <c r="BS93" s="1525"/>
      <c r="BT93" s="1670">
        <f t="shared" ref="BT93:BT104" si="65">SUM(AV93:BS93)</f>
        <v>0</v>
      </c>
      <c r="BV93"/>
      <c r="BW93" s="862" t="s">
        <v>256</v>
      </c>
    </row>
    <row r="94" spans="2:75" s="164" customFormat="1" ht="12.75" customHeight="1" x14ac:dyDescent="0.2">
      <c r="B94" s="175">
        <f t="shared" ref="B94:B104" si="66">B93+1</f>
        <v>2</v>
      </c>
      <c r="C94" s="1100">
        <v>12</v>
      </c>
      <c r="D94" s="422"/>
      <c r="E94" s="1101" t="s">
        <v>1032</v>
      </c>
      <c r="F94" s="4" t="s">
        <v>1235</v>
      </c>
      <c r="G94" s="862" t="s">
        <v>257</v>
      </c>
      <c r="H94" s="1413">
        <v>6433</v>
      </c>
      <c r="I94" s="197" t="s">
        <v>583</v>
      </c>
      <c r="J94" s="174"/>
      <c r="K94" s="836"/>
      <c r="L94" s="861">
        <v>1</v>
      </c>
      <c r="M94" s="858">
        <f>K94+L94</f>
        <v>1</v>
      </c>
      <c r="N94" s="836" t="s">
        <v>1402</v>
      </c>
      <c r="O94" s="1196">
        <v>14946</v>
      </c>
      <c r="P94" s="550">
        <f ca="1">YEARFRAC(TODAY(),O94)</f>
        <v>76.836111111111109</v>
      </c>
      <c r="Q94" s="1153">
        <v>33600</v>
      </c>
      <c r="R94" s="874">
        <f>Q94*0.1</f>
        <v>3360</v>
      </c>
      <c r="S94" s="876"/>
      <c r="T94" s="876">
        <v>20900</v>
      </c>
      <c r="U94" s="876"/>
      <c r="V94" s="876"/>
      <c r="W94" s="876"/>
      <c r="X94" s="1026">
        <f t="shared" si="60"/>
        <v>57860</v>
      </c>
      <c r="Y94" s="1512">
        <f t="shared" si="61"/>
        <v>0.56547619047619047</v>
      </c>
      <c r="Z94" s="1741">
        <f>M94*(1+Y94)</f>
        <v>1.5654761904761905</v>
      </c>
      <c r="AA94" s="1749">
        <f t="shared" si="62"/>
        <v>0</v>
      </c>
      <c r="AB94" s="1810">
        <f t="shared" si="63"/>
        <v>0</v>
      </c>
      <c r="AC94" s="876"/>
      <c r="AD94" s="1525">
        <f t="shared" si="64"/>
        <v>0</v>
      </c>
      <c r="AE94" s="1525">
        <f t="shared" si="64"/>
        <v>0</v>
      </c>
      <c r="AF94" s="1525">
        <f t="shared" si="64"/>
        <v>0</v>
      </c>
      <c r="AG94" s="1525">
        <f t="shared" si="64"/>
        <v>0</v>
      </c>
      <c r="AH94" s="1525">
        <f t="shared" si="64"/>
        <v>0</v>
      </c>
      <c r="AI94" s="1525">
        <f t="shared" si="64"/>
        <v>0</v>
      </c>
      <c r="AJ94" s="1525">
        <f t="shared" si="64"/>
        <v>0</v>
      </c>
      <c r="AK94" s="1525">
        <f t="shared" si="64"/>
        <v>0</v>
      </c>
      <c r="AL94" s="1525">
        <f t="shared" si="64"/>
        <v>0</v>
      </c>
      <c r="AM94" s="1525">
        <f t="shared" si="64"/>
        <v>0</v>
      </c>
      <c r="AN94" s="1525">
        <f t="shared" si="64"/>
        <v>0</v>
      </c>
      <c r="AO94" s="1525">
        <f t="shared" si="64"/>
        <v>0</v>
      </c>
      <c r="AP94" s="1525">
        <f t="shared" si="64"/>
        <v>0</v>
      </c>
      <c r="AQ94" s="1525">
        <f t="shared" si="64"/>
        <v>0</v>
      </c>
      <c r="AR94" s="1525">
        <f t="shared" si="64"/>
        <v>0</v>
      </c>
      <c r="AS94" s="1525">
        <f t="shared" si="64"/>
        <v>0</v>
      </c>
      <c r="AU94" s="1525"/>
      <c r="AV94" s="1295"/>
      <c r="AW94" s="1525"/>
      <c r="AX94" s="1525"/>
      <c r="AY94" s="1525"/>
      <c r="AZ94" s="1525"/>
      <c r="BA94" s="1525"/>
      <c r="BB94" s="1525"/>
      <c r="BC94" s="1525"/>
      <c r="BD94" s="1525"/>
      <c r="BE94" s="1525"/>
      <c r="BF94" s="1525"/>
      <c r="BG94" s="1525"/>
      <c r="BH94" s="1525"/>
      <c r="BI94" s="1525"/>
      <c r="BJ94" s="1525"/>
      <c r="BK94" s="1525"/>
      <c r="BL94" s="1525"/>
      <c r="BM94" s="1525"/>
      <c r="BN94" s="1525"/>
      <c r="BO94" s="1525"/>
      <c r="BP94" s="1525"/>
      <c r="BQ94" s="1525"/>
      <c r="BR94" s="1525"/>
      <c r="BS94" s="1525"/>
      <c r="BT94" s="1670">
        <f t="shared" si="65"/>
        <v>0</v>
      </c>
      <c r="BV94"/>
      <c r="BW94" s="862" t="s">
        <v>257</v>
      </c>
    </row>
    <row r="95" spans="2:75" s="164" customFormat="1" ht="12.75" customHeight="1" x14ac:dyDescent="0.2">
      <c r="B95" s="175">
        <f t="shared" si="66"/>
        <v>3</v>
      </c>
      <c r="C95" s="1100">
        <v>14</v>
      </c>
      <c r="D95" s="422"/>
      <c r="E95" s="1101" t="s">
        <v>1032</v>
      </c>
      <c r="F95" s="4" t="s">
        <v>1158</v>
      </c>
      <c r="G95" s="862" t="s">
        <v>1879</v>
      </c>
      <c r="H95" s="1413">
        <v>160771</v>
      </c>
      <c r="I95" s="197" t="s">
        <v>583</v>
      </c>
      <c r="J95" s="174"/>
      <c r="K95" s="836"/>
      <c r="L95" s="861">
        <v>1</v>
      </c>
      <c r="M95" s="858">
        <v>1</v>
      </c>
      <c r="N95" s="836" t="s">
        <v>892</v>
      </c>
      <c r="O95" s="1196">
        <v>29049</v>
      </c>
      <c r="P95" s="550">
        <f ca="1">YEARFRAC(TODAY(),O95)</f>
        <v>38.219444444444441</v>
      </c>
      <c r="Q95" s="1153">
        <v>26500</v>
      </c>
      <c r="R95" s="874"/>
      <c r="S95" s="876"/>
      <c r="T95" s="876"/>
      <c r="U95" s="876"/>
      <c r="V95" s="876"/>
      <c r="W95" s="876"/>
      <c r="X95" s="1026">
        <f t="shared" si="60"/>
        <v>26500</v>
      </c>
      <c r="Y95" s="1512">
        <f t="shared" si="61"/>
        <v>0</v>
      </c>
      <c r="Z95" s="1741">
        <f>M95*(1+Y95)</f>
        <v>1</v>
      </c>
      <c r="AA95" s="1749">
        <f t="shared" si="62"/>
        <v>0</v>
      </c>
      <c r="AB95" s="1810">
        <f t="shared" si="63"/>
        <v>0</v>
      </c>
      <c r="AC95" s="876"/>
      <c r="AD95" s="1525">
        <f t="shared" si="64"/>
        <v>0</v>
      </c>
      <c r="AE95" s="1525">
        <f t="shared" si="64"/>
        <v>0</v>
      </c>
      <c r="AF95" s="1525">
        <f t="shared" si="64"/>
        <v>0</v>
      </c>
      <c r="AG95" s="1525">
        <f t="shared" si="64"/>
        <v>0</v>
      </c>
      <c r="AH95" s="1525">
        <f t="shared" si="64"/>
        <v>0</v>
      </c>
      <c r="AI95" s="1525">
        <f t="shared" si="64"/>
        <v>0</v>
      </c>
      <c r="AJ95" s="1525">
        <f t="shared" si="64"/>
        <v>0</v>
      </c>
      <c r="AK95" s="1525">
        <f t="shared" si="64"/>
        <v>0</v>
      </c>
      <c r="AL95" s="1525">
        <f t="shared" si="64"/>
        <v>0</v>
      </c>
      <c r="AM95" s="1525">
        <f t="shared" si="64"/>
        <v>0</v>
      </c>
      <c r="AN95" s="1525">
        <f t="shared" si="64"/>
        <v>0</v>
      </c>
      <c r="AO95" s="1525">
        <f t="shared" si="64"/>
        <v>0</v>
      </c>
      <c r="AP95" s="1525">
        <f t="shared" si="64"/>
        <v>0</v>
      </c>
      <c r="AQ95" s="1525">
        <f t="shared" si="64"/>
        <v>0</v>
      </c>
      <c r="AR95" s="1525">
        <f t="shared" si="64"/>
        <v>0</v>
      </c>
      <c r="AS95" s="1525">
        <f t="shared" si="64"/>
        <v>0</v>
      </c>
      <c r="AU95" s="1525"/>
      <c r="AV95" s="1295"/>
      <c r="AW95" s="1525"/>
      <c r="AX95" s="1525"/>
      <c r="AY95" s="1525"/>
      <c r="AZ95" s="1525"/>
      <c r="BA95" s="1525"/>
      <c r="BB95" s="1525"/>
      <c r="BC95" s="1525"/>
      <c r="BD95" s="1525"/>
      <c r="BE95" s="1525"/>
      <c r="BF95" s="1525"/>
      <c r="BG95" s="1525"/>
      <c r="BH95" s="1525"/>
      <c r="BI95" s="1525"/>
      <c r="BJ95" s="1525"/>
      <c r="BK95" s="1525"/>
      <c r="BL95" s="1525"/>
      <c r="BM95" s="1525"/>
      <c r="BN95" s="1525"/>
      <c r="BO95" s="1525"/>
      <c r="BP95" s="1525"/>
      <c r="BQ95" s="1525"/>
      <c r="BR95" s="1525"/>
      <c r="BS95" s="1525"/>
      <c r="BT95" s="1670">
        <f t="shared" si="65"/>
        <v>0</v>
      </c>
      <c r="BV95"/>
      <c r="BW95" s="1545" t="s">
        <v>1879</v>
      </c>
    </row>
    <row r="96" spans="2:75" s="164" customFormat="1" ht="12.75" customHeight="1" x14ac:dyDescent="0.2">
      <c r="B96" s="175">
        <f t="shared" si="66"/>
        <v>4</v>
      </c>
      <c r="C96" s="1100">
        <v>14</v>
      </c>
      <c r="D96" s="422"/>
      <c r="E96" s="1101" t="s">
        <v>1032</v>
      </c>
      <c r="F96" s="4" t="s">
        <v>1158</v>
      </c>
      <c r="G96" s="862" t="s">
        <v>1735</v>
      </c>
      <c r="H96" s="1413">
        <v>151280</v>
      </c>
      <c r="I96" s="197" t="s">
        <v>583</v>
      </c>
      <c r="J96" s="174"/>
      <c r="K96" s="836"/>
      <c r="L96" s="861">
        <v>1</v>
      </c>
      <c r="M96" s="858">
        <v>1</v>
      </c>
      <c r="N96" s="836" t="s">
        <v>892</v>
      </c>
      <c r="O96" s="1196">
        <v>27426</v>
      </c>
      <c r="P96" s="550">
        <f ca="1">YEARFRAC(TODAY(),O96)</f>
        <v>42.669444444444444</v>
      </c>
      <c r="Q96" s="1153">
        <v>27500</v>
      </c>
      <c r="R96" s="874"/>
      <c r="S96" s="876"/>
      <c r="T96" s="876"/>
      <c r="U96" s="876"/>
      <c r="V96" s="876"/>
      <c r="W96" s="876"/>
      <c r="X96" s="1026">
        <f t="shared" si="60"/>
        <v>27500</v>
      </c>
      <c r="Y96" s="1512">
        <f t="shared" si="61"/>
        <v>0</v>
      </c>
      <c r="Z96" s="1741">
        <f t="shared" ref="Z96:Z104" si="67">M96*(1+Y96)</f>
        <v>1</v>
      </c>
      <c r="AA96" s="1749">
        <f t="shared" si="62"/>
        <v>0</v>
      </c>
      <c r="AB96" s="1810">
        <f t="shared" si="63"/>
        <v>0</v>
      </c>
      <c r="AC96" s="876"/>
      <c r="AD96" s="1525">
        <f t="shared" si="64"/>
        <v>0</v>
      </c>
      <c r="AE96" s="1525">
        <f t="shared" si="64"/>
        <v>0</v>
      </c>
      <c r="AF96" s="1525">
        <f t="shared" si="64"/>
        <v>0</v>
      </c>
      <c r="AG96" s="1525">
        <f t="shared" si="64"/>
        <v>0</v>
      </c>
      <c r="AH96" s="1525">
        <f t="shared" si="64"/>
        <v>0</v>
      </c>
      <c r="AI96" s="1525">
        <f t="shared" si="64"/>
        <v>0</v>
      </c>
      <c r="AJ96" s="1525">
        <f t="shared" si="64"/>
        <v>0</v>
      </c>
      <c r="AK96" s="1525">
        <f t="shared" si="64"/>
        <v>0</v>
      </c>
      <c r="AL96" s="1525">
        <f t="shared" si="64"/>
        <v>0</v>
      </c>
      <c r="AM96" s="1525">
        <f t="shared" si="64"/>
        <v>0</v>
      </c>
      <c r="AN96" s="1525">
        <f t="shared" si="64"/>
        <v>0</v>
      </c>
      <c r="AO96" s="1525">
        <f t="shared" si="64"/>
        <v>0</v>
      </c>
      <c r="AP96" s="1525">
        <f t="shared" si="64"/>
        <v>0</v>
      </c>
      <c r="AQ96" s="1525">
        <f t="shared" si="64"/>
        <v>0</v>
      </c>
      <c r="AR96" s="1525">
        <f t="shared" si="64"/>
        <v>0</v>
      </c>
      <c r="AS96" s="1525">
        <f t="shared" si="64"/>
        <v>0</v>
      </c>
      <c r="AU96" s="1525"/>
      <c r="AV96" s="1295"/>
      <c r="AW96" s="1525"/>
      <c r="AX96" s="1525"/>
      <c r="AY96" s="1525"/>
      <c r="AZ96" s="1525"/>
      <c r="BA96" s="1525"/>
      <c r="BB96" s="1525"/>
      <c r="BC96" s="1525"/>
      <c r="BD96" s="1525"/>
      <c r="BE96" s="1525"/>
      <c r="BF96" s="1525"/>
      <c r="BG96" s="1525"/>
      <c r="BH96" s="1525"/>
      <c r="BI96" s="1525"/>
      <c r="BJ96" s="1525"/>
      <c r="BK96" s="1525"/>
      <c r="BL96" s="1525"/>
      <c r="BM96" s="1525"/>
      <c r="BN96" s="1525"/>
      <c r="BO96" s="1525"/>
      <c r="BP96" s="1525"/>
      <c r="BQ96" s="1525"/>
      <c r="BR96" s="1525"/>
      <c r="BS96" s="1525"/>
      <c r="BT96" s="1670">
        <f t="shared" si="65"/>
        <v>0</v>
      </c>
      <c r="BV96"/>
      <c r="BW96" s="862" t="s">
        <v>1735</v>
      </c>
    </row>
    <row r="97" spans="2:75" s="164" customFormat="1" ht="12.75" customHeight="1" x14ac:dyDescent="0.2">
      <c r="B97" s="175">
        <f t="shared" si="66"/>
        <v>5</v>
      </c>
      <c r="C97" s="1100">
        <v>17</v>
      </c>
      <c r="D97" s="422"/>
      <c r="E97" s="1101" t="s">
        <v>1032</v>
      </c>
      <c r="F97" s="4" t="s">
        <v>1643</v>
      </c>
      <c r="G97" s="862" t="s">
        <v>1736</v>
      </c>
      <c r="H97" s="1413">
        <v>151249</v>
      </c>
      <c r="I97" s="197" t="s">
        <v>583</v>
      </c>
      <c r="J97" s="174"/>
      <c r="K97" s="836"/>
      <c r="L97" s="861">
        <v>1</v>
      </c>
      <c r="M97" s="858">
        <v>1</v>
      </c>
      <c r="N97" s="836" t="s">
        <v>892</v>
      </c>
      <c r="O97" s="1196">
        <v>26458</v>
      </c>
      <c r="P97" s="1218">
        <f t="shared" ref="P97:P104" ca="1" si="68">YEARFRAC(TODAY(),O97)</f>
        <v>45.31666666666667</v>
      </c>
      <c r="Q97" s="1153">
        <v>23400</v>
      </c>
      <c r="R97" s="874"/>
      <c r="S97" s="876"/>
      <c r="T97" s="876"/>
      <c r="U97" s="876"/>
      <c r="V97" s="876"/>
      <c r="W97" s="876"/>
      <c r="X97" s="1026">
        <f t="shared" si="60"/>
        <v>23400</v>
      </c>
      <c r="Y97" s="1512">
        <f t="shared" si="61"/>
        <v>0</v>
      </c>
      <c r="Z97" s="1741">
        <f t="shared" si="67"/>
        <v>1</v>
      </c>
      <c r="AA97" s="1749">
        <f t="shared" si="62"/>
        <v>0</v>
      </c>
      <c r="AB97" s="1810">
        <f t="shared" si="63"/>
        <v>0</v>
      </c>
      <c r="AC97" s="876"/>
      <c r="AD97" s="1525">
        <f t="shared" si="64"/>
        <v>0</v>
      </c>
      <c r="AE97" s="1525">
        <f t="shared" si="64"/>
        <v>0</v>
      </c>
      <c r="AF97" s="1525">
        <f t="shared" si="64"/>
        <v>0</v>
      </c>
      <c r="AG97" s="1525">
        <f t="shared" si="64"/>
        <v>0</v>
      </c>
      <c r="AH97" s="1525">
        <f t="shared" si="64"/>
        <v>0</v>
      </c>
      <c r="AI97" s="1525">
        <f t="shared" si="64"/>
        <v>0</v>
      </c>
      <c r="AJ97" s="1525">
        <f t="shared" si="64"/>
        <v>0</v>
      </c>
      <c r="AK97" s="1525">
        <f t="shared" si="64"/>
        <v>0</v>
      </c>
      <c r="AL97" s="1525">
        <f t="shared" si="64"/>
        <v>0</v>
      </c>
      <c r="AM97" s="1525">
        <f t="shared" si="64"/>
        <v>0</v>
      </c>
      <c r="AN97" s="1525">
        <f t="shared" si="64"/>
        <v>0</v>
      </c>
      <c r="AO97" s="1525">
        <f t="shared" si="64"/>
        <v>0</v>
      </c>
      <c r="AP97" s="1525">
        <f t="shared" si="64"/>
        <v>0</v>
      </c>
      <c r="AQ97" s="1525">
        <f t="shared" si="64"/>
        <v>0</v>
      </c>
      <c r="AR97" s="1525">
        <f t="shared" si="64"/>
        <v>0</v>
      </c>
      <c r="AS97" s="1525">
        <f t="shared" si="64"/>
        <v>0</v>
      </c>
      <c r="AU97" s="1525"/>
      <c r="AV97" s="1295"/>
      <c r="AW97" s="1525"/>
      <c r="AX97" s="1525"/>
      <c r="AY97" s="1525"/>
      <c r="AZ97" s="1525"/>
      <c r="BA97" s="1525"/>
      <c r="BB97" s="1525"/>
      <c r="BC97" s="1525"/>
      <c r="BD97" s="1525"/>
      <c r="BE97" s="1525"/>
      <c r="BF97" s="1525"/>
      <c r="BG97" s="1525"/>
      <c r="BH97" s="1525"/>
      <c r="BI97" s="1525"/>
      <c r="BJ97" s="1525"/>
      <c r="BK97" s="1525"/>
      <c r="BL97" s="1525"/>
      <c r="BM97" s="1525"/>
      <c r="BN97" s="1525"/>
      <c r="BO97" s="1525"/>
      <c r="BP97" s="1525"/>
      <c r="BQ97" s="1525"/>
      <c r="BR97" s="1525"/>
      <c r="BS97" s="1525"/>
      <c r="BT97" s="1670">
        <f t="shared" si="65"/>
        <v>0</v>
      </c>
      <c r="BV97"/>
      <c r="BW97" s="862" t="s">
        <v>1736</v>
      </c>
    </row>
    <row r="98" spans="2:75" s="164" customFormat="1" ht="12.75" customHeight="1" x14ac:dyDescent="0.2">
      <c r="B98" s="175">
        <f t="shared" si="66"/>
        <v>6</v>
      </c>
      <c r="C98" s="1100">
        <v>18</v>
      </c>
      <c r="D98" s="422"/>
      <c r="E98" s="1101" t="s">
        <v>1032</v>
      </c>
      <c r="F98" s="4" t="s">
        <v>738</v>
      </c>
      <c r="G98" s="862" t="s">
        <v>232</v>
      </c>
      <c r="H98" s="1413">
        <v>140011</v>
      </c>
      <c r="I98" s="1102" t="s">
        <v>1442</v>
      </c>
      <c r="J98" s="174"/>
      <c r="K98" s="836"/>
      <c r="L98" s="861">
        <v>1</v>
      </c>
      <c r="M98" s="858">
        <f t="shared" ref="M98:M104" si="69">K98+L98</f>
        <v>1</v>
      </c>
      <c r="N98" s="836" t="s">
        <v>1402</v>
      </c>
      <c r="O98" s="1196">
        <v>19625</v>
      </c>
      <c r="P98" s="1218">
        <f t="shared" ca="1" si="68"/>
        <v>64.025000000000006</v>
      </c>
      <c r="Q98" s="1153">
        <v>23000</v>
      </c>
      <c r="R98" s="874">
        <f>Q98*0.1</f>
        <v>2300</v>
      </c>
      <c r="S98" s="876"/>
      <c r="T98" s="876"/>
      <c r="U98" s="876"/>
      <c r="V98" s="876"/>
      <c r="W98" s="876"/>
      <c r="X98" s="1026">
        <f t="shared" si="60"/>
        <v>25300</v>
      </c>
      <c r="Y98" s="1512">
        <f t="shared" si="61"/>
        <v>0</v>
      </c>
      <c r="Z98" s="1741">
        <f t="shared" si="67"/>
        <v>1</v>
      </c>
      <c r="AA98" s="1749">
        <f t="shared" si="62"/>
        <v>0</v>
      </c>
      <c r="AB98" s="1810">
        <f t="shared" si="63"/>
        <v>0</v>
      </c>
      <c r="AC98" s="876"/>
      <c r="AD98" s="1525">
        <f t="shared" si="64"/>
        <v>0</v>
      </c>
      <c r="AE98" s="1525">
        <f t="shared" si="64"/>
        <v>0</v>
      </c>
      <c r="AF98" s="1525">
        <f t="shared" si="64"/>
        <v>0</v>
      </c>
      <c r="AG98" s="1525">
        <f t="shared" si="64"/>
        <v>0</v>
      </c>
      <c r="AH98" s="1525">
        <f t="shared" si="64"/>
        <v>0</v>
      </c>
      <c r="AI98" s="1525">
        <f t="shared" si="64"/>
        <v>0</v>
      </c>
      <c r="AJ98" s="1525">
        <f t="shared" si="64"/>
        <v>0</v>
      </c>
      <c r="AK98" s="1525">
        <f t="shared" si="64"/>
        <v>0</v>
      </c>
      <c r="AL98" s="1525">
        <f t="shared" si="64"/>
        <v>0</v>
      </c>
      <c r="AM98" s="1525">
        <f t="shared" si="64"/>
        <v>0</v>
      </c>
      <c r="AN98" s="1525">
        <f t="shared" si="64"/>
        <v>0</v>
      </c>
      <c r="AO98" s="1525">
        <f t="shared" si="64"/>
        <v>0</v>
      </c>
      <c r="AP98" s="1525">
        <f t="shared" si="64"/>
        <v>0</v>
      </c>
      <c r="AQ98" s="1525">
        <f t="shared" si="64"/>
        <v>0</v>
      </c>
      <c r="AR98" s="1525">
        <f t="shared" si="64"/>
        <v>0</v>
      </c>
      <c r="AS98" s="1525">
        <f t="shared" si="64"/>
        <v>0</v>
      </c>
      <c r="AU98" s="1525"/>
      <c r="AV98" s="1295"/>
      <c r="AW98" s="1525"/>
      <c r="AX98" s="1525"/>
      <c r="AY98" s="1525"/>
      <c r="AZ98" s="1525"/>
      <c r="BA98" s="1525"/>
      <c r="BB98" s="1525"/>
      <c r="BC98" s="1525"/>
      <c r="BD98" s="1525"/>
      <c r="BE98" s="1525"/>
      <c r="BF98" s="1525"/>
      <c r="BG98" s="1525"/>
      <c r="BH98" s="1525"/>
      <c r="BI98" s="1525"/>
      <c r="BJ98" s="1525"/>
      <c r="BK98" s="1525"/>
      <c r="BL98" s="1525"/>
      <c r="BM98" s="1525"/>
      <c r="BN98" s="1525"/>
      <c r="BO98" s="1525"/>
      <c r="BP98" s="1525"/>
      <c r="BQ98" s="1525"/>
      <c r="BR98" s="1525"/>
      <c r="BS98" s="1525"/>
      <c r="BT98" s="1670">
        <f t="shared" si="65"/>
        <v>0</v>
      </c>
      <c r="BV98"/>
      <c r="BW98" s="862" t="s">
        <v>232</v>
      </c>
    </row>
    <row r="99" spans="2:75" s="164" customFormat="1" ht="12.75" customHeight="1" x14ac:dyDescent="0.2">
      <c r="B99" s="175">
        <f t="shared" si="66"/>
        <v>7</v>
      </c>
      <c r="C99" s="1100">
        <v>18</v>
      </c>
      <c r="D99" s="547"/>
      <c r="E99" s="1101" t="s">
        <v>1032</v>
      </c>
      <c r="F99" s="476" t="s">
        <v>460</v>
      </c>
      <c r="G99" s="862" t="s">
        <v>839</v>
      </c>
      <c r="H99" s="1412">
        <v>6942</v>
      </c>
      <c r="I99" s="1102" t="s">
        <v>1442</v>
      </c>
      <c r="J99" s="174"/>
      <c r="K99" s="836"/>
      <c r="L99" s="861">
        <v>1</v>
      </c>
      <c r="M99" s="861">
        <f t="shared" si="69"/>
        <v>1</v>
      </c>
      <c r="N99" s="836" t="s">
        <v>1326</v>
      </c>
      <c r="O99" s="1196">
        <v>19975</v>
      </c>
      <c r="P99" s="1218">
        <f t="shared" ca="1" si="68"/>
        <v>63.06666666666667</v>
      </c>
      <c r="Q99" s="1153">
        <v>23000</v>
      </c>
      <c r="R99" s="874">
        <f>Q99*0.1</f>
        <v>2300</v>
      </c>
      <c r="S99" s="876"/>
      <c r="T99" s="876"/>
      <c r="U99" s="876"/>
      <c r="V99" s="876"/>
      <c r="W99" s="876"/>
      <c r="X99" s="1026">
        <f t="shared" si="60"/>
        <v>25300</v>
      </c>
      <c r="Y99" s="1512">
        <f t="shared" si="61"/>
        <v>0</v>
      </c>
      <c r="Z99" s="1741">
        <f t="shared" si="67"/>
        <v>1</v>
      </c>
      <c r="AA99" s="1749">
        <f t="shared" si="62"/>
        <v>0</v>
      </c>
      <c r="AB99" s="1810">
        <f t="shared" si="63"/>
        <v>0</v>
      </c>
      <c r="AC99" s="876"/>
      <c r="AD99" s="1525">
        <f t="shared" si="64"/>
        <v>0</v>
      </c>
      <c r="AE99" s="1525">
        <f t="shared" si="64"/>
        <v>0</v>
      </c>
      <c r="AF99" s="1525">
        <f t="shared" si="64"/>
        <v>0</v>
      </c>
      <c r="AG99" s="1525">
        <f t="shared" si="64"/>
        <v>0</v>
      </c>
      <c r="AH99" s="1525">
        <f t="shared" si="64"/>
        <v>0</v>
      </c>
      <c r="AI99" s="1525">
        <f t="shared" si="64"/>
        <v>0</v>
      </c>
      <c r="AJ99" s="1525">
        <f t="shared" si="64"/>
        <v>0</v>
      </c>
      <c r="AK99" s="1525">
        <f t="shared" si="64"/>
        <v>0</v>
      </c>
      <c r="AL99" s="1525">
        <f t="shared" si="64"/>
        <v>0</v>
      </c>
      <c r="AM99" s="1525">
        <f t="shared" si="64"/>
        <v>0</v>
      </c>
      <c r="AN99" s="1525">
        <f t="shared" si="64"/>
        <v>0</v>
      </c>
      <c r="AO99" s="1525">
        <f t="shared" si="64"/>
        <v>0</v>
      </c>
      <c r="AP99" s="1525">
        <f t="shared" si="64"/>
        <v>0</v>
      </c>
      <c r="AQ99" s="1525">
        <f t="shared" si="64"/>
        <v>0</v>
      </c>
      <c r="AR99" s="1525">
        <f t="shared" si="64"/>
        <v>0</v>
      </c>
      <c r="AS99" s="1525">
        <f t="shared" si="64"/>
        <v>0</v>
      </c>
      <c r="AU99" s="1525"/>
      <c r="AV99" s="1295"/>
      <c r="AW99" s="1525"/>
      <c r="AX99" s="1525"/>
      <c r="AY99" s="1525"/>
      <c r="AZ99" s="1525"/>
      <c r="BA99" s="1525"/>
      <c r="BB99" s="1525"/>
      <c r="BC99" s="1525"/>
      <c r="BD99" s="1525"/>
      <c r="BE99" s="1525"/>
      <c r="BF99" s="1525"/>
      <c r="BG99" s="1525"/>
      <c r="BH99" s="1525"/>
      <c r="BI99" s="1525"/>
      <c r="BJ99" s="1525"/>
      <c r="BK99" s="1525"/>
      <c r="BL99" s="1525"/>
      <c r="BM99" s="1525"/>
      <c r="BN99" s="1525"/>
      <c r="BO99" s="1525"/>
      <c r="BP99" s="1525"/>
      <c r="BQ99" s="1525"/>
      <c r="BR99" s="1525"/>
      <c r="BS99" s="1525"/>
      <c r="BT99" s="1670">
        <f t="shared" si="65"/>
        <v>0</v>
      </c>
      <c r="BV99"/>
      <c r="BW99" s="862" t="s">
        <v>839</v>
      </c>
    </row>
    <row r="100" spans="2:75" s="164" customFormat="1" ht="12.75" customHeight="1" x14ac:dyDescent="0.2">
      <c r="B100" s="175">
        <f>B99+1</f>
        <v>8</v>
      </c>
      <c r="C100" s="1100">
        <v>18</v>
      </c>
      <c r="D100" s="547"/>
      <c r="E100" s="1101" t="s">
        <v>1032</v>
      </c>
      <c r="F100" s="4" t="s">
        <v>1962</v>
      </c>
      <c r="G100" s="862" t="s">
        <v>1874</v>
      </c>
      <c r="H100" s="1412">
        <v>160125</v>
      </c>
      <c r="I100" s="1102" t="s">
        <v>1442</v>
      </c>
      <c r="J100" s="174"/>
      <c r="K100" s="836"/>
      <c r="L100" s="861">
        <v>1</v>
      </c>
      <c r="M100" s="861">
        <f t="shared" si="69"/>
        <v>1</v>
      </c>
      <c r="N100" s="836" t="s">
        <v>892</v>
      </c>
      <c r="O100" s="1196">
        <v>27628</v>
      </c>
      <c r="P100" s="1218">
        <f t="shared" ca="1" si="68"/>
        <v>42.111111111111114</v>
      </c>
      <c r="Q100" s="1153">
        <v>23000</v>
      </c>
      <c r="R100" s="874"/>
      <c r="S100" s="876"/>
      <c r="T100" s="876"/>
      <c r="U100" s="876"/>
      <c r="V100" s="876"/>
      <c r="W100" s="876"/>
      <c r="X100" s="1026">
        <f t="shared" si="60"/>
        <v>23000</v>
      </c>
      <c r="Y100" s="1512">
        <f t="shared" si="61"/>
        <v>0</v>
      </c>
      <c r="Z100" s="1741">
        <f t="shared" si="67"/>
        <v>1</v>
      </c>
      <c r="AA100" s="1749">
        <f t="shared" si="62"/>
        <v>0</v>
      </c>
      <c r="AB100" s="1810">
        <f t="shared" si="63"/>
        <v>0</v>
      </c>
      <c r="AC100" s="876"/>
      <c r="AD100" s="1525">
        <f t="shared" si="64"/>
        <v>0</v>
      </c>
      <c r="AE100" s="1525">
        <f t="shared" si="64"/>
        <v>0</v>
      </c>
      <c r="AF100" s="1525">
        <f t="shared" si="64"/>
        <v>0</v>
      </c>
      <c r="AG100" s="1525">
        <f t="shared" si="64"/>
        <v>0</v>
      </c>
      <c r="AH100" s="1525">
        <f t="shared" si="64"/>
        <v>0</v>
      </c>
      <c r="AI100" s="1525">
        <f t="shared" si="64"/>
        <v>0</v>
      </c>
      <c r="AJ100" s="1525">
        <f t="shared" si="64"/>
        <v>0</v>
      </c>
      <c r="AK100" s="1525">
        <f t="shared" si="64"/>
        <v>0</v>
      </c>
      <c r="AL100" s="1525">
        <f t="shared" si="64"/>
        <v>0</v>
      </c>
      <c r="AM100" s="1525">
        <f t="shared" si="64"/>
        <v>0</v>
      </c>
      <c r="AN100" s="1525">
        <f t="shared" si="64"/>
        <v>0</v>
      </c>
      <c r="AO100" s="1525">
        <f t="shared" si="64"/>
        <v>0</v>
      </c>
      <c r="AP100" s="1525">
        <f t="shared" si="64"/>
        <v>0</v>
      </c>
      <c r="AQ100" s="1525">
        <f t="shared" si="64"/>
        <v>0</v>
      </c>
      <c r="AR100" s="1525">
        <f t="shared" si="64"/>
        <v>0</v>
      </c>
      <c r="AS100" s="1525">
        <f t="shared" si="64"/>
        <v>0</v>
      </c>
      <c r="AU100" s="1525"/>
      <c r="AV100" s="1295"/>
      <c r="AW100" s="1525"/>
      <c r="AX100" s="1525"/>
      <c r="AY100" s="1525"/>
      <c r="AZ100" s="1525"/>
      <c r="BA100" s="1525"/>
      <c r="BB100" s="1525"/>
      <c r="BC100" s="1525"/>
      <c r="BD100" s="1525"/>
      <c r="BE100" s="1525"/>
      <c r="BF100" s="1525"/>
      <c r="BG100" s="1525"/>
      <c r="BH100" s="1525"/>
      <c r="BI100" s="1525"/>
      <c r="BJ100" s="1525"/>
      <c r="BK100" s="1525"/>
      <c r="BL100" s="1525"/>
      <c r="BM100" s="1525"/>
      <c r="BN100" s="1525"/>
      <c r="BO100" s="1525"/>
      <c r="BP100" s="1525"/>
      <c r="BQ100" s="1525"/>
      <c r="BR100" s="1525"/>
      <c r="BS100" s="1525"/>
      <c r="BT100" s="1670">
        <f t="shared" si="65"/>
        <v>0</v>
      </c>
      <c r="BV100"/>
      <c r="BW100" s="862" t="s">
        <v>1874</v>
      </c>
    </row>
    <row r="101" spans="2:75" s="164" customFormat="1" ht="12.75" customHeight="1" x14ac:dyDescent="0.2">
      <c r="B101" s="175">
        <f t="shared" si="66"/>
        <v>9</v>
      </c>
      <c r="C101" s="1100">
        <v>18</v>
      </c>
      <c r="D101" s="422"/>
      <c r="E101" s="1101" t="s">
        <v>1032</v>
      </c>
      <c r="F101" s="476" t="s">
        <v>837</v>
      </c>
      <c r="G101" s="862" t="s">
        <v>838</v>
      </c>
      <c r="H101" s="1412">
        <v>76871</v>
      </c>
      <c r="I101" s="1102" t="s">
        <v>1442</v>
      </c>
      <c r="J101" s="174"/>
      <c r="K101" s="836"/>
      <c r="L101" s="861">
        <v>1</v>
      </c>
      <c r="M101" s="861">
        <f>K101+L101</f>
        <v>1</v>
      </c>
      <c r="N101" s="836" t="s">
        <v>1326</v>
      </c>
      <c r="O101" s="1196">
        <v>27465</v>
      </c>
      <c r="P101" s="1218">
        <f ca="1">YEARFRAC(TODAY(),O101)</f>
        <v>42.555555555555557</v>
      </c>
      <c r="Q101" s="1153">
        <v>21000</v>
      </c>
      <c r="R101" s="884">
        <f>Q101*0.1</f>
        <v>2100</v>
      </c>
      <c r="S101" s="876"/>
      <c r="T101" s="876"/>
      <c r="U101" s="876"/>
      <c r="V101" s="876"/>
      <c r="W101" s="876"/>
      <c r="X101" s="1026">
        <f t="shared" si="60"/>
        <v>23100</v>
      </c>
      <c r="Y101" s="1512">
        <f t="shared" si="61"/>
        <v>0</v>
      </c>
      <c r="Z101" s="1741">
        <f t="shared" si="67"/>
        <v>1</v>
      </c>
      <c r="AA101" s="1749">
        <f t="shared" si="62"/>
        <v>0</v>
      </c>
      <c r="AB101" s="1810">
        <f t="shared" si="63"/>
        <v>0</v>
      </c>
      <c r="AC101" s="876"/>
      <c r="AD101" s="1525">
        <f t="shared" si="64"/>
        <v>0</v>
      </c>
      <c r="AE101" s="1525">
        <f t="shared" si="64"/>
        <v>0</v>
      </c>
      <c r="AF101" s="1525">
        <f t="shared" si="64"/>
        <v>0</v>
      </c>
      <c r="AG101" s="1525">
        <f t="shared" si="64"/>
        <v>0</v>
      </c>
      <c r="AH101" s="1525">
        <f t="shared" si="64"/>
        <v>0</v>
      </c>
      <c r="AI101" s="1525">
        <f t="shared" si="64"/>
        <v>0</v>
      </c>
      <c r="AJ101" s="1525">
        <f t="shared" si="64"/>
        <v>0</v>
      </c>
      <c r="AK101" s="1525">
        <f t="shared" si="64"/>
        <v>0</v>
      </c>
      <c r="AL101" s="1525">
        <f t="shared" si="64"/>
        <v>0</v>
      </c>
      <c r="AM101" s="1525">
        <f t="shared" si="64"/>
        <v>0</v>
      </c>
      <c r="AN101" s="1525">
        <f t="shared" si="64"/>
        <v>0</v>
      </c>
      <c r="AO101" s="1525">
        <f t="shared" si="64"/>
        <v>0</v>
      </c>
      <c r="AP101" s="1525">
        <f t="shared" si="64"/>
        <v>0</v>
      </c>
      <c r="AQ101" s="1525">
        <f t="shared" si="64"/>
        <v>0</v>
      </c>
      <c r="AR101" s="1525">
        <f t="shared" si="64"/>
        <v>0</v>
      </c>
      <c r="AS101" s="1525">
        <f t="shared" si="64"/>
        <v>0</v>
      </c>
      <c r="AU101" s="1525"/>
      <c r="AV101" s="1295"/>
      <c r="AW101" s="1525"/>
      <c r="AX101" s="1525"/>
      <c r="AY101" s="1525"/>
      <c r="AZ101" s="1525"/>
      <c r="BA101" s="1525"/>
      <c r="BB101" s="1525"/>
      <c r="BC101" s="1525"/>
      <c r="BD101" s="1525"/>
      <c r="BE101" s="1525"/>
      <c r="BF101" s="1525"/>
      <c r="BG101" s="1525"/>
      <c r="BH101" s="1525"/>
      <c r="BI101" s="1525"/>
      <c r="BJ101" s="1525"/>
      <c r="BK101" s="1525"/>
      <c r="BL101" s="1525"/>
      <c r="BM101" s="1525"/>
      <c r="BN101" s="1525"/>
      <c r="BO101" s="1525"/>
      <c r="BP101" s="1525"/>
      <c r="BQ101" s="1525"/>
      <c r="BR101" s="1525"/>
      <c r="BS101" s="1525"/>
      <c r="BT101" s="1670">
        <f t="shared" si="65"/>
        <v>0</v>
      </c>
      <c r="BV101"/>
      <c r="BW101" s="862" t="s">
        <v>838</v>
      </c>
    </row>
    <row r="102" spans="2:75" s="164" customFormat="1" ht="12.75" customHeight="1" x14ac:dyDescent="0.2">
      <c r="B102" s="175">
        <f t="shared" si="66"/>
        <v>10</v>
      </c>
      <c r="C102" s="1100">
        <v>18</v>
      </c>
      <c r="D102" s="422"/>
      <c r="E102" s="1101" t="s">
        <v>1032</v>
      </c>
      <c r="F102" s="4" t="s">
        <v>1647</v>
      </c>
      <c r="G102" s="862" t="s">
        <v>1982</v>
      </c>
      <c r="H102" s="1412">
        <v>165307</v>
      </c>
      <c r="I102" s="1102" t="s">
        <v>1442</v>
      </c>
      <c r="J102" s="174"/>
      <c r="K102" s="836"/>
      <c r="L102" s="861">
        <v>1</v>
      </c>
      <c r="M102" s="861">
        <f t="shared" si="69"/>
        <v>1</v>
      </c>
      <c r="N102" s="836" t="s">
        <v>892</v>
      </c>
      <c r="O102" s="1196">
        <v>20194</v>
      </c>
      <c r="P102" s="1218">
        <f t="shared" ca="1" si="68"/>
        <v>62.463888888888889</v>
      </c>
      <c r="Q102" s="1153">
        <v>18000</v>
      </c>
      <c r="R102" s="884"/>
      <c r="S102" s="876"/>
      <c r="T102" s="876"/>
      <c r="U102" s="876"/>
      <c r="V102" s="876"/>
      <c r="W102" s="876"/>
      <c r="X102" s="1026">
        <f t="shared" si="60"/>
        <v>18000</v>
      </c>
      <c r="Y102" s="1512">
        <f t="shared" si="61"/>
        <v>0</v>
      </c>
      <c r="Z102" s="1741">
        <f t="shared" si="67"/>
        <v>1</v>
      </c>
      <c r="AA102" s="1749">
        <f t="shared" si="62"/>
        <v>0</v>
      </c>
      <c r="AB102" s="1810">
        <f t="shared" si="63"/>
        <v>0</v>
      </c>
      <c r="AC102" s="876"/>
      <c r="AD102" s="1525">
        <f t="shared" si="64"/>
        <v>0</v>
      </c>
      <c r="AE102" s="1525">
        <f t="shared" si="64"/>
        <v>0</v>
      </c>
      <c r="AF102" s="1525">
        <f t="shared" si="64"/>
        <v>0</v>
      </c>
      <c r="AG102" s="1525">
        <f t="shared" si="64"/>
        <v>0</v>
      </c>
      <c r="AH102" s="1525">
        <f t="shared" si="64"/>
        <v>0</v>
      </c>
      <c r="AI102" s="1525">
        <f t="shared" si="64"/>
        <v>0</v>
      </c>
      <c r="AJ102" s="1525">
        <f t="shared" si="64"/>
        <v>0</v>
      </c>
      <c r="AK102" s="1525">
        <f t="shared" si="64"/>
        <v>0</v>
      </c>
      <c r="AL102" s="1525">
        <f t="shared" si="64"/>
        <v>0</v>
      </c>
      <c r="AM102" s="1525">
        <f t="shared" si="64"/>
        <v>0</v>
      </c>
      <c r="AN102" s="1525">
        <f t="shared" si="64"/>
        <v>0</v>
      </c>
      <c r="AO102" s="1525">
        <f t="shared" si="64"/>
        <v>0</v>
      </c>
      <c r="AP102" s="1525">
        <f t="shared" si="64"/>
        <v>0</v>
      </c>
      <c r="AQ102" s="1525">
        <f t="shared" si="64"/>
        <v>0</v>
      </c>
      <c r="AR102" s="1525">
        <f t="shared" si="64"/>
        <v>0</v>
      </c>
      <c r="AS102" s="1525">
        <f t="shared" si="64"/>
        <v>0</v>
      </c>
      <c r="AU102" s="1525"/>
      <c r="AV102" s="1295"/>
      <c r="AW102" s="1525"/>
      <c r="AX102" s="1525"/>
      <c r="AY102" s="1525"/>
      <c r="AZ102" s="1525"/>
      <c r="BA102" s="1525"/>
      <c r="BB102" s="1525"/>
      <c r="BC102" s="1525"/>
      <c r="BD102" s="1525"/>
      <c r="BE102" s="1525"/>
      <c r="BF102" s="1525"/>
      <c r="BG102" s="1525"/>
      <c r="BH102" s="1525"/>
      <c r="BI102" s="1525"/>
      <c r="BJ102" s="1525"/>
      <c r="BK102" s="1525"/>
      <c r="BL102" s="1525"/>
      <c r="BM102" s="1525"/>
      <c r="BN102" s="1525"/>
      <c r="BO102" s="1525"/>
      <c r="BP102" s="1525"/>
      <c r="BQ102" s="1525"/>
      <c r="BR102" s="1525"/>
      <c r="BS102" s="1525"/>
      <c r="BT102" s="1670">
        <f t="shared" si="65"/>
        <v>0</v>
      </c>
      <c r="BV102"/>
      <c r="BW102" s="862" t="s">
        <v>1982</v>
      </c>
    </row>
    <row r="103" spans="2:75" s="164" customFormat="1" ht="12.75" customHeight="1" x14ac:dyDescent="0.2">
      <c r="B103" s="175">
        <f t="shared" si="66"/>
        <v>11</v>
      </c>
      <c r="C103" s="1100">
        <v>18</v>
      </c>
      <c r="D103" s="422"/>
      <c r="E103" s="1101" t="s">
        <v>1032</v>
      </c>
      <c r="F103" s="4" t="s">
        <v>837</v>
      </c>
      <c r="G103" s="862" t="s">
        <v>233</v>
      </c>
      <c r="H103" s="1413">
        <v>134699</v>
      </c>
      <c r="I103" s="1102" t="s">
        <v>1442</v>
      </c>
      <c r="J103" s="174"/>
      <c r="K103" s="836"/>
      <c r="L103" s="861">
        <v>1</v>
      </c>
      <c r="M103" s="858">
        <f t="shared" si="69"/>
        <v>1</v>
      </c>
      <c r="N103" s="836" t="s">
        <v>1402</v>
      </c>
      <c r="O103" s="1196">
        <v>25715</v>
      </c>
      <c r="P103" s="1218">
        <f t="shared" ca="1" si="68"/>
        <v>47.347222222222221</v>
      </c>
      <c r="Q103" s="1153">
        <v>17800</v>
      </c>
      <c r="R103" s="884">
        <f>Q103*0.1</f>
        <v>1780</v>
      </c>
      <c r="S103" s="876"/>
      <c r="T103" s="876"/>
      <c r="U103" s="876"/>
      <c r="V103" s="876"/>
      <c r="W103" s="876">
        <f>Q103*0.66</f>
        <v>11748</v>
      </c>
      <c r="X103" s="1026">
        <f t="shared" si="60"/>
        <v>31328</v>
      </c>
      <c r="Y103" s="1512">
        <f>(T103+U103+W103)*M103/(X103-M103*(T103+U103+W103))</f>
        <v>0.6</v>
      </c>
      <c r="Z103" s="1741">
        <f t="shared" si="67"/>
        <v>1.6</v>
      </c>
      <c r="AA103" s="1749">
        <f t="shared" si="62"/>
        <v>0</v>
      </c>
      <c r="AB103" s="1810">
        <f t="shared" si="63"/>
        <v>0</v>
      </c>
      <c r="AC103" s="876"/>
      <c r="AD103" s="1525">
        <f t="shared" si="64"/>
        <v>0</v>
      </c>
      <c r="AE103" s="1525">
        <f t="shared" si="64"/>
        <v>0</v>
      </c>
      <c r="AF103" s="1525">
        <f t="shared" si="64"/>
        <v>0</v>
      </c>
      <c r="AG103" s="1525">
        <f t="shared" si="64"/>
        <v>0</v>
      </c>
      <c r="AH103" s="1525">
        <f t="shared" si="64"/>
        <v>0</v>
      </c>
      <c r="AI103" s="1525">
        <f t="shared" si="64"/>
        <v>0</v>
      </c>
      <c r="AJ103" s="1525">
        <f t="shared" si="64"/>
        <v>0</v>
      </c>
      <c r="AK103" s="1525">
        <f t="shared" si="64"/>
        <v>0</v>
      </c>
      <c r="AL103" s="1525">
        <f t="shared" si="64"/>
        <v>0</v>
      </c>
      <c r="AM103" s="1525">
        <f t="shared" si="64"/>
        <v>0</v>
      </c>
      <c r="AN103" s="1525">
        <f t="shared" si="64"/>
        <v>0</v>
      </c>
      <c r="AO103" s="1525">
        <f t="shared" si="64"/>
        <v>0</v>
      </c>
      <c r="AP103" s="1525">
        <f t="shared" si="64"/>
        <v>0</v>
      </c>
      <c r="AQ103" s="1525">
        <f t="shared" si="64"/>
        <v>0</v>
      </c>
      <c r="AR103" s="1525">
        <f t="shared" si="64"/>
        <v>0</v>
      </c>
      <c r="AS103" s="1525">
        <f t="shared" si="64"/>
        <v>0</v>
      </c>
      <c r="AU103" s="1525"/>
      <c r="AV103" s="1295"/>
      <c r="AW103" s="1525"/>
      <c r="AX103" s="1525"/>
      <c r="AY103" s="1525"/>
      <c r="AZ103" s="1525"/>
      <c r="BA103" s="1525"/>
      <c r="BB103" s="1525"/>
      <c r="BC103" s="1525"/>
      <c r="BD103" s="1525"/>
      <c r="BE103" s="1525"/>
      <c r="BF103" s="1525"/>
      <c r="BG103" s="1525"/>
      <c r="BH103" s="1525"/>
      <c r="BI103" s="1525"/>
      <c r="BJ103" s="1525"/>
      <c r="BK103" s="1525"/>
      <c r="BL103" s="1525"/>
      <c r="BM103" s="1525"/>
      <c r="BN103" s="1525"/>
      <c r="BO103" s="1525"/>
      <c r="BP103" s="1525"/>
      <c r="BQ103" s="1525"/>
      <c r="BR103" s="1525"/>
      <c r="BS103" s="1525"/>
      <c r="BT103" s="1670">
        <f t="shared" si="65"/>
        <v>0</v>
      </c>
      <c r="BV103"/>
      <c r="BW103" s="862" t="s">
        <v>233</v>
      </c>
    </row>
    <row r="104" spans="2:75" s="164" customFormat="1" ht="12.75" customHeight="1" x14ac:dyDescent="0.2">
      <c r="B104" s="175">
        <f t="shared" si="66"/>
        <v>12</v>
      </c>
      <c r="C104" s="1100">
        <v>18</v>
      </c>
      <c r="D104" s="422"/>
      <c r="E104" s="1101" t="s">
        <v>1032</v>
      </c>
      <c r="F104" s="26" t="s">
        <v>276</v>
      </c>
      <c r="G104" s="910" t="s">
        <v>13</v>
      </c>
      <c r="H104" s="1414">
        <v>110646</v>
      </c>
      <c r="I104" s="689" t="s">
        <v>1442</v>
      </c>
      <c r="J104" s="174"/>
      <c r="K104" s="836"/>
      <c r="L104" s="873">
        <v>1</v>
      </c>
      <c r="M104" s="873">
        <f t="shared" si="69"/>
        <v>1</v>
      </c>
      <c r="N104" s="872" t="s">
        <v>1326</v>
      </c>
      <c r="O104" s="1196">
        <v>22444</v>
      </c>
      <c r="P104" s="1218">
        <f t="shared" ca="1" si="68"/>
        <v>56.305555555555557</v>
      </c>
      <c r="Q104" s="1153">
        <v>31000</v>
      </c>
      <c r="R104" s="884">
        <f>Q104*0.1</f>
        <v>3100</v>
      </c>
      <c r="S104" s="876"/>
      <c r="T104" s="876"/>
      <c r="U104" s="876"/>
      <c r="V104" s="876"/>
      <c r="W104" s="876"/>
      <c r="X104" s="1026">
        <f t="shared" si="60"/>
        <v>34100</v>
      </c>
      <c r="Y104" s="1512">
        <f t="shared" si="61"/>
        <v>0</v>
      </c>
      <c r="Z104" s="1741">
        <f t="shared" si="67"/>
        <v>1</v>
      </c>
      <c r="AA104" s="1749">
        <f t="shared" si="62"/>
        <v>0</v>
      </c>
      <c r="AB104" s="1810">
        <f t="shared" si="63"/>
        <v>0</v>
      </c>
      <c r="AC104" s="876"/>
      <c r="AD104" s="1525">
        <f t="shared" si="64"/>
        <v>0</v>
      </c>
      <c r="AE104" s="1525">
        <f t="shared" si="64"/>
        <v>0</v>
      </c>
      <c r="AF104" s="1525">
        <f t="shared" si="64"/>
        <v>0</v>
      </c>
      <c r="AG104" s="1525">
        <f t="shared" si="64"/>
        <v>0</v>
      </c>
      <c r="AH104" s="1525">
        <f t="shared" si="64"/>
        <v>0</v>
      </c>
      <c r="AI104" s="1525">
        <f t="shared" si="64"/>
        <v>0</v>
      </c>
      <c r="AJ104" s="1525">
        <f t="shared" si="64"/>
        <v>0</v>
      </c>
      <c r="AK104" s="1525">
        <f t="shared" si="64"/>
        <v>0</v>
      </c>
      <c r="AL104" s="1525">
        <f t="shared" si="64"/>
        <v>0</v>
      </c>
      <c r="AM104" s="1525">
        <f t="shared" si="64"/>
        <v>0</v>
      </c>
      <c r="AN104" s="1525">
        <f t="shared" si="64"/>
        <v>0</v>
      </c>
      <c r="AO104" s="1525">
        <f t="shared" si="64"/>
        <v>0</v>
      </c>
      <c r="AP104" s="1525">
        <f t="shared" si="64"/>
        <v>0</v>
      </c>
      <c r="AQ104" s="1525">
        <f t="shared" si="64"/>
        <v>0</v>
      </c>
      <c r="AR104" s="1525">
        <f t="shared" si="64"/>
        <v>0</v>
      </c>
      <c r="AS104" s="1525">
        <f t="shared" si="64"/>
        <v>0</v>
      </c>
      <c r="AU104" s="1525"/>
      <c r="AV104" s="1295"/>
      <c r="AW104" s="1525"/>
      <c r="AX104" s="1525"/>
      <c r="AY104" s="1525"/>
      <c r="AZ104" s="1525"/>
      <c r="BA104" s="1525"/>
      <c r="BB104" s="1525"/>
      <c r="BC104" s="1525"/>
      <c r="BD104" s="1525"/>
      <c r="BE104" s="1525"/>
      <c r="BF104" s="1525"/>
      <c r="BG104" s="1525"/>
      <c r="BH104" s="1525"/>
      <c r="BI104" s="1525"/>
      <c r="BJ104" s="1525"/>
      <c r="BK104" s="1525"/>
      <c r="BL104" s="1525"/>
      <c r="BM104" s="1525"/>
      <c r="BN104" s="1525"/>
      <c r="BO104" s="1525"/>
      <c r="BP104" s="1525"/>
      <c r="BQ104" s="1525"/>
      <c r="BR104" s="1525"/>
      <c r="BS104" s="1525"/>
      <c r="BT104" s="1670">
        <f t="shared" si="65"/>
        <v>0</v>
      </c>
      <c r="BV104"/>
      <c r="BW104" s="910" t="s">
        <v>13</v>
      </c>
    </row>
    <row r="105" spans="2:75" s="164" customFormat="1" ht="12.75" customHeight="1" x14ac:dyDescent="0.2">
      <c r="B105" s="175"/>
      <c r="C105" s="219" t="s">
        <v>1120</v>
      </c>
      <c r="D105" s="422"/>
      <c r="E105" s="1101"/>
      <c r="F105" s="476" t="s">
        <v>1028</v>
      </c>
      <c r="G105" s="862"/>
      <c r="H105" s="1351" t="s">
        <v>1508</v>
      </c>
      <c r="I105" s="1102"/>
      <c r="J105" s="174"/>
      <c r="K105" s="836"/>
      <c r="L105" s="892">
        <f>SUM(L93:L104)</f>
        <v>12</v>
      </c>
      <c r="M105" s="892">
        <f>SUM(M93:M104)</f>
        <v>12</v>
      </c>
      <c r="N105" s="836"/>
      <c r="O105" s="1196" t="s">
        <v>1508</v>
      </c>
      <c r="P105" s="550"/>
      <c r="Q105" s="1153"/>
      <c r="R105" s="884"/>
      <c r="S105" s="876"/>
      <c r="T105" s="876"/>
      <c r="U105" s="876"/>
      <c r="V105" s="876"/>
      <c r="W105" s="876"/>
      <c r="X105" s="1026"/>
      <c r="Y105" s="1335"/>
      <c r="Z105" s="1335"/>
      <c r="AA105" s="1749"/>
      <c r="AB105" s="1812"/>
      <c r="AC105" s="876"/>
      <c r="AD105" s="1295"/>
      <c r="AE105" s="1525"/>
      <c r="AF105" s="1525"/>
      <c r="AG105" s="1525"/>
      <c r="AH105" s="1525"/>
      <c r="AI105" s="1525"/>
      <c r="AJ105" s="1525"/>
      <c r="AK105" s="1525"/>
      <c r="AL105" s="1525"/>
      <c r="AM105" s="1525"/>
      <c r="AN105" s="1525"/>
      <c r="AO105" s="1525"/>
      <c r="AP105" s="1525"/>
      <c r="AQ105" s="1525"/>
      <c r="AR105" s="1525"/>
      <c r="AS105" s="1525"/>
      <c r="AU105" s="1525"/>
      <c r="AV105" s="1295"/>
      <c r="AW105" s="1525"/>
      <c r="AX105" s="1525"/>
      <c r="AY105" s="1525"/>
      <c r="AZ105" s="1525"/>
      <c r="BA105" s="1525"/>
      <c r="BB105" s="1525"/>
      <c r="BC105" s="1525"/>
      <c r="BD105" s="1525"/>
      <c r="BE105" s="1525"/>
      <c r="BF105" s="1525"/>
      <c r="BG105" s="1525"/>
      <c r="BH105" s="1525"/>
      <c r="BI105" s="1525"/>
      <c r="BJ105" s="1525"/>
      <c r="BK105" s="1525"/>
      <c r="BL105" s="1525"/>
      <c r="BM105" s="1525"/>
      <c r="BN105" s="1525"/>
      <c r="BO105" s="1525"/>
      <c r="BP105" s="1525"/>
      <c r="BQ105" s="1525"/>
      <c r="BR105" s="1525"/>
      <c r="BS105" s="1525"/>
      <c r="BT105" s="1670"/>
      <c r="BV105"/>
      <c r="BW105" s="862"/>
    </row>
    <row r="106" spans="2:75" s="164" customFormat="1" ht="12.75" customHeight="1" x14ac:dyDescent="0.2">
      <c r="B106" s="175"/>
      <c r="C106" s="1100"/>
      <c r="D106" s="422"/>
      <c r="E106" s="1101"/>
      <c r="F106" s="476"/>
      <c r="G106" s="862"/>
      <c r="H106" s="1347" t="s">
        <v>1508</v>
      </c>
      <c r="I106" s="1102"/>
      <c r="J106" s="174"/>
      <c r="K106" s="836"/>
      <c r="L106" s="861"/>
      <c r="M106" s="861"/>
      <c r="N106" s="836"/>
      <c r="O106" s="1196" t="s">
        <v>1508</v>
      </c>
      <c r="P106" s="550"/>
      <c r="Q106" s="1153"/>
      <c r="R106" s="884"/>
      <c r="S106" s="876"/>
      <c r="T106" s="876"/>
      <c r="U106" s="876"/>
      <c r="V106" s="876"/>
      <c r="W106" s="876"/>
      <c r="X106" s="1026"/>
      <c r="Y106" s="1754"/>
      <c r="Z106" s="1755"/>
      <c r="AA106" s="1775"/>
      <c r="AB106" s="1812"/>
      <c r="AC106" s="876"/>
      <c r="AD106" s="1295"/>
      <c r="AE106" s="1525"/>
      <c r="AF106" s="1525"/>
      <c r="AG106" s="1525"/>
      <c r="AH106" s="1525"/>
      <c r="AI106" s="1525"/>
      <c r="AJ106" s="1525"/>
      <c r="AK106" s="1525"/>
      <c r="AL106" s="1525"/>
      <c r="AM106" s="1525"/>
      <c r="AN106" s="1525"/>
      <c r="AO106" s="1525"/>
      <c r="AP106" s="1525"/>
      <c r="AQ106" s="1525"/>
      <c r="AR106" s="1525"/>
      <c r="AS106" s="1525"/>
      <c r="AU106" s="1525"/>
      <c r="AV106" s="1295"/>
      <c r="AW106" s="1525"/>
      <c r="AX106" s="1525"/>
      <c r="AY106" s="1525"/>
      <c r="AZ106" s="1525"/>
      <c r="BA106" s="1525"/>
      <c r="BB106" s="1525"/>
      <c r="BC106" s="1525"/>
      <c r="BD106" s="1525"/>
      <c r="BE106" s="1525"/>
      <c r="BF106" s="1525"/>
      <c r="BG106" s="1525"/>
      <c r="BH106" s="1525"/>
      <c r="BI106" s="1525"/>
      <c r="BJ106" s="1525"/>
      <c r="BK106" s="1525"/>
      <c r="BL106" s="1525"/>
      <c r="BM106" s="1525"/>
      <c r="BN106" s="1525"/>
      <c r="BO106" s="1525"/>
      <c r="BP106" s="1525"/>
      <c r="BQ106" s="1525"/>
      <c r="BR106" s="1525"/>
      <c r="BS106" s="1525"/>
      <c r="BT106" s="1670"/>
      <c r="BV106"/>
      <c r="BW106" s="862"/>
    </row>
    <row r="107" spans="2:75" s="164" customFormat="1" ht="12.75" customHeight="1" x14ac:dyDescent="0.2">
      <c r="B107" s="175"/>
      <c r="C107" s="1100"/>
      <c r="D107" s="422"/>
      <c r="E107" s="1101"/>
      <c r="F107" s="1103" t="s">
        <v>1030</v>
      </c>
      <c r="G107" s="862"/>
      <c r="H107" s="1347" t="s">
        <v>1508</v>
      </c>
      <c r="I107" s="1102"/>
      <c r="J107" s="174"/>
      <c r="K107" s="836"/>
      <c r="L107" s="861"/>
      <c r="M107" s="861"/>
      <c r="N107" s="836"/>
      <c r="O107" s="1196" t="s">
        <v>1508</v>
      </c>
      <c r="P107" s="550"/>
      <c r="Q107" s="1153"/>
      <c r="R107" s="884"/>
      <c r="S107" s="876"/>
      <c r="T107" s="876"/>
      <c r="U107" s="876"/>
      <c r="V107" s="876"/>
      <c r="W107" s="876"/>
      <c r="X107" s="1026"/>
      <c r="Y107" s="1754"/>
      <c r="Z107" s="1755"/>
      <c r="AA107" s="1775"/>
      <c r="AB107" s="1812"/>
      <c r="AC107" s="876"/>
      <c r="AD107" s="1295"/>
      <c r="AE107" s="1525"/>
      <c r="AF107" s="1525"/>
      <c r="AG107" s="1525"/>
      <c r="AH107" s="1525"/>
      <c r="AI107" s="1525"/>
      <c r="AJ107" s="1525"/>
      <c r="AK107" s="1525"/>
      <c r="AL107" s="1525"/>
      <c r="AM107" s="1525"/>
      <c r="AN107" s="1525"/>
      <c r="AO107" s="1525"/>
      <c r="AP107" s="1525"/>
      <c r="AQ107" s="1525"/>
      <c r="AR107" s="1525"/>
      <c r="AS107" s="1525"/>
      <c r="AU107" s="1525"/>
      <c r="AV107" s="1295"/>
      <c r="AW107" s="1525"/>
      <c r="AX107" s="1525"/>
      <c r="AY107" s="1525"/>
      <c r="AZ107" s="1525"/>
      <c r="BA107" s="1525"/>
      <c r="BB107" s="1525"/>
      <c r="BC107" s="1525"/>
      <c r="BD107" s="1525"/>
      <c r="BE107" s="1525"/>
      <c r="BF107" s="1525"/>
      <c r="BG107" s="1525"/>
      <c r="BH107" s="1525"/>
      <c r="BI107" s="1525"/>
      <c r="BJ107" s="1525"/>
      <c r="BK107" s="1525"/>
      <c r="BL107" s="1525"/>
      <c r="BM107" s="1525"/>
      <c r="BN107" s="1525"/>
      <c r="BO107" s="1525"/>
      <c r="BP107" s="1525"/>
      <c r="BQ107" s="1525"/>
      <c r="BR107" s="1525"/>
      <c r="BS107" s="1525"/>
      <c r="BT107" s="1670"/>
      <c r="BV107"/>
      <c r="BW107" s="862"/>
    </row>
    <row r="108" spans="2:75" s="164" customFormat="1" ht="12.75" customHeight="1" x14ac:dyDescent="0.2">
      <c r="B108" s="175"/>
      <c r="C108" s="1100"/>
      <c r="D108" s="422"/>
      <c r="E108" s="1101"/>
      <c r="F108" s="476"/>
      <c r="G108" s="862"/>
      <c r="H108" s="1347" t="s">
        <v>1508</v>
      </c>
      <c r="I108" s="1102"/>
      <c r="J108" s="174"/>
      <c r="K108" s="836"/>
      <c r="L108" s="861"/>
      <c r="M108" s="861"/>
      <c r="N108" s="836"/>
      <c r="O108" s="1196" t="s">
        <v>1508</v>
      </c>
      <c r="P108" s="550"/>
      <c r="Q108" s="1153"/>
      <c r="R108" s="884"/>
      <c r="S108" s="876"/>
      <c r="T108" s="876"/>
      <c r="U108" s="876"/>
      <c r="V108" s="876"/>
      <c r="W108" s="876"/>
      <c r="X108" s="1026"/>
      <c r="Y108" s="1754"/>
      <c r="Z108" s="1755"/>
      <c r="AA108" s="1775"/>
      <c r="AB108" s="1812"/>
      <c r="AC108" s="876"/>
      <c r="AD108" s="1295"/>
      <c r="AE108" s="1525"/>
      <c r="AF108" s="1525"/>
      <c r="AG108" s="1525"/>
      <c r="AH108" s="1525"/>
      <c r="AI108" s="1525"/>
      <c r="AJ108" s="1525"/>
      <c r="AK108" s="1525"/>
      <c r="AL108" s="1525"/>
      <c r="AM108" s="1525"/>
      <c r="AN108" s="1525"/>
      <c r="AO108" s="1525"/>
      <c r="AP108" s="1525"/>
      <c r="AQ108" s="1525"/>
      <c r="AR108" s="1525"/>
      <c r="AS108" s="1525"/>
      <c r="AU108" s="1525"/>
      <c r="AV108" s="1295"/>
      <c r="AW108" s="1525"/>
      <c r="AX108" s="1525"/>
      <c r="AY108" s="1525"/>
      <c r="AZ108" s="1525"/>
      <c r="BA108" s="1525"/>
      <c r="BB108" s="1525"/>
      <c r="BC108" s="1525"/>
      <c r="BD108" s="1525"/>
      <c r="BE108" s="1525"/>
      <c r="BF108" s="1525"/>
      <c r="BG108" s="1525"/>
      <c r="BH108" s="1525"/>
      <c r="BI108" s="1525"/>
      <c r="BJ108" s="1525"/>
      <c r="BK108" s="1525"/>
      <c r="BL108" s="1525"/>
      <c r="BM108" s="1525"/>
      <c r="BN108" s="1525"/>
      <c r="BO108" s="1525"/>
      <c r="BP108" s="1525"/>
      <c r="BQ108" s="1525"/>
      <c r="BR108" s="1525"/>
      <c r="BS108" s="1525"/>
      <c r="BT108" s="1670"/>
      <c r="BV108"/>
      <c r="BW108" s="862"/>
    </row>
    <row r="109" spans="2:75" s="164" customFormat="1" ht="12.75" customHeight="1" x14ac:dyDescent="0.2">
      <c r="B109" s="175">
        <f>B108+1</f>
        <v>1</v>
      </c>
      <c r="C109" s="1100">
        <v>11</v>
      </c>
      <c r="D109" s="422"/>
      <c r="E109" s="1101" t="s">
        <v>1032</v>
      </c>
      <c r="F109" s="476" t="s">
        <v>824</v>
      </c>
      <c r="G109" s="862" t="s">
        <v>1265</v>
      </c>
      <c r="H109" s="1412">
        <v>102187</v>
      </c>
      <c r="I109" s="1102" t="s">
        <v>161</v>
      </c>
      <c r="J109" s="174"/>
      <c r="K109" s="836"/>
      <c r="L109" s="861">
        <v>1</v>
      </c>
      <c r="M109" s="861">
        <f t="shared" ref="M109:M119" si="70">L109+K109</f>
        <v>1</v>
      </c>
      <c r="N109" s="836" t="s">
        <v>1326</v>
      </c>
      <c r="O109" s="1196">
        <v>31964</v>
      </c>
      <c r="P109" s="1218">
        <f t="shared" ref="P109:P119" ca="1" si="71">YEARFRAC(TODAY(),O109)</f>
        <v>30.238888888888887</v>
      </c>
      <c r="Q109" s="1153">
        <v>46800</v>
      </c>
      <c r="R109" s="884">
        <f>Q109*0.1</f>
        <v>4680</v>
      </c>
      <c r="S109" s="876"/>
      <c r="T109" s="876">
        <v>30000</v>
      </c>
      <c r="U109" s="876"/>
      <c r="V109" s="876"/>
      <c r="W109" s="876"/>
      <c r="X109" s="1026">
        <f t="shared" ref="X109:X119" si="72">(Q109+R109+S109+T109+U109+V109+W109)*M109</f>
        <v>81480</v>
      </c>
      <c r="Y109" s="1512">
        <f t="shared" ref="Y109:Y119" si="73">(T109+U109)*M109/(X109-M109*(T109+U109))</f>
        <v>0.58275058275058278</v>
      </c>
      <c r="Z109" s="1741">
        <f t="shared" ref="Z109:Z119" si="74">M109*(1+Y109)</f>
        <v>1.5827505827505828</v>
      </c>
      <c r="AA109" s="1749">
        <f>SUM(AD109:AS109)</f>
        <v>0</v>
      </c>
      <c r="AB109" s="1810">
        <f t="shared" ref="AB109:AB113" si="75">100*AA109/Z109</f>
        <v>0</v>
      </c>
      <c r="AC109" s="876"/>
      <c r="AD109" s="1525">
        <f t="shared" ref="AD109:AS116" si="76">SUMIF($AV$6:$BS$6,AD$5,$AV109:$BS109)</f>
        <v>0</v>
      </c>
      <c r="AE109" s="1525">
        <f t="shared" si="76"/>
        <v>0</v>
      </c>
      <c r="AF109" s="1525">
        <f t="shared" si="76"/>
        <v>0</v>
      </c>
      <c r="AG109" s="1525">
        <f t="shared" si="76"/>
        <v>0</v>
      </c>
      <c r="AH109" s="1525">
        <f t="shared" si="76"/>
        <v>0</v>
      </c>
      <c r="AI109" s="1525">
        <f t="shared" si="76"/>
        <v>0</v>
      </c>
      <c r="AJ109" s="1525">
        <f t="shared" si="76"/>
        <v>0</v>
      </c>
      <c r="AK109" s="1525">
        <f t="shared" si="76"/>
        <v>0</v>
      </c>
      <c r="AL109" s="1525">
        <f t="shared" si="76"/>
        <v>0</v>
      </c>
      <c r="AM109" s="1525">
        <f t="shared" si="76"/>
        <v>0</v>
      </c>
      <c r="AN109" s="1525">
        <f t="shared" si="76"/>
        <v>0</v>
      </c>
      <c r="AO109" s="1525">
        <f t="shared" si="76"/>
        <v>0</v>
      </c>
      <c r="AP109" s="1525">
        <f t="shared" si="76"/>
        <v>0</v>
      </c>
      <c r="AQ109" s="1525">
        <f t="shared" si="76"/>
        <v>0</v>
      </c>
      <c r="AR109" s="1525">
        <f t="shared" si="76"/>
        <v>0</v>
      </c>
      <c r="AS109" s="1525">
        <f t="shared" si="76"/>
        <v>0</v>
      </c>
      <c r="AU109" s="1525"/>
      <c r="AV109" s="1295"/>
      <c r="AW109" s="1525"/>
      <c r="AX109" s="1525"/>
      <c r="AY109" s="1525"/>
      <c r="AZ109" s="1525"/>
      <c r="BA109" s="1525"/>
      <c r="BB109" s="1525"/>
      <c r="BC109" s="1525"/>
      <c r="BD109" s="1525"/>
      <c r="BE109" s="1525"/>
      <c r="BF109" s="1525"/>
      <c r="BG109" s="1525"/>
      <c r="BH109" s="1525"/>
      <c r="BI109" s="1525"/>
      <c r="BJ109" s="1525"/>
      <c r="BK109" s="1525"/>
      <c r="BL109" s="1525"/>
      <c r="BM109" s="1525"/>
      <c r="BN109" s="1525"/>
      <c r="BO109" s="1525"/>
      <c r="BP109" s="1525"/>
      <c r="BQ109" s="1525"/>
      <c r="BR109" s="1525"/>
      <c r="BS109" s="1525"/>
      <c r="BT109" s="1670">
        <f t="shared" ref="BT109:BT119" si="77">SUM(AV109:BS109)</f>
        <v>0</v>
      </c>
      <c r="BV109"/>
      <c r="BW109" s="862" t="s">
        <v>1265</v>
      </c>
    </row>
    <row r="110" spans="2:75" s="164" customFormat="1" ht="12.75" customHeight="1" x14ac:dyDescent="0.2">
      <c r="B110" s="175">
        <f t="shared" ref="B110:B119" si="78">B109+1</f>
        <v>2</v>
      </c>
      <c r="C110" s="1100">
        <v>13</v>
      </c>
      <c r="D110" s="422"/>
      <c r="E110" s="1101" t="s">
        <v>1032</v>
      </c>
      <c r="F110" s="4" t="s">
        <v>1272</v>
      </c>
      <c r="G110" s="862" t="s">
        <v>1762</v>
      </c>
      <c r="H110" s="1412">
        <v>151434</v>
      </c>
      <c r="I110" s="197" t="s">
        <v>583</v>
      </c>
      <c r="J110" s="174"/>
      <c r="K110" s="836"/>
      <c r="L110" s="861">
        <v>1</v>
      </c>
      <c r="M110" s="861">
        <f>L110+K110</f>
        <v>1</v>
      </c>
      <c r="N110" s="836" t="s">
        <v>892</v>
      </c>
      <c r="O110" s="1196">
        <v>31272</v>
      </c>
      <c r="P110" s="1218">
        <f ca="1">YEARFRAC(TODAY(),O110)</f>
        <v>32.136111111111113</v>
      </c>
      <c r="Q110" s="1153">
        <v>29400</v>
      </c>
      <c r="R110" s="884"/>
      <c r="S110" s="876"/>
      <c r="T110" s="876"/>
      <c r="U110" s="876"/>
      <c r="V110" s="876"/>
      <c r="W110" s="876"/>
      <c r="X110" s="1026">
        <f t="shared" si="72"/>
        <v>29400</v>
      </c>
      <c r="Y110" s="1512">
        <f t="shared" si="73"/>
        <v>0</v>
      </c>
      <c r="Z110" s="1741">
        <f t="shared" si="74"/>
        <v>1</v>
      </c>
      <c r="AA110" s="1749">
        <f>SUM(AD110:AS110)</f>
        <v>0</v>
      </c>
      <c r="AB110" s="1810">
        <f t="shared" si="75"/>
        <v>0</v>
      </c>
      <c r="AC110" s="876"/>
      <c r="AD110" s="1525">
        <f t="shared" si="76"/>
        <v>0</v>
      </c>
      <c r="AE110" s="1525">
        <f t="shared" si="76"/>
        <v>0</v>
      </c>
      <c r="AF110" s="1525">
        <f t="shared" si="76"/>
        <v>0</v>
      </c>
      <c r="AG110" s="1525">
        <f t="shared" si="76"/>
        <v>0</v>
      </c>
      <c r="AH110" s="1525">
        <f t="shared" si="76"/>
        <v>0</v>
      </c>
      <c r="AI110" s="1525">
        <f t="shared" si="76"/>
        <v>0</v>
      </c>
      <c r="AJ110" s="1525">
        <f t="shared" si="76"/>
        <v>0</v>
      </c>
      <c r="AK110" s="1525">
        <f t="shared" si="76"/>
        <v>0</v>
      </c>
      <c r="AL110" s="1525">
        <f t="shared" si="76"/>
        <v>0</v>
      </c>
      <c r="AM110" s="1525">
        <f t="shared" si="76"/>
        <v>0</v>
      </c>
      <c r="AN110" s="1525">
        <f t="shared" si="76"/>
        <v>0</v>
      </c>
      <c r="AO110" s="1525">
        <f t="shared" si="76"/>
        <v>0</v>
      </c>
      <c r="AP110" s="1525">
        <f t="shared" si="76"/>
        <v>0</v>
      </c>
      <c r="AQ110" s="1525">
        <f t="shared" si="76"/>
        <v>0</v>
      </c>
      <c r="AR110" s="1525">
        <f t="shared" si="76"/>
        <v>0</v>
      </c>
      <c r="AS110" s="1525">
        <f t="shared" si="76"/>
        <v>0</v>
      </c>
      <c r="AU110" s="1525"/>
      <c r="AV110" s="1295"/>
      <c r="AW110" s="1525"/>
      <c r="AX110" s="1525"/>
      <c r="AY110" s="1525"/>
      <c r="AZ110" s="1525"/>
      <c r="BA110" s="1525"/>
      <c r="BB110" s="1525"/>
      <c r="BC110" s="1525"/>
      <c r="BD110" s="1525"/>
      <c r="BE110" s="1525"/>
      <c r="BF110" s="1525"/>
      <c r="BG110" s="1525"/>
      <c r="BH110" s="1525"/>
      <c r="BI110" s="1525"/>
      <c r="BJ110" s="1525"/>
      <c r="BK110" s="1525"/>
      <c r="BL110" s="1525"/>
      <c r="BM110" s="1525"/>
      <c r="BN110" s="1525"/>
      <c r="BO110" s="1525"/>
      <c r="BP110" s="1525"/>
      <c r="BQ110" s="1525"/>
      <c r="BR110" s="1525"/>
      <c r="BS110" s="1525"/>
      <c r="BT110" s="1670">
        <f t="shared" si="77"/>
        <v>0</v>
      </c>
      <c r="BV110"/>
      <c r="BW110" s="862" t="s">
        <v>1762</v>
      </c>
    </row>
    <row r="111" spans="2:75" s="164" customFormat="1" ht="12.75" customHeight="1" x14ac:dyDescent="0.2">
      <c r="B111" s="175">
        <f t="shared" si="78"/>
        <v>3</v>
      </c>
      <c r="C111" s="1100">
        <v>14</v>
      </c>
      <c r="D111" s="422"/>
      <c r="E111" s="1101" t="s">
        <v>1032</v>
      </c>
      <c r="F111" s="4" t="s">
        <v>626</v>
      </c>
      <c r="G111" s="862" t="s">
        <v>1724</v>
      </c>
      <c r="H111" s="1412">
        <v>273421</v>
      </c>
      <c r="I111" s="197" t="s">
        <v>583</v>
      </c>
      <c r="J111" s="174"/>
      <c r="K111" s="836"/>
      <c r="L111" s="861">
        <v>1</v>
      </c>
      <c r="M111" s="861">
        <f>L111+K111</f>
        <v>1</v>
      </c>
      <c r="N111" s="836" t="s">
        <v>1326</v>
      </c>
      <c r="O111" s="1196">
        <v>32227</v>
      </c>
      <c r="P111" s="1218">
        <f ca="1">YEARFRAC(TODAY(),O111)</f>
        <v>29.519444444444446</v>
      </c>
      <c r="Q111" s="1153">
        <v>29800</v>
      </c>
      <c r="R111" s="884">
        <f>Q111*0.1</f>
        <v>2980</v>
      </c>
      <c r="S111" s="876"/>
      <c r="T111" s="876"/>
      <c r="U111" s="876"/>
      <c r="V111" s="876"/>
      <c r="W111" s="876"/>
      <c r="X111" s="1026">
        <f t="shared" si="72"/>
        <v>32780</v>
      </c>
      <c r="Y111" s="1512">
        <f t="shared" si="73"/>
        <v>0</v>
      </c>
      <c r="Z111" s="1741">
        <f t="shared" si="74"/>
        <v>1</v>
      </c>
      <c r="AA111" s="1749">
        <f>SUM(AD111:AS111)</f>
        <v>0</v>
      </c>
      <c r="AB111" s="1810">
        <f t="shared" si="75"/>
        <v>0</v>
      </c>
      <c r="AC111" s="876"/>
      <c r="AD111" s="1525">
        <f t="shared" si="76"/>
        <v>0</v>
      </c>
      <c r="AE111" s="1525">
        <f t="shared" si="76"/>
        <v>0</v>
      </c>
      <c r="AF111" s="1525">
        <f t="shared" si="76"/>
        <v>0</v>
      </c>
      <c r="AG111" s="1525">
        <f t="shared" si="76"/>
        <v>0</v>
      </c>
      <c r="AH111" s="1525">
        <f t="shared" si="76"/>
        <v>0</v>
      </c>
      <c r="AI111" s="1525">
        <f t="shared" si="76"/>
        <v>0</v>
      </c>
      <c r="AJ111" s="1525">
        <f t="shared" si="76"/>
        <v>0</v>
      </c>
      <c r="AK111" s="1525">
        <f t="shared" si="76"/>
        <v>0</v>
      </c>
      <c r="AL111" s="1525">
        <f t="shared" si="76"/>
        <v>0</v>
      </c>
      <c r="AM111" s="1525">
        <f t="shared" si="76"/>
        <v>0</v>
      </c>
      <c r="AN111" s="1525">
        <f t="shared" si="76"/>
        <v>0</v>
      </c>
      <c r="AO111" s="1525">
        <f t="shared" si="76"/>
        <v>0</v>
      </c>
      <c r="AP111" s="1525">
        <f t="shared" si="76"/>
        <v>0</v>
      </c>
      <c r="AQ111" s="1525">
        <f t="shared" si="76"/>
        <v>0</v>
      </c>
      <c r="AR111" s="1525">
        <f t="shared" si="76"/>
        <v>0</v>
      </c>
      <c r="AS111" s="1525">
        <f t="shared" si="76"/>
        <v>0</v>
      </c>
      <c r="AU111" s="1525"/>
      <c r="AV111" s="1295"/>
      <c r="AW111" s="1525"/>
      <c r="AX111" s="1525"/>
      <c r="AY111" s="1525"/>
      <c r="AZ111" s="1525"/>
      <c r="BA111" s="1525"/>
      <c r="BB111" s="1525"/>
      <c r="BC111" s="1525"/>
      <c r="BD111" s="1525"/>
      <c r="BE111" s="1525"/>
      <c r="BF111" s="1525"/>
      <c r="BG111" s="1525"/>
      <c r="BH111" s="1525"/>
      <c r="BI111" s="1525"/>
      <c r="BJ111" s="1525"/>
      <c r="BK111" s="1525"/>
      <c r="BL111" s="1525"/>
      <c r="BM111" s="1525"/>
      <c r="BN111" s="1525"/>
      <c r="BO111" s="1525"/>
      <c r="BP111" s="1525"/>
      <c r="BQ111" s="1525"/>
      <c r="BR111" s="1525"/>
      <c r="BS111" s="1525"/>
      <c r="BT111" s="1670">
        <f t="shared" si="77"/>
        <v>0</v>
      </c>
      <c r="BV111"/>
      <c r="BW111" s="862" t="s">
        <v>1724</v>
      </c>
    </row>
    <row r="112" spans="2:75" s="164" customFormat="1" ht="12.75" customHeight="1" x14ac:dyDescent="0.2">
      <c r="B112" s="175">
        <f t="shared" si="78"/>
        <v>4</v>
      </c>
      <c r="C112" s="1100">
        <v>14</v>
      </c>
      <c r="D112" s="422"/>
      <c r="E112" s="1101" t="s">
        <v>1032</v>
      </c>
      <c r="F112" s="4" t="s">
        <v>626</v>
      </c>
      <c r="G112" s="862" t="s">
        <v>1689</v>
      </c>
      <c r="H112" s="1412">
        <v>144316</v>
      </c>
      <c r="I112" s="197" t="s">
        <v>583</v>
      </c>
      <c r="J112" s="174"/>
      <c r="K112" s="836"/>
      <c r="L112" s="861">
        <v>1</v>
      </c>
      <c r="M112" s="861">
        <f t="shared" si="70"/>
        <v>1</v>
      </c>
      <c r="N112" s="836" t="s">
        <v>892</v>
      </c>
      <c r="O112" s="1196">
        <v>33137</v>
      </c>
      <c r="P112" s="1218">
        <f t="shared" ca="1" si="71"/>
        <v>27.030555555555555</v>
      </c>
      <c r="Q112" s="1153">
        <v>26400</v>
      </c>
      <c r="R112" s="884"/>
      <c r="S112" s="876"/>
      <c r="T112" s="876"/>
      <c r="U112" s="876"/>
      <c r="V112" s="876"/>
      <c r="W112" s="876"/>
      <c r="X112" s="1026">
        <f t="shared" si="72"/>
        <v>26400</v>
      </c>
      <c r="Y112" s="1512">
        <f t="shared" si="73"/>
        <v>0</v>
      </c>
      <c r="Z112" s="1741">
        <f t="shared" si="74"/>
        <v>1</v>
      </c>
      <c r="AA112" s="1749">
        <f>SUM(AD112:AS112)</f>
        <v>0</v>
      </c>
      <c r="AB112" s="1810">
        <f t="shared" si="75"/>
        <v>0</v>
      </c>
      <c r="AC112" s="876"/>
      <c r="AD112" s="1525">
        <f t="shared" si="76"/>
        <v>0</v>
      </c>
      <c r="AE112" s="1525">
        <f t="shared" si="76"/>
        <v>0</v>
      </c>
      <c r="AF112" s="1525">
        <f t="shared" si="76"/>
        <v>0</v>
      </c>
      <c r="AG112" s="1525">
        <f t="shared" si="76"/>
        <v>0</v>
      </c>
      <c r="AH112" s="1525">
        <f t="shared" si="76"/>
        <v>0</v>
      </c>
      <c r="AI112" s="1525">
        <f t="shared" si="76"/>
        <v>0</v>
      </c>
      <c r="AJ112" s="1525">
        <f t="shared" si="76"/>
        <v>0</v>
      </c>
      <c r="AK112" s="1525">
        <f t="shared" si="76"/>
        <v>0</v>
      </c>
      <c r="AL112" s="1525">
        <f t="shared" si="76"/>
        <v>0</v>
      </c>
      <c r="AM112" s="1525">
        <f t="shared" si="76"/>
        <v>0</v>
      </c>
      <c r="AN112" s="1525">
        <f t="shared" si="76"/>
        <v>0</v>
      </c>
      <c r="AO112" s="1525">
        <f t="shared" si="76"/>
        <v>0</v>
      </c>
      <c r="AP112" s="1525">
        <f t="shared" si="76"/>
        <v>0</v>
      </c>
      <c r="AQ112" s="1525">
        <f t="shared" si="76"/>
        <v>0</v>
      </c>
      <c r="AR112" s="1525">
        <f t="shared" si="76"/>
        <v>0</v>
      </c>
      <c r="AS112" s="1525">
        <f t="shared" si="76"/>
        <v>0</v>
      </c>
      <c r="AU112" s="1525"/>
      <c r="AV112" s="1295"/>
      <c r="AW112" s="1525"/>
      <c r="AX112" s="1525"/>
      <c r="AY112" s="1525"/>
      <c r="AZ112" s="1525"/>
      <c r="BA112" s="1525"/>
      <c r="BB112" s="1525"/>
      <c r="BC112" s="1525"/>
      <c r="BD112" s="1525"/>
      <c r="BE112" s="1525"/>
      <c r="BF112" s="1525"/>
      <c r="BG112" s="1525"/>
      <c r="BH112" s="1525"/>
      <c r="BI112" s="1525"/>
      <c r="BJ112" s="1525"/>
      <c r="BK112" s="1525"/>
      <c r="BL112" s="1525"/>
      <c r="BM112" s="1525"/>
      <c r="BN112" s="1525"/>
      <c r="BO112" s="1525"/>
      <c r="BP112" s="1525"/>
      <c r="BQ112" s="1525"/>
      <c r="BR112" s="1525"/>
      <c r="BS112" s="1525"/>
      <c r="BT112" s="1670">
        <f t="shared" si="77"/>
        <v>0</v>
      </c>
      <c r="BV112"/>
      <c r="BW112" s="862" t="s">
        <v>1689</v>
      </c>
    </row>
    <row r="113" spans="1:75" s="876" customFormat="1" ht="14" x14ac:dyDescent="0.15">
      <c r="A113" s="799"/>
      <c r="B113" s="175">
        <f t="shared" si="78"/>
        <v>5</v>
      </c>
      <c r="C113" s="999">
        <v>14</v>
      </c>
      <c r="D113" s="837"/>
      <c r="E113" s="1326" t="s">
        <v>1032</v>
      </c>
      <c r="F113" s="824" t="s">
        <v>626</v>
      </c>
      <c r="G113" s="799" t="s">
        <v>1963</v>
      </c>
      <c r="H113" s="1082">
        <v>163787</v>
      </c>
      <c r="I113" s="825" t="s">
        <v>583</v>
      </c>
      <c r="J113" s="836"/>
      <c r="K113" s="836"/>
      <c r="L113" s="861">
        <v>1</v>
      </c>
      <c r="M113" s="861">
        <f>L113+K113</f>
        <v>1</v>
      </c>
      <c r="N113" s="836" t="s">
        <v>892</v>
      </c>
      <c r="O113" s="1327">
        <v>30859</v>
      </c>
      <c r="P113" s="1328">
        <f ca="1">YEARFRAC(TODAY(),O113)</f>
        <v>33.266666666666666</v>
      </c>
      <c r="Q113" s="799">
        <v>25000</v>
      </c>
      <c r="R113" s="799"/>
      <c r="S113" s="799"/>
      <c r="T113" s="799"/>
      <c r="U113" s="799"/>
      <c r="V113" s="799"/>
      <c r="W113" s="799"/>
      <c r="X113" s="1026">
        <f t="shared" si="72"/>
        <v>25000</v>
      </c>
      <c r="Y113" s="1512">
        <f t="shared" si="73"/>
        <v>0</v>
      </c>
      <c r="Z113" s="1741">
        <f t="shared" si="74"/>
        <v>1</v>
      </c>
      <c r="AA113" s="1749">
        <f>SUM(AD113:AS113)</f>
        <v>0</v>
      </c>
      <c r="AB113" s="1810">
        <f t="shared" si="75"/>
        <v>0</v>
      </c>
      <c r="AD113" s="1525">
        <f t="shared" si="76"/>
        <v>0</v>
      </c>
      <c r="AE113" s="1525">
        <f t="shared" si="76"/>
        <v>0</v>
      </c>
      <c r="AF113" s="1525">
        <f t="shared" si="76"/>
        <v>0</v>
      </c>
      <c r="AG113" s="1525">
        <f t="shared" si="76"/>
        <v>0</v>
      </c>
      <c r="AH113" s="1525">
        <f t="shared" si="76"/>
        <v>0</v>
      </c>
      <c r="AI113" s="1525">
        <f t="shared" si="76"/>
        <v>0</v>
      </c>
      <c r="AJ113" s="1525">
        <f t="shared" si="76"/>
        <v>0</v>
      </c>
      <c r="AK113" s="1525">
        <f t="shared" si="76"/>
        <v>0</v>
      </c>
      <c r="AL113" s="1525">
        <f t="shared" si="76"/>
        <v>0</v>
      </c>
      <c r="AM113" s="1525">
        <f t="shared" si="76"/>
        <v>0</v>
      </c>
      <c r="AN113" s="1525">
        <f t="shared" si="76"/>
        <v>0</v>
      </c>
      <c r="AO113" s="1525">
        <f t="shared" si="76"/>
        <v>0</v>
      </c>
      <c r="AP113" s="1525">
        <f t="shared" si="76"/>
        <v>0</v>
      </c>
      <c r="AQ113" s="1525">
        <f t="shared" si="76"/>
        <v>0</v>
      </c>
      <c r="AR113" s="1525">
        <f t="shared" si="76"/>
        <v>0</v>
      </c>
      <c r="AS113" s="1525">
        <f t="shared" si="76"/>
        <v>0</v>
      </c>
      <c r="AU113" s="1525"/>
      <c r="AV113" s="1526"/>
      <c r="AW113" s="1289"/>
      <c r="AX113" s="1289"/>
      <c r="AY113" s="1289"/>
      <c r="AZ113" s="1289"/>
      <c r="BA113" s="1289"/>
      <c r="BB113" s="1289"/>
      <c r="BC113" s="1289"/>
      <c r="BD113" s="1289"/>
      <c r="BE113" s="1289"/>
      <c r="BF113" s="1289"/>
      <c r="BG113" s="1289"/>
      <c r="BH113" s="1289"/>
      <c r="BI113" s="1289"/>
      <c r="BJ113" s="1289"/>
      <c r="BK113" s="1289"/>
      <c r="BL113" s="1289"/>
      <c r="BM113" s="1289"/>
      <c r="BN113" s="1289"/>
      <c r="BO113" s="1289"/>
      <c r="BP113" s="1289"/>
      <c r="BQ113" s="1289"/>
      <c r="BR113" s="1289"/>
      <c r="BS113" s="1289"/>
      <c r="BT113" s="1670">
        <f t="shared" si="77"/>
        <v>0</v>
      </c>
      <c r="BV113"/>
      <c r="BW113" s="799" t="s">
        <v>1963</v>
      </c>
    </row>
    <row r="114" spans="1:75" s="876" customFormat="1" ht="14" x14ac:dyDescent="0.15">
      <c r="A114" s="799"/>
      <c r="B114" s="175">
        <f t="shared" si="78"/>
        <v>6</v>
      </c>
      <c r="C114" s="999">
        <v>14</v>
      </c>
      <c r="D114" s="999"/>
      <c r="E114" s="1326" t="s">
        <v>1032</v>
      </c>
      <c r="F114" s="824" t="s">
        <v>626</v>
      </c>
      <c r="G114" s="799" t="s">
        <v>2021</v>
      </c>
      <c r="H114" s="799">
        <v>170667</v>
      </c>
      <c r="I114" s="825" t="s">
        <v>583</v>
      </c>
      <c r="J114" s="836"/>
      <c r="K114" s="836"/>
      <c r="L114" s="861">
        <v>1</v>
      </c>
      <c r="M114" s="861">
        <f t="shared" ref="M114" si="79">L114+K114</f>
        <v>1</v>
      </c>
      <c r="N114" s="836" t="s">
        <v>892</v>
      </c>
      <c r="O114" s="1327">
        <v>28104</v>
      </c>
      <c r="P114" s="1218">
        <f ca="1">YEARFRAC(TODAY(),O114)</f>
        <v>40.81111111111111</v>
      </c>
      <c r="Q114" s="799">
        <v>25000</v>
      </c>
      <c r="R114" s="799"/>
      <c r="S114" s="799"/>
      <c r="T114" s="799"/>
      <c r="U114" s="799"/>
      <c r="V114" s="799"/>
      <c r="W114" s="799"/>
      <c r="X114" s="1026">
        <f t="shared" si="72"/>
        <v>25000</v>
      </c>
      <c r="Y114" s="1512">
        <f t="shared" si="73"/>
        <v>0</v>
      </c>
      <c r="Z114" s="1741">
        <f t="shared" si="74"/>
        <v>1</v>
      </c>
      <c r="AA114" s="1749">
        <f t="shared" ref="AA114:AA116" si="80">SUM(AD114:AS114)</f>
        <v>0</v>
      </c>
      <c r="AB114" s="1810">
        <f t="shared" ref="AB114:AB116" si="81">100*AA114/Z114</f>
        <v>0</v>
      </c>
      <c r="AD114" s="1525">
        <f t="shared" si="76"/>
        <v>0</v>
      </c>
      <c r="AE114" s="1525">
        <f t="shared" si="76"/>
        <v>0</v>
      </c>
      <c r="AF114" s="1525">
        <f t="shared" si="76"/>
        <v>0</v>
      </c>
      <c r="AG114" s="1525">
        <f t="shared" si="76"/>
        <v>0</v>
      </c>
      <c r="AH114" s="1525">
        <f t="shared" si="76"/>
        <v>0</v>
      </c>
      <c r="AI114" s="1525">
        <f t="shared" si="76"/>
        <v>0</v>
      </c>
      <c r="AJ114" s="1525">
        <f t="shared" si="76"/>
        <v>0</v>
      </c>
      <c r="AK114" s="1525">
        <f t="shared" si="76"/>
        <v>0</v>
      </c>
      <c r="AL114" s="1525">
        <f t="shared" si="76"/>
        <v>0</v>
      </c>
      <c r="AM114" s="1525">
        <f t="shared" si="76"/>
        <v>0</v>
      </c>
      <c r="AN114" s="1525">
        <f t="shared" si="76"/>
        <v>0</v>
      </c>
      <c r="AO114" s="1525">
        <f t="shared" si="76"/>
        <v>0</v>
      </c>
      <c r="AP114" s="1525">
        <f t="shared" si="76"/>
        <v>0</v>
      </c>
      <c r="AQ114" s="1525">
        <f t="shared" si="76"/>
        <v>0</v>
      </c>
      <c r="AR114" s="1525">
        <f t="shared" si="76"/>
        <v>0</v>
      </c>
      <c r="AS114" s="1525">
        <f t="shared" si="76"/>
        <v>0</v>
      </c>
      <c r="AV114" s="1289"/>
      <c r="AX114" s="1289"/>
      <c r="BT114" s="1673"/>
    </row>
    <row r="115" spans="1:75" s="876" customFormat="1" ht="14" x14ac:dyDescent="0.15">
      <c r="A115" s="799"/>
      <c r="B115" s="175">
        <f t="shared" si="78"/>
        <v>7</v>
      </c>
      <c r="C115" s="999">
        <v>14</v>
      </c>
      <c r="D115" s="837"/>
      <c r="E115" s="1326" t="s">
        <v>1032</v>
      </c>
      <c r="F115" s="824" t="s">
        <v>626</v>
      </c>
      <c r="G115" s="799" t="s">
        <v>1881</v>
      </c>
      <c r="H115" s="1082">
        <v>123215</v>
      </c>
      <c r="I115" s="825" t="s">
        <v>583</v>
      </c>
      <c r="J115" s="836"/>
      <c r="K115" s="836"/>
      <c r="L115" s="861">
        <v>1</v>
      </c>
      <c r="M115" s="861">
        <f>L115+K115</f>
        <v>1</v>
      </c>
      <c r="N115" s="836" t="s">
        <v>892</v>
      </c>
      <c r="O115" s="1327">
        <v>33026</v>
      </c>
      <c r="P115" s="1218">
        <f ca="1">YEARFRAC(TODAY(),O115)</f>
        <v>27.333333333333332</v>
      </c>
      <c r="Q115" s="799">
        <v>23000</v>
      </c>
      <c r="R115" s="799"/>
      <c r="S115" s="799"/>
      <c r="T115" s="799"/>
      <c r="U115" s="799"/>
      <c r="V115" s="799"/>
      <c r="W115" s="799"/>
      <c r="X115" s="1026">
        <f t="shared" si="72"/>
        <v>23000</v>
      </c>
      <c r="Y115" s="1512">
        <f t="shared" si="73"/>
        <v>0</v>
      </c>
      <c r="Z115" s="1741">
        <f t="shared" si="74"/>
        <v>1</v>
      </c>
      <c r="AA115" s="1749">
        <f t="shared" si="80"/>
        <v>0</v>
      </c>
      <c r="AB115" s="1810">
        <f t="shared" si="81"/>
        <v>0</v>
      </c>
      <c r="AD115" s="1525">
        <f t="shared" si="76"/>
        <v>0</v>
      </c>
      <c r="AE115" s="1525">
        <f t="shared" si="76"/>
        <v>0</v>
      </c>
      <c r="AF115" s="1525">
        <f t="shared" si="76"/>
        <v>0</v>
      </c>
      <c r="AG115" s="1525">
        <f t="shared" si="76"/>
        <v>0</v>
      </c>
      <c r="AH115" s="1525">
        <f t="shared" si="76"/>
        <v>0</v>
      </c>
      <c r="AI115" s="1525">
        <f t="shared" si="76"/>
        <v>0</v>
      </c>
      <c r="AJ115" s="1525">
        <f t="shared" si="76"/>
        <v>0</v>
      </c>
      <c r="AK115" s="1525">
        <f t="shared" si="76"/>
        <v>0</v>
      </c>
      <c r="AL115" s="1525">
        <f t="shared" si="76"/>
        <v>0</v>
      </c>
      <c r="AM115" s="1525">
        <f t="shared" si="76"/>
        <v>0</v>
      </c>
      <c r="AN115" s="1525">
        <f t="shared" si="76"/>
        <v>0</v>
      </c>
      <c r="AO115" s="1525">
        <f t="shared" si="76"/>
        <v>0</v>
      </c>
      <c r="AP115" s="1525">
        <f t="shared" si="76"/>
        <v>0</v>
      </c>
      <c r="AQ115" s="1525">
        <f t="shared" si="76"/>
        <v>0</v>
      </c>
      <c r="AR115" s="1525">
        <f t="shared" si="76"/>
        <v>0</v>
      </c>
      <c r="AS115" s="1525">
        <f t="shared" si="76"/>
        <v>0</v>
      </c>
      <c r="AU115" s="1525"/>
      <c r="AV115" s="1526"/>
      <c r="AW115" s="1289"/>
      <c r="AX115" s="1289"/>
      <c r="AY115" s="1289"/>
      <c r="AZ115" s="1289"/>
      <c r="BA115" s="1289"/>
      <c r="BB115" s="1289"/>
      <c r="BC115" s="1289"/>
      <c r="BD115" s="1289"/>
      <c r="BE115" s="1289"/>
      <c r="BF115" s="1289"/>
      <c r="BG115" s="1289"/>
      <c r="BH115" s="1289"/>
      <c r="BI115" s="1289"/>
      <c r="BJ115" s="1289"/>
      <c r="BK115" s="1289"/>
      <c r="BL115" s="1289"/>
      <c r="BM115" s="1289"/>
      <c r="BN115" s="1289"/>
      <c r="BO115" s="1289"/>
      <c r="BP115" s="1289"/>
      <c r="BQ115" s="1289"/>
      <c r="BR115" s="1289"/>
      <c r="BS115" s="1289"/>
      <c r="BT115" s="1670">
        <f t="shared" si="77"/>
        <v>0</v>
      </c>
      <c r="BV115"/>
      <c r="BW115" s="799" t="s">
        <v>1881</v>
      </c>
    </row>
    <row r="116" spans="1:75" s="876" customFormat="1" ht="14" x14ac:dyDescent="0.15">
      <c r="A116" s="799"/>
      <c r="B116" s="175">
        <f t="shared" si="78"/>
        <v>8</v>
      </c>
      <c r="C116" s="999">
        <v>14</v>
      </c>
      <c r="D116" s="999"/>
      <c r="E116" s="1326" t="s">
        <v>1032</v>
      </c>
      <c r="F116" s="824" t="s">
        <v>626</v>
      </c>
      <c r="G116" s="799" t="s">
        <v>2022</v>
      </c>
      <c r="H116" s="799">
        <v>170651</v>
      </c>
      <c r="I116" s="825" t="s">
        <v>583</v>
      </c>
      <c r="J116" s="836"/>
      <c r="K116" s="836"/>
      <c r="L116" s="861">
        <v>1</v>
      </c>
      <c r="M116" s="861">
        <f t="shared" ref="M116" si="82">L116+K116</f>
        <v>1</v>
      </c>
      <c r="N116" s="836" t="s">
        <v>892</v>
      </c>
      <c r="O116" s="1327">
        <v>24744</v>
      </c>
      <c r="P116" s="1218">
        <f ca="1">YEARFRAC(TODAY(),O116)</f>
        <v>50.008333333333333</v>
      </c>
      <c r="Q116" s="799">
        <v>25000</v>
      </c>
      <c r="R116" s="799"/>
      <c r="S116" s="799"/>
      <c r="T116" s="799"/>
      <c r="U116" s="799"/>
      <c r="V116" s="799"/>
      <c r="W116" s="799"/>
      <c r="X116" s="1026">
        <f t="shared" si="72"/>
        <v>25000</v>
      </c>
      <c r="Y116" s="1512">
        <f t="shared" si="73"/>
        <v>0</v>
      </c>
      <c r="Z116" s="1741">
        <f t="shared" si="74"/>
        <v>1</v>
      </c>
      <c r="AA116" s="1749">
        <f t="shared" si="80"/>
        <v>0</v>
      </c>
      <c r="AB116" s="1810">
        <f t="shared" si="81"/>
        <v>0</v>
      </c>
      <c r="AD116" s="1525">
        <f t="shared" si="76"/>
        <v>0</v>
      </c>
      <c r="AE116" s="1525">
        <f t="shared" si="76"/>
        <v>0</v>
      </c>
      <c r="AF116" s="1525">
        <f t="shared" si="76"/>
        <v>0</v>
      </c>
      <c r="AG116" s="1525">
        <f t="shared" si="76"/>
        <v>0</v>
      </c>
      <c r="AH116" s="1525">
        <f t="shared" si="76"/>
        <v>0</v>
      </c>
      <c r="AI116" s="1525">
        <f t="shared" si="76"/>
        <v>0</v>
      </c>
      <c r="AJ116" s="1525">
        <f t="shared" si="76"/>
        <v>0</v>
      </c>
      <c r="AK116" s="1525">
        <f t="shared" si="76"/>
        <v>0</v>
      </c>
      <c r="AL116" s="1525">
        <f t="shared" si="76"/>
        <v>0</v>
      </c>
      <c r="AM116" s="1525">
        <f t="shared" si="76"/>
        <v>0</v>
      </c>
      <c r="AN116" s="1525">
        <f t="shared" si="76"/>
        <v>0</v>
      </c>
      <c r="AO116" s="1525">
        <f t="shared" si="76"/>
        <v>0</v>
      </c>
      <c r="AP116" s="1525">
        <f t="shared" si="76"/>
        <v>0</v>
      </c>
      <c r="AQ116" s="1525">
        <f t="shared" si="76"/>
        <v>0</v>
      </c>
      <c r="AR116" s="1525">
        <f t="shared" si="76"/>
        <v>0</v>
      </c>
      <c r="AS116" s="1525">
        <f t="shared" si="76"/>
        <v>0</v>
      </c>
      <c r="AV116" s="1289"/>
      <c r="AX116" s="1289"/>
      <c r="BT116" s="1673"/>
    </row>
    <row r="117" spans="1:75" s="876" customFormat="1" ht="14" x14ac:dyDescent="0.15">
      <c r="A117" s="799"/>
      <c r="B117" s="175">
        <f t="shared" si="78"/>
        <v>9</v>
      </c>
      <c r="C117" s="999">
        <v>14</v>
      </c>
      <c r="D117" s="837"/>
      <c r="E117" s="1326" t="s">
        <v>1032</v>
      </c>
      <c r="F117" s="824" t="s">
        <v>626</v>
      </c>
      <c r="G117" s="799" t="s">
        <v>1883</v>
      </c>
      <c r="H117" s="1082">
        <v>160772</v>
      </c>
      <c r="I117" s="825" t="s">
        <v>583</v>
      </c>
      <c r="J117" s="836"/>
      <c r="K117" s="836"/>
      <c r="L117" s="861">
        <v>1</v>
      </c>
      <c r="M117" s="861">
        <f>L117+K117</f>
        <v>1</v>
      </c>
      <c r="N117" s="836" t="s">
        <v>892</v>
      </c>
      <c r="O117" s="1327">
        <v>33951</v>
      </c>
      <c r="P117" s="1218">
        <f ca="1">YEARFRAC(TODAY(),O117)</f>
        <v>24.802777777777777</v>
      </c>
      <c r="Q117" s="799">
        <v>26500</v>
      </c>
      <c r="R117" s="799"/>
      <c r="S117" s="799"/>
      <c r="T117" s="799"/>
      <c r="U117" s="799"/>
      <c r="V117" s="799"/>
      <c r="W117" s="799"/>
      <c r="X117" s="1026">
        <f t="shared" si="72"/>
        <v>26500</v>
      </c>
      <c r="Y117" s="1512">
        <f t="shared" si="73"/>
        <v>0</v>
      </c>
      <c r="Z117" s="1741">
        <f t="shared" si="74"/>
        <v>1</v>
      </c>
      <c r="AA117" s="1749">
        <f>SUM(AD117:AS117)</f>
        <v>0</v>
      </c>
      <c r="AB117" s="1810">
        <f t="shared" ref="AB117:AB119" si="83">100*AA117/Z117</f>
        <v>0</v>
      </c>
      <c r="AD117" s="1525">
        <f t="shared" ref="AD117:AS119" si="84">SUMIF($AV$6:$BS$6,AD$5,$AV117:$BS117)</f>
        <v>0</v>
      </c>
      <c r="AE117" s="1525">
        <f t="shared" si="84"/>
        <v>0</v>
      </c>
      <c r="AF117" s="1525">
        <f t="shared" si="84"/>
        <v>0</v>
      </c>
      <c r="AG117" s="1525">
        <f t="shared" si="84"/>
        <v>0</v>
      </c>
      <c r="AH117" s="1525">
        <f t="shared" si="84"/>
        <v>0</v>
      </c>
      <c r="AI117" s="1525">
        <f t="shared" si="84"/>
        <v>0</v>
      </c>
      <c r="AJ117" s="1525">
        <f t="shared" si="84"/>
        <v>0</v>
      </c>
      <c r="AK117" s="1525">
        <f t="shared" si="84"/>
        <v>0</v>
      </c>
      <c r="AL117" s="1525">
        <f t="shared" si="84"/>
        <v>0</v>
      </c>
      <c r="AM117" s="1525">
        <f t="shared" si="84"/>
        <v>0</v>
      </c>
      <c r="AN117" s="1525">
        <f t="shared" si="84"/>
        <v>0</v>
      </c>
      <c r="AO117" s="1525">
        <f t="shared" si="84"/>
        <v>0</v>
      </c>
      <c r="AP117" s="1525">
        <f t="shared" si="84"/>
        <v>0</v>
      </c>
      <c r="AQ117" s="1525">
        <f t="shared" si="84"/>
        <v>0</v>
      </c>
      <c r="AR117" s="1525">
        <f t="shared" si="84"/>
        <v>0</v>
      </c>
      <c r="AS117" s="1525">
        <f t="shared" si="84"/>
        <v>0</v>
      </c>
      <c r="AU117" s="1525"/>
      <c r="AV117" s="1526"/>
      <c r="AW117" s="1289"/>
      <c r="AX117" s="1289"/>
      <c r="AY117" s="1289"/>
      <c r="AZ117" s="1289"/>
      <c r="BA117" s="1289"/>
      <c r="BB117" s="1289"/>
      <c r="BC117" s="1289"/>
      <c r="BD117" s="1289"/>
      <c r="BE117" s="1289"/>
      <c r="BF117" s="1289"/>
      <c r="BG117" s="1289"/>
      <c r="BH117" s="1289"/>
      <c r="BI117" s="1289"/>
      <c r="BJ117" s="1289"/>
      <c r="BK117" s="1289"/>
      <c r="BL117" s="1289"/>
      <c r="BM117" s="1289"/>
      <c r="BN117" s="1289"/>
      <c r="BO117" s="1289"/>
      <c r="BP117" s="1289"/>
      <c r="BQ117" s="1289"/>
      <c r="BR117" s="1289"/>
      <c r="BS117" s="1289"/>
      <c r="BT117" s="1670">
        <f t="shared" si="77"/>
        <v>0</v>
      </c>
      <c r="BV117"/>
      <c r="BW117" s="799" t="s">
        <v>1883</v>
      </c>
    </row>
    <row r="118" spans="1:75" s="164" customFormat="1" ht="12.75" customHeight="1" x14ac:dyDescent="0.2">
      <c r="B118" s="175">
        <f t="shared" si="78"/>
        <v>10</v>
      </c>
      <c r="C118" s="1100">
        <v>14</v>
      </c>
      <c r="D118" s="422"/>
      <c r="E118" s="1101" t="s">
        <v>1032</v>
      </c>
      <c r="F118" s="4" t="s">
        <v>626</v>
      </c>
      <c r="G118" s="862" t="s">
        <v>304</v>
      </c>
      <c r="H118" s="1412">
        <v>253357</v>
      </c>
      <c r="I118" s="197" t="s">
        <v>583</v>
      </c>
      <c r="J118" s="174"/>
      <c r="K118" s="836"/>
      <c r="L118" s="861">
        <v>1</v>
      </c>
      <c r="M118" s="861">
        <f t="shared" si="70"/>
        <v>1</v>
      </c>
      <c r="N118" s="836" t="s">
        <v>1326</v>
      </c>
      <c r="O118" s="1196">
        <v>31801</v>
      </c>
      <c r="P118" s="1218">
        <f t="shared" ca="1" si="71"/>
        <v>30.68888888888889</v>
      </c>
      <c r="Q118" s="1153">
        <v>22000</v>
      </c>
      <c r="R118" s="884"/>
      <c r="S118" s="876"/>
      <c r="T118" s="876"/>
      <c r="U118" s="876"/>
      <c r="V118" s="876"/>
      <c r="W118" s="876"/>
      <c r="X118" s="1026">
        <f t="shared" si="72"/>
        <v>22000</v>
      </c>
      <c r="Y118" s="1512">
        <f t="shared" si="73"/>
        <v>0</v>
      </c>
      <c r="Z118" s="1741">
        <f t="shared" si="74"/>
        <v>1</v>
      </c>
      <c r="AA118" s="1749">
        <f>SUM(AD118:AS118)</f>
        <v>0</v>
      </c>
      <c r="AB118" s="1810">
        <f t="shared" si="83"/>
        <v>0</v>
      </c>
      <c r="AC118" s="876"/>
      <c r="AD118" s="1525">
        <f t="shared" si="84"/>
        <v>0</v>
      </c>
      <c r="AE118" s="1525">
        <f t="shared" si="84"/>
        <v>0</v>
      </c>
      <c r="AF118" s="1525">
        <f t="shared" si="84"/>
        <v>0</v>
      </c>
      <c r="AG118" s="1525">
        <f t="shared" si="84"/>
        <v>0</v>
      </c>
      <c r="AH118" s="1525">
        <f t="shared" si="84"/>
        <v>0</v>
      </c>
      <c r="AI118" s="1525">
        <f t="shared" si="84"/>
        <v>0</v>
      </c>
      <c r="AJ118" s="1525">
        <f t="shared" si="84"/>
        <v>0</v>
      </c>
      <c r="AK118" s="1525">
        <f t="shared" si="84"/>
        <v>0</v>
      </c>
      <c r="AL118" s="1525">
        <f t="shared" si="84"/>
        <v>0</v>
      </c>
      <c r="AM118" s="1525">
        <f t="shared" si="84"/>
        <v>0</v>
      </c>
      <c r="AN118" s="1525">
        <f t="shared" si="84"/>
        <v>0</v>
      </c>
      <c r="AO118" s="1525">
        <f t="shared" si="84"/>
        <v>0</v>
      </c>
      <c r="AP118" s="1525">
        <f t="shared" si="84"/>
        <v>0</v>
      </c>
      <c r="AQ118" s="1525">
        <f t="shared" si="84"/>
        <v>0</v>
      </c>
      <c r="AR118" s="1525">
        <f t="shared" si="84"/>
        <v>0</v>
      </c>
      <c r="AS118" s="1525">
        <f t="shared" si="84"/>
        <v>0</v>
      </c>
      <c r="AU118" s="1525"/>
      <c r="AV118" s="1295"/>
      <c r="AW118" s="1525"/>
      <c r="AX118" s="1525"/>
      <c r="AY118" s="1525"/>
      <c r="AZ118" s="1525"/>
      <c r="BA118" s="1525"/>
      <c r="BB118" s="1525"/>
      <c r="BC118" s="1525"/>
      <c r="BD118" s="1525"/>
      <c r="BE118" s="1525"/>
      <c r="BF118" s="1525"/>
      <c r="BG118" s="1525"/>
      <c r="BH118" s="1525"/>
      <c r="BI118" s="1525"/>
      <c r="BJ118" s="1525"/>
      <c r="BK118" s="1525"/>
      <c r="BL118" s="1525"/>
      <c r="BM118" s="1525"/>
      <c r="BN118" s="1525"/>
      <c r="BO118" s="1525"/>
      <c r="BP118" s="1525"/>
      <c r="BQ118" s="1525"/>
      <c r="BR118" s="1525"/>
      <c r="BS118" s="1525"/>
      <c r="BT118" s="1670">
        <f t="shared" si="77"/>
        <v>0</v>
      </c>
      <c r="BV118"/>
      <c r="BW118" s="862" t="s">
        <v>304</v>
      </c>
    </row>
    <row r="119" spans="1:75" s="164" customFormat="1" ht="12.75" customHeight="1" x14ac:dyDescent="0.2">
      <c r="B119" s="175">
        <f t="shared" si="78"/>
        <v>11</v>
      </c>
      <c r="C119" s="1100">
        <v>15</v>
      </c>
      <c r="D119" s="422"/>
      <c r="E119" s="1101" t="s">
        <v>1032</v>
      </c>
      <c r="F119" s="476" t="s">
        <v>631</v>
      </c>
      <c r="G119" s="862" t="s">
        <v>234</v>
      </c>
      <c r="H119" s="1412">
        <v>28039</v>
      </c>
      <c r="I119" s="1102" t="s">
        <v>583</v>
      </c>
      <c r="J119" s="174"/>
      <c r="K119" s="836"/>
      <c r="L119" s="861">
        <v>1</v>
      </c>
      <c r="M119" s="861">
        <f t="shared" si="70"/>
        <v>1</v>
      </c>
      <c r="N119" s="836" t="s">
        <v>892</v>
      </c>
      <c r="O119" s="1196">
        <v>27677</v>
      </c>
      <c r="P119" s="1218">
        <f t="shared" ca="1" si="71"/>
        <v>41.977777777777774</v>
      </c>
      <c r="Q119" s="1153">
        <v>23000</v>
      </c>
      <c r="R119" s="884">
        <f>Q119*0.1</f>
        <v>2300</v>
      </c>
      <c r="S119" s="876"/>
      <c r="T119" s="876"/>
      <c r="U119" s="876"/>
      <c r="V119" s="876"/>
      <c r="W119" s="876"/>
      <c r="X119" s="1026">
        <f t="shared" si="72"/>
        <v>25300</v>
      </c>
      <c r="Y119" s="1512">
        <f t="shared" si="73"/>
        <v>0</v>
      </c>
      <c r="Z119" s="1741">
        <f t="shared" si="74"/>
        <v>1</v>
      </c>
      <c r="AA119" s="1749">
        <f>SUM(AD119:AS119)</f>
        <v>0</v>
      </c>
      <c r="AB119" s="1810">
        <f t="shared" si="83"/>
        <v>0</v>
      </c>
      <c r="AC119" s="876"/>
      <c r="AD119" s="1525">
        <f t="shared" si="84"/>
        <v>0</v>
      </c>
      <c r="AE119" s="1525">
        <f t="shared" si="84"/>
        <v>0</v>
      </c>
      <c r="AF119" s="1525">
        <f t="shared" si="84"/>
        <v>0</v>
      </c>
      <c r="AG119" s="1525">
        <f t="shared" si="84"/>
        <v>0</v>
      </c>
      <c r="AH119" s="1525">
        <f t="shared" si="84"/>
        <v>0</v>
      </c>
      <c r="AI119" s="1525">
        <f t="shared" si="84"/>
        <v>0</v>
      </c>
      <c r="AJ119" s="1525">
        <f t="shared" si="84"/>
        <v>0</v>
      </c>
      <c r="AK119" s="1525">
        <f t="shared" si="84"/>
        <v>0</v>
      </c>
      <c r="AL119" s="1525">
        <f t="shared" si="84"/>
        <v>0</v>
      </c>
      <c r="AM119" s="1525">
        <f t="shared" si="84"/>
        <v>0</v>
      </c>
      <c r="AN119" s="1525">
        <f t="shared" si="84"/>
        <v>0</v>
      </c>
      <c r="AO119" s="1525">
        <f t="shared" si="84"/>
        <v>0</v>
      </c>
      <c r="AP119" s="1525">
        <f t="shared" si="84"/>
        <v>0</v>
      </c>
      <c r="AQ119" s="1525">
        <f t="shared" si="84"/>
        <v>0</v>
      </c>
      <c r="AR119" s="1525">
        <f t="shared" si="84"/>
        <v>0</v>
      </c>
      <c r="AS119" s="1525">
        <f t="shared" si="84"/>
        <v>0</v>
      </c>
      <c r="AU119" s="1525"/>
      <c r="AV119" s="1295"/>
      <c r="AW119" s="1525"/>
      <c r="AX119" s="1525"/>
      <c r="AY119" s="1525"/>
      <c r="AZ119" s="1525"/>
      <c r="BA119" s="1525"/>
      <c r="BB119" s="1525"/>
      <c r="BC119" s="1525"/>
      <c r="BD119" s="1525"/>
      <c r="BE119" s="1525"/>
      <c r="BF119" s="1525"/>
      <c r="BG119" s="1525"/>
      <c r="BH119" s="1525"/>
      <c r="BI119" s="1525"/>
      <c r="BJ119" s="1525"/>
      <c r="BK119" s="1525"/>
      <c r="BL119" s="1525"/>
      <c r="BM119" s="1525"/>
      <c r="BN119" s="1525"/>
      <c r="BO119" s="1525"/>
      <c r="BP119" s="1525"/>
      <c r="BQ119" s="1525"/>
      <c r="BR119" s="1525"/>
      <c r="BS119" s="1525"/>
      <c r="BT119" s="1670">
        <f t="shared" si="77"/>
        <v>0</v>
      </c>
      <c r="BV119"/>
      <c r="BW119" s="862" t="s">
        <v>234</v>
      </c>
    </row>
    <row r="120" spans="1:75" s="164" customFormat="1" ht="12.75" customHeight="1" x14ac:dyDescent="0.2">
      <c r="B120" s="175"/>
      <c r="C120" s="1100"/>
      <c r="D120" s="422"/>
      <c r="E120" s="1101"/>
      <c r="F120" s="688"/>
      <c r="G120" s="910"/>
      <c r="H120" s="1414" t="s">
        <v>1508</v>
      </c>
      <c r="I120" s="689"/>
      <c r="J120" s="174"/>
      <c r="K120" s="836"/>
      <c r="L120" s="873"/>
      <c r="M120" s="873"/>
      <c r="N120" s="836"/>
      <c r="O120" s="1196" t="s">
        <v>1508</v>
      </c>
      <c r="P120" s="550"/>
      <c r="Q120" s="1153"/>
      <c r="R120" s="884"/>
      <c r="S120" s="876"/>
      <c r="T120" s="876"/>
      <c r="U120" s="876"/>
      <c r="V120" s="876"/>
      <c r="W120" s="876"/>
      <c r="X120" s="1026"/>
      <c r="Y120" s="1754"/>
      <c r="Z120" s="1755"/>
      <c r="AA120" s="1749"/>
      <c r="AB120" s="1812"/>
      <c r="AC120" s="876"/>
      <c r="AD120" s="1295"/>
      <c r="AE120" s="1525"/>
      <c r="AF120" s="1525"/>
      <c r="AG120" s="1525"/>
      <c r="AH120" s="1525"/>
      <c r="AI120" s="1525"/>
      <c r="AJ120" s="1525"/>
      <c r="AK120" s="1525"/>
      <c r="AL120" s="1525"/>
      <c r="AM120" s="1525"/>
      <c r="AN120" s="1525"/>
      <c r="AO120" s="1525"/>
      <c r="AP120" s="1525"/>
      <c r="AQ120" s="1525"/>
      <c r="AR120" s="1525"/>
      <c r="AS120" s="1525"/>
      <c r="AU120" s="1525"/>
      <c r="AV120" s="1295"/>
      <c r="AW120" s="1525"/>
      <c r="AX120" s="1525"/>
      <c r="AY120" s="1525"/>
      <c r="AZ120" s="1525"/>
      <c r="BA120" s="1525"/>
      <c r="BB120" s="1525"/>
      <c r="BC120" s="1525"/>
      <c r="BD120" s="1525"/>
      <c r="BE120" s="1525"/>
      <c r="BF120" s="1525"/>
      <c r="BG120" s="1525"/>
      <c r="BH120" s="1525"/>
      <c r="BI120" s="1525"/>
      <c r="BJ120" s="1525"/>
      <c r="BK120" s="1525"/>
      <c r="BL120" s="1525"/>
      <c r="BM120" s="1525"/>
      <c r="BN120" s="1525"/>
      <c r="BO120" s="1525"/>
      <c r="BP120" s="1525"/>
      <c r="BQ120" s="1525"/>
      <c r="BR120" s="1525"/>
      <c r="BS120" s="1525"/>
      <c r="BT120" s="1670"/>
      <c r="BV120"/>
      <c r="BW120" s="910"/>
    </row>
    <row r="121" spans="1:75" s="164" customFormat="1" ht="12.75" customHeight="1" x14ac:dyDescent="0.2">
      <c r="B121" s="175"/>
      <c r="C121" s="219" t="s">
        <v>1120</v>
      </c>
      <c r="D121" s="422"/>
      <c r="E121" s="1101"/>
      <c r="F121" s="476" t="s">
        <v>1500</v>
      </c>
      <c r="G121" s="862"/>
      <c r="H121" s="1415" t="s">
        <v>1508</v>
      </c>
      <c r="I121" s="1102"/>
      <c r="J121" s="174"/>
      <c r="K121" s="836"/>
      <c r="L121" s="892">
        <f>SUM(L108:L120)</f>
        <v>11</v>
      </c>
      <c r="M121" s="892">
        <f>SUM(M108:M120)</f>
        <v>11</v>
      </c>
      <c r="N121" s="836"/>
      <c r="O121" s="1196" t="s">
        <v>1508</v>
      </c>
      <c r="P121" s="550"/>
      <c r="Q121" s="1153"/>
      <c r="R121" s="884"/>
      <c r="S121" s="876"/>
      <c r="T121" s="876"/>
      <c r="U121" s="876"/>
      <c r="V121" s="876"/>
      <c r="W121" s="876"/>
      <c r="X121" s="1026"/>
      <c r="Y121" s="1335"/>
      <c r="Z121" s="1335"/>
      <c r="AA121" s="1749"/>
      <c r="AB121" s="1812"/>
      <c r="AC121" s="876"/>
      <c r="AD121" s="1295"/>
      <c r="AE121" s="1525"/>
      <c r="AF121" s="1525"/>
      <c r="AG121" s="1525"/>
      <c r="AH121" s="1525"/>
      <c r="AI121" s="1525"/>
      <c r="AJ121" s="1525"/>
      <c r="AK121" s="1525"/>
      <c r="AL121" s="1525"/>
      <c r="AM121" s="1525"/>
      <c r="AN121" s="1525"/>
      <c r="AO121" s="1525"/>
      <c r="AP121" s="1525"/>
      <c r="AQ121" s="1525"/>
      <c r="AR121" s="1525"/>
      <c r="AS121" s="1525"/>
      <c r="AU121" s="1525"/>
      <c r="AV121" s="1295"/>
      <c r="AW121" s="1525"/>
      <c r="AX121" s="1525"/>
      <c r="AY121" s="1525"/>
      <c r="AZ121" s="1525"/>
      <c r="BA121" s="1525"/>
      <c r="BB121" s="1525"/>
      <c r="BC121" s="1525"/>
      <c r="BD121" s="1525"/>
      <c r="BE121" s="1525"/>
      <c r="BF121" s="1525"/>
      <c r="BG121" s="1525"/>
      <c r="BH121" s="1525"/>
      <c r="BI121" s="1525"/>
      <c r="BJ121" s="1525"/>
      <c r="BK121" s="1525"/>
      <c r="BL121" s="1525"/>
      <c r="BM121" s="1525"/>
      <c r="BN121" s="1525"/>
      <c r="BO121" s="1525"/>
      <c r="BP121" s="1525"/>
      <c r="BQ121" s="1525"/>
      <c r="BR121" s="1525"/>
      <c r="BS121" s="1525"/>
      <c r="BT121" s="1670"/>
      <c r="BV121"/>
      <c r="BW121" s="862"/>
    </row>
    <row r="122" spans="1:75" s="164" customFormat="1" ht="12.75" customHeight="1" x14ac:dyDescent="0.2">
      <c r="B122" s="175"/>
      <c r="C122" s="1100"/>
      <c r="D122" s="422"/>
      <c r="E122" s="1101"/>
      <c r="F122" s="476"/>
      <c r="G122" s="862"/>
      <c r="H122" s="1412" t="s">
        <v>1508</v>
      </c>
      <c r="I122" s="1102"/>
      <c r="J122" s="174"/>
      <c r="K122" s="836"/>
      <c r="L122" s="861"/>
      <c r="M122" s="861"/>
      <c r="N122" s="836"/>
      <c r="O122" s="1196" t="s">
        <v>1508</v>
      </c>
      <c r="P122" s="550"/>
      <c r="Q122" s="1153"/>
      <c r="R122" s="884"/>
      <c r="S122" s="876"/>
      <c r="T122" s="876"/>
      <c r="U122" s="876"/>
      <c r="V122" s="876"/>
      <c r="W122" s="876"/>
      <c r="X122" s="1026"/>
      <c r="Y122" s="1754"/>
      <c r="Z122" s="1755"/>
      <c r="AA122" s="1749"/>
      <c r="AB122" s="1812"/>
      <c r="AC122" s="876"/>
      <c r="AD122" s="1295"/>
      <c r="AE122" s="1525"/>
      <c r="AF122" s="1525"/>
      <c r="AG122" s="1525"/>
      <c r="AH122" s="1525"/>
      <c r="AI122" s="1525"/>
      <c r="AJ122" s="1525"/>
      <c r="AK122" s="1525"/>
      <c r="AL122" s="1525"/>
      <c r="AM122" s="1525"/>
      <c r="AN122" s="1525"/>
      <c r="AO122" s="1525"/>
      <c r="AP122" s="1525"/>
      <c r="AQ122" s="1525"/>
      <c r="AR122" s="1525"/>
      <c r="AS122" s="1525"/>
      <c r="AU122" s="1525"/>
      <c r="AV122" s="1295"/>
      <c r="AW122" s="1525"/>
      <c r="AX122" s="1525"/>
      <c r="AY122" s="1525"/>
      <c r="AZ122" s="1525"/>
      <c r="BA122" s="1525"/>
      <c r="BB122" s="1525"/>
      <c r="BC122" s="1525"/>
      <c r="BD122" s="1525"/>
      <c r="BE122" s="1525"/>
      <c r="BF122" s="1525"/>
      <c r="BG122" s="1525"/>
      <c r="BH122" s="1525"/>
      <c r="BI122" s="1525"/>
      <c r="BJ122" s="1525"/>
      <c r="BK122" s="1525"/>
      <c r="BL122" s="1525"/>
      <c r="BM122" s="1525"/>
      <c r="BN122" s="1525"/>
      <c r="BO122" s="1525"/>
      <c r="BP122" s="1525"/>
      <c r="BQ122" s="1525"/>
      <c r="BR122" s="1525"/>
      <c r="BS122" s="1525"/>
      <c r="BT122" s="1670"/>
      <c r="BV122"/>
      <c r="BW122" s="862"/>
    </row>
    <row r="123" spans="1:75" s="164" customFormat="1" ht="12.75" customHeight="1" x14ac:dyDescent="0.2">
      <c r="B123" s="175"/>
      <c r="C123" s="1100"/>
      <c r="D123" s="422"/>
      <c r="E123" s="1101"/>
      <c r="F123" s="1103" t="s">
        <v>436</v>
      </c>
      <c r="G123" s="862"/>
      <c r="H123" s="1412" t="s">
        <v>1508</v>
      </c>
      <c r="I123" s="1102"/>
      <c r="J123" s="174"/>
      <c r="K123" s="836"/>
      <c r="L123" s="861"/>
      <c r="M123" s="861"/>
      <c r="N123" s="836"/>
      <c r="O123" s="1196" t="s">
        <v>1508</v>
      </c>
      <c r="P123" s="550"/>
      <c r="Q123" s="1153"/>
      <c r="R123" s="884"/>
      <c r="S123" s="876"/>
      <c r="T123" s="876"/>
      <c r="U123" s="876"/>
      <c r="V123" s="876"/>
      <c r="W123" s="876"/>
      <c r="X123" s="1026"/>
      <c r="Y123" s="1754"/>
      <c r="Z123" s="1755"/>
      <c r="AA123" s="1749"/>
      <c r="AB123" s="1812"/>
      <c r="AC123" s="876"/>
      <c r="AD123" s="1295"/>
      <c r="AE123" s="1525"/>
      <c r="AF123" s="1525"/>
      <c r="AG123" s="1525"/>
      <c r="AH123" s="1525"/>
      <c r="AI123" s="1525"/>
      <c r="AJ123" s="1525"/>
      <c r="AK123" s="1525"/>
      <c r="AL123" s="1525"/>
      <c r="AM123" s="1525"/>
      <c r="AN123" s="1525"/>
      <c r="AO123" s="1525"/>
      <c r="AP123" s="1525"/>
      <c r="AQ123" s="1525"/>
      <c r="AR123" s="1525"/>
      <c r="AS123" s="1525"/>
      <c r="AU123" s="1525"/>
      <c r="AV123" s="1295"/>
      <c r="AW123" s="1525"/>
      <c r="AX123" s="1525"/>
      <c r="AY123" s="1525"/>
      <c r="AZ123" s="1525"/>
      <c r="BA123" s="1525"/>
      <c r="BB123" s="1525"/>
      <c r="BC123" s="1525"/>
      <c r="BD123" s="1525"/>
      <c r="BE123" s="1525"/>
      <c r="BF123" s="1525"/>
      <c r="BG123" s="1525"/>
      <c r="BH123" s="1525"/>
      <c r="BI123" s="1525"/>
      <c r="BJ123" s="1525"/>
      <c r="BK123" s="1525"/>
      <c r="BL123" s="1525"/>
      <c r="BM123" s="1525"/>
      <c r="BN123" s="1525"/>
      <c r="BO123" s="1525"/>
      <c r="BP123" s="1525"/>
      <c r="BQ123" s="1525"/>
      <c r="BR123" s="1525"/>
      <c r="BS123" s="1525"/>
      <c r="BT123" s="1670"/>
      <c r="BV123"/>
      <c r="BW123" s="862"/>
    </row>
    <row r="124" spans="1:75" s="164" customFormat="1" ht="12.75" customHeight="1" x14ac:dyDescent="0.2">
      <c r="B124" s="175">
        <f>B123+1</f>
        <v>1</v>
      </c>
      <c r="C124" s="1100">
        <v>14</v>
      </c>
      <c r="D124" s="422"/>
      <c r="E124" s="1101" t="s">
        <v>1032</v>
      </c>
      <c r="F124" s="4" t="s">
        <v>626</v>
      </c>
      <c r="G124" s="862" t="s">
        <v>1706</v>
      </c>
      <c r="H124" s="1416">
        <v>146608</v>
      </c>
      <c r="I124" s="197" t="s">
        <v>583</v>
      </c>
      <c r="J124" s="174"/>
      <c r="K124" s="1132">
        <v>1</v>
      </c>
      <c r="L124" s="1133"/>
      <c r="M124" s="1133">
        <v>1</v>
      </c>
      <c r="N124" s="836" t="s">
        <v>892</v>
      </c>
      <c r="O124" s="1196">
        <v>33511</v>
      </c>
      <c r="P124" s="1218">
        <f ca="1">YEARFRAC(TODAY(),O124)</f>
        <v>26.005555555555556</v>
      </c>
      <c r="Q124" s="1153">
        <v>27000</v>
      </c>
      <c r="R124" s="884"/>
      <c r="S124" s="876"/>
      <c r="T124" s="876"/>
      <c r="U124" s="876"/>
      <c r="V124" s="876"/>
      <c r="W124" s="876"/>
      <c r="X124" s="1026">
        <f>(Q124+R124+S124+T124+U124+V124+W124)*M124</f>
        <v>27000</v>
      </c>
      <c r="Y124" s="1512">
        <f>(T124+U124)*M124/(X124-M124*(T124+U124))</f>
        <v>0</v>
      </c>
      <c r="Z124" s="1741">
        <f>M124*(1+Y124)</f>
        <v>1</v>
      </c>
      <c r="AA124" s="1749">
        <f>SUM(AD124:AS124)</f>
        <v>0</v>
      </c>
      <c r="AB124" s="1810">
        <f t="shared" ref="AB124:AB125" si="85">100*AA124/Z124</f>
        <v>0</v>
      </c>
      <c r="AC124" s="876"/>
      <c r="AD124" s="1525">
        <f t="shared" ref="AD124:AS125" si="86">SUMIF($AV$6:$BS$6,AD$5,$AV124:$BS124)</f>
        <v>0</v>
      </c>
      <c r="AE124" s="1525">
        <f t="shared" si="86"/>
        <v>0</v>
      </c>
      <c r="AF124" s="1525">
        <f t="shared" si="86"/>
        <v>0</v>
      </c>
      <c r="AG124" s="1525">
        <f t="shared" si="86"/>
        <v>0</v>
      </c>
      <c r="AH124" s="1525">
        <f t="shared" si="86"/>
        <v>0</v>
      </c>
      <c r="AI124" s="1525">
        <f t="shared" si="86"/>
        <v>0</v>
      </c>
      <c r="AJ124" s="1525">
        <f t="shared" si="86"/>
        <v>0</v>
      </c>
      <c r="AK124" s="1525">
        <f t="shared" si="86"/>
        <v>0</v>
      </c>
      <c r="AL124" s="1525">
        <f t="shared" si="86"/>
        <v>0</v>
      </c>
      <c r="AM124" s="1525">
        <f t="shared" si="86"/>
        <v>0</v>
      </c>
      <c r="AN124" s="1525">
        <f t="shared" si="86"/>
        <v>0</v>
      </c>
      <c r="AO124" s="1525">
        <f t="shared" si="86"/>
        <v>0</v>
      </c>
      <c r="AP124" s="1525">
        <f t="shared" si="86"/>
        <v>0</v>
      </c>
      <c r="AQ124" s="1525">
        <f t="shared" si="86"/>
        <v>0</v>
      </c>
      <c r="AR124" s="1525">
        <f t="shared" si="86"/>
        <v>0</v>
      </c>
      <c r="AS124" s="1525">
        <f t="shared" si="86"/>
        <v>0</v>
      </c>
      <c r="AU124" s="1525"/>
      <c r="AV124" s="1295"/>
      <c r="AW124" s="1525"/>
      <c r="AX124" s="1525"/>
      <c r="AY124" s="1525"/>
      <c r="AZ124" s="1525"/>
      <c r="BA124" s="1525"/>
      <c r="BB124" s="1525"/>
      <c r="BC124" s="1525"/>
      <c r="BD124" s="1525"/>
      <c r="BE124" s="1525"/>
      <c r="BF124" s="1525"/>
      <c r="BG124" s="1525"/>
      <c r="BH124" s="1525"/>
      <c r="BI124" s="1525"/>
      <c r="BJ124" s="1525"/>
      <c r="BK124" s="1525"/>
      <c r="BL124" s="1525"/>
      <c r="BM124" s="1525"/>
      <c r="BN124" s="1525"/>
      <c r="BO124" s="1525"/>
      <c r="BP124" s="1525"/>
      <c r="BQ124" s="1525"/>
      <c r="BR124" s="1525"/>
      <c r="BS124" s="1525"/>
      <c r="BT124" s="1670">
        <f t="shared" ref="BT124:BT125" si="87">SUM(AV124:BS124)</f>
        <v>0</v>
      </c>
      <c r="BV124"/>
      <c r="BW124" s="862" t="s">
        <v>1706</v>
      </c>
    </row>
    <row r="125" spans="1:75" s="164" customFormat="1" ht="12.75" customHeight="1" x14ac:dyDescent="0.2">
      <c r="B125" s="175">
        <f>B124+1</f>
        <v>2</v>
      </c>
      <c r="C125" s="1100">
        <v>18</v>
      </c>
      <c r="D125" s="422"/>
      <c r="E125" s="1101" t="s">
        <v>1032</v>
      </c>
      <c r="F125" s="4" t="s">
        <v>584</v>
      </c>
      <c r="G125" s="862" t="s">
        <v>1964</v>
      </c>
      <c r="H125" s="1416">
        <v>164238</v>
      </c>
      <c r="I125" s="197" t="s">
        <v>583</v>
      </c>
      <c r="J125" s="174"/>
      <c r="K125" s="1132">
        <v>1</v>
      </c>
      <c r="L125" s="1133"/>
      <c r="M125" s="1133">
        <v>1</v>
      </c>
      <c r="N125" s="836" t="s">
        <v>892</v>
      </c>
      <c r="O125" s="1196">
        <v>27796</v>
      </c>
      <c r="P125" s="1218">
        <f ca="1">YEARFRAC(TODAY(),O125)</f>
        <v>41.655555555555559</v>
      </c>
      <c r="Q125" s="1153">
        <v>24000</v>
      </c>
      <c r="R125" s="884"/>
      <c r="S125" s="876"/>
      <c r="T125" s="876"/>
      <c r="U125" s="876"/>
      <c r="V125" s="876"/>
      <c r="W125" s="876"/>
      <c r="X125" s="1026">
        <f>(Q125+R125+S125+T125+U125+V125+W125)*M125</f>
        <v>24000</v>
      </c>
      <c r="Y125" s="1512">
        <f>(T125+U125)*M125/(X125-M125*(T125+U125))</f>
        <v>0</v>
      </c>
      <c r="Z125" s="1741">
        <f>M125*(1+Y125)</f>
        <v>1</v>
      </c>
      <c r="AA125" s="1749">
        <f>SUM(AD125:AS125)</f>
        <v>0</v>
      </c>
      <c r="AB125" s="1810">
        <f t="shared" si="85"/>
        <v>0</v>
      </c>
      <c r="AC125" s="876"/>
      <c r="AD125" s="1525">
        <f t="shared" si="86"/>
        <v>0</v>
      </c>
      <c r="AE125" s="1525">
        <f t="shared" si="86"/>
        <v>0</v>
      </c>
      <c r="AF125" s="1525">
        <f t="shared" si="86"/>
        <v>0</v>
      </c>
      <c r="AG125" s="1525">
        <f t="shared" si="86"/>
        <v>0</v>
      </c>
      <c r="AH125" s="1525">
        <f t="shared" si="86"/>
        <v>0</v>
      </c>
      <c r="AI125" s="1525">
        <f t="shared" si="86"/>
        <v>0</v>
      </c>
      <c r="AJ125" s="1525">
        <f t="shared" si="86"/>
        <v>0</v>
      </c>
      <c r="AK125" s="1525">
        <f t="shared" si="86"/>
        <v>0</v>
      </c>
      <c r="AL125" s="1525">
        <f t="shared" si="86"/>
        <v>0</v>
      </c>
      <c r="AM125" s="1525">
        <f t="shared" si="86"/>
        <v>0</v>
      </c>
      <c r="AN125" s="1525">
        <f t="shared" si="86"/>
        <v>0</v>
      </c>
      <c r="AO125" s="1525">
        <f t="shared" si="86"/>
        <v>0</v>
      </c>
      <c r="AP125" s="1525">
        <f t="shared" si="86"/>
        <v>0</v>
      </c>
      <c r="AQ125" s="1525">
        <f t="shared" si="86"/>
        <v>0</v>
      </c>
      <c r="AR125" s="1525">
        <f t="shared" si="86"/>
        <v>0</v>
      </c>
      <c r="AS125" s="1525">
        <f t="shared" si="86"/>
        <v>0</v>
      </c>
      <c r="AU125" s="1525"/>
      <c r="AV125" s="1295"/>
      <c r="AW125" s="1525"/>
      <c r="AX125" s="1525"/>
      <c r="AY125" s="1525"/>
      <c r="AZ125" s="1525"/>
      <c r="BA125" s="1525"/>
      <c r="BB125" s="1525"/>
      <c r="BC125" s="1525"/>
      <c r="BD125" s="1525"/>
      <c r="BE125" s="1525"/>
      <c r="BF125" s="1525"/>
      <c r="BG125" s="1525"/>
      <c r="BH125" s="1525"/>
      <c r="BI125" s="1525"/>
      <c r="BJ125" s="1525"/>
      <c r="BK125" s="1525"/>
      <c r="BL125" s="1525"/>
      <c r="BM125" s="1525"/>
      <c r="BN125" s="1525"/>
      <c r="BO125" s="1525"/>
      <c r="BP125" s="1525"/>
      <c r="BQ125" s="1525"/>
      <c r="BR125" s="1525"/>
      <c r="BS125" s="1525"/>
      <c r="BT125" s="1670">
        <f t="shared" si="87"/>
        <v>0</v>
      </c>
      <c r="BV125"/>
      <c r="BW125" s="862" t="s">
        <v>1964</v>
      </c>
    </row>
    <row r="126" spans="1:75" s="164" customFormat="1" ht="12.75" customHeight="1" x14ac:dyDescent="0.2">
      <c r="B126" s="175"/>
      <c r="C126" s="1100"/>
      <c r="D126" s="422"/>
      <c r="E126" s="1101"/>
      <c r="F126" s="476"/>
      <c r="G126" s="862"/>
      <c r="H126" s="1412" t="s">
        <v>1508</v>
      </c>
      <c r="I126" s="1102"/>
      <c r="J126" s="174"/>
      <c r="K126" s="836"/>
      <c r="L126" s="861"/>
      <c r="M126" s="861"/>
      <c r="N126" s="836"/>
      <c r="O126" s="1196" t="s">
        <v>1508</v>
      </c>
      <c r="P126" s="550"/>
      <c r="Q126" s="1153"/>
      <c r="R126" s="884"/>
      <c r="S126" s="876"/>
      <c r="T126" s="876"/>
      <c r="U126" s="876"/>
      <c r="V126" s="876"/>
      <c r="W126" s="876"/>
      <c r="X126" s="1026"/>
      <c r="Y126" s="1754"/>
      <c r="Z126" s="1755"/>
      <c r="AA126" s="1749"/>
      <c r="AB126" s="1812"/>
      <c r="AC126" s="876"/>
      <c r="AD126" s="1295"/>
      <c r="AE126" s="1525"/>
      <c r="AF126" s="1525"/>
      <c r="AG126" s="1525"/>
      <c r="AH126" s="1525"/>
      <c r="AI126" s="1525"/>
      <c r="AJ126" s="1525"/>
      <c r="AK126" s="1525"/>
      <c r="AL126" s="1525"/>
      <c r="AM126" s="1525"/>
      <c r="AN126" s="1525"/>
      <c r="AO126" s="1525"/>
      <c r="AP126" s="1525"/>
      <c r="AQ126" s="1525"/>
      <c r="AR126" s="1525"/>
      <c r="AS126" s="1525"/>
      <c r="AU126" s="1525"/>
      <c r="AV126" s="1295"/>
      <c r="AW126" s="1525"/>
      <c r="AX126" s="1525"/>
      <c r="AY126" s="1525"/>
      <c r="AZ126" s="1525"/>
      <c r="BA126" s="1525"/>
      <c r="BB126" s="1525"/>
      <c r="BC126" s="1525"/>
      <c r="BD126" s="1525"/>
      <c r="BE126" s="1525"/>
      <c r="BF126" s="1525"/>
      <c r="BG126" s="1525"/>
      <c r="BH126" s="1525"/>
      <c r="BI126" s="1525"/>
      <c r="BJ126" s="1525"/>
      <c r="BK126" s="1525"/>
      <c r="BL126" s="1525"/>
      <c r="BM126" s="1525"/>
      <c r="BN126" s="1525"/>
      <c r="BO126" s="1525"/>
      <c r="BP126" s="1525"/>
      <c r="BQ126" s="1525"/>
      <c r="BR126" s="1525"/>
      <c r="BS126" s="1525"/>
      <c r="BT126" s="1670"/>
      <c r="BV126"/>
      <c r="BW126" s="862"/>
    </row>
    <row r="127" spans="1:75" s="164" customFormat="1" ht="12.75" customHeight="1" x14ac:dyDescent="0.2">
      <c r="B127" s="175"/>
      <c r="C127" s="1100"/>
      <c r="D127" s="422"/>
      <c r="E127" s="1101"/>
      <c r="F127" s="1103" t="s">
        <v>1031</v>
      </c>
      <c r="G127" s="862"/>
      <c r="H127" s="1412" t="s">
        <v>1508</v>
      </c>
      <c r="I127" s="1102"/>
      <c r="J127" s="174"/>
      <c r="K127" s="836"/>
      <c r="L127" s="861"/>
      <c r="M127" s="861"/>
      <c r="N127" s="836"/>
      <c r="O127" s="1196" t="s">
        <v>1508</v>
      </c>
      <c r="P127" s="550"/>
      <c r="Q127" s="1153"/>
      <c r="R127" s="884"/>
      <c r="S127" s="876"/>
      <c r="T127" s="876"/>
      <c r="U127" s="876"/>
      <c r="V127" s="876"/>
      <c r="W127" s="876"/>
      <c r="X127" s="1026"/>
      <c r="Y127" s="1754"/>
      <c r="Z127" s="1755"/>
      <c r="AA127" s="1749"/>
      <c r="AB127" s="1812"/>
      <c r="AC127" s="876"/>
      <c r="AD127" s="1295"/>
      <c r="AE127" s="1525"/>
      <c r="AF127" s="1525"/>
      <c r="AG127" s="1525"/>
      <c r="AH127" s="1525"/>
      <c r="AI127" s="1525"/>
      <c r="AJ127" s="1525"/>
      <c r="AK127" s="1525"/>
      <c r="AL127" s="1525"/>
      <c r="AM127" s="1525"/>
      <c r="AN127" s="1525"/>
      <c r="AO127" s="1525"/>
      <c r="AP127" s="1525"/>
      <c r="AQ127" s="1525"/>
      <c r="AR127" s="1525"/>
      <c r="AS127" s="1525"/>
      <c r="AU127" s="1525"/>
      <c r="AV127" s="1295"/>
      <c r="AW127" s="1525"/>
      <c r="AX127" s="1525"/>
      <c r="AY127" s="1525"/>
      <c r="AZ127" s="1525"/>
      <c r="BA127" s="1525"/>
      <c r="BB127" s="1525"/>
      <c r="BC127" s="1525"/>
      <c r="BD127" s="1525"/>
      <c r="BE127" s="1525"/>
      <c r="BF127" s="1525"/>
      <c r="BG127" s="1525"/>
      <c r="BH127" s="1525"/>
      <c r="BI127" s="1525"/>
      <c r="BJ127" s="1525"/>
      <c r="BK127" s="1525"/>
      <c r="BL127" s="1525"/>
      <c r="BM127" s="1525"/>
      <c r="BN127" s="1525"/>
      <c r="BO127" s="1525"/>
      <c r="BP127" s="1525"/>
      <c r="BQ127" s="1525"/>
      <c r="BR127" s="1525"/>
      <c r="BS127" s="1525"/>
      <c r="BT127" s="1670"/>
      <c r="BV127"/>
      <c r="BW127" s="862"/>
    </row>
    <row r="128" spans="1:75" s="164" customFormat="1" ht="12.75" customHeight="1" x14ac:dyDescent="0.2">
      <c r="B128" s="175"/>
      <c r="C128" s="1100"/>
      <c r="D128" s="422"/>
      <c r="E128" s="1101"/>
      <c r="F128" s="476"/>
      <c r="G128" s="862"/>
      <c r="H128" s="1412" t="s">
        <v>1508</v>
      </c>
      <c r="I128" s="1102"/>
      <c r="J128" s="174"/>
      <c r="K128" s="836"/>
      <c r="L128" s="861"/>
      <c r="M128" s="861"/>
      <c r="N128" s="836"/>
      <c r="O128" s="1196" t="s">
        <v>1508</v>
      </c>
      <c r="P128" s="550"/>
      <c r="Q128" s="1153"/>
      <c r="R128" s="884"/>
      <c r="S128" s="876"/>
      <c r="T128" s="876"/>
      <c r="U128" s="876"/>
      <c r="V128" s="876"/>
      <c r="W128" s="876"/>
      <c r="X128" s="1026"/>
      <c r="Y128" s="1754"/>
      <c r="Z128" s="1755"/>
      <c r="AA128" s="1749"/>
      <c r="AB128" s="1812"/>
      <c r="AC128" s="876"/>
      <c r="AD128" s="1295"/>
      <c r="AE128" s="1525"/>
      <c r="AF128" s="1525"/>
      <c r="AG128" s="1525"/>
      <c r="AH128" s="1525"/>
      <c r="AI128" s="1525"/>
      <c r="AJ128" s="1525"/>
      <c r="AK128" s="1525"/>
      <c r="AL128" s="1525"/>
      <c r="AM128" s="1525"/>
      <c r="AN128" s="1525"/>
      <c r="AO128" s="1525"/>
      <c r="AP128" s="1525"/>
      <c r="AQ128" s="1525"/>
      <c r="AR128" s="1525"/>
      <c r="AS128" s="1525"/>
      <c r="AU128" s="1525"/>
      <c r="AV128" s="1295"/>
      <c r="AW128" s="1525"/>
      <c r="AX128" s="1525"/>
      <c r="AY128" s="1525"/>
      <c r="AZ128" s="1525"/>
      <c r="BA128" s="1525"/>
      <c r="BB128" s="1525"/>
      <c r="BC128" s="1525"/>
      <c r="BD128" s="1525"/>
      <c r="BE128" s="1525"/>
      <c r="BF128" s="1525"/>
      <c r="BG128" s="1525"/>
      <c r="BH128" s="1525"/>
      <c r="BI128" s="1525"/>
      <c r="BJ128" s="1525"/>
      <c r="BK128" s="1525"/>
      <c r="BL128" s="1525"/>
      <c r="BM128" s="1525"/>
      <c r="BN128" s="1525"/>
      <c r="BO128" s="1525"/>
      <c r="BP128" s="1525"/>
      <c r="BQ128" s="1525"/>
      <c r="BR128" s="1525"/>
      <c r="BS128" s="1525"/>
      <c r="BT128" s="1670"/>
      <c r="BV128"/>
      <c r="BW128" s="862"/>
    </row>
    <row r="129" spans="2:75" s="164" customFormat="1" ht="12.75" customHeight="1" x14ac:dyDescent="0.2">
      <c r="B129" s="175">
        <f>B128+1</f>
        <v>1</v>
      </c>
      <c r="C129" s="1100">
        <v>11</v>
      </c>
      <c r="D129" s="422"/>
      <c r="E129" s="1101" t="s">
        <v>1032</v>
      </c>
      <c r="F129" s="476" t="s">
        <v>824</v>
      </c>
      <c r="G129" s="862" t="s">
        <v>454</v>
      </c>
      <c r="H129" s="1412">
        <v>115231</v>
      </c>
      <c r="I129" s="1102" t="s">
        <v>161</v>
      </c>
      <c r="J129" s="174"/>
      <c r="K129" s="836"/>
      <c r="L129" s="861">
        <v>1</v>
      </c>
      <c r="M129" s="861">
        <f>L129+K129</f>
        <v>1</v>
      </c>
      <c r="N129" s="836" t="s">
        <v>892</v>
      </c>
      <c r="O129" s="1196">
        <v>24808</v>
      </c>
      <c r="P129" s="1218">
        <f t="shared" ref="P129:P139" ca="1" si="88">YEARFRAC(TODAY(),O129)</f>
        <v>49.833333333333336</v>
      </c>
      <c r="Q129" s="1153">
        <v>46000</v>
      </c>
      <c r="R129" s="884"/>
      <c r="S129" s="876"/>
      <c r="T129" s="876">
        <v>31000</v>
      </c>
      <c r="U129" s="876"/>
      <c r="V129" s="876"/>
      <c r="W129" s="876"/>
      <c r="X129" s="1026">
        <f t="shared" ref="X129:X139" si="89">(Q129+R129+S129+T129+U129+V129+W129)*M129</f>
        <v>77000</v>
      </c>
      <c r="Y129" s="1512">
        <f t="shared" ref="Y129:Y139" si="90">(T129+U129)*M129/(X129-M129*(T129+U129))</f>
        <v>0.67391304347826086</v>
      </c>
      <c r="Z129" s="1741">
        <f t="shared" ref="Z129:Z139" si="91">M129*(1+Y129)</f>
        <v>1.6739130434782608</v>
      </c>
      <c r="AA129" s="1749">
        <f t="shared" ref="AA129:AA139" si="92">SUM(AD129:AS129)</f>
        <v>0</v>
      </c>
      <c r="AB129" s="1810">
        <f t="shared" ref="AB129:AB139" si="93">100*AA129/Z129</f>
        <v>0</v>
      </c>
      <c r="AC129" s="876"/>
      <c r="AD129" s="1525">
        <f t="shared" ref="AD129:AS135" si="94">SUMIF($AV$6:$BS$6,AD$5,$AV129:$BS129)</f>
        <v>0</v>
      </c>
      <c r="AE129" s="1525">
        <f t="shared" si="94"/>
        <v>0</v>
      </c>
      <c r="AF129" s="1525">
        <f t="shared" si="94"/>
        <v>0</v>
      </c>
      <c r="AG129" s="1525">
        <f t="shared" si="94"/>
        <v>0</v>
      </c>
      <c r="AH129" s="1525">
        <f t="shared" si="94"/>
        <v>0</v>
      </c>
      <c r="AI129" s="1525">
        <f t="shared" si="94"/>
        <v>0</v>
      </c>
      <c r="AJ129" s="1525">
        <f t="shared" si="94"/>
        <v>0</v>
      </c>
      <c r="AK129" s="1525">
        <f t="shared" si="94"/>
        <v>0</v>
      </c>
      <c r="AL129" s="1525">
        <f t="shared" si="94"/>
        <v>0</v>
      </c>
      <c r="AM129" s="1525">
        <f t="shared" si="94"/>
        <v>0</v>
      </c>
      <c r="AN129" s="1525">
        <f t="shared" si="94"/>
        <v>0</v>
      </c>
      <c r="AO129" s="1525">
        <f t="shared" si="94"/>
        <v>0</v>
      </c>
      <c r="AP129" s="1525">
        <f t="shared" si="94"/>
        <v>0</v>
      </c>
      <c r="AQ129" s="1525">
        <f t="shared" si="94"/>
        <v>0</v>
      </c>
      <c r="AR129" s="1525">
        <f t="shared" si="94"/>
        <v>0</v>
      </c>
      <c r="AS129" s="1525">
        <f t="shared" si="94"/>
        <v>0</v>
      </c>
      <c r="AU129" s="1525"/>
      <c r="AV129" s="1295"/>
      <c r="AW129" s="1525"/>
      <c r="AX129" s="1525"/>
      <c r="AY129" s="1525"/>
      <c r="AZ129" s="1525"/>
      <c r="BA129" s="1525"/>
      <c r="BB129" s="1525"/>
      <c r="BC129" s="1525"/>
      <c r="BD129" s="1525"/>
      <c r="BE129" s="1525"/>
      <c r="BF129" s="1525"/>
      <c r="BG129" s="1525"/>
      <c r="BH129" s="1525"/>
      <c r="BI129" s="1525"/>
      <c r="BJ129" s="1525"/>
      <c r="BK129" s="1525"/>
      <c r="BL129" s="1525"/>
      <c r="BM129" s="1525"/>
      <c r="BN129" s="1525"/>
      <c r="BO129" s="1525"/>
      <c r="BP129" s="1525"/>
      <c r="BQ129" s="1525"/>
      <c r="BR129" s="1525"/>
      <c r="BS129" s="1525"/>
      <c r="BT129" s="1670">
        <f t="shared" ref="BT129:BT139" si="95">SUM(AV129:BS129)</f>
        <v>0</v>
      </c>
      <c r="BV129"/>
      <c r="BW129" s="862" t="s">
        <v>454</v>
      </c>
    </row>
    <row r="130" spans="2:75" s="164" customFormat="1" ht="12.75" customHeight="1" x14ac:dyDescent="0.2">
      <c r="B130" s="175">
        <f t="shared" ref="B130:B139" si="96">B129+1</f>
        <v>2</v>
      </c>
      <c r="C130" s="262">
        <v>9</v>
      </c>
      <c r="D130" s="547"/>
      <c r="E130" s="1573" t="s">
        <v>1032</v>
      </c>
      <c r="F130" s="4" t="s">
        <v>1965</v>
      </c>
      <c r="G130" s="862" t="s">
        <v>1886</v>
      </c>
      <c r="H130" s="861">
        <v>161262</v>
      </c>
      <c r="I130" s="197" t="s">
        <v>351</v>
      </c>
      <c r="J130" s="174"/>
      <c r="K130" s="836"/>
      <c r="L130" s="861">
        <v>1</v>
      </c>
      <c r="M130" s="861">
        <v>1</v>
      </c>
      <c r="N130" s="836" t="s">
        <v>892</v>
      </c>
      <c r="O130" s="1196">
        <v>32387</v>
      </c>
      <c r="P130" s="1218">
        <f ca="1">YEARFRAC(TODAY(),O130)</f>
        <v>29.086111111111112</v>
      </c>
      <c r="Q130" s="1153">
        <v>25000</v>
      </c>
      <c r="R130" s="884"/>
      <c r="S130" s="876"/>
      <c r="T130" s="876"/>
      <c r="U130" s="876"/>
      <c r="V130" s="876"/>
      <c r="W130" s="876"/>
      <c r="X130" s="1026">
        <f t="shared" si="89"/>
        <v>25000</v>
      </c>
      <c r="Y130" s="1512">
        <f t="shared" si="90"/>
        <v>0</v>
      </c>
      <c r="Z130" s="1741">
        <f t="shared" si="91"/>
        <v>1</v>
      </c>
      <c r="AA130" s="1749">
        <f t="shared" si="92"/>
        <v>0</v>
      </c>
      <c r="AB130" s="1810">
        <f t="shared" si="93"/>
        <v>0</v>
      </c>
      <c r="AC130" s="224"/>
      <c r="AD130" s="1525">
        <f t="shared" si="94"/>
        <v>0</v>
      </c>
      <c r="AE130" s="1525">
        <f t="shared" si="94"/>
        <v>0</v>
      </c>
      <c r="AF130" s="1525">
        <f t="shared" si="94"/>
        <v>0</v>
      </c>
      <c r="AG130" s="1525">
        <f t="shared" si="94"/>
        <v>0</v>
      </c>
      <c r="AH130" s="1525">
        <f t="shared" si="94"/>
        <v>0</v>
      </c>
      <c r="AI130" s="1525">
        <f t="shared" si="94"/>
        <v>0</v>
      </c>
      <c r="AJ130" s="1525">
        <f t="shared" si="94"/>
        <v>0</v>
      </c>
      <c r="AK130" s="1525">
        <f t="shared" si="94"/>
        <v>0</v>
      </c>
      <c r="AL130" s="1525">
        <f t="shared" si="94"/>
        <v>0</v>
      </c>
      <c r="AM130" s="1525">
        <f t="shared" si="94"/>
        <v>0</v>
      </c>
      <c r="AN130" s="1525">
        <f t="shared" si="94"/>
        <v>0</v>
      </c>
      <c r="AO130" s="1525">
        <f t="shared" si="94"/>
        <v>0</v>
      </c>
      <c r="AP130" s="1525">
        <f t="shared" si="94"/>
        <v>0</v>
      </c>
      <c r="AQ130" s="1525">
        <f t="shared" si="94"/>
        <v>0</v>
      </c>
      <c r="AR130" s="1525">
        <f t="shared" si="94"/>
        <v>0</v>
      </c>
      <c r="AS130" s="1525">
        <f t="shared" si="94"/>
        <v>0</v>
      </c>
      <c r="AV130" s="553"/>
      <c r="AX130" s="553"/>
      <c r="BT130" s="1672"/>
    </row>
    <row r="131" spans="2:75" s="164" customFormat="1" ht="12.75" customHeight="1" x14ac:dyDescent="0.2">
      <c r="B131" s="175">
        <f t="shared" si="96"/>
        <v>3</v>
      </c>
      <c r="C131" s="1100">
        <v>9</v>
      </c>
      <c r="D131" s="422"/>
      <c r="E131" s="1101" t="s">
        <v>1032</v>
      </c>
      <c r="F131" s="4" t="s">
        <v>1965</v>
      </c>
      <c r="G131" s="862" t="s">
        <v>1707</v>
      </c>
      <c r="H131" s="1412">
        <v>146369</v>
      </c>
      <c r="I131" s="197" t="s">
        <v>351</v>
      </c>
      <c r="J131" s="174"/>
      <c r="K131" s="836"/>
      <c r="L131" s="861">
        <v>1</v>
      </c>
      <c r="M131" s="861">
        <f>L131+K131</f>
        <v>1</v>
      </c>
      <c r="N131" s="836" t="s">
        <v>892</v>
      </c>
      <c r="O131" s="1196">
        <v>33898</v>
      </c>
      <c r="P131" s="1218">
        <f ca="1">YEARFRAC(TODAY(),O131)</f>
        <v>24.947222222222223</v>
      </c>
      <c r="Q131" s="1153">
        <v>31000</v>
      </c>
      <c r="R131" s="884"/>
      <c r="S131" s="876"/>
      <c r="T131" s="876">
        <v>3000</v>
      </c>
      <c r="U131" s="876"/>
      <c r="V131" s="876"/>
      <c r="W131" s="876"/>
      <c r="X131" s="1026">
        <f t="shared" si="89"/>
        <v>34000</v>
      </c>
      <c r="Y131" s="1512">
        <f t="shared" si="90"/>
        <v>9.6774193548387094E-2</v>
      </c>
      <c r="Z131" s="1741">
        <f t="shared" si="91"/>
        <v>1.096774193548387</v>
      </c>
      <c r="AA131" s="1749">
        <f t="shared" si="92"/>
        <v>0</v>
      </c>
      <c r="AB131" s="1810">
        <f t="shared" si="93"/>
        <v>0</v>
      </c>
      <c r="AC131" s="876"/>
      <c r="AD131" s="1525">
        <f t="shared" si="94"/>
        <v>0</v>
      </c>
      <c r="AE131" s="1525">
        <f t="shared" si="94"/>
        <v>0</v>
      </c>
      <c r="AF131" s="1525">
        <f t="shared" si="94"/>
        <v>0</v>
      </c>
      <c r="AG131" s="1525">
        <f t="shared" si="94"/>
        <v>0</v>
      </c>
      <c r="AH131" s="1525">
        <f t="shared" si="94"/>
        <v>0</v>
      </c>
      <c r="AI131" s="1525">
        <f t="shared" si="94"/>
        <v>0</v>
      </c>
      <c r="AJ131" s="1525">
        <f t="shared" si="94"/>
        <v>0</v>
      </c>
      <c r="AK131" s="1525">
        <f t="shared" si="94"/>
        <v>0</v>
      </c>
      <c r="AL131" s="1525">
        <f t="shared" si="94"/>
        <v>0</v>
      </c>
      <c r="AM131" s="1525">
        <f t="shared" si="94"/>
        <v>0</v>
      </c>
      <c r="AN131" s="1525">
        <f t="shared" si="94"/>
        <v>0</v>
      </c>
      <c r="AO131" s="1525">
        <f t="shared" si="94"/>
        <v>0</v>
      </c>
      <c r="AP131" s="1525">
        <f t="shared" si="94"/>
        <v>0</v>
      </c>
      <c r="AQ131" s="1525">
        <f t="shared" si="94"/>
        <v>0</v>
      </c>
      <c r="AR131" s="1525">
        <f t="shared" si="94"/>
        <v>0</v>
      </c>
      <c r="AS131" s="1525">
        <f t="shared" si="94"/>
        <v>0</v>
      </c>
      <c r="AU131" s="1525"/>
      <c r="AV131" s="1295"/>
      <c r="AW131" s="1525"/>
      <c r="AX131" s="1525"/>
      <c r="AY131" s="1525"/>
      <c r="AZ131" s="1525"/>
      <c r="BA131" s="1525"/>
      <c r="BB131" s="1525"/>
      <c r="BC131" s="1525"/>
      <c r="BD131" s="1525"/>
      <c r="BE131" s="1525"/>
      <c r="BF131" s="1525"/>
      <c r="BG131" s="1525"/>
      <c r="BH131" s="1525"/>
      <c r="BI131" s="1525"/>
      <c r="BJ131" s="1525"/>
      <c r="BK131" s="1525"/>
      <c r="BL131" s="1525"/>
      <c r="BM131" s="1525"/>
      <c r="BN131" s="1525"/>
      <c r="BO131" s="1525"/>
      <c r="BP131" s="1525"/>
      <c r="BQ131" s="1525"/>
      <c r="BR131" s="1525"/>
      <c r="BS131" s="1525"/>
      <c r="BT131" s="1670">
        <f t="shared" si="95"/>
        <v>0</v>
      </c>
      <c r="BV131"/>
      <c r="BW131" s="862" t="s">
        <v>1707</v>
      </c>
    </row>
    <row r="132" spans="2:75" s="164" customFormat="1" ht="12.75" customHeight="1" x14ac:dyDescent="0.2">
      <c r="B132" s="175">
        <f t="shared" si="96"/>
        <v>4</v>
      </c>
      <c r="C132" s="1100">
        <v>12</v>
      </c>
      <c r="D132" s="422"/>
      <c r="E132" s="1101" t="s">
        <v>1032</v>
      </c>
      <c r="F132" s="4" t="s">
        <v>1235</v>
      </c>
      <c r="G132" s="862" t="s">
        <v>176</v>
      </c>
      <c r="H132" s="1412">
        <v>6616</v>
      </c>
      <c r="I132" s="197" t="s">
        <v>583</v>
      </c>
      <c r="J132" s="174"/>
      <c r="K132" s="836"/>
      <c r="L132" s="861">
        <v>1</v>
      </c>
      <c r="M132" s="861">
        <f>L132+K132</f>
        <v>1</v>
      </c>
      <c r="N132" s="836" t="s">
        <v>1326</v>
      </c>
      <c r="O132" s="1196">
        <v>19812</v>
      </c>
      <c r="P132" s="1218">
        <f t="shared" ca="1" si="88"/>
        <v>63.508333333333333</v>
      </c>
      <c r="Q132" s="1153">
        <v>39000</v>
      </c>
      <c r="R132" s="884">
        <f>Q132*0.1</f>
        <v>3900</v>
      </c>
      <c r="S132" s="876"/>
      <c r="T132" s="876">
        <v>17800</v>
      </c>
      <c r="U132" s="876"/>
      <c r="V132" s="876"/>
      <c r="W132" s="876"/>
      <c r="X132" s="1026">
        <f t="shared" si="89"/>
        <v>60700</v>
      </c>
      <c r="Y132" s="1512">
        <f t="shared" si="90"/>
        <v>0.41491841491841491</v>
      </c>
      <c r="Z132" s="1741">
        <f t="shared" si="91"/>
        <v>1.4149184149184149</v>
      </c>
      <c r="AA132" s="1749">
        <f t="shared" si="92"/>
        <v>0</v>
      </c>
      <c r="AB132" s="1810">
        <f t="shared" si="93"/>
        <v>0</v>
      </c>
      <c r="AC132" s="876"/>
      <c r="AD132" s="1525">
        <f t="shared" si="94"/>
        <v>0</v>
      </c>
      <c r="AE132" s="1525">
        <f t="shared" si="94"/>
        <v>0</v>
      </c>
      <c r="AF132" s="1525">
        <f t="shared" si="94"/>
        <v>0</v>
      </c>
      <c r="AG132" s="1525">
        <f t="shared" si="94"/>
        <v>0</v>
      </c>
      <c r="AH132" s="1525">
        <f t="shared" si="94"/>
        <v>0</v>
      </c>
      <c r="AI132" s="1525">
        <f t="shared" si="94"/>
        <v>0</v>
      </c>
      <c r="AJ132" s="1525">
        <f t="shared" si="94"/>
        <v>0</v>
      </c>
      <c r="AK132" s="1525">
        <f t="shared" si="94"/>
        <v>0</v>
      </c>
      <c r="AL132" s="1525">
        <f t="shared" si="94"/>
        <v>0</v>
      </c>
      <c r="AM132" s="1525">
        <f t="shared" si="94"/>
        <v>0</v>
      </c>
      <c r="AN132" s="1525">
        <f t="shared" si="94"/>
        <v>0</v>
      </c>
      <c r="AO132" s="1525">
        <f t="shared" si="94"/>
        <v>0</v>
      </c>
      <c r="AP132" s="1525">
        <f t="shared" si="94"/>
        <v>0</v>
      </c>
      <c r="AQ132" s="1525">
        <f t="shared" si="94"/>
        <v>0</v>
      </c>
      <c r="AR132" s="1525">
        <f t="shared" si="94"/>
        <v>0</v>
      </c>
      <c r="AS132" s="1525">
        <f t="shared" si="94"/>
        <v>0</v>
      </c>
      <c r="AU132" s="1525"/>
      <c r="AV132" s="1295"/>
      <c r="AW132" s="1525"/>
      <c r="AX132" s="1525"/>
      <c r="AY132" s="1525"/>
      <c r="AZ132" s="1525"/>
      <c r="BA132" s="1525"/>
      <c r="BB132" s="1525"/>
      <c r="BC132" s="1525"/>
      <c r="BD132" s="1525"/>
      <c r="BE132" s="1525"/>
      <c r="BF132" s="1525"/>
      <c r="BG132" s="1525"/>
      <c r="BH132" s="1525"/>
      <c r="BI132" s="1525"/>
      <c r="BJ132" s="1525"/>
      <c r="BK132" s="1525"/>
      <c r="BL132" s="1525"/>
      <c r="BM132" s="1525"/>
      <c r="BN132" s="1525"/>
      <c r="BO132" s="1525"/>
      <c r="BP132" s="1525"/>
      <c r="BQ132" s="1525"/>
      <c r="BR132" s="1525"/>
      <c r="BS132" s="1525"/>
      <c r="BT132" s="1670">
        <f t="shared" si="95"/>
        <v>0</v>
      </c>
      <c r="BV132"/>
      <c r="BW132" s="862" t="s">
        <v>176</v>
      </c>
    </row>
    <row r="133" spans="2:75" s="164" customFormat="1" ht="12.75" customHeight="1" x14ac:dyDescent="0.2">
      <c r="B133" s="175">
        <f t="shared" si="96"/>
        <v>5</v>
      </c>
      <c r="C133" s="1100">
        <v>12</v>
      </c>
      <c r="D133" s="422"/>
      <c r="E133" s="1101" t="s">
        <v>1032</v>
      </c>
      <c r="F133" s="4" t="s">
        <v>1235</v>
      </c>
      <c r="G133" s="862" t="s">
        <v>332</v>
      </c>
      <c r="H133" s="1412">
        <v>3185</v>
      </c>
      <c r="I133" s="197" t="s">
        <v>583</v>
      </c>
      <c r="J133" s="174"/>
      <c r="K133" s="836"/>
      <c r="L133" s="861">
        <v>1</v>
      </c>
      <c r="M133" s="861">
        <f>L133+K133</f>
        <v>1</v>
      </c>
      <c r="N133" s="836" t="s">
        <v>892</v>
      </c>
      <c r="O133" s="1196">
        <v>16976</v>
      </c>
      <c r="P133" s="1218">
        <f t="shared" ca="1" si="88"/>
        <v>71.275000000000006</v>
      </c>
      <c r="Q133" s="1153">
        <v>26000</v>
      </c>
      <c r="R133" s="884"/>
      <c r="S133" s="876"/>
      <c r="T133" s="876"/>
      <c r="U133" s="876"/>
      <c r="V133" s="876"/>
      <c r="W133" s="876"/>
      <c r="X133" s="1026">
        <f t="shared" si="89"/>
        <v>26000</v>
      </c>
      <c r="Y133" s="1512">
        <f t="shared" si="90"/>
        <v>0</v>
      </c>
      <c r="Z133" s="1741">
        <f t="shared" si="91"/>
        <v>1</v>
      </c>
      <c r="AA133" s="1749">
        <f t="shared" si="92"/>
        <v>0</v>
      </c>
      <c r="AB133" s="1810">
        <f t="shared" si="93"/>
        <v>0</v>
      </c>
      <c r="AC133" s="876"/>
      <c r="AD133" s="1525">
        <f t="shared" si="94"/>
        <v>0</v>
      </c>
      <c r="AE133" s="1525">
        <f t="shared" si="94"/>
        <v>0</v>
      </c>
      <c r="AF133" s="1525">
        <f t="shared" si="94"/>
        <v>0</v>
      </c>
      <c r="AG133" s="1525">
        <f t="shared" si="94"/>
        <v>0</v>
      </c>
      <c r="AH133" s="1525">
        <f t="shared" si="94"/>
        <v>0</v>
      </c>
      <c r="AI133" s="1525">
        <f t="shared" si="94"/>
        <v>0</v>
      </c>
      <c r="AJ133" s="1525">
        <f t="shared" si="94"/>
        <v>0</v>
      </c>
      <c r="AK133" s="1525">
        <f t="shared" si="94"/>
        <v>0</v>
      </c>
      <c r="AL133" s="1525">
        <f t="shared" si="94"/>
        <v>0</v>
      </c>
      <c r="AM133" s="1525">
        <f t="shared" si="94"/>
        <v>0</v>
      </c>
      <c r="AN133" s="1525">
        <f t="shared" si="94"/>
        <v>0</v>
      </c>
      <c r="AO133" s="1525">
        <f t="shared" si="94"/>
        <v>0</v>
      </c>
      <c r="AP133" s="1525">
        <f t="shared" si="94"/>
        <v>0</v>
      </c>
      <c r="AQ133" s="1525">
        <f t="shared" si="94"/>
        <v>0</v>
      </c>
      <c r="AR133" s="1525">
        <f t="shared" si="94"/>
        <v>0</v>
      </c>
      <c r="AS133" s="1525">
        <f t="shared" si="94"/>
        <v>0</v>
      </c>
      <c r="AU133" s="1525"/>
      <c r="AV133" s="1295"/>
      <c r="AW133" s="1525"/>
      <c r="AX133" s="1525"/>
      <c r="AY133" s="1525"/>
      <c r="AZ133" s="1525"/>
      <c r="BA133" s="1525"/>
      <c r="BB133" s="1525"/>
      <c r="BC133" s="1525"/>
      <c r="BD133" s="1525"/>
      <c r="BE133" s="1525"/>
      <c r="BF133" s="1525"/>
      <c r="BG133" s="1525"/>
      <c r="BH133" s="1525"/>
      <c r="BI133" s="1525"/>
      <c r="BJ133" s="1525"/>
      <c r="BK133" s="1525"/>
      <c r="BL133" s="1525"/>
      <c r="BM133" s="1525"/>
      <c r="BN133" s="1525"/>
      <c r="BO133" s="1525"/>
      <c r="BP133" s="1525"/>
      <c r="BQ133" s="1525"/>
      <c r="BR133" s="1525"/>
      <c r="BS133" s="1525"/>
      <c r="BT133" s="1670">
        <f t="shared" si="95"/>
        <v>0</v>
      </c>
      <c r="BV133"/>
      <c r="BW133" s="862" t="s">
        <v>332</v>
      </c>
    </row>
    <row r="134" spans="2:75" s="164" customFormat="1" ht="12.75" customHeight="1" x14ac:dyDescent="0.2">
      <c r="B134" s="175">
        <f t="shared" si="96"/>
        <v>6</v>
      </c>
      <c r="C134" s="1100">
        <v>14</v>
      </c>
      <c r="D134" s="422"/>
      <c r="E134" s="1101" t="s">
        <v>1032</v>
      </c>
      <c r="F134" s="4" t="s">
        <v>41</v>
      </c>
      <c r="G134" s="862" t="s">
        <v>199</v>
      </c>
      <c r="H134" s="1412">
        <v>30785</v>
      </c>
      <c r="I134" s="197" t="s">
        <v>583</v>
      </c>
      <c r="J134" s="174"/>
      <c r="K134" s="836"/>
      <c r="L134" s="861">
        <v>1</v>
      </c>
      <c r="M134" s="861">
        <v>1</v>
      </c>
      <c r="N134" s="836" t="s">
        <v>892</v>
      </c>
      <c r="O134" s="1196">
        <v>22139</v>
      </c>
      <c r="P134" s="1218">
        <f t="shared" ca="1" si="88"/>
        <v>57.141666666666666</v>
      </c>
      <c r="Q134" s="1153">
        <v>27500</v>
      </c>
      <c r="R134" s="884"/>
      <c r="S134" s="876"/>
      <c r="T134" s="876"/>
      <c r="U134" s="876"/>
      <c r="V134" s="876"/>
      <c r="W134" s="876"/>
      <c r="X134" s="1026">
        <f t="shared" si="89"/>
        <v>27500</v>
      </c>
      <c r="Y134" s="1512">
        <f t="shared" si="90"/>
        <v>0</v>
      </c>
      <c r="Z134" s="1741">
        <f t="shared" si="91"/>
        <v>1</v>
      </c>
      <c r="AA134" s="1749">
        <f t="shared" si="92"/>
        <v>0</v>
      </c>
      <c r="AB134" s="1810">
        <f t="shared" si="93"/>
        <v>0</v>
      </c>
      <c r="AC134" s="876"/>
      <c r="AD134" s="1525">
        <f t="shared" si="94"/>
        <v>0</v>
      </c>
      <c r="AE134" s="1525">
        <f t="shared" si="94"/>
        <v>0</v>
      </c>
      <c r="AF134" s="1525">
        <f t="shared" si="94"/>
        <v>0</v>
      </c>
      <c r="AG134" s="1525">
        <f t="shared" si="94"/>
        <v>0</v>
      </c>
      <c r="AH134" s="1525">
        <f t="shared" si="94"/>
        <v>0</v>
      </c>
      <c r="AI134" s="1525">
        <f t="shared" si="94"/>
        <v>0</v>
      </c>
      <c r="AJ134" s="1525">
        <f t="shared" si="94"/>
        <v>0</v>
      </c>
      <c r="AK134" s="1525">
        <f t="shared" si="94"/>
        <v>0</v>
      </c>
      <c r="AL134" s="1525">
        <f t="shared" si="94"/>
        <v>0</v>
      </c>
      <c r="AM134" s="1525">
        <f t="shared" si="94"/>
        <v>0</v>
      </c>
      <c r="AN134" s="1525">
        <f t="shared" si="94"/>
        <v>0</v>
      </c>
      <c r="AO134" s="1525">
        <f t="shared" si="94"/>
        <v>0</v>
      </c>
      <c r="AP134" s="1525">
        <f t="shared" si="94"/>
        <v>0</v>
      </c>
      <c r="AQ134" s="1525">
        <f t="shared" si="94"/>
        <v>0</v>
      </c>
      <c r="AR134" s="1525">
        <f t="shared" si="94"/>
        <v>0</v>
      </c>
      <c r="AS134" s="1525">
        <f t="shared" si="94"/>
        <v>0</v>
      </c>
      <c r="AU134" s="1525"/>
      <c r="AV134" s="1295"/>
      <c r="AW134" s="1525"/>
      <c r="AX134" s="1525"/>
      <c r="AY134" s="1525"/>
      <c r="AZ134" s="1525"/>
      <c r="BA134" s="1525"/>
      <c r="BB134" s="1525"/>
      <c r="BC134" s="1525"/>
      <c r="BD134" s="1525"/>
      <c r="BE134" s="1525"/>
      <c r="BF134" s="1525"/>
      <c r="BG134" s="1525"/>
      <c r="BH134" s="1525"/>
      <c r="BI134" s="1525"/>
      <c r="BJ134" s="1525"/>
      <c r="BK134" s="1525"/>
      <c r="BL134" s="1525"/>
      <c r="BM134" s="1525"/>
      <c r="BN134" s="1525"/>
      <c r="BO134" s="1525"/>
      <c r="BP134" s="1525"/>
      <c r="BQ134" s="1525"/>
      <c r="BR134" s="1525"/>
      <c r="BS134" s="1525"/>
      <c r="BT134" s="1670">
        <f t="shared" si="95"/>
        <v>0</v>
      </c>
      <c r="BV134"/>
      <c r="BW134" s="862" t="s">
        <v>199</v>
      </c>
    </row>
    <row r="135" spans="2:75" s="164" customFormat="1" ht="12.75" customHeight="1" x14ac:dyDescent="0.2">
      <c r="B135" s="175">
        <f t="shared" si="96"/>
        <v>7</v>
      </c>
      <c r="C135" s="547">
        <v>14</v>
      </c>
      <c r="D135" s="547"/>
      <c r="E135" s="1101" t="s">
        <v>1032</v>
      </c>
      <c r="F135" s="4" t="s">
        <v>626</v>
      </c>
      <c r="G135" s="821" t="s">
        <v>1782</v>
      </c>
      <c r="H135" s="861">
        <v>151184</v>
      </c>
      <c r="I135" s="197" t="s">
        <v>583</v>
      </c>
      <c r="J135" s="174"/>
      <c r="K135" s="174"/>
      <c r="L135" s="861">
        <v>0.5</v>
      </c>
      <c r="M135" s="861">
        <v>0.5</v>
      </c>
      <c r="N135" s="832" t="s">
        <v>892</v>
      </c>
      <c r="O135" s="1196">
        <v>34380</v>
      </c>
      <c r="P135" s="1218">
        <f ca="1">YEARFRAC(TODAY(),O135)</f>
        <v>23.630555555555556</v>
      </c>
      <c r="Q135" s="1153">
        <v>25000</v>
      </c>
      <c r="R135" s="884"/>
      <c r="S135" s="876"/>
      <c r="T135" s="876"/>
      <c r="U135" s="876"/>
      <c r="V135" s="876"/>
      <c r="W135" s="876"/>
      <c r="X135" s="1026">
        <f t="shared" si="89"/>
        <v>12500</v>
      </c>
      <c r="Y135" s="1512">
        <f t="shared" si="90"/>
        <v>0</v>
      </c>
      <c r="Z135" s="1741">
        <f t="shared" si="91"/>
        <v>0.5</v>
      </c>
      <c r="AA135" s="1749">
        <f t="shared" si="92"/>
        <v>0</v>
      </c>
      <c r="AB135" s="1810">
        <f t="shared" si="93"/>
        <v>0</v>
      </c>
      <c r="AC135" s="224"/>
      <c r="AD135" s="1525">
        <f t="shared" si="94"/>
        <v>0</v>
      </c>
      <c r="AE135" s="1525">
        <f t="shared" si="94"/>
        <v>0</v>
      </c>
      <c r="AF135" s="1525">
        <f t="shared" si="94"/>
        <v>0</v>
      </c>
      <c r="AG135" s="1525">
        <f t="shared" si="94"/>
        <v>0</v>
      </c>
      <c r="AH135" s="1525">
        <f t="shared" si="94"/>
        <v>0</v>
      </c>
      <c r="AI135" s="1525">
        <f t="shared" si="94"/>
        <v>0</v>
      </c>
      <c r="AJ135" s="1525">
        <f t="shared" si="94"/>
        <v>0</v>
      </c>
      <c r="AK135" s="1525">
        <f t="shared" si="94"/>
        <v>0</v>
      </c>
      <c r="AL135" s="1525">
        <f t="shared" si="94"/>
        <v>0</v>
      </c>
      <c r="AM135" s="1525">
        <f t="shared" si="94"/>
        <v>0</v>
      </c>
      <c r="AN135" s="1525">
        <f t="shared" si="94"/>
        <v>0</v>
      </c>
      <c r="AO135" s="1525">
        <f t="shared" si="94"/>
        <v>0</v>
      </c>
      <c r="AP135" s="1525">
        <f t="shared" si="94"/>
        <v>0</v>
      </c>
      <c r="AQ135" s="1525">
        <f t="shared" si="94"/>
        <v>0</v>
      </c>
      <c r="AR135" s="1525">
        <f t="shared" si="94"/>
        <v>0</v>
      </c>
      <c r="AS135" s="1525">
        <f t="shared" si="94"/>
        <v>0</v>
      </c>
      <c r="AV135" s="553"/>
      <c r="AX135" s="553"/>
      <c r="BT135" s="1672"/>
    </row>
    <row r="136" spans="2:75" s="164" customFormat="1" ht="12.75" customHeight="1" x14ac:dyDescent="0.2">
      <c r="B136" s="175">
        <f t="shared" si="96"/>
        <v>8</v>
      </c>
      <c r="C136" s="1100">
        <v>14</v>
      </c>
      <c r="D136" s="422"/>
      <c r="E136" s="1101" t="s">
        <v>1032</v>
      </c>
      <c r="F136" s="4" t="s">
        <v>626</v>
      </c>
      <c r="G136" s="862" t="s">
        <v>1966</v>
      </c>
      <c r="H136" s="1412">
        <v>165014</v>
      </c>
      <c r="I136" s="197" t="s">
        <v>583</v>
      </c>
      <c r="J136" s="174"/>
      <c r="K136" s="836"/>
      <c r="L136" s="861">
        <v>1</v>
      </c>
      <c r="M136" s="861">
        <v>1</v>
      </c>
      <c r="N136" s="836" t="s">
        <v>892</v>
      </c>
      <c r="O136" s="1196">
        <v>33940</v>
      </c>
      <c r="P136" s="1218">
        <f t="shared" ca="1" si="88"/>
        <v>24.833333333333332</v>
      </c>
      <c r="Q136" s="1153">
        <v>25000</v>
      </c>
      <c r="R136" s="884"/>
      <c r="S136" s="876"/>
      <c r="T136" s="876"/>
      <c r="U136" s="876"/>
      <c r="V136" s="876"/>
      <c r="W136" s="876"/>
      <c r="X136" s="1026">
        <f t="shared" si="89"/>
        <v>25000</v>
      </c>
      <c r="Y136" s="1512">
        <f t="shared" si="90"/>
        <v>0</v>
      </c>
      <c r="Z136" s="1741">
        <f t="shared" si="91"/>
        <v>1</v>
      </c>
      <c r="AA136" s="1749">
        <f t="shared" si="92"/>
        <v>0</v>
      </c>
      <c r="AB136" s="1810">
        <f t="shared" si="93"/>
        <v>0</v>
      </c>
      <c r="AC136" s="876"/>
      <c r="AD136" s="1525">
        <f t="shared" ref="AD136:AS139" si="97">SUMIF($AV$6:$BS$6,AD$5,$AV136:$BS136)</f>
        <v>0</v>
      </c>
      <c r="AE136" s="1525">
        <f t="shared" si="97"/>
        <v>0</v>
      </c>
      <c r="AF136" s="1525">
        <f t="shared" si="97"/>
        <v>0</v>
      </c>
      <c r="AG136" s="1525">
        <f t="shared" si="97"/>
        <v>0</v>
      </c>
      <c r="AH136" s="1525">
        <f t="shared" si="97"/>
        <v>0</v>
      </c>
      <c r="AI136" s="1525">
        <f t="shared" si="97"/>
        <v>0</v>
      </c>
      <c r="AJ136" s="1525">
        <f t="shared" si="97"/>
        <v>0</v>
      </c>
      <c r="AK136" s="1525">
        <f t="shared" si="97"/>
        <v>0</v>
      </c>
      <c r="AL136" s="1525">
        <f t="shared" si="97"/>
        <v>0</v>
      </c>
      <c r="AM136" s="1525">
        <f t="shared" si="97"/>
        <v>0</v>
      </c>
      <c r="AN136" s="1525">
        <f t="shared" si="97"/>
        <v>0</v>
      </c>
      <c r="AO136" s="1525">
        <f t="shared" si="97"/>
        <v>0</v>
      </c>
      <c r="AP136" s="1525">
        <f t="shared" si="97"/>
        <v>0</v>
      </c>
      <c r="AQ136" s="1525">
        <f t="shared" si="97"/>
        <v>0</v>
      </c>
      <c r="AR136" s="1525">
        <f t="shared" si="97"/>
        <v>0</v>
      </c>
      <c r="AS136" s="1525">
        <f t="shared" si="97"/>
        <v>0</v>
      </c>
      <c r="AU136" s="1525"/>
      <c r="AV136" s="1295"/>
      <c r="AW136" s="1525"/>
      <c r="AX136" s="1525"/>
      <c r="AY136" s="1525"/>
      <c r="AZ136" s="1525"/>
      <c r="BA136" s="1525"/>
      <c r="BB136" s="1525"/>
      <c r="BC136" s="1525"/>
      <c r="BD136" s="1525"/>
      <c r="BE136" s="1525"/>
      <c r="BF136" s="1525"/>
      <c r="BG136" s="1525"/>
      <c r="BH136" s="1525"/>
      <c r="BI136" s="1525"/>
      <c r="BJ136" s="1525"/>
      <c r="BK136" s="1525"/>
      <c r="BL136" s="1525"/>
      <c r="BM136" s="1525"/>
      <c r="BN136" s="1525"/>
      <c r="BO136" s="1525"/>
      <c r="BP136" s="1525"/>
      <c r="BQ136" s="1525"/>
      <c r="BR136" s="1525"/>
      <c r="BS136" s="1525"/>
      <c r="BT136" s="1670">
        <f t="shared" si="95"/>
        <v>0</v>
      </c>
      <c r="BV136"/>
      <c r="BW136" s="862" t="s">
        <v>1966</v>
      </c>
    </row>
    <row r="137" spans="2:75" s="164" customFormat="1" ht="12.75" customHeight="1" x14ac:dyDescent="0.2">
      <c r="B137" s="175">
        <f t="shared" si="96"/>
        <v>9</v>
      </c>
      <c r="C137" s="1100">
        <v>14</v>
      </c>
      <c r="D137" s="422"/>
      <c r="E137" s="1101" t="s">
        <v>1032</v>
      </c>
      <c r="F137" s="4" t="s">
        <v>626</v>
      </c>
      <c r="G137" s="862" t="s">
        <v>1468</v>
      </c>
      <c r="H137" s="1412">
        <v>285218</v>
      </c>
      <c r="I137" s="197" t="s">
        <v>583</v>
      </c>
      <c r="J137" s="174"/>
      <c r="K137" s="836"/>
      <c r="L137" s="861">
        <v>1</v>
      </c>
      <c r="M137" s="861">
        <f>L137+K137</f>
        <v>1</v>
      </c>
      <c r="N137" s="836" t="s">
        <v>1326</v>
      </c>
      <c r="O137" s="1196">
        <v>31613</v>
      </c>
      <c r="P137" s="1218">
        <f t="shared" ca="1" si="88"/>
        <v>31.2</v>
      </c>
      <c r="Q137" s="1153">
        <v>25100</v>
      </c>
      <c r="R137" s="884">
        <f>Q137*0.1</f>
        <v>2510</v>
      </c>
      <c r="S137" s="876"/>
      <c r="T137" s="876"/>
      <c r="U137" s="876"/>
      <c r="V137" s="876"/>
      <c r="W137" s="876"/>
      <c r="X137" s="1026">
        <f t="shared" si="89"/>
        <v>27610</v>
      </c>
      <c r="Y137" s="1512">
        <f t="shared" si="90"/>
        <v>0</v>
      </c>
      <c r="Z137" s="1741">
        <f t="shared" si="91"/>
        <v>1</v>
      </c>
      <c r="AA137" s="1749">
        <f t="shared" si="92"/>
        <v>0</v>
      </c>
      <c r="AB137" s="1810">
        <f t="shared" si="93"/>
        <v>0</v>
      </c>
      <c r="AC137" s="876"/>
      <c r="AD137" s="1525">
        <f t="shared" si="97"/>
        <v>0</v>
      </c>
      <c r="AE137" s="1525">
        <f t="shared" si="97"/>
        <v>0</v>
      </c>
      <c r="AF137" s="1525">
        <f t="shared" si="97"/>
        <v>0</v>
      </c>
      <c r="AG137" s="1525">
        <f t="shared" si="97"/>
        <v>0</v>
      </c>
      <c r="AH137" s="1525">
        <f t="shared" si="97"/>
        <v>0</v>
      </c>
      <c r="AI137" s="1525">
        <f t="shared" si="97"/>
        <v>0</v>
      </c>
      <c r="AJ137" s="1525">
        <f t="shared" si="97"/>
        <v>0</v>
      </c>
      <c r="AK137" s="1525">
        <f t="shared" si="97"/>
        <v>0</v>
      </c>
      <c r="AL137" s="1525">
        <f t="shared" si="97"/>
        <v>0</v>
      </c>
      <c r="AM137" s="1525">
        <f t="shared" si="97"/>
        <v>0</v>
      </c>
      <c r="AN137" s="1525">
        <f t="shared" si="97"/>
        <v>0</v>
      </c>
      <c r="AO137" s="1525">
        <f t="shared" si="97"/>
        <v>0</v>
      </c>
      <c r="AP137" s="1525">
        <f t="shared" si="97"/>
        <v>0</v>
      </c>
      <c r="AQ137" s="1525">
        <f t="shared" si="97"/>
        <v>0</v>
      </c>
      <c r="AR137" s="1525">
        <f t="shared" si="97"/>
        <v>0</v>
      </c>
      <c r="AS137" s="1525">
        <f t="shared" si="97"/>
        <v>0</v>
      </c>
      <c r="AU137" s="1525"/>
      <c r="AV137" s="1295"/>
      <c r="AW137" s="1525"/>
      <c r="AX137" s="1525"/>
      <c r="AY137" s="1525"/>
      <c r="AZ137" s="1525"/>
      <c r="BA137" s="1525"/>
      <c r="BB137" s="1525"/>
      <c r="BC137" s="1525"/>
      <c r="BD137" s="1525"/>
      <c r="BE137" s="1525"/>
      <c r="BF137" s="1525"/>
      <c r="BG137" s="1525"/>
      <c r="BH137" s="1525"/>
      <c r="BI137" s="1525"/>
      <c r="BJ137" s="1525"/>
      <c r="BK137" s="1525"/>
      <c r="BL137" s="1525"/>
      <c r="BM137" s="1525"/>
      <c r="BN137" s="1525"/>
      <c r="BO137" s="1525"/>
      <c r="BP137" s="1525"/>
      <c r="BQ137" s="1525"/>
      <c r="BR137" s="1525"/>
      <c r="BS137" s="1525"/>
      <c r="BT137" s="1670">
        <f t="shared" si="95"/>
        <v>0</v>
      </c>
      <c r="BV137"/>
      <c r="BW137" s="862" t="s">
        <v>1468</v>
      </c>
    </row>
    <row r="138" spans="2:75" s="164" customFormat="1" ht="12.75" customHeight="1" x14ac:dyDescent="0.2">
      <c r="B138" s="175">
        <f t="shared" si="96"/>
        <v>10</v>
      </c>
      <c r="C138" s="1100">
        <v>18</v>
      </c>
      <c r="D138" s="422"/>
      <c r="E138" s="1101" t="s">
        <v>1032</v>
      </c>
      <c r="F138" s="26" t="s">
        <v>584</v>
      </c>
      <c r="G138" s="862" t="s">
        <v>1970</v>
      </c>
      <c r="H138" s="1412">
        <v>165110</v>
      </c>
      <c r="I138" s="197" t="s">
        <v>583</v>
      </c>
      <c r="J138" s="174"/>
      <c r="K138" s="836"/>
      <c r="L138" s="861">
        <v>0.5</v>
      </c>
      <c r="M138" s="861">
        <v>0.5</v>
      </c>
      <c r="N138" s="836" t="s">
        <v>892</v>
      </c>
      <c r="O138" s="1196">
        <v>34769</v>
      </c>
      <c r="P138" s="1218">
        <f t="shared" ca="1" si="88"/>
        <v>22.558333333333334</v>
      </c>
      <c r="Q138" s="1153">
        <v>18000</v>
      </c>
      <c r="R138" s="884"/>
      <c r="S138" s="876"/>
      <c r="T138" s="876"/>
      <c r="U138" s="876"/>
      <c r="V138" s="876"/>
      <c r="W138" s="876"/>
      <c r="X138" s="1026">
        <f t="shared" si="89"/>
        <v>9000</v>
      </c>
      <c r="Y138" s="1512">
        <f t="shared" si="90"/>
        <v>0</v>
      </c>
      <c r="Z138" s="1741">
        <f t="shared" si="91"/>
        <v>0.5</v>
      </c>
      <c r="AA138" s="1749">
        <f t="shared" si="92"/>
        <v>0</v>
      </c>
      <c r="AB138" s="1810">
        <f t="shared" si="93"/>
        <v>0</v>
      </c>
      <c r="AC138" s="876"/>
      <c r="AD138" s="1525">
        <f t="shared" si="97"/>
        <v>0</v>
      </c>
      <c r="AE138" s="1525">
        <f t="shared" si="97"/>
        <v>0</v>
      </c>
      <c r="AF138" s="1525">
        <f t="shared" si="97"/>
        <v>0</v>
      </c>
      <c r="AG138" s="1525">
        <f t="shared" si="97"/>
        <v>0</v>
      </c>
      <c r="AH138" s="1525">
        <f t="shared" si="97"/>
        <v>0</v>
      </c>
      <c r="AI138" s="1525">
        <f t="shared" si="97"/>
        <v>0</v>
      </c>
      <c r="AJ138" s="1525">
        <f t="shared" si="97"/>
        <v>0</v>
      </c>
      <c r="AK138" s="1525">
        <f t="shared" si="97"/>
        <v>0</v>
      </c>
      <c r="AL138" s="1525">
        <f t="shared" si="97"/>
        <v>0</v>
      </c>
      <c r="AM138" s="1525">
        <f t="shared" si="97"/>
        <v>0</v>
      </c>
      <c r="AN138" s="1525">
        <f t="shared" si="97"/>
        <v>0</v>
      </c>
      <c r="AO138" s="1525">
        <f t="shared" si="97"/>
        <v>0</v>
      </c>
      <c r="AP138" s="1525">
        <f t="shared" si="97"/>
        <v>0</v>
      </c>
      <c r="AQ138" s="1525">
        <f t="shared" si="97"/>
        <v>0</v>
      </c>
      <c r="AR138" s="1525">
        <f t="shared" si="97"/>
        <v>0</v>
      </c>
      <c r="AS138" s="1525">
        <f t="shared" si="97"/>
        <v>0</v>
      </c>
      <c r="AU138" s="1525"/>
      <c r="AV138" s="1295"/>
      <c r="AW138" s="1525"/>
      <c r="AX138" s="1525"/>
      <c r="AY138" s="1525"/>
      <c r="AZ138" s="1525"/>
      <c r="BA138" s="1525"/>
      <c r="BB138" s="1525"/>
      <c r="BC138" s="1525"/>
      <c r="BD138" s="1525"/>
      <c r="BE138" s="1525"/>
      <c r="BF138" s="1525"/>
      <c r="BG138" s="1525"/>
      <c r="BH138" s="1525"/>
      <c r="BI138" s="1525"/>
      <c r="BJ138" s="1525"/>
      <c r="BK138" s="1525"/>
      <c r="BL138" s="1525"/>
      <c r="BM138" s="1525"/>
      <c r="BN138" s="1525"/>
      <c r="BO138" s="1525"/>
      <c r="BP138" s="1525"/>
      <c r="BQ138" s="1525"/>
      <c r="BR138" s="1525"/>
      <c r="BS138" s="1525"/>
      <c r="BT138" s="1670">
        <f t="shared" si="95"/>
        <v>0</v>
      </c>
      <c r="BV138"/>
      <c r="BW138" s="862" t="s">
        <v>1970</v>
      </c>
    </row>
    <row r="139" spans="2:75" s="164" customFormat="1" ht="12.75" customHeight="1" x14ac:dyDescent="0.2">
      <c r="B139" s="175">
        <f t="shared" si="96"/>
        <v>11</v>
      </c>
      <c r="C139" s="1100">
        <v>18</v>
      </c>
      <c r="D139" s="422"/>
      <c r="E139" s="1101" t="s">
        <v>1032</v>
      </c>
      <c r="F139" s="26" t="s">
        <v>584</v>
      </c>
      <c r="G139" s="910" t="s">
        <v>1646</v>
      </c>
      <c r="H139" s="1414">
        <v>140024</v>
      </c>
      <c r="I139" s="197" t="s">
        <v>583</v>
      </c>
      <c r="J139" s="174"/>
      <c r="K139" s="836"/>
      <c r="L139" s="873">
        <v>1</v>
      </c>
      <c r="M139" s="873">
        <f>L139+K139</f>
        <v>1</v>
      </c>
      <c r="N139" s="836" t="s">
        <v>892</v>
      </c>
      <c r="O139" s="1196">
        <v>33234</v>
      </c>
      <c r="P139" s="1218">
        <f t="shared" ca="1" si="88"/>
        <v>26.763888888888889</v>
      </c>
      <c r="Q139" s="1153">
        <v>26000</v>
      </c>
      <c r="R139" s="884"/>
      <c r="S139" s="876"/>
      <c r="T139" s="876"/>
      <c r="U139" s="876"/>
      <c r="V139" s="876"/>
      <c r="W139" s="876"/>
      <c r="X139" s="1026">
        <f t="shared" si="89"/>
        <v>26000</v>
      </c>
      <c r="Y139" s="1512">
        <f t="shared" si="90"/>
        <v>0</v>
      </c>
      <c r="Z139" s="1741">
        <f t="shared" si="91"/>
        <v>1</v>
      </c>
      <c r="AA139" s="1749">
        <f t="shared" si="92"/>
        <v>0</v>
      </c>
      <c r="AB139" s="1810">
        <f t="shared" si="93"/>
        <v>0</v>
      </c>
      <c r="AC139" s="876"/>
      <c r="AD139" s="1525">
        <f t="shared" si="97"/>
        <v>0</v>
      </c>
      <c r="AE139" s="1525">
        <f t="shared" si="97"/>
        <v>0</v>
      </c>
      <c r="AF139" s="1525">
        <f t="shared" si="97"/>
        <v>0</v>
      </c>
      <c r="AG139" s="1525">
        <f t="shared" si="97"/>
        <v>0</v>
      </c>
      <c r="AH139" s="1525">
        <f t="shared" si="97"/>
        <v>0</v>
      </c>
      <c r="AI139" s="1525">
        <f t="shared" si="97"/>
        <v>0</v>
      </c>
      <c r="AJ139" s="1525">
        <f t="shared" si="97"/>
        <v>0</v>
      </c>
      <c r="AK139" s="1525">
        <f t="shared" si="97"/>
        <v>0</v>
      </c>
      <c r="AL139" s="1525">
        <f t="shared" si="97"/>
        <v>0</v>
      </c>
      <c r="AM139" s="1525">
        <f t="shared" si="97"/>
        <v>0</v>
      </c>
      <c r="AN139" s="1525">
        <f t="shared" si="97"/>
        <v>0</v>
      </c>
      <c r="AO139" s="1525">
        <f t="shared" si="97"/>
        <v>0</v>
      </c>
      <c r="AP139" s="1525">
        <f t="shared" si="97"/>
        <v>0</v>
      </c>
      <c r="AQ139" s="1525">
        <f t="shared" si="97"/>
        <v>0</v>
      </c>
      <c r="AR139" s="1525">
        <f t="shared" si="97"/>
        <v>0</v>
      </c>
      <c r="AS139" s="1525">
        <f t="shared" si="97"/>
        <v>0</v>
      </c>
      <c r="AU139" s="1525"/>
      <c r="AV139" s="1295"/>
      <c r="AW139" s="1525"/>
      <c r="AX139" s="1525"/>
      <c r="AY139" s="1525"/>
      <c r="AZ139" s="1525"/>
      <c r="BA139" s="1525"/>
      <c r="BB139" s="1525"/>
      <c r="BC139" s="1525"/>
      <c r="BD139" s="1525"/>
      <c r="BE139" s="1525"/>
      <c r="BF139" s="1525"/>
      <c r="BG139" s="1525"/>
      <c r="BH139" s="1525"/>
      <c r="BI139" s="1525"/>
      <c r="BJ139" s="1525"/>
      <c r="BK139" s="1525"/>
      <c r="BL139" s="1525"/>
      <c r="BM139" s="1525"/>
      <c r="BN139" s="1525"/>
      <c r="BO139" s="1525"/>
      <c r="BP139" s="1525"/>
      <c r="BQ139" s="1525"/>
      <c r="BR139" s="1525"/>
      <c r="BS139" s="1525"/>
      <c r="BT139" s="1670">
        <f t="shared" si="95"/>
        <v>0</v>
      </c>
      <c r="BV139"/>
      <c r="BW139" s="910" t="s">
        <v>1646</v>
      </c>
    </row>
    <row r="140" spans="2:75" s="164" customFormat="1" ht="12.75" customHeight="1" x14ac:dyDescent="0.2">
      <c r="B140" s="175"/>
      <c r="C140" s="219" t="s">
        <v>1120</v>
      </c>
      <c r="D140" s="547"/>
      <c r="E140" s="824"/>
      <c r="F140" s="476" t="s">
        <v>552</v>
      </c>
      <c r="G140" s="862"/>
      <c r="H140" s="1351" t="s">
        <v>1508</v>
      </c>
      <c r="I140" s="825"/>
      <c r="J140" s="174"/>
      <c r="K140" s="836"/>
      <c r="L140" s="892">
        <f>SUM(L128:L139)</f>
        <v>10</v>
      </c>
      <c r="M140" s="892">
        <f>SUM(M128:M139)</f>
        <v>10</v>
      </c>
      <c r="N140" s="836"/>
      <c r="O140" s="1196" t="s">
        <v>1508</v>
      </c>
      <c r="P140" s="1294"/>
      <c r="Q140" s="1153"/>
      <c r="R140" s="884"/>
      <c r="S140" s="876"/>
      <c r="T140" s="876"/>
      <c r="U140" s="876"/>
      <c r="V140" s="876"/>
      <c r="W140" s="876"/>
      <c r="X140" s="1026"/>
      <c r="Y140" s="1335"/>
      <c r="Z140" s="1335"/>
      <c r="AA140" s="1775"/>
      <c r="AB140" s="1814"/>
      <c r="AC140" s="876"/>
      <c r="AD140" s="1295"/>
      <c r="AE140" s="1525"/>
      <c r="AF140" s="1525"/>
      <c r="AG140" s="1525"/>
      <c r="AH140" s="1525"/>
      <c r="AI140" s="1525"/>
      <c r="AJ140" s="1525"/>
      <c r="AK140" s="1525"/>
      <c r="AL140" s="1525"/>
      <c r="AM140" s="1525"/>
      <c r="AN140" s="1525"/>
      <c r="AO140" s="1525"/>
      <c r="AP140" s="1525"/>
      <c r="AQ140" s="1525"/>
      <c r="AR140" s="1525"/>
      <c r="AS140" s="1525"/>
      <c r="AU140" s="1525"/>
      <c r="AV140" s="1295"/>
      <c r="AW140" s="1525"/>
      <c r="AX140" s="1525"/>
      <c r="AY140" s="1525"/>
      <c r="AZ140" s="1525"/>
      <c r="BA140" s="1525"/>
      <c r="BB140" s="1525"/>
      <c r="BC140" s="1525"/>
      <c r="BD140" s="1525"/>
      <c r="BE140" s="1525"/>
      <c r="BF140" s="1525"/>
      <c r="BG140" s="1525"/>
      <c r="BH140" s="1525"/>
      <c r="BI140" s="1525"/>
      <c r="BJ140" s="1525"/>
      <c r="BK140" s="1525"/>
      <c r="BL140" s="1525"/>
      <c r="BM140" s="1525"/>
      <c r="BN140" s="1525"/>
      <c r="BO140" s="1525"/>
      <c r="BP140" s="1525"/>
      <c r="BQ140" s="1525"/>
      <c r="BR140" s="1525"/>
      <c r="BS140" s="1525"/>
      <c r="BT140" s="1670"/>
      <c r="BV140"/>
      <c r="BW140" s="862"/>
    </row>
    <row r="141" spans="2:75" s="164" customFormat="1" ht="12.75" customHeight="1" x14ac:dyDescent="0.2">
      <c r="B141" s="175"/>
      <c r="C141" s="547"/>
      <c r="D141" s="547"/>
      <c r="E141" s="824"/>
      <c r="F141" s="476"/>
      <c r="G141" s="862"/>
      <c r="H141" s="1347" t="s">
        <v>1508</v>
      </c>
      <c r="I141" s="825"/>
      <c r="J141" s="174"/>
      <c r="K141" s="836"/>
      <c r="L141" s="861"/>
      <c r="M141" s="861"/>
      <c r="N141" s="836"/>
      <c r="O141" s="1196" t="s">
        <v>1508</v>
      </c>
      <c r="P141" s="1294"/>
      <c r="Q141" s="1153"/>
      <c r="R141" s="884"/>
      <c r="S141" s="876"/>
      <c r="T141" s="876"/>
      <c r="U141" s="876"/>
      <c r="V141" s="876"/>
      <c r="W141" s="876"/>
      <c r="X141" s="1026"/>
      <c r="Y141" s="1754"/>
      <c r="Z141" s="1755"/>
      <c r="AA141" s="1775"/>
      <c r="AB141" s="1814"/>
      <c r="AC141" s="876"/>
      <c r="AD141" s="1295"/>
      <c r="AE141" s="1525"/>
      <c r="AF141" s="1525"/>
      <c r="AG141" s="1525"/>
      <c r="AH141" s="1525"/>
      <c r="AI141" s="1525"/>
      <c r="AJ141" s="1525"/>
      <c r="AK141" s="1525"/>
      <c r="AL141" s="1525"/>
      <c r="AM141" s="1525"/>
      <c r="AN141" s="1525"/>
      <c r="AO141" s="1525"/>
      <c r="AP141" s="1525"/>
      <c r="AQ141" s="1525"/>
      <c r="AR141" s="1525"/>
      <c r="AS141" s="1525"/>
      <c r="AU141" s="1525"/>
      <c r="AV141" s="1295"/>
      <c r="AW141" s="1525"/>
      <c r="AX141" s="1525"/>
      <c r="AY141" s="1525"/>
      <c r="AZ141" s="1525"/>
      <c r="BA141" s="1525"/>
      <c r="BB141" s="1525"/>
      <c r="BC141" s="1525"/>
      <c r="BD141" s="1525"/>
      <c r="BE141" s="1525"/>
      <c r="BF141" s="1525"/>
      <c r="BG141" s="1525"/>
      <c r="BH141" s="1525"/>
      <c r="BI141" s="1525"/>
      <c r="BJ141" s="1525"/>
      <c r="BK141" s="1525"/>
      <c r="BL141" s="1525"/>
      <c r="BM141" s="1525"/>
      <c r="BN141" s="1525"/>
      <c r="BO141" s="1525"/>
      <c r="BP141" s="1525"/>
      <c r="BQ141" s="1525"/>
      <c r="BR141" s="1525"/>
      <c r="BS141" s="1525"/>
      <c r="BT141" s="1670"/>
      <c r="BV141"/>
      <c r="BW141" s="862"/>
    </row>
    <row r="142" spans="2:75" s="164" customFormat="1" ht="12.75" customHeight="1" x14ac:dyDescent="0.2">
      <c r="B142" s="175"/>
      <c r="C142" s="547"/>
      <c r="D142" s="547"/>
      <c r="E142" s="824"/>
      <c r="F142" s="1103" t="s">
        <v>1967</v>
      </c>
      <c r="G142" s="862"/>
      <c r="H142" s="1347" t="s">
        <v>1508</v>
      </c>
      <c r="I142" s="825"/>
      <c r="J142" s="174"/>
      <c r="K142" s="836"/>
      <c r="L142" s="861"/>
      <c r="M142" s="861"/>
      <c r="N142" s="836"/>
      <c r="O142" s="1196" t="s">
        <v>1508</v>
      </c>
      <c r="P142" s="1294"/>
      <c r="Q142" s="1153"/>
      <c r="R142" s="884"/>
      <c r="S142" s="876"/>
      <c r="T142" s="876"/>
      <c r="U142" s="876"/>
      <c r="V142" s="876"/>
      <c r="W142" s="876"/>
      <c r="X142" s="1026"/>
      <c r="Y142" s="1754"/>
      <c r="Z142" s="1755"/>
      <c r="AA142" s="1775"/>
      <c r="AB142" s="1814"/>
      <c r="AC142" s="876"/>
      <c r="AD142" s="1295"/>
      <c r="AE142" s="1525"/>
      <c r="AF142" s="1525"/>
      <c r="AG142" s="1525"/>
      <c r="AH142" s="1525"/>
      <c r="AI142" s="1525"/>
      <c r="AJ142" s="1525"/>
      <c r="AK142" s="1525"/>
      <c r="AL142" s="1525"/>
      <c r="AM142" s="1525"/>
      <c r="AN142" s="1525"/>
      <c r="AO142" s="1525"/>
      <c r="AP142" s="1525"/>
      <c r="AQ142" s="1525"/>
      <c r="AR142" s="1525"/>
      <c r="AS142" s="1525"/>
      <c r="AU142" s="1525"/>
      <c r="AV142" s="1295"/>
      <c r="AW142" s="1525"/>
      <c r="AX142" s="1525"/>
      <c r="AY142" s="1525"/>
      <c r="AZ142" s="1525"/>
      <c r="BA142" s="1525"/>
      <c r="BB142" s="1525"/>
      <c r="BC142" s="1525"/>
      <c r="BD142" s="1525"/>
      <c r="BE142" s="1525"/>
      <c r="BF142" s="1525"/>
      <c r="BG142" s="1525"/>
      <c r="BH142" s="1525"/>
      <c r="BI142" s="1525"/>
      <c r="BJ142" s="1525"/>
      <c r="BK142" s="1525"/>
      <c r="BL142" s="1525"/>
      <c r="BM142" s="1525"/>
      <c r="BN142" s="1525"/>
      <c r="BO142" s="1525"/>
      <c r="BP142" s="1525"/>
      <c r="BQ142" s="1525"/>
      <c r="BR142" s="1525"/>
      <c r="BS142" s="1525"/>
      <c r="BT142" s="1670"/>
      <c r="BV142"/>
      <c r="BW142" s="862"/>
    </row>
    <row r="143" spans="2:75" s="164" customFormat="1" ht="12.75" customHeight="1" x14ac:dyDescent="0.2">
      <c r="B143" s="175"/>
      <c r="C143" s="547"/>
      <c r="D143" s="547"/>
      <c r="E143" s="824"/>
      <c r="F143" s="1103"/>
      <c r="G143" s="862"/>
      <c r="H143" s="1347"/>
      <c r="I143" s="825"/>
      <c r="J143" s="174"/>
      <c r="K143" s="836"/>
      <c r="L143" s="861"/>
      <c r="M143" s="861"/>
      <c r="N143" s="836"/>
      <c r="O143" s="1196"/>
      <c r="P143" s="1294"/>
      <c r="Q143" s="1153"/>
      <c r="R143" s="884"/>
      <c r="S143" s="876"/>
      <c r="T143" s="876"/>
      <c r="U143" s="876"/>
      <c r="V143" s="876"/>
      <c r="W143" s="876"/>
      <c r="X143" s="1026"/>
      <c r="Y143" s="1754"/>
      <c r="Z143" s="1755"/>
      <c r="AA143" s="1775"/>
      <c r="AB143" s="1814"/>
      <c r="AC143" s="876"/>
      <c r="AD143" s="1295"/>
      <c r="AE143" s="1525"/>
      <c r="AF143" s="1525"/>
      <c r="AG143" s="1525"/>
      <c r="AH143" s="1525"/>
      <c r="AI143" s="1525"/>
      <c r="AJ143" s="1525"/>
      <c r="AK143" s="1525"/>
      <c r="AL143" s="1525"/>
      <c r="AM143" s="1525"/>
      <c r="AN143" s="1525"/>
      <c r="AO143" s="1525"/>
      <c r="AP143" s="1525"/>
      <c r="AQ143" s="1525"/>
      <c r="AR143" s="1525"/>
      <c r="AS143" s="1525"/>
      <c r="AU143" s="1525"/>
      <c r="AV143" s="1295"/>
      <c r="AW143" s="1525"/>
      <c r="AX143" s="1525"/>
      <c r="AY143" s="1525"/>
      <c r="AZ143" s="1525"/>
      <c r="BA143" s="1525"/>
      <c r="BB143" s="1525"/>
      <c r="BC143" s="1525"/>
      <c r="BD143" s="1525"/>
      <c r="BE143" s="1525"/>
      <c r="BF143" s="1525"/>
      <c r="BG143" s="1525"/>
      <c r="BH143" s="1525"/>
      <c r="BI143" s="1525"/>
      <c r="BJ143" s="1525"/>
      <c r="BK143" s="1525"/>
      <c r="BL143" s="1525"/>
      <c r="BM143" s="1525"/>
      <c r="BN143" s="1525"/>
      <c r="BO143" s="1525"/>
      <c r="BP143" s="1525"/>
      <c r="BQ143" s="1525"/>
      <c r="BR143" s="1525"/>
      <c r="BS143" s="1525"/>
      <c r="BT143" s="1670"/>
      <c r="BV143"/>
      <c r="BW143" s="862"/>
    </row>
    <row r="144" spans="2:75" s="164" customFormat="1" ht="12.75" customHeight="1" x14ac:dyDescent="0.2">
      <c r="B144" s="175">
        <f>B143+1</f>
        <v>1</v>
      </c>
      <c r="C144" s="1100">
        <v>11</v>
      </c>
      <c r="D144" s="422"/>
      <c r="E144" s="1101" t="s">
        <v>1032</v>
      </c>
      <c r="F144" s="476" t="s">
        <v>824</v>
      </c>
      <c r="G144" s="862" t="s">
        <v>1517</v>
      </c>
      <c r="H144" s="1412">
        <v>112135</v>
      </c>
      <c r="I144" s="1102" t="s">
        <v>161</v>
      </c>
      <c r="J144" s="174"/>
      <c r="K144" s="836"/>
      <c r="L144" s="861">
        <v>1</v>
      </c>
      <c r="M144" s="861">
        <f>L144+K144</f>
        <v>1</v>
      </c>
      <c r="N144" s="836" t="s">
        <v>1326</v>
      </c>
      <c r="O144" s="1196">
        <v>32620</v>
      </c>
      <c r="P144" s="1218">
        <f t="shared" ref="P144:P153" ca="1" si="98">YEARFRAC(TODAY(),O144)</f>
        <v>28.444444444444443</v>
      </c>
      <c r="Q144" s="1153">
        <v>39600</v>
      </c>
      <c r="R144" s="884">
        <f>Q144*0.1</f>
        <v>3960</v>
      </c>
      <c r="S144" s="876"/>
      <c r="T144" s="876">
        <v>29300</v>
      </c>
      <c r="U144" s="876"/>
      <c r="V144" s="876"/>
      <c r="W144" s="876"/>
      <c r="X144" s="1026">
        <f t="shared" ref="X144:X153" si="99">(Q144+R144+S144+T144+U144+V144+W144)*M144</f>
        <v>72860</v>
      </c>
      <c r="Y144" s="1512">
        <f t="shared" ref="Y144:Y153" si="100">(T144+U144)*M144/(X144-M144*(T144+U144))</f>
        <v>0.67263544536271813</v>
      </c>
      <c r="Z144" s="1741">
        <f t="shared" ref="Z144:Z153" si="101">M144*(1+Y144)</f>
        <v>1.6726354453627181</v>
      </c>
      <c r="AA144" s="1749">
        <f t="shared" ref="AA144:AA150" si="102">SUM(AD144:AS144)</f>
        <v>0</v>
      </c>
      <c r="AB144" s="1810">
        <f t="shared" ref="AB144:AB146" si="103">100*AA144/Z144</f>
        <v>0</v>
      </c>
      <c r="AC144" s="876"/>
      <c r="AD144" s="1525">
        <f t="shared" ref="AD144:AS152" si="104">SUMIF($AV$6:$BS$6,AD$5,$AV144:$BS144)</f>
        <v>0</v>
      </c>
      <c r="AE144" s="1525">
        <f t="shared" si="104"/>
        <v>0</v>
      </c>
      <c r="AF144" s="1525">
        <f t="shared" si="104"/>
        <v>0</v>
      </c>
      <c r="AG144" s="1525">
        <f t="shared" si="104"/>
        <v>0</v>
      </c>
      <c r="AH144" s="1525">
        <f t="shared" si="104"/>
        <v>0</v>
      </c>
      <c r="AI144" s="1525">
        <f t="shared" si="104"/>
        <v>0</v>
      </c>
      <c r="AJ144" s="1525">
        <f t="shared" si="104"/>
        <v>0</v>
      </c>
      <c r="AK144" s="1525">
        <f t="shared" si="104"/>
        <v>0</v>
      </c>
      <c r="AL144" s="1525">
        <f t="shared" si="104"/>
        <v>0</v>
      </c>
      <c r="AM144" s="1525">
        <f t="shared" si="104"/>
        <v>0</v>
      </c>
      <c r="AN144" s="1525">
        <f t="shared" si="104"/>
        <v>0</v>
      </c>
      <c r="AO144" s="1525">
        <f t="shared" si="104"/>
        <v>0</v>
      </c>
      <c r="AP144" s="1525">
        <f t="shared" si="104"/>
        <v>0</v>
      </c>
      <c r="AQ144" s="1525">
        <f t="shared" si="104"/>
        <v>0</v>
      </c>
      <c r="AR144" s="1525">
        <f t="shared" si="104"/>
        <v>0</v>
      </c>
      <c r="AS144" s="1525">
        <f t="shared" si="104"/>
        <v>0</v>
      </c>
      <c r="AU144" s="1525"/>
      <c r="AV144" s="1295"/>
      <c r="AW144" s="1525"/>
      <c r="AX144" s="1525"/>
      <c r="AY144" s="1525"/>
      <c r="AZ144" s="1525"/>
      <c r="BA144" s="1525"/>
      <c r="BB144" s="1525"/>
      <c r="BC144" s="1525"/>
      <c r="BD144" s="1525"/>
      <c r="BE144" s="1525"/>
      <c r="BF144" s="1525"/>
      <c r="BG144" s="1525"/>
      <c r="BH144" s="1525"/>
      <c r="BI144" s="1525"/>
      <c r="BJ144" s="1525"/>
      <c r="BK144" s="1525"/>
      <c r="BL144" s="1525"/>
      <c r="BM144" s="1525"/>
      <c r="BN144" s="1525"/>
      <c r="BO144" s="1525"/>
      <c r="BP144" s="1525"/>
      <c r="BQ144" s="1525"/>
      <c r="BR144" s="1525"/>
      <c r="BS144" s="1525"/>
      <c r="BT144" s="1670">
        <f t="shared" ref="BT144:BT153" si="105">SUM(AV144:BS144)</f>
        <v>0</v>
      </c>
      <c r="BV144"/>
      <c r="BW144" s="862" t="s">
        <v>1517</v>
      </c>
    </row>
    <row r="145" spans="1:75" s="164" customFormat="1" ht="12.75" customHeight="1" x14ac:dyDescent="0.2">
      <c r="B145" s="175">
        <f t="shared" ref="B145:B153" si="106">B144+1</f>
        <v>2</v>
      </c>
      <c r="C145" s="422">
        <v>12</v>
      </c>
      <c r="D145" s="422"/>
      <c r="E145" s="1101" t="s">
        <v>1032</v>
      </c>
      <c r="F145" s="4" t="s">
        <v>1235</v>
      </c>
      <c r="G145" s="862" t="s">
        <v>638</v>
      </c>
      <c r="H145" s="1412">
        <v>110805</v>
      </c>
      <c r="I145" s="197" t="s">
        <v>583</v>
      </c>
      <c r="J145" s="174"/>
      <c r="K145" s="836"/>
      <c r="L145" s="861">
        <v>1</v>
      </c>
      <c r="M145" s="861">
        <v>1</v>
      </c>
      <c r="N145" s="836" t="s">
        <v>1326</v>
      </c>
      <c r="O145" s="1196">
        <v>20815</v>
      </c>
      <c r="P145" s="1218">
        <f t="shared" ca="1" si="98"/>
        <v>60.766666666666666</v>
      </c>
      <c r="Q145" s="1153">
        <v>34000</v>
      </c>
      <c r="R145" s="884">
        <f>Q145*0.1</f>
        <v>3400</v>
      </c>
      <c r="S145" s="876"/>
      <c r="T145" s="876"/>
      <c r="U145" s="876">
        <v>3300</v>
      </c>
      <c r="V145" s="876"/>
      <c r="W145" s="876"/>
      <c r="X145" s="1026">
        <f t="shared" si="99"/>
        <v>40700</v>
      </c>
      <c r="Y145" s="1512">
        <f t="shared" si="100"/>
        <v>8.8235294117647065E-2</v>
      </c>
      <c r="Z145" s="1741">
        <f t="shared" si="101"/>
        <v>1.088235294117647</v>
      </c>
      <c r="AA145" s="1749">
        <f t="shared" si="102"/>
        <v>0</v>
      </c>
      <c r="AB145" s="1810">
        <f t="shared" si="103"/>
        <v>0</v>
      </c>
      <c r="AC145" s="876"/>
      <c r="AD145" s="1525">
        <f t="shared" si="104"/>
        <v>0</v>
      </c>
      <c r="AE145" s="1525">
        <f t="shared" si="104"/>
        <v>0</v>
      </c>
      <c r="AF145" s="1525">
        <f t="shared" si="104"/>
        <v>0</v>
      </c>
      <c r="AG145" s="1525">
        <f t="shared" si="104"/>
        <v>0</v>
      </c>
      <c r="AH145" s="1525">
        <f t="shared" si="104"/>
        <v>0</v>
      </c>
      <c r="AI145" s="1525">
        <f t="shared" si="104"/>
        <v>0</v>
      </c>
      <c r="AJ145" s="1525">
        <f t="shared" si="104"/>
        <v>0</v>
      </c>
      <c r="AK145" s="1525">
        <f t="shared" si="104"/>
        <v>0</v>
      </c>
      <c r="AL145" s="1525">
        <f t="shared" si="104"/>
        <v>0</v>
      </c>
      <c r="AM145" s="1525">
        <f t="shared" si="104"/>
        <v>0</v>
      </c>
      <c r="AN145" s="1525">
        <f t="shared" si="104"/>
        <v>0</v>
      </c>
      <c r="AO145" s="1525">
        <f t="shared" si="104"/>
        <v>0</v>
      </c>
      <c r="AP145" s="1525">
        <f t="shared" si="104"/>
        <v>0</v>
      </c>
      <c r="AQ145" s="1525">
        <f t="shared" si="104"/>
        <v>0</v>
      </c>
      <c r="AR145" s="1525">
        <f t="shared" si="104"/>
        <v>0</v>
      </c>
      <c r="AS145" s="1525">
        <f t="shared" si="104"/>
        <v>0</v>
      </c>
      <c r="AU145" s="1525"/>
      <c r="AV145" s="1295"/>
      <c r="AW145" s="1525"/>
      <c r="AX145" s="1525"/>
      <c r="AY145" s="1525"/>
      <c r="AZ145" s="1525"/>
      <c r="BA145" s="1525"/>
      <c r="BB145" s="1525"/>
      <c r="BC145" s="1525"/>
      <c r="BD145" s="1525"/>
      <c r="BE145" s="1525"/>
      <c r="BF145" s="1525"/>
      <c r="BG145" s="1525"/>
      <c r="BH145" s="1525"/>
      <c r="BI145" s="1525"/>
      <c r="BJ145" s="1525"/>
      <c r="BK145" s="1525"/>
      <c r="BL145" s="1525"/>
      <c r="BM145" s="1525"/>
      <c r="BN145" s="1525"/>
      <c r="BO145" s="1525"/>
      <c r="BP145" s="1525"/>
      <c r="BQ145" s="1525"/>
      <c r="BR145" s="1525"/>
      <c r="BS145" s="1525"/>
      <c r="BT145" s="1670">
        <f t="shared" si="105"/>
        <v>0</v>
      </c>
      <c r="BV145"/>
      <c r="BW145" s="862" t="s">
        <v>638</v>
      </c>
    </row>
    <row r="146" spans="1:75" s="164" customFormat="1" ht="12.75" customHeight="1" x14ac:dyDescent="0.15">
      <c r="B146" s="175">
        <f t="shared" si="106"/>
        <v>3</v>
      </c>
      <c r="C146" s="422">
        <v>14</v>
      </c>
      <c r="D146" s="547"/>
      <c r="E146" s="1573" t="s">
        <v>1032</v>
      </c>
      <c r="F146" s="4" t="s">
        <v>626</v>
      </c>
      <c r="G146" s="862" t="s">
        <v>2023</v>
      </c>
      <c r="H146" s="861">
        <v>165891</v>
      </c>
      <c r="I146" s="197" t="s">
        <v>583</v>
      </c>
      <c r="J146" s="174"/>
      <c r="K146" s="836"/>
      <c r="L146" s="861">
        <v>1</v>
      </c>
      <c r="M146" s="861">
        <v>1</v>
      </c>
      <c r="N146" s="836" t="s">
        <v>892</v>
      </c>
      <c r="O146" s="1323">
        <v>33012</v>
      </c>
      <c r="P146" s="1218">
        <f t="shared" ca="1" si="98"/>
        <v>27.369444444444444</v>
      </c>
      <c r="Q146" s="1153">
        <v>25000</v>
      </c>
      <c r="R146" s="884"/>
      <c r="S146" s="876"/>
      <c r="T146" s="876"/>
      <c r="U146" s="876"/>
      <c r="V146" s="876"/>
      <c r="W146" s="876"/>
      <c r="X146" s="1026">
        <f t="shared" si="99"/>
        <v>25000</v>
      </c>
      <c r="Y146" s="1512">
        <f t="shared" si="100"/>
        <v>0</v>
      </c>
      <c r="Z146" s="1741">
        <f t="shared" si="101"/>
        <v>1</v>
      </c>
      <c r="AA146" s="1749">
        <f t="shared" si="102"/>
        <v>0</v>
      </c>
      <c r="AB146" s="1810">
        <f t="shared" si="103"/>
        <v>0</v>
      </c>
      <c r="AC146" s="224"/>
      <c r="AD146" s="1525">
        <f t="shared" si="104"/>
        <v>0</v>
      </c>
      <c r="AE146" s="1525">
        <f t="shared" si="104"/>
        <v>0</v>
      </c>
      <c r="AF146" s="1525">
        <f t="shared" si="104"/>
        <v>0</v>
      </c>
      <c r="AG146" s="1525">
        <f t="shared" si="104"/>
        <v>0</v>
      </c>
      <c r="AH146" s="1525">
        <f t="shared" si="104"/>
        <v>0</v>
      </c>
      <c r="AI146" s="1525">
        <f t="shared" si="104"/>
        <v>0</v>
      </c>
      <c r="AJ146" s="1525">
        <f t="shared" si="104"/>
        <v>0</v>
      </c>
      <c r="AK146" s="1525">
        <f t="shared" si="104"/>
        <v>0</v>
      </c>
      <c r="AL146" s="1525">
        <f t="shared" si="104"/>
        <v>0</v>
      </c>
      <c r="AM146" s="1525">
        <f t="shared" si="104"/>
        <v>0</v>
      </c>
      <c r="AN146" s="1525">
        <f t="shared" si="104"/>
        <v>0</v>
      </c>
      <c r="AO146" s="1525">
        <f t="shared" si="104"/>
        <v>0</v>
      </c>
      <c r="AP146" s="1525">
        <f t="shared" si="104"/>
        <v>0</v>
      </c>
      <c r="AQ146" s="1525">
        <f t="shared" si="104"/>
        <v>0</v>
      </c>
      <c r="AR146" s="1525">
        <f t="shared" si="104"/>
        <v>0</v>
      </c>
      <c r="AS146" s="1525">
        <f t="shared" si="104"/>
        <v>0</v>
      </c>
      <c r="AV146" s="553"/>
      <c r="AX146" s="553"/>
      <c r="BT146" s="1672"/>
    </row>
    <row r="147" spans="1:75" s="164" customFormat="1" ht="12.75" customHeight="1" x14ac:dyDescent="0.2">
      <c r="B147" s="175">
        <f t="shared" si="106"/>
        <v>4</v>
      </c>
      <c r="C147" s="422">
        <v>14</v>
      </c>
      <c r="D147" s="422"/>
      <c r="E147" s="1101" t="s">
        <v>1032</v>
      </c>
      <c r="F147" s="4" t="s">
        <v>626</v>
      </c>
      <c r="G147" s="862" t="s">
        <v>1880</v>
      </c>
      <c r="H147" s="1412">
        <v>153441</v>
      </c>
      <c r="I147" s="197" t="s">
        <v>583</v>
      </c>
      <c r="J147" s="174"/>
      <c r="K147" s="836"/>
      <c r="L147" s="861">
        <v>1</v>
      </c>
      <c r="M147" s="861">
        <v>1</v>
      </c>
      <c r="N147" s="836" t="s">
        <v>892</v>
      </c>
      <c r="O147" s="1196">
        <v>30731</v>
      </c>
      <c r="P147" s="1218">
        <f t="shared" ca="1" si="98"/>
        <v>33.619444444444447</v>
      </c>
      <c r="Q147" s="1153">
        <v>26500</v>
      </c>
      <c r="R147" s="884"/>
      <c r="S147" s="876"/>
      <c r="T147" s="876"/>
      <c r="U147" s="876"/>
      <c r="V147" s="876"/>
      <c r="W147" s="876"/>
      <c r="X147" s="1026">
        <f t="shared" si="99"/>
        <v>26500</v>
      </c>
      <c r="Y147" s="1512">
        <f t="shared" si="100"/>
        <v>0</v>
      </c>
      <c r="Z147" s="1741">
        <f t="shared" si="101"/>
        <v>1</v>
      </c>
      <c r="AA147" s="1749">
        <f t="shared" si="102"/>
        <v>0</v>
      </c>
      <c r="AB147" s="1810">
        <f t="shared" ref="AB147:AB152" si="107">100*AA147/Z147</f>
        <v>0</v>
      </c>
      <c r="AC147" s="876"/>
      <c r="AD147" s="1525">
        <f t="shared" si="104"/>
        <v>0</v>
      </c>
      <c r="AE147" s="1525">
        <f t="shared" si="104"/>
        <v>0</v>
      </c>
      <c r="AF147" s="1525">
        <f t="shared" si="104"/>
        <v>0</v>
      </c>
      <c r="AG147" s="1525">
        <f t="shared" si="104"/>
        <v>0</v>
      </c>
      <c r="AH147" s="1525">
        <f t="shared" si="104"/>
        <v>0</v>
      </c>
      <c r="AI147" s="1525">
        <f t="shared" si="104"/>
        <v>0</v>
      </c>
      <c r="AJ147" s="1525">
        <f t="shared" si="104"/>
        <v>0</v>
      </c>
      <c r="AK147" s="1525">
        <f t="shared" si="104"/>
        <v>0</v>
      </c>
      <c r="AL147" s="1525">
        <f t="shared" si="104"/>
        <v>0</v>
      </c>
      <c r="AM147" s="1525">
        <f t="shared" si="104"/>
        <v>0</v>
      </c>
      <c r="AN147" s="1525">
        <f t="shared" si="104"/>
        <v>0</v>
      </c>
      <c r="AO147" s="1525">
        <f t="shared" si="104"/>
        <v>0</v>
      </c>
      <c r="AP147" s="1525">
        <f t="shared" si="104"/>
        <v>0</v>
      </c>
      <c r="AQ147" s="1525">
        <f t="shared" si="104"/>
        <v>0</v>
      </c>
      <c r="AR147" s="1525">
        <f t="shared" si="104"/>
        <v>0</v>
      </c>
      <c r="AS147" s="1525">
        <f t="shared" si="104"/>
        <v>0</v>
      </c>
      <c r="AU147" s="1525"/>
      <c r="AV147" s="1295"/>
      <c r="AW147" s="1525"/>
      <c r="AX147" s="1525"/>
      <c r="AY147" s="1525"/>
      <c r="AZ147" s="1525"/>
      <c r="BA147" s="1525"/>
      <c r="BB147" s="1525"/>
      <c r="BC147" s="1525"/>
      <c r="BD147" s="1525"/>
      <c r="BE147" s="1525"/>
      <c r="BF147" s="1525"/>
      <c r="BG147" s="1525"/>
      <c r="BH147" s="1525"/>
      <c r="BI147" s="1525"/>
      <c r="BJ147" s="1525"/>
      <c r="BK147" s="1525"/>
      <c r="BL147" s="1525"/>
      <c r="BM147" s="1525"/>
      <c r="BN147" s="1525"/>
      <c r="BO147" s="1525"/>
      <c r="BP147" s="1525"/>
      <c r="BQ147" s="1525"/>
      <c r="BR147" s="1525"/>
      <c r="BS147" s="1525"/>
      <c r="BT147" s="1670">
        <f t="shared" si="105"/>
        <v>0</v>
      </c>
      <c r="BV147"/>
      <c r="BW147" s="862" t="s">
        <v>1880</v>
      </c>
    </row>
    <row r="148" spans="1:75" s="164" customFormat="1" ht="12.75" customHeight="1" x14ac:dyDescent="0.2">
      <c r="B148" s="175">
        <f t="shared" si="106"/>
        <v>5</v>
      </c>
      <c r="C148" s="422">
        <v>14</v>
      </c>
      <c r="D148" s="422"/>
      <c r="E148" s="1101" t="s">
        <v>1032</v>
      </c>
      <c r="F148" s="4" t="s">
        <v>626</v>
      </c>
      <c r="G148" s="862" t="s">
        <v>1882</v>
      </c>
      <c r="H148" s="1412">
        <v>153950</v>
      </c>
      <c r="I148" s="197" t="s">
        <v>583</v>
      </c>
      <c r="J148" s="174"/>
      <c r="K148" s="836"/>
      <c r="L148" s="861">
        <v>1</v>
      </c>
      <c r="M148" s="861">
        <v>1</v>
      </c>
      <c r="N148" s="836" t="s">
        <v>892</v>
      </c>
      <c r="O148" s="1196">
        <v>32041</v>
      </c>
      <c r="P148" s="1218">
        <f t="shared" ca="1" si="98"/>
        <v>30.030555555555555</v>
      </c>
      <c r="Q148" s="1153">
        <v>26500</v>
      </c>
      <c r="R148" s="884"/>
      <c r="S148" s="876"/>
      <c r="T148" s="876"/>
      <c r="U148" s="876"/>
      <c r="V148" s="876"/>
      <c r="W148" s="876"/>
      <c r="X148" s="1026">
        <f t="shared" si="99"/>
        <v>26500</v>
      </c>
      <c r="Y148" s="1512">
        <f t="shared" si="100"/>
        <v>0</v>
      </c>
      <c r="Z148" s="1741">
        <f t="shared" si="101"/>
        <v>1</v>
      </c>
      <c r="AA148" s="1749">
        <f t="shared" si="102"/>
        <v>0</v>
      </c>
      <c r="AB148" s="1810">
        <f t="shared" si="107"/>
        <v>0</v>
      </c>
      <c r="AC148" s="876"/>
      <c r="AD148" s="1525">
        <f t="shared" si="104"/>
        <v>0</v>
      </c>
      <c r="AE148" s="1525">
        <f t="shared" si="104"/>
        <v>0</v>
      </c>
      <c r="AF148" s="1525">
        <f t="shared" si="104"/>
        <v>0</v>
      </c>
      <c r="AG148" s="1525">
        <f t="shared" si="104"/>
        <v>0</v>
      </c>
      <c r="AH148" s="1525">
        <f t="shared" si="104"/>
        <v>0</v>
      </c>
      <c r="AI148" s="1525">
        <f t="shared" si="104"/>
        <v>0</v>
      </c>
      <c r="AJ148" s="1525">
        <f t="shared" si="104"/>
        <v>0</v>
      </c>
      <c r="AK148" s="1525">
        <f t="shared" si="104"/>
        <v>0</v>
      </c>
      <c r="AL148" s="1525">
        <f t="shared" si="104"/>
        <v>0</v>
      </c>
      <c r="AM148" s="1525">
        <f t="shared" si="104"/>
        <v>0</v>
      </c>
      <c r="AN148" s="1525">
        <f t="shared" si="104"/>
        <v>0</v>
      </c>
      <c r="AO148" s="1525">
        <f t="shared" si="104"/>
        <v>0</v>
      </c>
      <c r="AP148" s="1525">
        <f t="shared" si="104"/>
        <v>0</v>
      </c>
      <c r="AQ148" s="1525">
        <f t="shared" si="104"/>
        <v>0</v>
      </c>
      <c r="AR148" s="1525">
        <f t="shared" si="104"/>
        <v>0</v>
      </c>
      <c r="AS148" s="1525">
        <f t="shared" si="104"/>
        <v>0</v>
      </c>
      <c r="AU148" s="1525"/>
      <c r="AV148" s="1295"/>
      <c r="AW148" s="1525"/>
      <c r="AX148" s="1525"/>
      <c r="AY148" s="1525"/>
      <c r="AZ148" s="1525"/>
      <c r="BA148" s="1525"/>
      <c r="BB148" s="1525"/>
      <c r="BC148" s="1525"/>
      <c r="BD148" s="1525"/>
      <c r="BE148" s="1525"/>
      <c r="BF148" s="1525"/>
      <c r="BG148" s="1525"/>
      <c r="BH148" s="1525"/>
      <c r="BI148" s="1525"/>
      <c r="BJ148" s="1525"/>
      <c r="BK148" s="1525"/>
      <c r="BL148" s="1525"/>
      <c r="BM148" s="1525"/>
      <c r="BN148" s="1525"/>
      <c r="BO148" s="1525"/>
      <c r="BP148" s="1525"/>
      <c r="BQ148" s="1525"/>
      <c r="BR148" s="1525"/>
      <c r="BS148" s="1525"/>
      <c r="BT148" s="1670">
        <f t="shared" si="105"/>
        <v>0</v>
      </c>
      <c r="BV148"/>
      <c r="BW148" s="862" t="s">
        <v>1882</v>
      </c>
    </row>
    <row r="149" spans="1:75" s="164" customFormat="1" ht="12.75" customHeight="1" x14ac:dyDescent="0.2">
      <c r="B149" s="175">
        <f t="shared" si="106"/>
        <v>6</v>
      </c>
      <c r="C149" s="422">
        <v>14</v>
      </c>
      <c r="D149" s="422"/>
      <c r="E149" s="1101" t="s">
        <v>1032</v>
      </c>
      <c r="F149" s="4" t="s">
        <v>626</v>
      </c>
      <c r="G149" s="862" t="s">
        <v>1352</v>
      </c>
      <c r="H149" s="1412">
        <v>263043</v>
      </c>
      <c r="I149" s="197" t="s">
        <v>583</v>
      </c>
      <c r="J149" s="174"/>
      <c r="K149" s="836"/>
      <c r="L149" s="861">
        <v>1</v>
      </c>
      <c r="M149" s="861">
        <v>1</v>
      </c>
      <c r="N149" s="836" t="s">
        <v>1326</v>
      </c>
      <c r="O149" s="1196">
        <v>29904</v>
      </c>
      <c r="P149" s="1218">
        <f t="shared" ca="1" si="98"/>
        <v>35.883333333333333</v>
      </c>
      <c r="Q149" s="1153">
        <v>26300</v>
      </c>
      <c r="R149" s="884">
        <f>Q149*0.1</f>
        <v>2630</v>
      </c>
      <c r="S149" s="876"/>
      <c r="T149" s="876"/>
      <c r="U149" s="876"/>
      <c r="V149" s="876"/>
      <c r="W149" s="876"/>
      <c r="X149" s="1026">
        <f t="shared" si="99"/>
        <v>28930</v>
      </c>
      <c r="Y149" s="1512">
        <f t="shared" si="100"/>
        <v>0</v>
      </c>
      <c r="Z149" s="1741">
        <f t="shared" si="101"/>
        <v>1</v>
      </c>
      <c r="AA149" s="1749">
        <f t="shared" si="102"/>
        <v>0</v>
      </c>
      <c r="AB149" s="1810">
        <f t="shared" si="107"/>
        <v>0</v>
      </c>
      <c r="AC149" s="876"/>
      <c r="AD149" s="1525">
        <f t="shared" si="104"/>
        <v>0</v>
      </c>
      <c r="AE149" s="1525">
        <f t="shared" si="104"/>
        <v>0</v>
      </c>
      <c r="AF149" s="1525">
        <f t="shared" si="104"/>
        <v>0</v>
      </c>
      <c r="AG149" s="1525">
        <f t="shared" si="104"/>
        <v>0</v>
      </c>
      <c r="AH149" s="1525">
        <f t="shared" si="104"/>
        <v>0</v>
      </c>
      <c r="AI149" s="1525">
        <f t="shared" si="104"/>
        <v>0</v>
      </c>
      <c r="AJ149" s="1525">
        <f t="shared" si="104"/>
        <v>0</v>
      </c>
      <c r="AK149" s="1525">
        <f t="shared" si="104"/>
        <v>0</v>
      </c>
      <c r="AL149" s="1525">
        <f t="shared" si="104"/>
        <v>0</v>
      </c>
      <c r="AM149" s="1525">
        <f t="shared" si="104"/>
        <v>0</v>
      </c>
      <c r="AN149" s="1525">
        <f t="shared" si="104"/>
        <v>0</v>
      </c>
      <c r="AO149" s="1525">
        <f t="shared" si="104"/>
        <v>0</v>
      </c>
      <c r="AP149" s="1525">
        <f t="shared" si="104"/>
        <v>0</v>
      </c>
      <c r="AQ149" s="1525">
        <f t="shared" si="104"/>
        <v>0</v>
      </c>
      <c r="AR149" s="1525">
        <f t="shared" si="104"/>
        <v>0</v>
      </c>
      <c r="AS149" s="1525">
        <f t="shared" si="104"/>
        <v>0</v>
      </c>
      <c r="AU149" s="1525"/>
      <c r="AV149" s="1295"/>
      <c r="AW149" s="1525"/>
      <c r="AX149" s="1525"/>
      <c r="AY149" s="1525"/>
      <c r="AZ149" s="1525"/>
      <c r="BA149" s="1525"/>
      <c r="BB149" s="1525"/>
      <c r="BC149" s="1525"/>
      <c r="BD149" s="1525"/>
      <c r="BE149" s="1525"/>
      <c r="BF149" s="1525"/>
      <c r="BG149" s="1525"/>
      <c r="BH149" s="1525"/>
      <c r="BI149" s="1525"/>
      <c r="BJ149" s="1525"/>
      <c r="BK149" s="1525"/>
      <c r="BL149" s="1525"/>
      <c r="BM149" s="1525"/>
      <c r="BN149" s="1525"/>
      <c r="BO149" s="1525"/>
      <c r="BP149" s="1525"/>
      <c r="BQ149" s="1525"/>
      <c r="BR149" s="1525"/>
      <c r="BS149" s="1525"/>
      <c r="BT149" s="1670">
        <f t="shared" si="105"/>
        <v>0</v>
      </c>
      <c r="BV149"/>
      <c r="BW149" s="862" t="s">
        <v>1352</v>
      </c>
    </row>
    <row r="150" spans="1:75" s="164" customFormat="1" ht="12.75" customHeight="1" x14ac:dyDescent="0.2">
      <c r="B150" s="175">
        <f t="shared" si="106"/>
        <v>7</v>
      </c>
      <c r="C150" s="1100">
        <v>18</v>
      </c>
      <c r="D150" s="422"/>
      <c r="E150" s="1101" t="s">
        <v>1032</v>
      </c>
      <c r="F150" s="4" t="s">
        <v>584</v>
      </c>
      <c r="G150" s="862" t="s">
        <v>1968</v>
      </c>
      <c r="H150" s="1412">
        <v>163261</v>
      </c>
      <c r="I150" s="197" t="s">
        <v>583</v>
      </c>
      <c r="J150" s="174"/>
      <c r="K150" s="836"/>
      <c r="L150" s="861">
        <v>1</v>
      </c>
      <c r="M150" s="861">
        <v>1</v>
      </c>
      <c r="N150" s="836" t="s">
        <v>892</v>
      </c>
      <c r="O150" s="1196">
        <v>33935</v>
      </c>
      <c r="P150" s="1218">
        <f t="shared" ca="1" si="98"/>
        <v>24.847222222222221</v>
      </c>
      <c r="Q150" s="1153">
        <v>23000</v>
      </c>
      <c r="R150" s="884"/>
      <c r="S150" s="876"/>
      <c r="T150" s="876"/>
      <c r="U150" s="876"/>
      <c r="V150" s="876"/>
      <c r="W150" s="876"/>
      <c r="X150" s="1026">
        <f t="shared" si="99"/>
        <v>23000</v>
      </c>
      <c r="Y150" s="1512">
        <f t="shared" si="100"/>
        <v>0</v>
      </c>
      <c r="Z150" s="1741">
        <f t="shared" si="101"/>
        <v>1</v>
      </c>
      <c r="AA150" s="1749">
        <f t="shared" si="102"/>
        <v>0</v>
      </c>
      <c r="AB150" s="1810">
        <f t="shared" si="107"/>
        <v>0</v>
      </c>
      <c r="AC150" s="876"/>
      <c r="AD150" s="1525">
        <f t="shared" si="104"/>
        <v>0</v>
      </c>
      <c r="AE150" s="1525">
        <f t="shared" si="104"/>
        <v>0</v>
      </c>
      <c r="AF150" s="1525">
        <f t="shared" si="104"/>
        <v>0</v>
      </c>
      <c r="AG150" s="1525">
        <f t="shared" si="104"/>
        <v>0</v>
      </c>
      <c r="AH150" s="1525">
        <f t="shared" si="104"/>
        <v>0</v>
      </c>
      <c r="AI150" s="1525">
        <f t="shared" si="104"/>
        <v>0</v>
      </c>
      <c r="AJ150" s="1525">
        <f t="shared" si="104"/>
        <v>0</v>
      </c>
      <c r="AK150" s="1525">
        <f t="shared" si="104"/>
        <v>0</v>
      </c>
      <c r="AL150" s="1525">
        <f t="shared" si="104"/>
        <v>0</v>
      </c>
      <c r="AM150" s="1525">
        <f t="shared" si="104"/>
        <v>0</v>
      </c>
      <c r="AN150" s="1525">
        <f t="shared" si="104"/>
        <v>0</v>
      </c>
      <c r="AO150" s="1525">
        <f t="shared" si="104"/>
        <v>0</v>
      </c>
      <c r="AP150" s="1525">
        <f t="shared" si="104"/>
        <v>0</v>
      </c>
      <c r="AQ150" s="1525">
        <f t="shared" si="104"/>
        <v>0</v>
      </c>
      <c r="AR150" s="1525">
        <f t="shared" si="104"/>
        <v>0</v>
      </c>
      <c r="AS150" s="1525">
        <f t="shared" si="104"/>
        <v>0</v>
      </c>
      <c r="AU150" s="1525"/>
      <c r="AV150" s="1295"/>
      <c r="AW150" s="1525"/>
      <c r="AX150" s="1525"/>
      <c r="AY150" s="1525"/>
      <c r="AZ150" s="1525"/>
      <c r="BA150" s="1525"/>
      <c r="BB150" s="1525"/>
      <c r="BC150" s="1525"/>
      <c r="BD150" s="1525"/>
      <c r="BE150" s="1525"/>
      <c r="BF150" s="1525"/>
      <c r="BG150" s="1525"/>
      <c r="BH150" s="1525"/>
      <c r="BI150" s="1525"/>
      <c r="BJ150" s="1525"/>
      <c r="BK150" s="1525"/>
      <c r="BL150" s="1525"/>
      <c r="BM150" s="1525"/>
      <c r="BN150" s="1525"/>
      <c r="BO150" s="1525"/>
      <c r="BP150" s="1525"/>
      <c r="BQ150" s="1525"/>
      <c r="BR150" s="1525"/>
      <c r="BS150" s="1525"/>
      <c r="BT150" s="1670">
        <f t="shared" si="105"/>
        <v>0</v>
      </c>
      <c r="BV150"/>
      <c r="BW150" s="862" t="s">
        <v>1968</v>
      </c>
    </row>
    <row r="151" spans="1:75" s="164" customFormat="1" ht="12.75" customHeight="1" x14ac:dyDescent="0.2">
      <c r="B151" s="175">
        <f t="shared" si="106"/>
        <v>8</v>
      </c>
      <c r="C151" s="1100">
        <v>18</v>
      </c>
      <c r="D151" s="422"/>
      <c r="E151" s="1101" t="s">
        <v>1032</v>
      </c>
      <c r="F151" s="4" t="s">
        <v>584</v>
      </c>
      <c r="G151" s="862" t="s">
        <v>1878</v>
      </c>
      <c r="H151" s="1412">
        <v>160471</v>
      </c>
      <c r="I151" s="197" t="s">
        <v>583</v>
      </c>
      <c r="J151" s="174"/>
      <c r="K151" s="836"/>
      <c r="L151" s="861">
        <v>1</v>
      </c>
      <c r="M151" s="861">
        <v>1</v>
      </c>
      <c r="N151" s="836" t="s">
        <v>892</v>
      </c>
      <c r="O151" s="1196">
        <v>33801</v>
      </c>
      <c r="P151" s="1218">
        <f t="shared" ca="1" si="98"/>
        <v>25.211111111111112</v>
      </c>
      <c r="Q151" s="1153">
        <v>23000</v>
      </c>
      <c r="R151" s="884"/>
      <c r="S151" s="876"/>
      <c r="T151" s="876"/>
      <c r="U151" s="876"/>
      <c r="V151" s="876"/>
      <c r="W151" s="876"/>
      <c r="X151" s="1026">
        <f t="shared" si="99"/>
        <v>23000</v>
      </c>
      <c r="Y151" s="1512">
        <f t="shared" si="100"/>
        <v>0</v>
      </c>
      <c r="Z151" s="1741">
        <f t="shared" si="101"/>
        <v>1</v>
      </c>
      <c r="AA151" s="1749">
        <f t="shared" ref="AA151:AA161" si="108">SUM(AD151:AS151)</f>
        <v>0</v>
      </c>
      <c r="AB151" s="1810">
        <f t="shared" si="107"/>
        <v>0</v>
      </c>
      <c r="AC151" s="876"/>
      <c r="AD151" s="1525">
        <f t="shared" si="104"/>
        <v>0</v>
      </c>
      <c r="AE151" s="1525">
        <f t="shared" si="104"/>
        <v>0</v>
      </c>
      <c r="AF151" s="1525">
        <f t="shared" si="104"/>
        <v>0</v>
      </c>
      <c r="AG151" s="1525">
        <f t="shared" si="104"/>
        <v>0</v>
      </c>
      <c r="AH151" s="1525">
        <f t="shared" si="104"/>
        <v>0</v>
      </c>
      <c r="AI151" s="1525">
        <f t="shared" si="104"/>
        <v>0</v>
      </c>
      <c r="AJ151" s="1525">
        <f t="shared" si="104"/>
        <v>0</v>
      </c>
      <c r="AK151" s="1525">
        <f t="shared" si="104"/>
        <v>0</v>
      </c>
      <c r="AL151" s="1525">
        <f t="shared" si="104"/>
        <v>0</v>
      </c>
      <c r="AM151" s="1525">
        <f t="shared" si="104"/>
        <v>0</v>
      </c>
      <c r="AN151" s="1525">
        <f t="shared" si="104"/>
        <v>0</v>
      </c>
      <c r="AO151" s="1525">
        <f t="shared" si="104"/>
        <v>0</v>
      </c>
      <c r="AP151" s="1525">
        <f t="shared" si="104"/>
        <v>0</v>
      </c>
      <c r="AQ151" s="1525">
        <f t="shared" si="104"/>
        <v>0</v>
      </c>
      <c r="AR151" s="1525">
        <f t="shared" si="104"/>
        <v>0</v>
      </c>
      <c r="AS151" s="1525">
        <f t="shared" si="104"/>
        <v>0</v>
      </c>
      <c r="AU151" s="1525"/>
      <c r="AV151" s="1295"/>
      <c r="AW151" s="1525"/>
      <c r="AX151" s="1525"/>
      <c r="AY151" s="1525"/>
      <c r="AZ151" s="1525"/>
      <c r="BA151" s="1525"/>
      <c r="BB151" s="1525"/>
      <c r="BC151" s="1525"/>
      <c r="BD151" s="1525"/>
      <c r="BE151" s="1525"/>
      <c r="BF151" s="1525"/>
      <c r="BG151" s="1525"/>
      <c r="BH151" s="1525"/>
      <c r="BI151" s="1525"/>
      <c r="BJ151" s="1525"/>
      <c r="BK151" s="1525"/>
      <c r="BL151" s="1525"/>
      <c r="BM151" s="1525"/>
      <c r="BN151" s="1525"/>
      <c r="BO151" s="1525"/>
      <c r="BP151" s="1525"/>
      <c r="BQ151" s="1525"/>
      <c r="BR151" s="1525"/>
      <c r="BS151" s="1525"/>
      <c r="BT151" s="1670">
        <f t="shared" si="105"/>
        <v>0</v>
      </c>
      <c r="BV151"/>
      <c r="BW151" s="862" t="s">
        <v>1878</v>
      </c>
    </row>
    <row r="152" spans="1:75" s="164" customFormat="1" ht="12.75" customHeight="1" x14ac:dyDescent="0.2">
      <c r="A152" s="1323"/>
      <c r="B152" s="175">
        <f t="shared" si="106"/>
        <v>9</v>
      </c>
      <c r="C152" s="262">
        <v>18</v>
      </c>
      <c r="D152" s="547"/>
      <c r="E152" s="1573" t="s">
        <v>1032</v>
      </c>
      <c r="F152" s="4" t="s">
        <v>584</v>
      </c>
      <c r="G152" s="862" t="s">
        <v>2024</v>
      </c>
      <c r="H152" s="861">
        <v>166124</v>
      </c>
      <c r="I152" s="197" t="s">
        <v>583</v>
      </c>
      <c r="J152" s="174"/>
      <c r="K152" s="836"/>
      <c r="L152" s="861">
        <v>0.5</v>
      </c>
      <c r="M152" s="861">
        <v>0.5</v>
      </c>
      <c r="N152" s="836" t="s">
        <v>892</v>
      </c>
      <c r="O152" s="1196">
        <v>34089</v>
      </c>
      <c r="P152" s="1218">
        <f t="shared" ca="1" si="98"/>
        <v>24.422222222222221</v>
      </c>
      <c r="Q152" s="1153">
        <v>20000</v>
      </c>
      <c r="R152" s="884"/>
      <c r="S152" s="876"/>
      <c r="T152" s="876"/>
      <c r="U152" s="876"/>
      <c r="V152" s="876"/>
      <c r="W152" s="876"/>
      <c r="X152" s="1026">
        <f t="shared" si="99"/>
        <v>10000</v>
      </c>
      <c r="Y152" s="1512">
        <f t="shared" si="100"/>
        <v>0</v>
      </c>
      <c r="Z152" s="1741">
        <f t="shared" si="101"/>
        <v>0.5</v>
      </c>
      <c r="AA152" s="1749">
        <f t="shared" si="108"/>
        <v>0</v>
      </c>
      <c r="AB152" s="1810">
        <f t="shared" si="107"/>
        <v>0</v>
      </c>
      <c r="AC152" s="224"/>
      <c r="AD152" s="1525">
        <f t="shared" si="104"/>
        <v>0</v>
      </c>
      <c r="AE152" s="1525">
        <f t="shared" si="104"/>
        <v>0</v>
      </c>
      <c r="AF152" s="1525">
        <f t="shared" si="104"/>
        <v>0</v>
      </c>
      <c r="AG152" s="1525">
        <f t="shared" si="104"/>
        <v>0</v>
      </c>
      <c r="AH152" s="1525">
        <f t="shared" si="104"/>
        <v>0</v>
      </c>
      <c r="AI152" s="1525">
        <f t="shared" si="104"/>
        <v>0</v>
      </c>
      <c r="AJ152" s="1525">
        <f t="shared" si="104"/>
        <v>0</v>
      </c>
      <c r="AK152" s="1525">
        <f t="shared" si="104"/>
        <v>0</v>
      </c>
      <c r="AL152" s="1525">
        <f t="shared" si="104"/>
        <v>0</v>
      </c>
      <c r="AM152" s="1525">
        <f t="shared" si="104"/>
        <v>0</v>
      </c>
      <c r="AN152" s="1525">
        <f t="shared" si="104"/>
        <v>0</v>
      </c>
      <c r="AO152" s="1525">
        <f t="shared" si="104"/>
        <v>0</v>
      </c>
      <c r="AP152" s="1525">
        <f t="shared" si="104"/>
        <v>0</v>
      </c>
      <c r="AQ152" s="1525">
        <f t="shared" si="104"/>
        <v>0</v>
      </c>
      <c r="AR152" s="1525">
        <f t="shared" si="104"/>
        <v>0</v>
      </c>
      <c r="AS152" s="1525">
        <f t="shared" si="104"/>
        <v>0</v>
      </c>
      <c r="AV152" s="553"/>
      <c r="AX152" s="553"/>
      <c r="BT152" s="1672"/>
    </row>
    <row r="153" spans="1:75" s="164" customFormat="1" ht="12.75" customHeight="1" x14ac:dyDescent="0.2">
      <c r="A153" s="1323"/>
      <c r="B153" s="175">
        <f t="shared" si="106"/>
        <v>10</v>
      </c>
      <c r="C153" s="1100">
        <v>18</v>
      </c>
      <c r="D153" s="422"/>
      <c r="E153" s="1101" t="s">
        <v>1032</v>
      </c>
      <c r="F153" s="4" t="s">
        <v>584</v>
      </c>
      <c r="G153" s="862" t="s">
        <v>1885</v>
      </c>
      <c r="H153" s="1412">
        <v>160051</v>
      </c>
      <c r="I153" s="197" t="s">
        <v>583</v>
      </c>
      <c r="J153" s="174"/>
      <c r="K153" s="836"/>
      <c r="L153" s="861">
        <v>1</v>
      </c>
      <c r="M153" s="861">
        <v>1</v>
      </c>
      <c r="N153" s="836" t="s">
        <v>892</v>
      </c>
      <c r="O153" s="1196">
        <v>32842</v>
      </c>
      <c r="P153" s="1218">
        <f t="shared" ca="1" si="98"/>
        <v>27.838888888888889</v>
      </c>
      <c r="Q153" s="1153">
        <v>23000</v>
      </c>
      <c r="R153" s="884"/>
      <c r="S153" s="876"/>
      <c r="T153" s="876"/>
      <c r="U153" s="876"/>
      <c r="V153" s="876"/>
      <c r="W153" s="876"/>
      <c r="X153" s="1026">
        <f t="shared" si="99"/>
        <v>23000</v>
      </c>
      <c r="Y153" s="1512">
        <f t="shared" si="100"/>
        <v>0</v>
      </c>
      <c r="Z153" s="1741">
        <f t="shared" si="101"/>
        <v>1</v>
      </c>
      <c r="AA153" s="1749">
        <f t="shared" si="108"/>
        <v>0</v>
      </c>
      <c r="AB153" s="1810">
        <f t="shared" ref="AB153" si="109">100*AA153/Z153</f>
        <v>0</v>
      </c>
      <c r="AC153" s="876"/>
      <c r="AD153" s="1525">
        <f t="shared" ref="AD153:AS153" si="110">SUMIF($AV$6:$BS$6,AD$5,$AV153:$BS153)</f>
        <v>0</v>
      </c>
      <c r="AE153" s="1525">
        <f t="shared" si="110"/>
        <v>0</v>
      </c>
      <c r="AF153" s="1525">
        <f t="shared" si="110"/>
        <v>0</v>
      </c>
      <c r="AG153" s="1525">
        <f t="shared" si="110"/>
        <v>0</v>
      </c>
      <c r="AH153" s="1525">
        <f t="shared" si="110"/>
        <v>0</v>
      </c>
      <c r="AI153" s="1525">
        <f t="shared" si="110"/>
        <v>0</v>
      </c>
      <c r="AJ153" s="1525">
        <f t="shared" si="110"/>
        <v>0</v>
      </c>
      <c r="AK153" s="1525">
        <f t="shared" si="110"/>
        <v>0</v>
      </c>
      <c r="AL153" s="1525">
        <f t="shared" si="110"/>
        <v>0</v>
      </c>
      <c r="AM153" s="1525">
        <f t="shared" si="110"/>
        <v>0</v>
      </c>
      <c r="AN153" s="1525">
        <f t="shared" si="110"/>
        <v>0</v>
      </c>
      <c r="AO153" s="1525">
        <f t="shared" si="110"/>
        <v>0</v>
      </c>
      <c r="AP153" s="1525">
        <f t="shared" si="110"/>
        <v>0</v>
      </c>
      <c r="AQ153" s="1525">
        <f t="shared" si="110"/>
        <v>0</v>
      </c>
      <c r="AR153" s="1525">
        <f t="shared" si="110"/>
        <v>0</v>
      </c>
      <c r="AS153" s="1525">
        <f t="shared" si="110"/>
        <v>0</v>
      </c>
      <c r="AU153" s="1525"/>
      <c r="AV153" s="1295"/>
      <c r="AW153" s="1525"/>
      <c r="AX153" s="1525"/>
      <c r="AY153" s="1525"/>
      <c r="AZ153" s="1525"/>
      <c r="BA153" s="1525"/>
      <c r="BB153" s="1525"/>
      <c r="BC153" s="1525"/>
      <c r="BD153" s="1525"/>
      <c r="BE153" s="1525"/>
      <c r="BF153" s="1525"/>
      <c r="BG153" s="1525"/>
      <c r="BH153" s="1525"/>
      <c r="BI153" s="1525"/>
      <c r="BJ153" s="1525"/>
      <c r="BK153" s="1525"/>
      <c r="BL153" s="1525"/>
      <c r="BM153" s="1525"/>
      <c r="BN153" s="1525"/>
      <c r="BO153" s="1525"/>
      <c r="BP153" s="1525"/>
      <c r="BQ153" s="1525"/>
      <c r="BR153" s="1525"/>
      <c r="BS153" s="1525"/>
      <c r="BT153" s="1670">
        <f t="shared" si="105"/>
        <v>0</v>
      </c>
      <c r="BV153"/>
      <c r="BW153" s="862" t="s">
        <v>1885</v>
      </c>
    </row>
    <row r="154" spans="1:75" s="164" customFormat="1" ht="12.75" customHeight="1" x14ac:dyDescent="0.2">
      <c r="B154" s="175"/>
      <c r="C154" s="219" t="s">
        <v>1120</v>
      </c>
      <c r="D154" s="422"/>
      <c r="E154" s="803"/>
      <c r="F154" s="4" t="s">
        <v>1969</v>
      </c>
      <c r="G154" s="862"/>
      <c r="H154" s="1356" t="s">
        <v>1508</v>
      </c>
      <c r="I154" s="825"/>
      <c r="J154" s="174"/>
      <c r="K154" s="1133">
        <f>SUM(K144:K153)</f>
        <v>0</v>
      </c>
      <c r="L154" s="1133">
        <f>SUM(L144:L153)</f>
        <v>9.5</v>
      </c>
      <c r="M154" s="1133">
        <f>SUM(M144:M153)</f>
        <v>9.5</v>
      </c>
      <c r="N154" s="836"/>
      <c r="O154" s="1196" t="s">
        <v>1508</v>
      </c>
      <c r="P154" s="550"/>
      <c r="Q154" s="1153"/>
      <c r="R154" s="884"/>
      <c r="S154" s="876"/>
      <c r="T154" s="876"/>
      <c r="U154" s="876"/>
      <c r="V154" s="876"/>
      <c r="W154" s="876"/>
      <c r="X154" s="1026"/>
      <c r="Y154" s="876"/>
      <c r="Z154" s="1335"/>
      <c r="AA154" s="1775"/>
      <c r="AB154" s="1814"/>
      <c r="AC154" s="876"/>
      <c r="AD154" s="1295"/>
      <c r="AE154" s="1525"/>
      <c r="AF154" s="1525"/>
      <c r="AG154" s="1525"/>
      <c r="AH154" s="1525"/>
      <c r="AI154" s="1525"/>
      <c r="AJ154" s="1525"/>
      <c r="AK154" s="1525"/>
      <c r="AL154" s="1525"/>
      <c r="AM154" s="1525"/>
      <c r="AN154" s="1525"/>
      <c r="AO154" s="1525"/>
      <c r="AP154" s="1525"/>
      <c r="AQ154" s="1525"/>
      <c r="AR154" s="1525"/>
      <c r="AS154" s="1525"/>
      <c r="AU154" s="1525"/>
      <c r="AV154" s="1295"/>
      <c r="AW154" s="1525"/>
      <c r="AX154" s="1525"/>
      <c r="AY154" s="1525"/>
      <c r="AZ154" s="1525"/>
      <c r="BA154" s="1525"/>
      <c r="BB154" s="1525"/>
      <c r="BC154" s="1525"/>
      <c r="BD154" s="1525"/>
      <c r="BE154" s="1525"/>
      <c r="BF154" s="1525"/>
      <c r="BG154" s="1525"/>
      <c r="BH154" s="1525"/>
      <c r="BI154" s="1525"/>
      <c r="BJ154" s="1525"/>
      <c r="BK154" s="1525"/>
      <c r="BL154" s="1525"/>
      <c r="BM154" s="1525"/>
      <c r="BN154" s="1525"/>
      <c r="BO154" s="1525"/>
      <c r="BP154" s="1525"/>
      <c r="BQ154" s="1525"/>
      <c r="BR154" s="1525"/>
      <c r="BS154" s="1525"/>
      <c r="BT154" s="1670"/>
      <c r="BV154"/>
      <c r="BW154" s="862"/>
    </row>
    <row r="155" spans="1:75" s="164" customFormat="1" ht="12.75" customHeight="1" x14ac:dyDescent="0.2">
      <c r="B155" s="175"/>
      <c r="C155" s="422"/>
      <c r="D155" s="422"/>
      <c r="E155" s="803"/>
      <c r="F155" s="476"/>
      <c r="G155" s="862"/>
      <c r="H155" s="1347" t="s">
        <v>1508</v>
      </c>
      <c r="I155" s="825"/>
      <c r="J155" s="174"/>
      <c r="K155" s="836"/>
      <c r="L155" s="861"/>
      <c r="M155" s="861"/>
      <c r="N155" s="836"/>
      <c r="O155" s="1196" t="s">
        <v>1508</v>
      </c>
      <c r="P155" s="550"/>
      <c r="Q155" s="1153"/>
      <c r="R155" s="884"/>
      <c r="S155" s="876"/>
      <c r="T155" s="876"/>
      <c r="U155" s="876"/>
      <c r="V155" s="876"/>
      <c r="W155" s="876"/>
      <c r="X155" s="1026"/>
      <c r="Y155" s="1757"/>
      <c r="Z155" s="1755"/>
      <c r="AA155" s="1775"/>
      <c r="AB155" s="1814"/>
      <c r="AC155" s="876"/>
      <c r="AD155" s="1295"/>
      <c r="AE155" s="1525"/>
      <c r="AF155" s="1525"/>
      <c r="AG155" s="1525"/>
      <c r="AH155" s="1525"/>
      <c r="AI155" s="1525"/>
      <c r="AJ155" s="1525"/>
      <c r="AK155" s="1525"/>
      <c r="AL155" s="1525"/>
      <c r="AM155" s="1525"/>
      <c r="AN155" s="1525"/>
      <c r="AO155" s="1525"/>
      <c r="AP155" s="1525"/>
      <c r="AQ155" s="1525"/>
      <c r="AR155" s="1525"/>
      <c r="AS155" s="1525"/>
      <c r="AU155" s="1525"/>
      <c r="AV155" s="1295"/>
      <c r="AW155" s="1525"/>
      <c r="AX155" s="1525"/>
      <c r="AY155" s="1525"/>
      <c r="AZ155" s="1525"/>
      <c r="BA155" s="1525"/>
      <c r="BB155" s="1525"/>
      <c r="BC155" s="1525"/>
      <c r="BD155" s="1525"/>
      <c r="BE155" s="1525"/>
      <c r="BF155" s="1525"/>
      <c r="BG155" s="1525"/>
      <c r="BH155" s="1525"/>
      <c r="BI155" s="1525"/>
      <c r="BJ155" s="1525"/>
      <c r="BK155" s="1525"/>
      <c r="BL155" s="1525"/>
      <c r="BM155" s="1525"/>
      <c r="BN155" s="1525"/>
      <c r="BO155" s="1525"/>
      <c r="BP155" s="1525"/>
      <c r="BQ155" s="1525"/>
      <c r="BR155" s="1525"/>
      <c r="BS155" s="1525"/>
      <c r="BT155" s="1670"/>
      <c r="BV155"/>
      <c r="BW155" s="862"/>
    </row>
    <row r="156" spans="1:75" s="164" customFormat="1" ht="12.75" customHeight="1" x14ac:dyDescent="0.2">
      <c r="B156" s="175"/>
      <c r="C156" s="707" t="s">
        <v>344</v>
      </c>
      <c r="D156" s="422"/>
      <c r="E156" s="803"/>
      <c r="F156" s="1104" t="s">
        <v>1033</v>
      </c>
      <c r="G156" s="1858">
        <f>COUNTA(G64:G155)</f>
        <v>63</v>
      </c>
      <c r="H156" s="1357" t="s">
        <v>1508</v>
      </c>
      <c r="I156" s="825"/>
      <c r="J156" s="174"/>
      <c r="K156" s="1859">
        <f>K124+K125</f>
        <v>2</v>
      </c>
      <c r="L156" s="1005">
        <f>L69+L81+L105+L121+L140+L154+L89</f>
        <v>59.5</v>
      </c>
      <c r="M156" s="1005">
        <f>M69+M81+M105+M121+M140+K156+M154+M89</f>
        <v>61.5</v>
      </c>
      <c r="N156" s="836"/>
      <c r="O156" s="1192"/>
      <c r="P156" s="550"/>
      <c r="Q156" s="1152"/>
      <c r="R156" s="883"/>
      <c r="S156" s="879"/>
      <c r="T156" s="879"/>
      <c r="U156" s="879"/>
      <c r="V156" s="879"/>
      <c r="W156" s="879"/>
      <c r="X156" s="1277">
        <f>SUM(X64:X153)</f>
        <v>2112208</v>
      </c>
      <c r="Y156" s="1277"/>
      <c r="Z156" s="1797">
        <f t="shared" ref="Z156:AA156" si="111">SUM(Z64:Z153)</f>
        <v>68.797942490313432</v>
      </c>
      <c r="AA156" s="1793">
        <f t="shared" si="111"/>
        <v>0</v>
      </c>
      <c r="AB156" s="1813">
        <f t="shared" ref="AB156" si="112">100*AA156/Z156</f>
        <v>0</v>
      </c>
      <c r="AC156" s="1781"/>
      <c r="AD156" s="1295"/>
      <c r="AE156" s="1525"/>
      <c r="AF156" s="1525"/>
      <c r="AG156" s="1525"/>
      <c r="AH156" s="1525"/>
      <c r="AI156" s="1525"/>
      <c r="AJ156" s="1525"/>
      <c r="AK156" s="1525"/>
      <c r="AL156" s="1525"/>
      <c r="AM156" s="1525"/>
      <c r="AN156" s="1525"/>
      <c r="AO156" s="1525"/>
      <c r="AP156" s="1525"/>
      <c r="AQ156" s="1525"/>
      <c r="AR156" s="1525"/>
      <c r="AS156" s="1525"/>
      <c r="AU156" s="1525"/>
      <c r="AV156" s="1295"/>
      <c r="AW156" s="1525"/>
      <c r="AX156" s="1525"/>
      <c r="AY156" s="1525"/>
      <c r="AZ156" s="1525"/>
      <c r="BA156" s="1525"/>
      <c r="BB156" s="1525"/>
      <c r="BC156" s="1525"/>
      <c r="BD156" s="1525"/>
      <c r="BE156" s="1525"/>
      <c r="BF156" s="1525"/>
      <c r="BG156" s="1525"/>
      <c r="BH156" s="1525"/>
      <c r="BI156" s="1525"/>
      <c r="BJ156" s="1525"/>
      <c r="BK156" s="1525"/>
      <c r="BL156" s="1525"/>
      <c r="BM156" s="1525"/>
      <c r="BN156" s="1525"/>
      <c r="BO156" s="1525"/>
      <c r="BP156" s="1525"/>
      <c r="BQ156" s="1525"/>
      <c r="BR156" s="1525"/>
      <c r="BS156" s="1525"/>
      <c r="BT156" s="1670"/>
      <c r="BV156"/>
      <c r="BW156" s="862"/>
    </row>
    <row r="157" spans="1:75" s="164" customFormat="1" ht="12.75" customHeight="1" x14ac:dyDescent="0.2">
      <c r="B157" s="175"/>
      <c r="C157" s="733" t="s">
        <v>136</v>
      </c>
      <c r="D157" s="422"/>
      <c r="E157" s="803"/>
      <c r="F157" s="1098" t="s">
        <v>893</v>
      </c>
      <c r="G157" s="862"/>
      <c r="H157" s="1346" t="s">
        <v>1508</v>
      </c>
      <c r="I157" s="825"/>
      <c r="J157" s="174"/>
      <c r="K157" s="836"/>
      <c r="L157" s="861"/>
      <c r="M157" s="858"/>
      <c r="N157" s="836"/>
      <c r="O157" s="1192"/>
      <c r="P157" s="550"/>
      <c r="Q157" s="1157"/>
      <c r="R157" s="1105"/>
      <c r="S157" s="1077"/>
      <c r="T157" s="1077"/>
      <c r="U157" s="1077"/>
      <c r="V157" s="1077"/>
      <c r="W157" s="1077"/>
      <c r="X157" s="1696">
        <v>34683</v>
      </c>
      <c r="Y157" s="1513"/>
      <c r="Z157" s="1741"/>
      <c r="AA157" s="1775"/>
      <c r="AB157" s="1812"/>
      <c r="AC157" s="876"/>
      <c r="AD157" s="1295"/>
      <c r="AE157" s="1525"/>
      <c r="AF157" s="1525"/>
      <c r="AG157" s="1525"/>
      <c r="AH157" s="1525"/>
      <c r="AI157" s="1525"/>
      <c r="AJ157" s="1525"/>
      <c r="AK157" s="1525"/>
      <c r="AL157" s="1525"/>
      <c r="AM157" s="1525"/>
      <c r="AN157" s="1525"/>
      <c r="AO157" s="1525"/>
      <c r="AP157" s="1525"/>
      <c r="AQ157" s="1525"/>
      <c r="AR157" s="1525"/>
      <c r="AS157" s="1525"/>
      <c r="AU157" s="1525"/>
      <c r="AV157" s="1295"/>
      <c r="AW157" s="1525"/>
      <c r="AX157" s="1525"/>
      <c r="AY157" s="1525"/>
      <c r="AZ157" s="1525"/>
      <c r="BA157" s="1525"/>
      <c r="BB157" s="1525"/>
      <c r="BC157" s="1525"/>
      <c r="BD157" s="1525"/>
      <c r="BE157" s="1525"/>
      <c r="BF157" s="1525"/>
      <c r="BG157" s="1525"/>
      <c r="BH157" s="1525"/>
      <c r="BI157" s="1525"/>
      <c r="BJ157" s="1525"/>
      <c r="BK157" s="1525"/>
      <c r="BL157" s="1525"/>
      <c r="BM157" s="1525"/>
      <c r="BN157" s="1525"/>
      <c r="BO157" s="1525"/>
      <c r="BP157" s="1525"/>
      <c r="BQ157" s="1525"/>
      <c r="BR157" s="1525"/>
      <c r="BS157" s="1525"/>
      <c r="BT157" s="1670"/>
      <c r="BV157"/>
      <c r="BW157" s="862"/>
    </row>
    <row r="158" spans="1:75" s="164" customFormat="1" ht="12.75" customHeight="1" x14ac:dyDescent="0.2">
      <c r="B158" s="175"/>
      <c r="C158" s="422"/>
      <c r="D158" s="422"/>
      <c r="E158" s="803"/>
      <c r="F158" s="1107"/>
      <c r="G158" s="862"/>
      <c r="H158" s="1346" t="s">
        <v>1508</v>
      </c>
      <c r="I158" s="825"/>
      <c r="J158" s="174"/>
      <c r="K158" s="836"/>
      <c r="L158" s="861"/>
      <c r="M158" s="858"/>
      <c r="N158" s="836"/>
      <c r="O158" s="1192"/>
      <c r="P158" s="550"/>
      <c r="Q158" s="1153"/>
      <c r="R158" s="884"/>
      <c r="S158" s="876"/>
      <c r="T158" s="876"/>
      <c r="U158" s="876"/>
      <c r="V158" s="876"/>
      <c r="W158" s="876"/>
      <c r="X158" s="1026"/>
      <c r="Y158" s="1513"/>
      <c r="Z158" s="1741"/>
      <c r="AA158" s="1775"/>
      <c r="AB158" s="1812"/>
      <c r="AC158" s="876"/>
      <c r="AD158" s="1295"/>
      <c r="AE158" s="1525"/>
      <c r="AF158" s="1525"/>
      <c r="AG158" s="1525"/>
      <c r="AH158" s="1525"/>
      <c r="AI158" s="1525"/>
      <c r="AJ158" s="1525"/>
      <c r="AK158" s="1525"/>
      <c r="AL158" s="1525"/>
      <c r="AM158" s="1525"/>
      <c r="AN158" s="1525"/>
      <c r="AO158" s="1525"/>
      <c r="AP158" s="1525"/>
      <c r="AQ158" s="1525"/>
      <c r="AR158" s="1525"/>
      <c r="AS158" s="1525"/>
      <c r="AU158" s="1525"/>
      <c r="AV158" s="1295"/>
      <c r="AW158" s="1525"/>
      <c r="AX158" s="1525"/>
      <c r="AY158" s="1525"/>
      <c r="AZ158" s="1525"/>
      <c r="BA158" s="1525"/>
      <c r="BB158" s="1525"/>
      <c r="BC158" s="1525"/>
      <c r="BD158" s="1525"/>
      <c r="BE158" s="1525"/>
      <c r="BF158" s="1525"/>
      <c r="BG158" s="1525"/>
      <c r="BH158" s="1525"/>
      <c r="BI158" s="1525"/>
      <c r="BJ158" s="1525"/>
      <c r="BK158" s="1525"/>
      <c r="BL158" s="1525"/>
      <c r="BM158" s="1525"/>
      <c r="BN158" s="1525"/>
      <c r="BO158" s="1525"/>
      <c r="BP158" s="1525"/>
      <c r="BQ158" s="1525"/>
      <c r="BR158" s="1525"/>
      <c r="BS158" s="1525"/>
      <c r="BT158" s="1670"/>
      <c r="BV158"/>
      <c r="BW158" s="862"/>
    </row>
    <row r="159" spans="1:75" s="164" customFormat="1" ht="12.75" customHeight="1" x14ac:dyDescent="0.2">
      <c r="B159" s="175"/>
      <c r="E159" s="799"/>
      <c r="F159" s="1844" t="s">
        <v>628</v>
      </c>
      <c r="G159" s="1843"/>
      <c r="H159" s="1843"/>
      <c r="I159" s="1900"/>
      <c r="J159" s="1901"/>
      <c r="K159" s="1901"/>
      <c r="L159" s="1900"/>
      <c r="M159" s="1901"/>
      <c r="N159" s="1901"/>
      <c r="O159" s="1192"/>
      <c r="P159" s="550"/>
      <c r="Q159" s="1151"/>
      <c r="R159" s="876"/>
      <c r="S159" s="876"/>
      <c r="T159" s="876"/>
      <c r="U159" s="876"/>
      <c r="V159" s="876"/>
      <c r="W159" s="876"/>
      <c r="X159" s="1026"/>
      <c r="Y159" s="1513"/>
      <c r="Z159" s="1741"/>
      <c r="AA159" s="1775"/>
      <c r="AB159" s="1812"/>
      <c r="AC159" s="1026"/>
      <c r="AD159" s="1295"/>
      <c r="AE159" s="1525"/>
      <c r="AF159" s="1525"/>
      <c r="AG159" s="1525"/>
      <c r="AH159" s="1525"/>
      <c r="AI159" s="1525"/>
      <c r="AJ159" s="1525"/>
      <c r="AK159" s="1525"/>
      <c r="AL159" s="1525"/>
      <c r="AM159" s="1525"/>
      <c r="AN159" s="1525"/>
      <c r="AO159" s="1525"/>
      <c r="AP159" s="1525"/>
      <c r="AQ159" s="1525"/>
      <c r="AR159" s="1525"/>
      <c r="AS159" s="1525"/>
      <c r="AU159" s="1525"/>
      <c r="AV159" s="1295"/>
      <c r="AW159" s="1525"/>
      <c r="AX159" s="1525"/>
      <c r="AY159" s="1525"/>
      <c r="AZ159" s="1525"/>
      <c r="BA159" s="1525"/>
      <c r="BB159" s="1525"/>
      <c r="BC159" s="1525"/>
      <c r="BD159" s="1525"/>
      <c r="BE159" s="1525"/>
      <c r="BF159" s="1525"/>
      <c r="BG159" s="1525"/>
      <c r="BH159" s="1525"/>
      <c r="BI159" s="1525"/>
      <c r="BJ159" s="1525"/>
      <c r="BK159" s="1525"/>
      <c r="BL159" s="1525"/>
      <c r="BM159" s="1525"/>
      <c r="BN159" s="1525"/>
      <c r="BO159" s="1525"/>
      <c r="BP159" s="1525"/>
      <c r="BQ159" s="1525"/>
      <c r="BR159" s="1525"/>
      <c r="BS159" s="1525"/>
      <c r="BT159" s="1670"/>
      <c r="BV159"/>
    </row>
    <row r="160" spans="1:75" s="164" customFormat="1" ht="12.75" customHeight="1" x14ac:dyDescent="0.2">
      <c r="B160" s="175"/>
      <c r="E160" s="799"/>
      <c r="F160" s="1307" t="s">
        <v>562</v>
      </c>
      <c r="G160" s="913"/>
      <c r="H160" s="1358" t="s">
        <v>1508</v>
      </c>
      <c r="I160" s="834"/>
      <c r="J160" s="173"/>
      <c r="K160" s="832"/>
      <c r="L160" s="893"/>
      <c r="M160" s="893"/>
      <c r="N160" s="832"/>
      <c r="O160" s="1192"/>
      <c r="P160" s="550"/>
      <c r="Q160" s="1151"/>
      <c r="R160" s="876"/>
      <c r="S160" s="876"/>
      <c r="T160" s="876"/>
      <c r="U160" s="876"/>
      <c r="V160" s="876"/>
      <c r="W160" s="876"/>
      <c r="X160" s="1026"/>
      <c r="Y160" s="1513"/>
      <c r="Z160" s="1741"/>
      <c r="AA160" s="1775"/>
      <c r="AB160" s="1812"/>
      <c r="AC160" s="876"/>
      <c r="AD160" s="1295"/>
      <c r="AE160" s="1525"/>
      <c r="AF160" s="1525"/>
      <c r="AG160" s="1525"/>
      <c r="AH160" s="1525"/>
      <c r="AI160" s="1525"/>
      <c r="AJ160" s="1525"/>
      <c r="AK160" s="1525"/>
      <c r="AL160" s="1525"/>
      <c r="AM160" s="1525"/>
      <c r="AN160" s="1525"/>
      <c r="AO160" s="1525"/>
      <c r="AP160" s="1525"/>
      <c r="AQ160" s="1525"/>
      <c r="AR160" s="1525"/>
      <c r="AS160" s="1525"/>
      <c r="AU160" s="1525"/>
      <c r="AV160" s="1295"/>
      <c r="AW160" s="1525"/>
      <c r="AX160" s="1525"/>
      <c r="AY160" s="1525"/>
      <c r="AZ160" s="1525"/>
      <c r="BA160" s="1525"/>
      <c r="BB160" s="1525"/>
      <c r="BC160" s="1525"/>
      <c r="BD160" s="1525"/>
      <c r="BE160" s="1525"/>
      <c r="BF160" s="1525"/>
      <c r="BG160" s="1525"/>
      <c r="BH160" s="1525"/>
      <c r="BI160" s="1525"/>
      <c r="BJ160" s="1525"/>
      <c r="BK160" s="1525"/>
      <c r="BL160" s="1525"/>
      <c r="BM160" s="1525"/>
      <c r="BN160" s="1525"/>
      <c r="BO160" s="1525"/>
      <c r="BP160" s="1525"/>
      <c r="BQ160" s="1525"/>
      <c r="BR160" s="1525"/>
      <c r="BS160" s="1525"/>
      <c r="BT160" s="1670"/>
      <c r="BV160"/>
      <c r="BW160" s="913"/>
    </row>
    <row r="161" spans="1:75" s="65" customFormat="1" ht="12.75" customHeight="1" x14ac:dyDescent="0.2">
      <c r="A161" s="164"/>
      <c r="B161" s="175">
        <f>B160+1</f>
        <v>1</v>
      </c>
      <c r="C161" s="636">
        <v>4</v>
      </c>
      <c r="D161" s="636"/>
      <c r="E161" s="807" t="s">
        <v>284</v>
      </c>
      <c r="F161" s="829" t="s">
        <v>629</v>
      </c>
      <c r="G161" s="830" t="s">
        <v>1920</v>
      </c>
      <c r="H161" s="873">
        <v>3139</v>
      </c>
      <c r="I161" s="830" t="s">
        <v>351</v>
      </c>
      <c r="J161" s="601"/>
      <c r="K161" s="872"/>
      <c r="L161" s="873">
        <v>1</v>
      </c>
      <c r="M161" s="873">
        <f>K161+L161</f>
        <v>1</v>
      </c>
      <c r="N161" s="872" t="s">
        <v>892</v>
      </c>
      <c r="O161" s="1196">
        <v>16777</v>
      </c>
      <c r="P161" s="1218">
        <f ca="1">YEARFRAC(TODAY(),O161)</f>
        <v>71.822222222222223</v>
      </c>
      <c r="Q161" s="1071">
        <v>56850</v>
      </c>
      <c r="R161" s="890"/>
      <c r="S161" s="891">
        <v>3000</v>
      </c>
      <c r="T161" s="890">
        <v>5400</v>
      </c>
      <c r="U161" s="890"/>
      <c r="V161" s="890"/>
      <c r="W161" s="891"/>
      <c r="X161" s="1026">
        <f>(Q161+R161+S161+T161+U161+V161+W161)*M161</f>
        <v>65250</v>
      </c>
      <c r="Y161" s="1512">
        <f>(T161+U161)*M161/(X161-M161*(T161+U161))</f>
        <v>9.0225563909774431E-2</v>
      </c>
      <c r="Z161" s="1741">
        <f>M161*(1+Y161)</f>
        <v>1.0902255639097744</v>
      </c>
      <c r="AA161" s="1749">
        <f t="shared" si="108"/>
        <v>1.1000000000000001</v>
      </c>
      <c r="AB161" s="1810">
        <f t="shared" ref="AB161" si="113">100*AA161/Z161</f>
        <v>100.89655172413795</v>
      </c>
      <c r="AC161" s="876"/>
      <c r="AD161" s="1525">
        <f t="shared" ref="AD161:AS161" si="114">SUMIF($AV$6:$BS$6,AD$5,$AV161:$BS161)</f>
        <v>0</v>
      </c>
      <c r="AE161" s="1525">
        <f t="shared" si="114"/>
        <v>0</v>
      </c>
      <c r="AF161" s="1525">
        <f t="shared" si="114"/>
        <v>0</v>
      </c>
      <c r="AG161" s="1525">
        <f t="shared" si="114"/>
        <v>0</v>
      </c>
      <c r="AH161" s="1525">
        <f t="shared" si="114"/>
        <v>0</v>
      </c>
      <c r="AI161" s="1525">
        <f t="shared" si="114"/>
        <v>0</v>
      </c>
      <c r="AJ161" s="1525">
        <f t="shared" si="114"/>
        <v>0</v>
      </c>
      <c r="AK161" s="1525">
        <f t="shared" si="114"/>
        <v>0</v>
      </c>
      <c r="AL161" s="1525">
        <f t="shared" si="114"/>
        <v>0</v>
      </c>
      <c r="AM161" s="1525">
        <f t="shared" si="114"/>
        <v>0</v>
      </c>
      <c r="AN161" s="1525">
        <f t="shared" si="114"/>
        <v>0</v>
      </c>
      <c r="AO161" s="1525">
        <f t="shared" si="114"/>
        <v>0</v>
      </c>
      <c r="AP161" s="1525">
        <f t="shared" si="114"/>
        <v>0</v>
      </c>
      <c r="AQ161" s="1525">
        <f t="shared" si="114"/>
        <v>0</v>
      </c>
      <c r="AR161" s="1525">
        <f t="shared" si="114"/>
        <v>0.2</v>
      </c>
      <c r="AS161" s="1525">
        <f t="shared" si="114"/>
        <v>0.9</v>
      </c>
      <c r="AU161" s="1525"/>
      <c r="AV161" s="1529"/>
      <c r="AW161" s="1530"/>
      <c r="AX161" s="1530"/>
      <c r="AY161" s="1530"/>
      <c r="AZ161" s="1530"/>
      <c r="BA161" s="1530"/>
      <c r="BB161" s="1530"/>
      <c r="BC161" s="1530"/>
      <c r="BD161" s="1530"/>
      <c r="BE161" s="1530"/>
      <c r="BF161" s="1530"/>
      <c r="BG161" s="1530"/>
      <c r="BH161" s="1530"/>
      <c r="BI161" s="1530"/>
      <c r="BJ161" s="1530"/>
      <c r="BK161" s="1530"/>
      <c r="BL161" s="1530">
        <v>0.2</v>
      </c>
      <c r="BM161" s="1530"/>
      <c r="BN161" s="1530"/>
      <c r="BO161" s="1530"/>
      <c r="BP161" s="1758">
        <v>0.9</v>
      </c>
      <c r="BQ161" s="1530"/>
      <c r="BR161" s="1530"/>
      <c r="BS161" s="1530"/>
      <c r="BT161" s="1670">
        <f>SUM(AV161:BS161)</f>
        <v>1.1000000000000001</v>
      </c>
      <c r="BV161"/>
      <c r="BW161" s="830" t="s">
        <v>1920</v>
      </c>
    </row>
    <row r="162" spans="1:75" s="164" customFormat="1" ht="12.75" customHeight="1" x14ac:dyDescent="0.2">
      <c r="B162" s="175"/>
      <c r="C162" s="219" t="s">
        <v>1120</v>
      </c>
      <c r="E162" s="799"/>
      <c r="F162" s="824" t="s">
        <v>379</v>
      </c>
      <c r="G162" s="825"/>
      <c r="H162" s="1347" t="s">
        <v>1508</v>
      </c>
      <c r="I162" s="825"/>
      <c r="J162" s="174"/>
      <c r="K162" s="836">
        <f>K164</f>
        <v>0</v>
      </c>
      <c r="L162" s="1133">
        <f>SUM(L161)</f>
        <v>1</v>
      </c>
      <c r="M162" s="1133">
        <f>L162</f>
        <v>1</v>
      </c>
      <c r="N162" s="857"/>
      <c r="O162" s="1192"/>
      <c r="P162" s="550"/>
      <c r="Q162" s="1153"/>
      <c r="R162" s="877"/>
      <c r="S162" s="875"/>
      <c r="T162" s="875"/>
      <c r="U162" s="875"/>
      <c r="V162" s="875"/>
      <c r="W162" s="875"/>
      <c r="X162" s="1026"/>
      <c r="Y162" s="1335"/>
      <c r="Z162" s="1335"/>
      <c r="AA162" s="1775"/>
      <c r="AB162" s="1814"/>
      <c r="AC162" s="876"/>
      <c r="AD162" s="1295"/>
      <c r="AE162" s="1525"/>
      <c r="AF162" s="1525"/>
      <c r="AG162" s="1525"/>
      <c r="AH162" s="1525"/>
      <c r="AI162" s="1525"/>
      <c r="AJ162" s="1525"/>
      <c r="AK162" s="1525"/>
      <c r="AL162" s="1525"/>
      <c r="AM162" s="1525"/>
      <c r="AN162" s="1525"/>
      <c r="AO162" s="1525"/>
      <c r="AP162" s="1525"/>
      <c r="AQ162" s="1525"/>
      <c r="AR162" s="1525"/>
      <c r="AS162" s="1525"/>
      <c r="AU162" s="1525"/>
      <c r="AV162" s="1295"/>
      <c r="AW162" s="1525"/>
      <c r="AX162" s="1525"/>
      <c r="AY162" s="1525"/>
      <c r="AZ162" s="1525"/>
      <c r="BA162" s="1525"/>
      <c r="BB162" s="1525"/>
      <c r="BC162" s="1525"/>
      <c r="BD162" s="1525"/>
      <c r="BE162" s="1525"/>
      <c r="BF162" s="1525"/>
      <c r="BG162" s="1525"/>
      <c r="BH162" s="1525"/>
      <c r="BI162" s="1525"/>
      <c r="BJ162" s="1525"/>
      <c r="BK162" s="1525"/>
      <c r="BL162" s="1525"/>
      <c r="BM162" s="1525"/>
      <c r="BN162" s="1525"/>
      <c r="BO162" s="1525"/>
      <c r="BP162" s="1525"/>
      <c r="BQ162" s="1525"/>
      <c r="BR162" s="1525"/>
      <c r="BS162" s="1525"/>
      <c r="BT162" s="1670"/>
      <c r="BV162"/>
      <c r="BW162" s="825"/>
    </row>
    <row r="163" spans="1:75" s="164" customFormat="1" ht="12.75" customHeight="1" x14ac:dyDescent="0.2">
      <c r="B163" s="175"/>
      <c r="E163" s="799"/>
      <c r="F163" s="824"/>
      <c r="G163" s="825"/>
      <c r="H163" s="1347" t="s">
        <v>1508</v>
      </c>
      <c r="I163" s="825"/>
      <c r="J163" s="174"/>
      <c r="K163" s="836"/>
      <c r="L163" s="861"/>
      <c r="M163" s="861"/>
      <c r="N163" s="857"/>
      <c r="O163" s="1192"/>
      <c r="P163" s="550"/>
      <c r="Q163" s="1153"/>
      <c r="R163" s="877"/>
      <c r="S163" s="875"/>
      <c r="T163" s="875"/>
      <c r="U163" s="875"/>
      <c r="V163" s="875"/>
      <c r="W163" s="875"/>
      <c r="X163" s="1026"/>
      <c r="Y163" s="1754"/>
      <c r="Z163" s="1755"/>
      <c r="AA163" s="1775"/>
      <c r="AB163" s="1814"/>
      <c r="AC163" s="876"/>
      <c r="AD163" s="1295"/>
      <c r="AE163" s="1525"/>
      <c r="AF163" s="1525"/>
      <c r="AG163" s="1525"/>
      <c r="AH163" s="1525"/>
      <c r="AI163" s="1525"/>
      <c r="AJ163" s="1525"/>
      <c r="AK163" s="1525"/>
      <c r="AL163" s="1525"/>
      <c r="AM163" s="1525"/>
      <c r="AN163" s="1525"/>
      <c r="AO163" s="1525"/>
      <c r="AP163" s="1525"/>
      <c r="AQ163" s="1525"/>
      <c r="AR163" s="1525"/>
      <c r="AS163" s="1525"/>
      <c r="AU163" s="1525"/>
      <c r="AV163" s="1295"/>
      <c r="AW163" s="1525"/>
      <c r="AX163" s="1525"/>
      <c r="AY163" s="1525"/>
      <c r="AZ163" s="1525"/>
      <c r="BA163" s="1525"/>
      <c r="BB163" s="1525"/>
      <c r="BC163" s="1525"/>
      <c r="BD163" s="1525"/>
      <c r="BE163" s="1525"/>
      <c r="BF163" s="1525"/>
      <c r="BG163" s="1525"/>
      <c r="BH163" s="1525"/>
      <c r="BI163" s="1525"/>
      <c r="BJ163" s="1525"/>
      <c r="BK163" s="1525"/>
      <c r="BL163" s="1525"/>
      <c r="BM163" s="1525"/>
      <c r="BN163" s="1525"/>
      <c r="BO163" s="1525"/>
      <c r="BP163" s="1525"/>
      <c r="BQ163" s="1525"/>
      <c r="BR163" s="1525"/>
      <c r="BS163" s="1525"/>
      <c r="BT163" s="1670"/>
      <c r="BV163"/>
      <c r="BW163" s="825"/>
    </row>
    <row r="164" spans="1:75" s="164" customFormat="1" ht="12.75" customHeight="1" x14ac:dyDescent="0.2">
      <c r="B164" s="175"/>
      <c r="E164" s="799"/>
      <c r="F164" s="824"/>
      <c r="G164" s="825"/>
      <c r="H164" s="1347" t="s">
        <v>1508</v>
      </c>
      <c r="I164" s="825"/>
      <c r="J164" s="174"/>
      <c r="K164" s="836"/>
      <c r="L164" s="861"/>
      <c r="M164" s="861"/>
      <c r="N164" s="857"/>
      <c r="O164" s="1192"/>
      <c r="P164" s="550"/>
      <c r="Q164" s="1153"/>
      <c r="R164" s="877"/>
      <c r="S164" s="875"/>
      <c r="T164" s="875"/>
      <c r="U164" s="875"/>
      <c r="V164" s="875"/>
      <c r="W164" s="875"/>
      <c r="X164" s="1026"/>
      <c r="Y164" s="1754"/>
      <c r="Z164" s="1755"/>
      <c r="AA164" s="1775"/>
      <c r="AB164" s="1814"/>
      <c r="AC164" s="876"/>
      <c r="AD164" s="1295"/>
      <c r="AE164" s="1525"/>
      <c r="AF164" s="1525"/>
      <c r="AG164" s="1525"/>
      <c r="AH164" s="1525"/>
      <c r="AI164" s="1525"/>
      <c r="AJ164" s="1525"/>
      <c r="AK164" s="1525"/>
      <c r="AL164" s="1525"/>
      <c r="AM164" s="1525"/>
      <c r="AN164" s="1525"/>
      <c r="AO164" s="1525"/>
      <c r="AP164" s="1525"/>
      <c r="AQ164" s="1525"/>
      <c r="AR164" s="1525"/>
      <c r="AS164" s="1525"/>
      <c r="AU164" s="1525"/>
      <c r="AV164" s="1295"/>
      <c r="AW164" s="1525"/>
      <c r="AX164" s="1525"/>
      <c r="AY164" s="1525"/>
      <c r="AZ164" s="1525"/>
      <c r="BA164" s="1525"/>
      <c r="BB164" s="1525"/>
      <c r="BC164" s="1525"/>
      <c r="BD164" s="1525"/>
      <c r="BE164" s="1525"/>
      <c r="BF164" s="1525"/>
      <c r="BG164" s="1525"/>
      <c r="BH164" s="1525"/>
      <c r="BI164" s="1525"/>
      <c r="BJ164" s="1525"/>
      <c r="BK164" s="1525"/>
      <c r="BL164" s="1525"/>
      <c r="BM164" s="1525"/>
      <c r="BN164" s="1525"/>
      <c r="BO164" s="1525"/>
      <c r="BP164" s="1525"/>
      <c r="BQ164" s="1525"/>
      <c r="BR164" s="1525"/>
      <c r="BS164" s="1525"/>
      <c r="BT164" s="1670"/>
      <c r="BV164"/>
      <c r="BW164" s="825"/>
    </row>
    <row r="165" spans="1:75" s="164" customFormat="1" ht="12.75" customHeight="1" x14ac:dyDescent="0.2">
      <c r="B165" s="175"/>
      <c r="E165" s="799"/>
      <c r="F165" s="816" t="s">
        <v>907</v>
      </c>
      <c r="G165" s="825"/>
      <c r="H165" s="1347" t="s">
        <v>1508</v>
      </c>
      <c r="I165" s="821"/>
      <c r="J165" s="189"/>
      <c r="K165" s="857"/>
      <c r="L165" s="861"/>
      <c r="M165" s="861"/>
      <c r="N165" s="857"/>
      <c r="O165" s="1192"/>
      <c r="P165" s="550"/>
      <c r="Q165" s="1153"/>
      <c r="R165" s="877"/>
      <c r="S165" s="875"/>
      <c r="T165" s="875"/>
      <c r="U165" s="875"/>
      <c r="V165" s="875"/>
      <c r="W165" s="875"/>
      <c r="X165" s="1026"/>
      <c r="Y165" s="1754"/>
      <c r="Z165" s="1755"/>
      <c r="AA165" s="1775"/>
      <c r="AB165" s="1814"/>
      <c r="AC165" s="876"/>
      <c r="AD165" s="1295"/>
      <c r="AE165" s="1525"/>
      <c r="AF165" s="1525"/>
      <c r="AG165" s="1525"/>
      <c r="AH165" s="1525"/>
      <c r="AI165" s="1525"/>
      <c r="AJ165" s="1525"/>
      <c r="AK165" s="1525"/>
      <c r="AL165" s="1525"/>
      <c r="AM165" s="1525"/>
      <c r="AN165" s="1525"/>
      <c r="AO165" s="1525"/>
      <c r="AP165" s="1525"/>
      <c r="AQ165" s="1525"/>
      <c r="AR165" s="1525"/>
      <c r="AS165" s="1525"/>
      <c r="AU165" s="1525"/>
      <c r="AV165" s="1295"/>
      <c r="AW165" s="1525"/>
      <c r="AX165" s="1525"/>
      <c r="AY165" s="1525"/>
      <c r="AZ165" s="1525"/>
      <c r="BA165" s="1525"/>
      <c r="BB165" s="1525"/>
      <c r="BC165" s="1525"/>
      <c r="BD165" s="1525"/>
      <c r="BE165" s="1525"/>
      <c r="BF165" s="1525"/>
      <c r="BG165" s="1525"/>
      <c r="BH165" s="1525"/>
      <c r="BI165" s="1525"/>
      <c r="BJ165" s="1525"/>
      <c r="BK165" s="1525"/>
      <c r="BL165" s="1525"/>
      <c r="BM165" s="1525"/>
      <c r="BN165" s="1525"/>
      <c r="BO165" s="1525"/>
      <c r="BP165" s="1525"/>
      <c r="BQ165" s="1525"/>
      <c r="BR165" s="1525"/>
      <c r="BS165" s="1525"/>
      <c r="BT165" s="1670"/>
      <c r="BV165"/>
      <c r="BW165" s="825"/>
    </row>
    <row r="166" spans="1:75" s="164" customFormat="1" ht="12.75" customHeight="1" x14ac:dyDescent="0.2">
      <c r="B166" s="175"/>
      <c r="C166" s="219"/>
      <c r="E166" s="798"/>
      <c r="F166" s="803"/>
      <c r="G166" s="825"/>
      <c r="H166" s="1346" t="s">
        <v>1508</v>
      </c>
      <c r="I166" s="821"/>
      <c r="J166" s="189"/>
      <c r="K166" s="857"/>
      <c r="L166" s="861"/>
      <c r="M166" s="858"/>
      <c r="N166" s="857"/>
      <c r="O166" s="1194"/>
      <c r="P166" s="550"/>
      <c r="Q166" s="1148"/>
      <c r="R166" s="885"/>
      <c r="S166" s="875"/>
      <c r="T166" s="877"/>
      <c r="U166" s="877"/>
      <c r="V166" s="877"/>
      <c r="W166" s="875"/>
      <c r="X166" s="1026"/>
      <c r="Y166" s="1754"/>
      <c r="Z166" s="1755"/>
      <c r="AA166" s="1775"/>
      <c r="AB166" s="1814"/>
      <c r="AC166" s="876"/>
      <c r="AD166" s="1295"/>
      <c r="AE166" s="1525"/>
      <c r="AF166" s="1525"/>
      <c r="AG166" s="1525"/>
      <c r="AH166" s="1525"/>
      <c r="AI166" s="1525"/>
      <c r="AJ166" s="1525"/>
      <c r="AK166" s="1525"/>
      <c r="AL166" s="1525"/>
      <c r="AM166" s="1525"/>
      <c r="AN166" s="1525"/>
      <c r="AO166" s="1525"/>
      <c r="AP166" s="1525"/>
      <c r="AQ166" s="1525"/>
      <c r="AR166" s="1525"/>
      <c r="AS166" s="1525"/>
      <c r="AU166" s="1525"/>
      <c r="AV166" s="1295"/>
      <c r="AW166" s="1525"/>
      <c r="AX166" s="1525"/>
      <c r="AY166" s="1525"/>
      <c r="AZ166" s="1525"/>
      <c r="BA166" s="1525"/>
      <c r="BB166" s="1525"/>
      <c r="BC166" s="1525"/>
      <c r="BD166" s="1525"/>
      <c r="BE166" s="1525"/>
      <c r="BF166" s="1525"/>
      <c r="BG166" s="1525"/>
      <c r="BH166" s="1525"/>
      <c r="BI166" s="1525"/>
      <c r="BJ166" s="1525"/>
      <c r="BK166" s="1525"/>
      <c r="BL166" s="1525"/>
      <c r="BM166" s="1525"/>
      <c r="BN166" s="1525"/>
      <c r="BO166" s="1525"/>
      <c r="BP166" s="1525"/>
      <c r="BQ166" s="1525"/>
      <c r="BR166" s="1525"/>
      <c r="BS166" s="1525"/>
      <c r="BT166" s="1670"/>
      <c r="BV166"/>
      <c r="BW166" s="825"/>
    </row>
    <row r="167" spans="1:75" ht="12.75" customHeight="1" x14ac:dyDescent="0.2">
      <c r="B167" s="175">
        <f t="shared" ref="B167:B172" si="115">B166+1</f>
        <v>1</v>
      </c>
      <c r="C167" s="219">
        <v>2</v>
      </c>
      <c r="E167" s="12" t="s">
        <v>284</v>
      </c>
      <c r="F167" s="56" t="s">
        <v>516</v>
      </c>
      <c r="G167" s="825" t="s">
        <v>1917</v>
      </c>
      <c r="H167" s="861">
        <v>2275</v>
      </c>
      <c r="I167" s="197" t="s">
        <v>351</v>
      </c>
      <c r="J167" s="174"/>
      <c r="K167" s="174"/>
      <c r="L167" s="861">
        <v>0.5</v>
      </c>
      <c r="M167" s="861">
        <f>K167+L167</f>
        <v>0.5</v>
      </c>
      <c r="N167" s="836" t="s">
        <v>1326</v>
      </c>
      <c r="O167" s="1196">
        <v>12441</v>
      </c>
      <c r="P167" s="1218">
        <f t="shared" ref="P167:P172" ca="1" si="116">YEARFRAC(TODAY(),O167)</f>
        <v>83.694444444444443</v>
      </c>
      <c r="Q167" s="1148">
        <v>45500</v>
      </c>
      <c r="R167" s="885">
        <f>Q167*0.1</f>
        <v>4550</v>
      </c>
      <c r="S167" s="875">
        <v>3000</v>
      </c>
      <c r="T167" s="877">
        <v>19400</v>
      </c>
      <c r="U167" s="877"/>
      <c r="V167" s="877"/>
      <c r="W167" s="875"/>
      <c r="X167" s="1026">
        <f t="shared" ref="X167:X172" si="117">(Q167+R167+S167+T167+U167+V167+W167)*M167</f>
        <v>36225</v>
      </c>
      <c r="Y167" s="1512">
        <f t="shared" ref="Y167:Y172" si="118">(T167+U167)*M167/(X167-M167*(T167+U167))</f>
        <v>0.36569274269557023</v>
      </c>
      <c r="Z167" s="1741">
        <f t="shared" ref="Z167:Z172" si="119">M167*(1+Y167)</f>
        <v>0.68284637134778514</v>
      </c>
      <c r="AA167" s="1749">
        <f t="shared" ref="AA167:AA172" si="120">SUM(AD167:AS167)</f>
        <v>0.5</v>
      </c>
      <c r="AB167" s="1810">
        <f t="shared" ref="AB167:AB172" si="121">100*AA167/Z167</f>
        <v>73.222912353347127</v>
      </c>
      <c r="AC167" s="876"/>
      <c r="AD167" s="1525">
        <f t="shared" ref="AD167:AS172" si="122">SUMIF($AV$6:$BS$6,AD$5,$AV167:$BS167)</f>
        <v>0</v>
      </c>
      <c r="AE167" s="1525">
        <f t="shared" si="122"/>
        <v>0</v>
      </c>
      <c r="AF167" s="1525">
        <f t="shared" si="122"/>
        <v>0</v>
      </c>
      <c r="AG167" s="1525">
        <f t="shared" si="122"/>
        <v>0</v>
      </c>
      <c r="AH167" s="1525">
        <f t="shared" si="122"/>
        <v>0</v>
      </c>
      <c r="AI167" s="1525">
        <f t="shared" si="122"/>
        <v>0</v>
      </c>
      <c r="AJ167" s="1525">
        <f t="shared" si="122"/>
        <v>0</v>
      </c>
      <c r="AK167" s="1525">
        <f t="shared" si="122"/>
        <v>0</v>
      </c>
      <c r="AL167" s="1525">
        <f t="shared" si="122"/>
        <v>0</v>
      </c>
      <c r="AM167" s="1525">
        <f t="shared" si="122"/>
        <v>0</v>
      </c>
      <c r="AN167" s="1525">
        <f t="shared" si="122"/>
        <v>0</v>
      </c>
      <c r="AO167" s="1525">
        <f t="shared" si="122"/>
        <v>0</v>
      </c>
      <c r="AP167" s="1525">
        <f t="shared" si="122"/>
        <v>0</v>
      </c>
      <c r="AQ167" s="1525">
        <f t="shared" si="122"/>
        <v>0</v>
      </c>
      <c r="AR167" s="1525">
        <f t="shared" si="122"/>
        <v>0</v>
      </c>
      <c r="AS167" s="1525">
        <f t="shared" si="122"/>
        <v>0.5</v>
      </c>
      <c r="AU167" s="1525"/>
      <c r="AV167" s="1291"/>
      <c r="AW167" s="1292"/>
      <c r="AX167" s="1292"/>
      <c r="AY167" s="1292"/>
      <c r="AZ167" s="1292"/>
      <c r="BA167" s="1292"/>
      <c r="BB167" s="1292"/>
      <c r="BC167" s="1292"/>
      <c r="BD167" s="1292"/>
      <c r="BE167" s="1292"/>
      <c r="BF167" s="1292"/>
      <c r="BG167" s="1292"/>
      <c r="BH167" s="1292"/>
      <c r="BI167" s="1292"/>
      <c r="BJ167" s="1292"/>
      <c r="BK167" s="1292"/>
      <c r="BL167" s="1292"/>
      <c r="BM167" s="1292"/>
      <c r="BN167" s="1292"/>
      <c r="BO167" s="1292"/>
      <c r="BP167" s="1292">
        <v>0.5</v>
      </c>
      <c r="BQ167" s="1292"/>
      <c r="BR167" s="1292"/>
      <c r="BS167" s="1292"/>
      <c r="BT167" s="1670">
        <f t="shared" ref="BT167:BT172" si="123">SUM(AV167:BS167)</f>
        <v>0.5</v>
      </c>
      <c r="BW167" s="825" t="s">
        <v>1917</v>
      </c>
    </row>
    <row r="168" spans="1:75" ht="12.75" customHeight="1" x14ac:dyDescent="0.2">
      <c r="B168" s="175">
        <f t="shared" si="115"/>
        <v>2</v>
      </c>
      <c r="C168" s="219">
        <v>13</v>
      </c>
      <c r="E168" s="12" t="s">
        <v>284</v>
      </c>
      <c r="F168" s="4" t="s">
        <v>792</v>
      </c>
      <c r="G168" s="825" t="s">
        <v>1919</v>
      </c>
      <c r="H168" s="858">
        <v>3286</v>
      </c>
      <c r="I168" s="197" t="s">
        <v>583</v>
      </c>
      <c r="J168" s="174"/>
      <c r="K168" s="174"/>
      <c r="L168" s="861">
        <v>1</v>
      </c>
      <c r="M168" s="858">
        <f>K168+L168</f>
        <v>1</v>
      </c>
      <c r="N168" s="857" t="s">
        <v>1326</v>
      </c>
      <c r="O168" s="1196">
        <v>21190</v>
      </c>
      <c r="P168" s="1218">
        <f t="shared" ca="1" si="116"/>
        <v>59.741666666666667</v>
      </c>
      <c r="Q168" s="1148">
        <v>30000</v>
      </c>
      <c r="R168" s="885">
        <f>Q168*0.1</f>
        <v>3000</v>
      </c>
      <c r="S168" s="875"/>
      <c r="T168" s="877"/>
      <c r="U168" s="877"/>
      <c r="V168" s="877"/>
      <c r="W168" s="875"/>
      <c r="X168" s="1026">
        <f t="shared" si="117"/>
        <v>33000</v>
      </c>
      <c r="Y168" s="1512">
        <f t="shared" si="118"/>
        <v>0</v>
      </c>
      <c r="Z168" s="1741">
        <f t="shared" si="119"/>
        <v>1</v>
      </c>
      <c r="AA168" s="1749">
        <f t="shared" si="120"/>
        <v>1</v>
      </c>
      <c r="AB168" s="1810">
        <f t="shared" si="121"/>
        <v>100</v>
      </c>
      <c r="AC168" s="876"/>
      <c r="AD168" s="1525">
        <f t="shared" si="122"/>
        <v>0</v>
      </c>
      <c r="AE168" s="1525">
        <f t="shared" si="122"/>
        <v>0</v>
      </c>
      <c r="AF168" s="1525">
        <f t="shared" si="122"/>
        <v>0</v>
      </c>
      <c r="AG168" s="1525">
        <f t="shared" si="122"/>
        <v>0</v>
      </c>
      <c r="AH168" s="1525">
        <f t="shared" si="122"/>
        <v>0</v>
      </c>
      <c r="AI168" s="1525">
        <f t="shared" si="122"/>
        <v>0</v>
      </c>
      <c r="AJ168" s="1525">
        <f t="shared" si="122"/>
        <v>0</v>
      </c>
      <c r="AK168" s="1525">
        <f t="shared" si="122"/>
        <v>0</v>
      </c>
      <c r="AL168" s="1525">
        <f t="shared" si="122"/>
        <v>0</v>
      </c>
      <c r="AM168" s="1525">
        <f t="shared" si="122"/>
        <v>0</v>
      </c>
      <c r="AN168" s="1525">
        <f t="shared" si="122"/>
        <v>0</v>
      </c>
      <c r="AO168" s="1525">
        <f t="shared" si="122"/>
        <v>0</v>
      </c>
      <c r="AP168" s="1525">
        <f t="shared" si="122"/>
        <v>0</v>
      </c>
      <c r="AQ168" s="1525">
        <f t="shared" si="122"/>
        <v>0</v>
      </c>
      <c r="AR168" s="1525">
        <f t="shared" si="122"/>
        <v>0</v>
      </c>
      <c r="AS168" s="1525">
        <f t="shared" si="122"/>
        <v>1</v>
      </c>
      <c r="AU168" s="1525"/>
      <c r="AV168" s="1291"/>
      <c r="AW168" s="1292"/>
      <c r="AX168" s="1292"/>
      <c r="AY168" s="1292"/>
      <c r="AZ168" s="1292"/>
      <c r="BA168" s="1292"/>
      <c r="BB168" s="1292"/>
      <c r="BC168" s="1292"/>
      <c r="BD168" s="1292"/>
      <c r="BE168" s="1292"/>
      <c r="BF168" s="1292"/>
      <c r="BG168" s="1292"/>
      <c r="BH168" s="1292"/>
      <c r="BI168" s="1292"/>
      <c r="BJ168" s="1292"/>
      <c r="BK168" s="1292"/>
      <c r="BL168" s="1292"/>
      <c r="BM168" s="1292"/>
      <c r="BN168" s="1292"/>
      <c r="BO168" s="1292"/>
      <c r="BP168" s="1292">
        <v>1</v>
      </c>
      <c r="BQ168" s="1292"/>
      <c r="BR168" s="1292"/>
      <c r="BS168" s="1292"/>
      <c r="BT168" s="1670">
        <f t="shared" si="123"/>
        <v>1</v>
      </c>
      <c r="BW168" s="825" t="s">
        <v>1919</v>
      </c>
    </row>
    <row r="169" spans="1:75" ht="12.75" customHeight="1" x14ac:dyDescent="0.2">
      <c r="B169" s="175">
        <f t="shared" si="115"/>
        <v>3</v>
      </c>
      <c r="C169" s="219">
        <v>13</v>
      </c>
      <c r="E169" s="12" t="s">
        <v>284</v>
      </c>
      <c r="F169" s="4" t="s">
        <v>792</v>
      </c>
      <c r="G169" s="825" t="s">
        <v>1099</v>
      </c>
      <c r="H169" s="858">
        <v>3200</v>
      </c>
      <c r="I169" s="197" t="s">
        <v>583</v>
      </c>
      <c r="J169" s="174"/>
      <c r="K169" s="174"/>
      <c r="L169" s="861">
        <v>1</v>
      </c>
      <c r="M169" s="858">
        <f>K169+L169</f>
        <v>1</v>
      </c>
      <c r="N169" s="857" t="s">
        <v>1326</v>
      </c>
      <c r="O169" s="1196">
        <v>19515</v>
      </c>
      <c r="P169" s="1218">
        <f t="shared" ca="1" si="116"/>
        <v>64.325000000000003</v>
      </c>
      <c r="Q169" s="1148">
        <v>29000</v>
      </c>
      <c r="R169" s="885">
        <f>Q169*0.1</f>
        <v>2900</v>
      </c>
      <c r="S169" s="875"/>
      <c r="T169" s="877"/>
      <c r="U169" s="877"/>
      <c r="V169" s="877"/>
      <c r="W169" s="875"/>
      <c r="X169" s="1026">
        <f t="shared" si="117"/>
        <v>31900</v>
      </c>
      <c r="Y169" s="1512">
        <f t="shared" si="118"/>
        <v>0</v>
      </c>
      <c r="Z169" s="1741">
        <f t="shared" si="119"/>
        <v>1</v>
      </c>
      <c r="AA169" s="1749">
        <f t="shared" si="120"/>
        <v>1</v>
      </c>
      <c r="AB169" s="1810">
        <f t="shared" si="121"/>
        <v>100</v>
      </c>
      <c r="AC169" s="876"/>
      <c r="AD169" s="1525">
        <f t="shared" si="122"/>
        <v>0</v>
      </c>
      <c r="AE169" s="1525">
        <f t="shared" si="122"/>
        <v>0</v>
      </c>
      <c r="AF169" s="1525">
        <f t="shared" si="122"/>
        <v>0</v>
      </c>
      <c r="AG169" s="1525">
        <f t="shared" si="122"/>
        <v>0</v>
      </c>
      <c r="AH169" s="1525">
        <f t="shared" si="122"/>
        <v>0</v>
      </c>
      <c r="AI169" s="1525">
        <f t="shared" si="122"/>
        <v>0</v>
      </c>
      <c r="AJ169" s="1525">
        <f t="shared" si="122"/>
        <v>0</v>
      </c>
      <c r="AK169" s="1525">
        <f t="shared" si="122"/>
        <v>0</v>
      </c>
      <c r="AL169" s="1525">
        <f t="shared" si="122"/>
        <v>0</v>
      </c>
      <c r="AM169" s="1525">
        <f t="shared" si="122"/>
        <v>0</v>
      </c>
      <c r="AN169" s="1525">
        <f t="shared" si="122"/>
        <v>0</v>
      </c>
      <c r="AO169" s="1525">
        <f t="shared" si="122"/>
        <v>0</v>
      </c>
      <c r="AP169" s="1525">
        <f t="shared" si="122"/>
        <v>0</v>
      </c>
      <c r="AQ169" s="1525">
        <f t="shared" si="122"/>
        <v>0</v>
      </c>
      <c r="AR169" s="1525">
        <f t="shared" si="122"/>
        <v>0</v>
      </c>
      <c r="AS169" s="1525">
        <f t="shared" si="122"/>
        <v>1</v>
      </c>
      <c r="AU169" s="1525"/>
      <c r="AV169" s="1291"/>
      <c r="AW169" s="1292"/>
      <c r="AX169" s="1292"/>
      <c r="AY169" s="1292"/>
      <c r="AZ169" s="1292"/>
      <c r="BA169" s="1292"/>
      <c r="BB169" s="1292"/>
      <c r="BC169" s="1292"/>
      <c r="BD169" s="1292"/>
      <c r="BE169" s="1292"/>
      <c r="BF169" s="1292"/>
      <c r="BG169" s="1292"/>
      <c r="BH169" s="1292"/>
      <c r="BI169" s="1292"/>
      <c r="BJ169" s="1292"/>
      <c r="BK169" s="1292"/>
      <c r="BL169" s="1292"/>
      <c r="BM169" s="1292"/>
      <c r="BN169" s="1292"/>
      <c r="BO169" s="1292"/>
      <c r="BP169" s="1292">
        <v>1</v>
      </c>
      <c r="BQ169" s="1292"/>
      <c r="BR169" s="1292"/>
      <c r="BS169" s="1292"/>
      <c r="BT169" s="1670">
        <f t="shared" si="123"/>
        <v>1</v>
      </c>
      <c r="BW169" s="825" t="s">
        <v>1099</v>
      </c>
    </row>
    <row r="170" spans="1:75" ht="12.75" customHeight="1" x14ac:dyDescent="0.2">
      <c r="B170" s="175">
        <f t="shared" si="115"/>
        <v>4</v>
      </c>
      <c r="C170" s="219">
        <v>15</v>
      </c>
      <c r="E170" s="12" t="s">
        <v>284</v>
      </c>
      <c r="F170" s="4" t="s">
        <v>1098</v>
      </c>
      <c r="G170" s="825" t="s">
        <v>890</v>
      </c>
      <c r="H170" s="858">
        <v>124233</v>
      </c>
      <c r="I170" s="197" t="s">
        <v>583</v>
      </c>
      <c r="J170" s="174"/>
      <c r="K170" s="174"/>
      <c r="L170" s="861">
        <v>1</v>
      </c>
      <c r="M170" s="858">
        <v>1</v>
      </c>
      <c r="N170" s="857" t="s">
        <v>1326</v>
      </c>
      <c r="O170" s="1196">
        <v>28568</v>
      </c>
      <c r="P170" s="1218">
        <f t="shared" ca="1" si="116"/>
        <v>39.536111111111111</v>
      </c>
      <c r="Q170" s="1148">
        <v>27000</v>
      </c>
      <c r="R170" s="885">
        <f>Q170*0.1</f>
        <v>2700</v>
      </c>
      <c r="S170" s="875"/>
      <c r="T170" s="877"/>
      <c r="U170" s="877"/>
      <c r="V170" s="877"/>
      <c r="W170" s="875"/>
      <c r="X170" s="1026">
        <f t="shared" si="117"/>
        <v>29700</v>
      </c>
      <c r="Y170" s="1512">
        <f t="shared" si="118"/>
        <v>0</v>
      </c>
      <c r="Z170" s="1741">
        <f t="shared" si="119"/>
        <v>1</v>
      </c>
      <c r="AA170" s="1749">
        <f t="shared" si="120"/>
        <v>1</v>
      </c>
      <c r="AB170" s="1810">
        <f t="shared" si="121"/>
        <v>100</v>
      </c>
      <c r="AC170" s="876"/>
      <c r="AD170" s="1525">
        <f t="shared" si="122"/>
        <v>0</v>
      </c>
      <c r="AE170" s="1525">
        <f t="shared" si="122"/>
        <v>0</v>
      </c>
      <c r="AF170" s="1525">
        <f t="shared" si="122"/>
        <v>0</v>
      </c>
      <c r="AG170" s="1525">
        <f t="shared" si="122"/>
        <v>0</v>
      </c>
      <c r="AH170" s="1525">
        <f t="shared" si="122"/>
        <v>0</v>
      </c>
      <c r="AI170" s="1525">
        <f t="shared" si="122"/>
        <v>0</v>
      </c>
      <c r="AJ170" s="1525">
        <f t="shared" si="122"/>
        <v>0</v>
      </c>
      <c r="AK170" s="1525">
        <f t="shared" si="122"/>
        <v>0</v>
      </c>
      <c r="AL170" s="1525">
        <f t="shared" si="122"/>
        <v>0</v>
      </c>
      <c r="AM170" s="1525">
        <f t="shared" si="122"/>
        <v>0</v>
      </c>
      <c r="AN170" s="1525">
        <f t="shared" si="122"/>
        <v>0</v>
      </c>
      <c r="AO170" s="1525">
        <f t="shared" si="122"/>
        <v>0</v>
      </c>
      <c r="AP170" s="1525">
        <f t="shared" si="122"/>
        <v>0</v>
      </c>
      <c r="AQ170" s="1525">
        <f t="shared" si="122"/>
        <v>0</v>
      </c>
      <c r="AR170" s="1525">
        <f t="shared" si="122"/>
        <v>0</v>
      </c>
      <c r="AS170" s="1525">
        <f t="shared" si="122"/>
        <v>1</v>
      </c>
      <c r="AU170" s="1525"/>
      <c r="AV170" s="1291"/>
      <c r="AW170" s="1292"/>
      <c r="AX170" s="1292"/>
      <c r="AY170" s="1292"/>
      <c r="AZ170" s="1292"/>
      <c r="BA170" s="1292"/>
      <c r="BB170" s="1292"/>
      <c r="BC170" s="1292"/>
      <c r="BD170" s="1292"/>
      <c r="BE170" s="1292"/>
      <c r="BF170" s="1292"/>
      <c r="BG170" s="1292"/>
      <c r="BH170" s="1292"/>
      <c r="BI170" s="1292"/>
      <c r="BJ170" s="1292"/>
      <c r="BK170" s="1292"/>
      <c r="BL170" s="1292"/>
      <c r="BM170" s="1292"/>
      <c r="BN170" s="1292"/>
      <c r="BO170" s="1292"/>
      <c r="BP170" s="1292">
        <v>1</v>
      </c>
      <c r="BQ170" s="1292"/>
      <c r="BR170" s="1292"/>
      <c r="BS170" s="1292"/>
      <c r="BT170" s="1670">
        <f t="shared" si="123"/>
        <v>1</v>
      </c>
      <c r="BW170" s="825" t="s">
        <v>890</v>
      </c>
    </row>
    <row r="171" spans="1:75" ht="12.75" customHeight="1" x14ac:dyDescent="0.2">
      <c r="B171" s="175">
        <f t="shared" si="115"/>
        <v>5</v>
      </c>
      <c r="C171" s="219">
        <v>18</v>
      </c>
      <c r="E171" s="12" t="s">
        <v>284</v>
      </c>
      <c r="F171" s="31" t="s">
        <v>1441</v>
      </c>
      <c r="G171" s="825" t="s">
        <v>1443</v>
      </c>
      <c r="H171" s="858">
        <v>68548</v>
      </c>
      <c r="I171" s="197" t="s">
        <v>1442</v>
      </c>
      <c r="J171" s="174"/>
      <c r="K171" s="174"/>
      <c r="L171" s="861">
        <v>1</v>
      </c>
      <c r="M171" s="858">
        <f>K171+L171</f>
        <v>1</v>
      </c>
      <c r="N171" s="857" t="s">
        <v>1326</v>
      </c>
      <c r="O171" s="1196">
        <v>25716</v>
      </c>
      <c r="P171" s="1218">
        <f t="shared" ca="1" si="116"/>
        <v>47.344444444444441</v>
      </c>
      <c r="Q171" s="1148">
        <v>32000</v>
      </c>
      <c r="R171" s="885">
        <f>Q171*0.1</f>
        <v>3200</v>
      </c>
      <c r="S171" s="875"/>
      <c r="T171" s="875"/>
      <c r="U171" s="875"/>
      <c r="V171" s="875"/>
      <c r="W171" s="1036"/>
      <c r="X171" s="1026">
        <f t="shared" si="117"/>
        <v>35200</v>
      </c>
      <c r="Y171" s="1512">
        <f t="shared" si="118"/>
        <v>0</v>
      </c>
      <c r="Z171" s="1741">
        <f t="shared" si="119"/>
        <v>1</v>
      </c>
      <c r="AA171" s="1749">
        <f t="shared" si="120"/>
        <v>1</v>
      </c>
      <c r="AB171" s="1810">
        <f t="shared" si="121"/>
        <v>100</v>
      </c>
      <c r="AC171" s="876"/>
      <c r="AD171" s="1525">
        <f t="shared" si="122"/>
        <v>0</v>
      </c>
      <c r="AE171" s="1525">
        <f t="shared" si="122"/>
        <v>0</v>
      </c>
      <c r="AF171" s="1525">
        <f t="shared" si="122"/>
        <v>0</v>
      </c>
      <c r="AG171" s="1525">
        <f t="shared" si="122"/>
        <v>0</v>
      </c>
      <c r="AH171" s="1525">
        <f t="shared" si="122"/>
        <v>0</v>
      </c>
      <c r="AI171" s="1525">
        <f t="shared" si="122"/>
        <v>0</v>
      </c>
      <c r="AJ171" s="1525">
        <f t="shared" si="122"/>
        <v>0</v>
      </c>
      <c r="AK171" s="1525">
        <f t="shared" si="122"/>
        <v>0</v>
      </c>
      <c r="AL171" s="1525">
        <f t="shared" si="122"/>
        <v>0</v>
      </c>
      <c r="AM171" s="1525">
        <f t="shared" si="122"/>
        <v>0</v>
      </c>
      <c r="AN171" s="1525">
        <f t="shared" si="122"/>
        <v>0</v>
      </c>
      <c r="AO171" s="1525">
        <f t="shared" si="122"/>
        <v>0</v>
      </c>
      <c r="AP171" s="1525">
        <f t="shared" si="122"/>
        <v>0</v>
      </c>
      <c r="AQ171" s="1525">
        <f t="shared" si="122"/>
        <v>0</v>
      </c>
      <c r="AR171" s="1525">
        <f t="shared" si="122"/>
        <v>0</v>
      </c>
      <c r="AS171" s="1525">
        <f t="shared" si="122"/>
        <v>1</v>
      </c>
      <c r="AU171" s="1525"/>
      <c r="AV171" s="1291"/>
      <c r="AW171" s="1292"/>
      <c r="AX171" s="1292"/>
      <c r="AY171" s="1292"/>
      <c r="AZ171" s="1292"/>
      <c r="BA171" s="1292"/>
      <c r="BB171" s="1292"/>
      <c r="BC171" s="1292"/>
      <c r="BD171" s="1292"/>
      <c r="BE171" s="1292"/>
      <c r="BF171" s="1292"/>
      <c r="BG171" s="1292"/>
      <c r="BH171" s="1292"/>
      <c r="BI171" s="1292"/>
      <c r="BJ171" s="1292"/>
      <c r="BK171" s="1292"/>
      <c r="BL171" s="1292"/>
      <c r="BM171" s="1292"/>
      <c r="BN171" s="1292"/>
      <c r="BO171" s="1292"/>
      <c r="BP171" s="1292">
        <v>1</v>
      </c>
      <c r="BQ171" s="1292"/>
      <c r="BR171" s="1292"/>
      <c r="BS171" s="1292"/>
      <c r="BT171" s="1670">
        <f t="shared" si="123"/>
        <v>1</v>
      </c>
      <c r="BW171" s="825" t="s">
        <v>1443</v>
      </c>
    </row>
    <row r="172" spans="1:75" ht="12.75" customHeight="1" x14ac:dyDescent="0.2">
      <c r="B172" s="175">
        <f t="shared" si="115"/>
        <v>6</v>
      </c>
      <c r="C172" s="219">
        <v>18</v>
      </c>
      <c r="E172" s="12" t="s">
        <v>284</v>
      </c>
      <c r="F172" s="32" t="s">
        <v>1444</v>
      </c>
      <c r="G172" s="830" t="s">
        <v>1445</v>
      </c>
      <c r="H172" s="873">
        <v>8778</v>
      </c>
      <c r="I172" s="196" t="s">
        <v>1442</v>
      </c>
      <c r="J172" s="195"/>
      <c r="K172" s="195"/>
      <c r="L172" s="873">
        <v>1</v>
      </c>
      <c r="M172" s="873">
        <f>K172+L172</f>
        <v>1</v>
      </c>
      <c r="N172" s="872" t="s">
        <v>892</v>
      </c>
      <c r="O172" s="1196">
        <v>18119</v>
      </c>
      <c r="P172" s="1218">
        <f t="shared" ca="1" si="116"/>
        <v>68.147222222222226</v>
      </c>
      <c r="Q172" s="1071">
        <v>27000</v>
      </c>
      <c r="R172" s="890"/>
      <c r="S172" s="891"/>
      <c r="T172" s="891"/>
      <c r="U172" s="891"/>
      <c r="V172" s="891"/>
      <c r="W172" s="891"/>
      <c r="X172" s="1026">
        <f t="shared" si="117"/>
        <v>27000</v>
      </c>
      <c r="Y172" s="1512">
        <f t="shared" si="118"/>
        <v>0</v>
      </c>
      <c r="Z172" s="1741">
        <f t="shared" si="119"/>
        <v>1</v>
      </c>
      <c r="AA172" s="1749">
        <f t="shared" si="120"/>
        <v>1</v>
      </c>
      <c r="AB172" s="1810">
        <f t="shared" si="121"/>
        <v>100</v>
      </c>
      <c r="AC172" s="876"/>
      <c r="AD172" s="1525">
        <f t="shared" si="122"/>
        <v>0</v>
      </c>
      <c r="AE172" s="1525">
        <f t="shared" si="122"/>
        <v>0</v>
      </c>
      <c r="AF172" s="1525">
        <f t="shared" si="122"/>
        <v>0</v>
      </c>
      <c r="AG172" s="1525">
        <f t="shared" si="122"/>
        <v>0</v>
      </c>
      <c r="AH172" s="1525">
        <f t="shared" si="122"/>
        <v>0</v>
      </c>
      <c r="AI172" s="1525">
        <f t="shared" si="122"/>
        <v>0</v>
      </c>
      <c r="AJ172" s="1525">
        <f t="shared" si="122"/>
        <v>0</v>
      </c>
      <c r="AK172" s="1525">
        <f t="shared" si="122"/>
        <v>0</v>
      </c>
      <c r="AL172" s="1525">
        <f t="shared" si="122"/>
        <v>0</v>
      </c>
      <c r="AM172" s="1525">
        <f t="shared" si="122"/>
        <v>0</v>
      </c>
      <c r="AN172" s="1525">
        <f t="shared" si="122"/>
        <v>0</v>
      </c>
      <c r="AO172" s="1525">
        <f t="shared" si="122"/>
        <v>0</v>
      </c>
      <c r="AP172" s="1525">
        <f t="shared" si="122"/>
        <v>0</v>
      </c>
      <c r="AQ172" s="1525">
        <f t="shared" si="122"/>
        <v>0</v>
      </c>
      <c r="AR172" s="1525">
        <f t="shared" si="122"/>
        <v>0</v>
      </c>
      <c r="AS172" s="1525">
        <f t="shared" si="122"/>
        <v>1</v>
      </c>
      <c r="AU172" s="1525"/>
      <c r="AV172" s="1291"/>
      <c r="AW172" s="1292"/>
      <c r="AX172" s="1292"/>
      <c r="AY172" s="1292"/>
      <c r="AZ172" s="1292"/>
      <c r="BA172" s="1292"/>
      <c r="BB172" s="1292"/>
      <c r="BC172" s="1292"/>
      <c r="BD172" s="1292"/>
      <c r="BE172" s="1292"/>
      <c r="BF172" s="1292"/>
      <c r="BG172" s="1292"/>
      <c r="BH172" s="1292"/>
      <c r="BI172" s="1292"/>
      <c r="BJ172" s="1292"/>
      <c r="BK172" s="1292"/>
      <c r="BL172" s="1292"/>
      <c r="BM172" s="1292"/>
      <c r="BN172" s="1292"/>
      <c r="BO172" s="1292"/>
      <c r="BP172" s="1292">
        <v>1</v>
      </c>
      <c r="BQ172" s="1292"/>
      <c r="BR172" s="1292"/>
      <c r="BS172" s="1292"/>
      <c r="BT172" s="1670">
        <f t="shared" si="123"/>
        <v>1</v>
      </c>
      <c r="BW172" s="830" t="s">
        <v>1445</v>
      </c>
    </row>
    <row r="173" spans="1:75" s="164" customFormat="1" ht="12.75" customHeight="1" x14ac:dyDescent="0.2">
      <c r="B173" s="175"/>
      <c r="C173" s="219" t="s">
        <v>1120</v>
      </c>
      <c r="F173" s="4" t="s">
        <v>1125</v>
      </c>
      <c r="G173" s="825"/>
      <c r="H173" s="1351" t="s">
        <v>1508</v>
      </c>
      <c r="I173" s="197"/>
      <c r="J173" s="174"/>
      <c r="K173" s="446">
        <f>SUM(K166:K172)</f>
        <v>0</v>
      </c>
      <c r="L173" s="892">
        <f>SUM(L166:L172)</f>
        <v>5.5</v>
      </c>
      <c r="M173" s="892">
        <f>SUM(M166:M172)</f>
        <v>5.5</v>
      </c>
      <c r="N173" s="836"/>
      <c r="O173" s="1192"/>
      <c r="P173" s="550"/>
      <c r="Q173" s="1153"/>
      <c r="R173" s="877"/>
      <c r="S173" s="876"/>
      <c r="T173" s="876"/>
      <c r="U173" s="876"/>
      <c r="V173" s="876"/>
      <c r="W173" s="876"/>
      <c r="X173" s="1026"/>
      <c r="Y173" s="1335"/>
      <c r="Z173" s="1335"/>
      <c r="AA173" s="1775"/>
      <c r="AB173" s="1814"/>
      <c r="AC173" s="876"/>
      <c r="AD173" s="1295"/>
      <c r="AE173" s="1525"/>
      <c r="AF173" s="1525"/>
      <c r="AG173" s="1525"/>
      <c r="AH173" s="1525"/>
      <c r="AI173" s="1525"/>
      <c r="AJ173" s="1525"/>
      <c r="AK173" s="1525"/>
      <c r="AL173" s="1525"/>
      <c r="AM173" s="1525"/>
      <c r="AN173" s="1525"/>
      <c r="AO173" s="1525"/>
      <c r="AP173" s="1525"/>
      <c r="AQ173" s="1525"/>
      <c r="AR173" s="1525"/>
      <c r="AS173" s="1525"/>
      <c r="AU173" s="1525"/>
      <c r="AV173" s="1295"/>
      <c r="AW173" s="1525"/>
      <c r="AX173" s="1525"/>
      <c r="AY173" s="1525"/>
      <c r="AZ173" s="1525"/>
      <c r="BA173" s="1525"/>
      <c r="BB173" s="1525"/>
      <c r="BC173" s="1525"/>
      <c r="BD173" s="1525"/>
      <c r="BE173" s="1525"/>
      <c r="BF173" s="1525"/>
      <c r="BG173" s="1525"/>
      <c r="BH173" s="1525"/>
      <c r="BI173" s="1525"/>
      <c r="BJ173" s="1525"/>
      <c r="BK173" s="1525"/>
      <c r="BL173" s="1525"/>
      <c r="BM173" s="1525"/>
      <c r="BN173" s="1525"/>
      <c r="BO173" s="1525"/>
      <c r="BP173" s="1525"/>
      <c r="BQ173" s="1525"/>
      <c r="BR173" s="1525"/>
      <c r="BS173" s="1525"/>
      <c r="BT173" s="1670"/>
      <c r="BV173"/>
      <c r="BW173" s="825"/>
    </row>
    <row r="174" spans="1:75" s="164" customFormat="1" ht="12.75" customHeight="1" x14ac:dyDescent="0.15">
      <c r="B174" s="175"/>
      <c r="F174" s="4"/>
      <c r="G174" s="834"/>
      <c r="H174" s="1358" t="s">
        <v>1508</v>
      </c>
      <c r="I174" s="180"/>
      <c r="J174" s="173"/>
      <c r="K174" s="173"/>
      <c r="L174" s="893"/>
      <c r="M174" s="893"/>
      <c r="N174" s="855"/>
      <c r="O174" s="1200"/>
      <c r="P174" s="550"/>
      <c r="Q174" s="1153"/>
      <c r="R174" s="877"/>
      <c r="S174" s="875"/>
      <c r="T174" s="875"/>
      <c r="U174" s="875"/>
      <c r="V174" s="875"/>
      <c r="W174" s="875"/>
      <c r="X174" s="1026"/>
      <c r="Y174" s="1754"/>
      <c r="Z174" s="1755"/>
      <c r="AA174" s="1775"/>
      <c r="AB174" s="1814"/>
      <c r="AC174" s="876"/>
      <c r="AD174" s="1295"/>
      <c r="AE174" s="1525"/>
      <c r="AF174" s="1525"/>
      <c r="AG174" s="1525"/>
      <c r="AH174" s="1525"/>
      <c r="AI174" s="1525"/>
      <c r="AJ174" s="1525"/>
      <c r="AK174" s="1525"/>
      <c r="AL174" s="1525"/>
      <c r="AM174" s="1525"/>
      <c r="AN174" s="1525"/>
      <c r="AO174" s="1525"/>
      <c r="AP174" s="1525"/>
      <c r="AQ174" s="1525"/>
      <c r="AR174" s="1525"/>
      <c r="AS174" s="1525"/>
      <c r="AU174" s="1525"/>
      <c r="AV174" s="1295"/>
      <c r="AW174" s="1525"/>
      <c r="AX174" s="1525"/>
      <c r="AY174" s="1525"/>
      <c r="AZ174" s="1525"/>
      <c r="BA174" s="1525"/>
      <c r="BB174" s="1525"/>
      <c r="BC174" s="1525"/>
      <c r="BD174" s="1525"/>
      <c r="BE174" s="1525"/>
      <c r="BF174" s="1525"/>
      <c r="BG174" s="1525"/>
      <c r="BH174" s="1525"/>
      <c r="BI174" s="1525"/>
      <c r="BJ174" s="1525"/>
      <c r="BK174" s="1525"/>
      <c r="BL174" s="1525"/>
      <c r="BM174" s="1525"/>
      <c r="BN174" s="1525"/>
      <c r="BO174" s="1525"/>
      <c r="BP174" s="1525"/>
      <c r="BQ174" s="1525"/>
      <c r="BR174" s="1525"/>
      <c r="BS174" s="1525"/>
      <c r="BT174" s="1670"/>
      <c r="BV174"/>
      <c r="BW174" s="834"/>
    </row>
    <row r="175" spans="1:75" s="164" customFormat="1" ht="12.75" customHeight="1" x14ac:dyDescent="0.15">
      <c r="B175" s="175"/>
      <c r="F175" s="21" t="s">
        <v>1592</v>
      </c>
      <c r="G175" s="857"/>
      <c r="H175" s="1346" t="s">
        <v>1508</v>
      </c>
      <c r="I175" s="188"/>
      <c r="J175" s="208"/>
      <c r="K175" s="208"/>
      <c r="L175" s="858"/>
      <c r="M175" s="858"/>
      <c r="N175" s="857"/>
      <c r="O175" s="1200"/>
      <c r="P175" s="550"/>
      <c r="Q175" s="1153"/>
      <c r="R175" s="877"/>
      <c r="S175" s="875"/>
      <c r="T175" s="875"/>
      <c r="U175" s="875"/>
      <c r="V175" s="875"/>
      <c r="W175" s="875"/>
      <c r="X175" s="1026"/>
      <c r="Y175" s="1754"/>
      <c r="Z175" s="1755"/>
      <c r="AA175" s="1775"/>
      <c r="AB175" s="1814"/>
      <c r="AC175" s="876"/>
      <c r="AD175" s="1295"/>
      <c r="AE175" s="1525"/>
      <c r="AF175" s="1525"/>
      <c r="AG175" s="1525"/>
      <c r="AH175" s="1525"/>
      <c r="AI175" s="1525"/>
      <c r="AJ175" s="1525"/>
      <c r="AK175" s="1525"/>
      <c r="AL175" s="1525"/>
      <c r="AM175" s="1525"/>
      <c r="AN175" s="1525"/>
      <c r="AO175" s="1525"/>
      <c r="AP175" s="1525"/>
      <c r="AQ175" s="1525"/>
      <c r="AR175" s="1525"/>
      <c r="AS175" s="1525"/>
      <c r="AU175" s="1525"/>
      <c r="AV175" s="1295"/>
      <c r="AW175" s="1525"/>
      <c r="AX175" s="1525"/>
      <c r="AY175" s="1525"/>
      <c r="AZ175" s="1525"/>
      <c r="BA175" s="1525"/>
      <c r="BB175" s="1525"/>
      <c r="BC175" s="1525"/>
      <c r="BD175" s="1525"/>
      <c r="BE175" s="1525"/>
      <c r="BF175" s="1525"/>
      <c r="BG175" s="1525"/>
      <c r="BH175" s="1525"/>
      <c r="BI175" s="1525"/>
      <c r="BJ175" s="1525"/>
      <c r="BK175" s="1525"/>
      <c r="BL175" s="1525"/>
      <c r="BM175" s="1525"/>
      <c r="BN175" s="1525"/>
      <c r="BO175" s="1525"/>
      <c r="BP175" s="1525"/>
      <c r="BQ175" s="1525"/>
      <c r="BR175" s="1525"/>
      <c r="BS175" s="1525"/>
      <c r="BT175" s="1670"/>
      <c r="BV175"/>
      <c r="BW175" s="857"/>
    </row>
    <row r="176" spans="1:75" s="164" customFormat="1" ht="12.75" customHeight="1" x14ac:dyDescent="0.15">
      <c r="B176" s="175"/>
      <c r="F176" s="21"/>
      <c r="G176" s="857"/>
      <c r="H176" s="1346" t="s">
        <v>1508</v>
      </c>
      <c r="I176" s="200"/>
      <c r="J176" s="189"/>
      <c r="K176" s="189"/>
      <c r="L176" s="858"/>
      <c r="M176" s="858"/>
      <c r="N176" s="857"/>
      <c r="O176" s="1200"/>
      <c r="P176" s="550"/>
      <c r="Q176" s="1153"/>
      <c r="R176" s="877"/>
      <c r="S176" s="875"/>
      <c r="T176" s="875"/>
      <c r="U176" s="875"/>
      <c r="V176" s="875"/>
      <c r="W176" s="875"/>
      <c r="X176" s="1026"/>
      <c r="Y176" s="1754"/>
      <c r="Z176" s="1755"/>
      <c r="AA176" s="1775"/>
      <c r="AB176" s="1814"/>
      <c r="AC176" s="876"/>
      <c r="AD176" s="1295"/>
      <c r="AE176" s="1525"/>
      <c r="AF176" s="1525"/>
      <c r="AG176" s="1525"/>
      <c r="AH176" s="1525"/>
      <c r="AI176" s="1525"/>
      <c r="AJ176" s="1525"/>
      <c r="AK176" s="1525"/>
      <c r="AL176" s="1525"/>
      <c r="AM176" s="1525"/>
      <c r="AN176" s="1525"/>
      <c r="AO176" s="1525"/>
      <c r="AP176" s="1525"/>
      <c r="AQ176" s="1525"/>
      <c r="AR176" s="1525"/>
      <c r="AS176" s="1525"/>
      <c r="AU176" s="1525"/>
      <c r="AV176" s="1295"/>
      <c r="AW176" s="1525"/>
      <c r="AX176" s="1525"/>
      <c r="AY176" s="1525"/>
      <c r="AZ176" s="1525"/>
      <c r="BA176" s="1525"/>
      <c r="BB176" s="1525"/>
      <c r="BC176" s="1525"/>
      <c r="BD176" s="1525"/>
      <c r="BE176" s="1525"/>
      <c r="BF176" s="1525"/>
      <c r="BG176" s="1525"/>
      <c r="BH176" s="1525"/>
      <c r="BI176" s="1525"/>
      <c r="BJ176" s="1525"/>
      <c r="BK176" s="1525"/>
      <c r="BL176" s="1525"/>
      <c r="BM176" s="1525"/>
      <c r="BN176" s="1525"/>
      <c r="BO176" s="1525"/>
      <c r="BP176" s="1525"/>
      <c r="BQ176" s="1525"/>
      <c r="BR176" s="1525"/>
      <c r="BS176" s="1525"/>
      <c r="BT176" s="1670"/>
      <c r="BV176"/>
      <c r="BW176" s="857"/>
    </row>
    <row r="177" spans="2:75" ht="12.75" customHeight="1" x14ac:dyDescent="0.2">
      <c r="B177" s="175">
        <f>B176+1</f>
        <v>1</v>
      </c>
      <c r="C177" s="219">
        <v>5</v>
      </c>
      <c r="E177" s="12" t="s">
        <v>284</v>
      </c>
      <c r="F177" s="24" t="s">
        <v>728</v>
      </c>
      <c r="G177" s="859" t="s">
        <v>729</v>
      </c>
      <c r="H177" s="858">
        <v>3120</v>
      </c>
      <c r="I177" s="200" t="s">
        <v>351</v>
      </c>
      <c r="J177" s="189"/>
      <c r="K177" s="189"/>
      <c r="L177" s="858">
        <v>1</v>
      </c>
      <c r="M177" s="858">
        <f>K177+L177</f>
        <v>1</v>
      </c>
      <c r="N177" s="857" t="s">
        <v>1326</v>
      </c>
      <c r="O177" s="1196">
        <v>19369</v>
      </c>
      <c r="P177" s="1218">
        <f ca="1">YEARFRAC(TODAY(),O177)</f>
        <v>64.727777777777774</v>
      </c>
      <c r="Q177" s="1148">
        <v>46750</v>
      </c>
      <c r="R177" s="885">
        <f>Q177*0.1</f>
        <v>4675</v>
      </c>
      <c r="S177" s="875">
        <v>3000</v>
      </c>
      <c r="T177" s="875"/>
      <c r="U177" s="875"/>
      <c r="V177" s="875"/>
      <c r="W177" s="875"/>
      <c r="X177" s="1026">
        <f>(Q177+R177+S177+T177+U177+V177+W177)*M177</f>
        <v>54425</v>
      </c>
      <c r="Y177" s="1512">
        <f>(T177+U177)*M177/(X177-M177*(T177+U177))</f>
        <v>0</v>
      </c>
      <c r="Z177" s="1741">
        <f>M177*(1+Y177)</f>
        <v>1</v>
      </c>
      <c r="AA177" s="1749">
        <f>SUM(AD177:AS177)</f>
        <v>1</v>
      </c>
      <c r="AB177" s="1810">
        <f t="shared" ref="AB177:AB179" si="124">100*AA177/Z177</f>
        <v>100</v>
      </c>
      <c r="AC177" s="876"/>
      <c r="AD177" s="1525">
        <f t="shared" ref="AD177:AS179" si="125">SUMIF($AV$6:$BS$6,AD$5,$AV177:$BS177)</f>
        <v>0</v>
      </c>
      <c r="AE177" s="1525">
        <f t="shared" si="125"/>
        <v>0</v>
      </c>
      <c r="AF177" s="1525">
        <f t="shared" si="125"/>
        <v>0</v>
      </c>
      <c r="AG177" s="1525">
        <f t="shared" si="125"/>
        <v>0</v>
      </c>
      <c r="AH177" s="1525">
        <f t="shared" si="125"/>
        <v>0</v>
      </c>
      <c r="AI177" s="1525">
        <f t="shared" si="125"/>
        <v>0</v>
      </c>
      <c r="AJ177" s="1525">
        <f t="shared" si="125"/>
        <v>0</v>
      </c>
      <c r="AK177" s="1525">
        <f t="shared" si="125"/>
        <v>0</v>
      </c>
      <c r="AL177" s="1525">
        <f t="shared" si="125"/>
        <v>0</v>
      </c>
      <c r="AM177" s="1525">
        <f t="shared" si="125"/>
        <v>0</v>
      </c>
      <c r="AN177" s="1525">
        <f t="shared" si="125"/>
        <v>0</v>
      </c>
      <c r="AO177" s="1525">
        <f t="shared" si="125"/>
        <v>0</v>
      </c>
      <c r="AP177" s="1525">
        <f t="shared" si="125"/>
        <v>0</v>
      </c>
      <c r="AQ177" s="1525">
        <f t="shared" si="125"/>
        <v>0</v>
      </c>
      <c r="AR177" s="1525">
        <f t="shared" si="125"/>
        <v>0</v>
      </c>
      <c r="AS177" s="1525">
        <f t="shared" si="125"/>
        <v>1</v>
      </c>
      <c r="AU177" s="1525"/>
      <c r="AV177" s="1291"/>
      <c r="AW177" s="1292"/>
      <c r="AX177" s="1292"/>
      <c r="AY177" s="1292"/>
      <c r="AZ177" s="1292"/>
      <c r="BA177" s="1292"/>
      <c r="BB177" s="1292"/>
      <c r="BC177" s="1292"/>
      <c r="BD177" s="1292"/>
      <c r="BE177" s="1292"/>
      <c r="BF177" s="1292"/>
      <c r="BG177" s="1292"/>
      <c r="BH177" s="1292"/>
      <c r="BI177" s="1292"/>
      <c r="BJ177" s="1292"/>
      <c r="BK177" s="1292"/>
      <c r="BL177" s="1292"/>
      <c r="BM177" s="1292"/>
      <c r="BN177" s="1292"/>
      <c r="BO177" s="1292"/>
      <c r="BP177" s="1292">
        <v>1</v>
      </c>
      <c r="BQ177" s="1292"/>
      <c r="BR177" s="1292"/>
      <c r="BS177" s="1292"/>
      <c r="BT177" s="1670">
        <f t="shared" ref="BT177:BT179" si="126">SUM(AV177:BS177)</f>
        <v>1</v>
      </c>
      <c r="BW177" s="859" t="s">
        <v>729</v>
      </c>
    </row>
    <row r="178" spans="2:75" ht="12.75" customHeight="1" x14ac:dyDescent="0.2">
      <c r="B178" s="175">
        <f>B177+1</f>
        <v>2</v>
      </c>
      <c r="C178" s="219">
        <v>8</v>
      </c>
      <c r="E178" s="12" t="s">
        <v>284</v>
      </c>
      <c r="F178" s="4" t="s">
        <v>730</v>
      </c>
      <c r="G178" s="859" t="s">
        <v>1918</v>
      </c>
      <c r="H178" s="858">
        <v>5645</v>
      </c>
      <c r="I178" s="200" t="s">
        <v>351</v>
      </c>
      <c r="J178" s="174"/>
      <c r="K178" s="174"/>
      <c r="L178" s="861">
        <v>1</v>
      </c>
      <c r="M178" s="858">
        <f>K178+L178</f>
        <v>1</v>
      </c>
      <c r="N178" s="857" t="s">
        <v>892</v>
      </c>
      <c r="O178" s="1196">
        <v>15684</v>
      </c>
      <c r="P178" s="1218">
        <f ca="1">YEARFRAC(TODAY(),O178)</f>
        <v>74.813888888888883</v>
      </c>
      <c r="Q178" s="1148">
        <v>25500</v>
      </c>
      <c r="R178" s="885"/>
      <c r="S178" s="875">
        <v>3000</v>
      </c>
      <c r="T178" s="875"/>
      <c r="U178" s="875"/>
      <c r="V178" s="875"/>
      <c r="W178" s="875"/>
      <c r="X178" s="1026">
        <f>(Q178+R178+S178+T178+U178+V178+W178)*M178</f>
        <v>28500</v>
      </c>
      <c r="Y178" s="1512">
        <f>(T178+U178)*M178/(X178-M178*(T178+U178))</f>
        <v>0</v>
      </c>
      <c r="Z178" s="1741">
        <f>M178*(1+Y178)</f>
        <v>1</v>
      </c>
      <c r="AA178" s="1749">
        <f>SUM(AD178:AS178)</f>
        <v>1</v>
      </c>
      <c r="AB178" s="1810">
        <f t="shared" si="124"/>
        <v>100</v>
      </c>
      <c r="AC178" s="876"/>
      <c r="AD178" s="1525">
        <f t="shared" si="125"/>
        <v>0</v>
      </c>
      <c r="AE178" s="1525">
        <f t="shared" si="125"/>
        <v>0</v>
      </c>
      <c r="AF178" s="1525">
        <f t="shared" si="125"/>
        <v>0</v>
      </c>
      <c r="AG178" s="1525">
        <f t="shared" si="125"/>
        <v>0</v>
      </c>
      <c r="AH178" s="1525">
        <f t="shared" si="125"/>
        <v>0</v>
      </c>
      <c r="AI178" s="1525">
        <f t="shared" si="125"/>
        <v>0</v>
      </c>
      <c r="AJ178" s="1525">
        <f t="shared" si="125"/>
        <v>0</v>
      </c>
      <c r="AK178" s="1525">
        <f t="shared" si="125"/>
        <v>0</v>
      </c>
      <c r="AL178" s="1525">
        <f t="shared" si="125"/>
        <v>0</v>
      </c>
      <c r="AM178" s="1525">
        <f t="shared" si="125"/>
        <v>0</v>
      </c>
      <c r="AN178" s="1525">
        <f t="shared" si="125"/>
        <v>0</v>
      </c>
      <c r="AO178" s="1525">
        <f t="shared" si="125"/>
        <v>0</v>
      </c>
      <c r="AP178" s="1525">
        <f t="shared" si="125"/>
        <v>0</v>
      </c>
      <c r="AQ178" s="1525">
        <f t="shared" si="125"/>
        <v>0</v>
      </c>
      <c r="AR178" s="1525">
        <f t="shared" si="125"/>
        <v>0</v>
      </c>
      <c r="AS178" s="1525">
        <f t="shared" si="125"/>
        <v>1</v>
      </c>
      <c r="AU178" s="1525"/>
      <c r="AV178" s="1291"/>
      <c r="AW178" s="1292"/>
      <c r="AX178" s="1292"/>
      <c r="AY178" s="1292"/>
      <c r="AZ178" s="1292"/>
      <c r="BA178" s="1292"/>
      <c r="BB178" s="1292"/>
      <c r="BC178" s="1292"/>
      <c r="BD178" s="1292"/>
      <c r="BE178" s="1292"/>
      <c r="BF178" s="1292"/>
      <c r="BG178" s="1292"/>
      <c r="BH178" s="1292"/>
      <c r="BI178" s="1292"/>
      <c r="BJ178" s="1292"/>
      <c r="BK178" s="1292"/>
      <c r="BL178" s="1292"/>
      <c r="BM178" s="1292"/>
      <c r="BN178" s="1292"/>
      <c r="BO178" s="1292"/>
      <c r="BP178" s="1292">
        <v>1</v>
      </c>
      <c r="BQ178" s="1292"/>
      <c r="BR178" s="1292"/>
      <c r="BS178" s="1292"/>
      <c r="BT178" s="1670">
        <f t="shared" si="126"/>
        <v>1</v>
      </c>
      <c r="BW178" s="859" t="s">
        <v>1918</v>
      </c>
    </row>
    <row r="179" spans="2:75" ht="12.75" customHeight="1" x14ac:dyDescent="0.2">
      <c r="B179" s="175">
        <f>B178+1</f>
        <v>3</v>
      </c>
      <c r="C179" s="219">
        <v>14</v>
      </c>
      <c r="E179" s="12" t="s">
        <v>284</v>
      </c>
      <c r="F179" s="26" t="s">
        <v>626</v>
      </c>
      <c r="G179" s="894" t="s">
        <v>1793</v>
      </c>
      <c r="H179" s="873">
        <v>161769</v>
      </c>
      <c r="I179" s="196" t="s">
        <v>583</v>
      </c>
      <c r="J179" s="195"/>
      <c r="K179" s="195"/>
      <c r="L179" s="873">
        <v>1</v>
      </c>
      <c r="M179" s="873">
        <v>1</v>
      </c>
      <c r="N179" s="872" t="s">
        <v>892</v>
      </c>
      <c r="O179" s="1196">
        <v>31581</v>
      </c>
      <c r="P179" s="1218">
        <f ca="1">YEARFRAC(TODAY(),O179)</f>
        <v>31.288888888888888</v>
      </c>
      <c r="Q179" s="1148">
        <v>20000</v>
      </c>
      <c r="R179" s="885"/>
      <c r="S179" s="875"/>
      <c r="T179" s="875"/>
      <c r="U179" s="875"/>
      <c r="V179" s="875"/>
      <c r="W179" s="875"/>
      <c r="X179" s="1026">
        <f>(Q179+R179+S179+T179+U179+V179+W179)*M179</f>
        <v>20000</v>
      </c>
      <c r="Y179" s="1512">
        <f>(T179+U179)*M179/(X179-M179*(T179+U179))</f>
        <v>0</v>
      </c>
      <c r="Z179" s="1741">
        <f>M179*(1+Y179)</f>
        <v>1</v>
      </c>
      <c r="AA179" s="1749">
        <f>SUM(AD179:AS179)</f>
        <v>1</v>
      </c>
      <c r="AB179" s="1810">
        <f t="shared" si="124"/>
        <v>100</v>
      </c>
      <c r="AC179" s="876"/>
      <c r="AD179" s="1525">
        <f t="shared" si="125"/>
        <v>0</v>
      </c>
      <c r="AE179" s="1525">
        <f t="shared" si="125"/>
        <v>0</v>
      </c>
      <c r="AF179" s="1525">
        <f t="shared" si="125"/>
        <v>0</v>
      </c>
      <c r="AG179" s="1525">
        <f t="shared" si="125"/>
        <v>0</v>
      </c>
      <c r="AH179" s="1525">
        <f t="shared" si="125"/>
        <v>0</v>
      </c>
      <c r="AI179" s="1525">
        <f t="shared" si="125"/>
        <v>0</v>
      </c>
      <c r="AJ179" s="1525">
        <f t="shared" si="125"/>
        <v>0</v>
      </c>
      <c r="AK179" s="1525">
        <f t="shared" si="125"/>
        <v>0</v>
      </c>
      <c r="AL179" s="1525">
        <f t="shared" si="125"/>
        <v>0</v>
      </c>
      <c r="AM179" s="1525">
        <f t="shared" si="125"/>
        <v>0</v>
      </c>
      <c r="AN179" s="1525">
        <f t="shared" si="125"/>
        <v>0</v>
      </c>
      <c r="AO179" s="1525">
        <f t="shared" si="125"/>
        <v>0</v>
      </c>
      <c r="AP179" s="1525">
        <f t="shared" si="125"/>
        <v>0</v>
      </c>
      <c r="AQ179" s="1525">
        <f t="shared" si="125"/>
        <v>0</v>
      </c>
      <c r="AR179" s="1525">
        <f t="shared" si="125"/>
        <v>0</v>
      </c>
      <c r="AS179" s="1525">
        <f t="shared" si="125"/>
        <v>1</v>
      </c>
      <c r="AU179" s="1525"/>
      <c r="AV179" s="1291"/>
      <c r="AW179" s="1292"/>
      <c r="AX179" s="1292"/>
      <c r="AY179" s="1292"/>
      <c r="AZ179" s="1292"/>
      <c r="BA179" s="1292"/>
      <c r="BB179" s="1292"/>
      <c r="BC179" s="1292"/>
      <c r="BD179" s="1292"/>
      <c r="BE179" s="1292"/>
      <c r="BF179" s="1292"/>
      <c r="BG179" s="1292"/>
      <c r="BH179" s="1292"/>
      <c r="BI179" s="1292"/>
      <c r="BJ179" s="1292"/>
      <c r="BK179" s="1292"/>
      <c r="BL179" s="1292"/>
      <c r="BM179" s="1292"/>
      <c r="BN179" s="1292"/>
      <c r="BO179" s="1292"/>
      <c r="BP179" s="1292">
        <v>1</v>
      </c>
      <c r="BQ179" s="1292"/>
      <c r="BR179" s="1292"/>
      <c r="BS179" s="1292"/>
      <c r="BT179" s="1670">
        <f t="shared" si="126"/>
        <v>1</v>
      </c>
      <c r="BW179" s="894" t="s">
        <v>1793</v>
      </c>
    </row>
    <row r="180" spans="2:75" s="164" customFormat="1" ht="12.75" customHeight="1" x14ac:dyDescent="0.2">
      <c r="B180" s="175"/>
      <c r="C180" s="219" t="s">
        <v>1120</v>
      </c>
      <c r="F180" s="24" t="s">
        <v>379</v>
      </c>
      <c r="G180" s="895"/>
      <c r="H180" s="1346" t="s">
        <v>1508</v>
      </c>
      <c r="I180" s="200"/>
      <c r="J180" s="189"/>
      <c r="K180" s="1652">
        <f>SUM(K177:K179)</f>
        <v>0</v>
      </c>
      <c r="L180" s="1123">
        <f>SUM(L177:L179)</f>
        <v>3</v>
      </c>
      <c r="M180" s="1123">
        <f>SUM(M177:M179)</f>
        <v>3</v>
      </c>
      <c r="N180" s="896"/>
      <c r="O180" s="1192"/>
      <c r="P180" s="550"/>
      <c r="Q180" s="1153"/>
      <c r="R180" s="877"/>
      <c r="S180" s="875"/>
      <c r="T180" s="875"/>
      <c r="U180" s="875"/>
      <c r="V180" s="875"/>
      <c r="W180" s="875"/>
      <c r="X180" s="1026"/>
      <c r="Y180" s="1335"/>
      <c r="Z180" s="1335"/>
      <c r="AA180" s="1775"/>
      <c r="AB180" s="1814"/>
      <c r="AC180" s="876"/>
      <c r="AD180" s="1295"/>
      <c r="AE180" s="1525"/>
      <c r="AF180" s="1525"/>
      <c r="AG180" s="1525"/>
      <c r="AH180" s="1525"/>
      <c r="AI180" s="1525"/>
      <c r="AJ180" s="1525"/>
      <c r="AK180" s="1525"/>
      <c r="AL180" s="1525"/>
      <c r="AM180" s="1525"/>
      <c r="AN180" s="1525"/>
      <c r="AO180" s="1525"/>
      <c r="AP180" s="1525"/>
      <c r="AQ180" s="1525"/>
      <c r="AR180" s="1525"/>
      <c r="AS180" s="1525"/>
      <c r="AU180" s="1525"/>
      <c r="AV180" s="1295"/>
      <c r="AW180" s="1525"/>
      <c r="AX180" s="1525"/>
      <c r="AY180" s="1525"/>
      <c r="AZ180" s="1525"/>
      <c r="BA180" s="1525"/>
      <c r="BB180" s="1525"/>
      <c r="BC180" s="1525"/>
      <c r="BD180" s="1525"/>
      <c r="BE180" s="1525"/>
      <c r="BF180" s="1525"/>
      <c r="BG180" s="1525"/>
      <c r="BH180" s="1525"/>
      <c r="BI180" s="1525"/>
      <c r="BJ180" s="1525"/>
      <c r="BK180" s="1525"/>
      <c r="BL180" s="1525"/>
      <c r="BM180" s="1525"/>
      <c r="BN180" s="1525"/>
      <c r="BO180" s="1525"/>
      <c r="BP180" s="1525"/>
      <c r="BQ180" s="1525"/>
      <c r="BR180" s="1525"/>
      <c r="BS180" s="1525"/>
      <c r="BT180" s="1670"/>
      <c r="BV180"/>
      <c r="BW180" s="895"/>
    </row>
    <row r="181" spans="2:75" s="164" customFormat="1" ht="12.75" customHeight="1" x14ac:dyDescent="0.15">
      <c r="B181" s="175"/>
      <c r="F181" s="24"/>
      <c r="G181" s="862"/>
      <c r="H181" s="1346" t="s">
        <v>1508</v>
      </c>
      <c r="I181" s="200"/>
      <c r="J181" s="189"/>
      <c r="K181" s="189"/>
      <c r="L181" s="858"/>
      <c r="M181" s="858"/>
      <c r="N181" s="857"/>
      <c r="O181" s="1200"/>
      <c r="P181" s="550"/>
      <c r="Q181" s="1153"/>
      <c r="R181" s="877"/>
      <c r="S181" s="875"/>
      <c r="T181" s="875"/>
      <c r="U181" s="875"/>
      <c r="V181" s="875"/>
      <c r="W181" s="875"/>
      <c r="X181" s="1026"/>
      <c r="Y181" s="1754"/>
      <c r="Z181" s="1755"/>
      <c r="AA181" s="1775"/>
      <c r="AB181" s="1814"/>
      <c r="AC181" s="876"/>
      <c r="AD181" s="1295"/>
      <c r="AE181" s="1525"/>
      <c r="AF181" s="1525"/>
      <c r="AG181" s="1525"/>
      <c r="AH181" s="1525"/>
      <c r="AI181" s="1525"/>
      <c r="AJ181" s="1525"/>
      <c r="AK181" s="1525"/>
      <c r="AL181" s="1525"/>
      <c r="AM181" s="1525"/>
      <c r="AN181" s="1525"/>
      <c r="AO181" s="1525"/>
      <c r="AP181" s="1525"/>
      <c r="AQ181" s="1525"/>
      <c r="AR181" s="1525"/>
      <c r="AS181" s="1525"/>
      <c r="AU181" s="1525"/>
      <c r="AV181" s="1295"/>
      <c r="AW181" s="1525"/>
      <c r="AX181" s="1525"/>
      <c r="AY181" s="1525"/>
      <c r="AZ181" s="1525"/>
      <c r="BA181" s="1525"/>
      <c r="BB181" s="1525"/>
      <c r="BC181" s="1525"/>
      <c r="BD181" s="1525"/>
      <c r="BE181" s="1525"/>
      <c r="BF181" s="1525"/>
      <c r="BG181" s="1525"/>
      <c r="BH181" s="1525"/>
      <c r="BI181" s="1525"/>
      <c r="BJ181" s="1525"/>
      <c r="BK181" s="1525"/>
      <c r="BL181" s="1525"/>
      <c r="BM181" s="1525"/>
      <c r="BN181" s="1525"/>
      <c r="BO181" s="1525"/>
      <c r="BP181" s="1525"/>
      <c r="BQ181" s="1525"/>
      <c r="BR181" s="1525"/>
      <c r="BS181" s="1525"/>
      <c r="BT181" s="1670"/>
      <c r="BV181"/>
      <c r="BW181" s="862"/>
    </row>
    <row r="182" spans="2:75" s="164" customFormat="1" ht="12.75" customHeight="1" x14ac:dyDescent="0.2">
      <c r="B182" s="175"/>
      <c r="F182" s="24" t="s">
        <v>732</v>
      </c>
      <c r="G182" s="898"/>
      <c r="H182" s="1359" t="s">
        <v>1508</v>
      </c>
      <c r="I182" s="200"/>
      <c r="J182" s="189"/>
      <c r="K182" s="189"/>
      <c r="L182" s="897"/>
      <c r="M182" s="897"/>
      <c r="N182" s="857"/>
      <c r="O182" s="1192"/>
      <c r="P182" s="550"/>
      <c r="Q182" s="1153"/>
      <c r="R182" s="877"/>
      <c r="S182" s="875"/>
      <c r="T182" s="875"/>
      <c r="U182" s="875"/>
      <c r="V182" s="875"/>
      <c r="W182" s="875"/>
      <c r="X182" s="1026"/>
      <c r="Y182" s="1754"/>
      <c r="Z182" s="1755"/>
      <c r="AA182" s="1775"/>
      <c r="AB182" s="1814"/>
      <c r="AC182" s="876"/>
      <c r="AD182" s="1295"/>
      <c r="AE182" s="1525"/>
      <c r="AF182" s="1525"/>
      <c r="AG182" s="1525"/>
      <c r="AH182" s="1525"/>
      <c r="AI182" s="1525"/>
      <c r="AJ182" s="1525"/>
      <c r="AK182" s="1525"/>
      <c r="AL182" s="1525"/>
      <c r="AM182" s="1525"/>
      <c r="AN182" s="1525"/>
      <c r="AO182" s="1525"/>
      <c r="AP182" s="1525"/>
      <c r="AQ182" s="1525"/>
      <c r="AR182" s="1525"/>
      <c r="AS182" s="1525"/>
      <c r="AU182" s="1525"/>
      <c r="AV182" s="1295"/>
      <c r="AW182" s="1525"/>
      <c r="AX182" s="1525"/>
      <c r="AY182" s="1525"/>
      <c r="AZ182" s="1525"/>
      <c r="BA182" s="1525"/>
      <c r="BB182" s="1525"/>
      <c r="BC182" s="1525"/>
      <c r="BD182" s="1525"/>
      <c r="BE182" s="1525"/>
      <c r="BF182" s="1525"/>
      <c r="BG182" s="1525"/>
      <c r="BH182" s="1525"/>
      <c r="BI182" s="1525"/>
      <c r="BJ182" s="1525"/>
      <c r="BK182" s="1525"/>
      <c r="BL182" s="1525"/>
      <c r="BM182" s="1525"/>
      <c r="BN182" s="1525"/>
      <c r="BO182" s="1525"/>
      <c r="BP182" s="1525"/>
      <c r="BQ182" s="1525"/>
      <c r="BR182" s="1525"/>
      <c r="BS182" s="1525"/>
      <c r="BT182" s="1670"/>
      <c r="BV182"/>
      <c r="BW182" s="898"/>
    </row>
    <row r="183" spans="2:75" s="164" customFormat="1" ht="12.75" customHeight="1" x14ac:dyDescent="0.2">
      <c r="B183" s="175"/>
      <c r="F183" s="21"/>
      <c r="G183" s="859"/>
      <c r="H183" s="1346" t="s">
        <v>1508</v>
      </c>
      <c r="I183" s="200"/>
      <c r="J183" s="189"/>
      <c r="K183" s="189"/>
      <c r="L183" s="858"/>
      <c r="M183" s="858"/>
      <c r="N183" s="857"/>
      <c r="O183" s="1192"/>
      <c r="P183" s="550"/>
      <c r="Q183" s="1153"/>
      <c r="R183" s="877"/>
      <c r="S183" s="875"/>
      <c r="T183" s="875"/>
      <c r="U183" s="875"/>
      <c r="V183" s="875"/>
      <c r="W183" s="875"/>
      <c r="X183" s="1026"/>
      <c r="Y183" s="1754"/>
      <c r="Z183" s="1755"/>
      <c r="AA183" s="1775"/>
      <c r="AB183" s="1814"/>
      <c r="AC183" s="876"/>
      <c r="AD183" s="1295"/>
      <c r="AE183" s="1525"/>
      <c r="AF183" s="1525"/>
      <c r="AG183" s="1525"/>
      <c r="AH183" s="1525"/>
      <c r="AI183" s="1525"/>
      <c r="AJ183" s="1525"/>
      <c r="AK183" s="1525"/>
      <c r="AL183" s="1525"/>
      <c r="AM183" s="1525"/>
      <c r="AN183" s="1525"/>
      <c r="AO183" s="1525"/>
      <c r="AP183" s="1525"/>
      <c r="AQ183" s="1525"/>
      <c r="AR183" s="1525"/>
      <c r="AS183" s="1525"/>
      <c r="AU183" s="1525"/>
      <c r="AV183" s="1295"/>
      <c r="AW183" s="1525"/>
      <c r="AX183" s="1525"/>
      <c r="AY183" s="1525"/>
      <c r="AZ183" s="1525"/>
      <c r="BA183" s="1525"/>
      <c r="BB183" s="1525"/>
      <c r="BC183" s="1525"/>
      <c r="BD183" s="1525"/>
      <c r="BE183" s="1525"/>
      <c r="BF183" s="1525"/>
      <c r="BG183" s="1525"/>
      <c r="BH183" s="1525"/>
      <c r="BI183" s="1525"/>
      <c r="BJ183" s="1525"/>
      <c r="BK183" s="1525"/>
      <c r="BL183" s="1525"/>
      <c r="BM183" s="1525"/>
      <c r="BN183" s="1525"/>
      <c r="BO183" s="1525"/>
      <c r="BP183" s="1525"/>
      <c r="BQ183" s="1525"/>
      <c r="BR183" s="1525"/>
      <c r="BS183" s="1525"/>
      <c r="BT183" s="1670"/>
      <c r="BV183"/>
      <c r="BW183" s="859"/>
    </row>
    <row r="184" spans="2:75" ht="12.75" customHeight="1" x14ac:dyDescent="0.2">
      <c r="B184" s="175">
        <f>B183+1</f>
        <v>1</v>
      </c>
      <c r="C184" s="219">
        <v>12</v>
      </c>
      <c r="E184" s="12" t="s">
        <v>284</v>
      </c>
      <c r="F184" s="24" t="s">
        <v>1235</v>
      </c>
      <c r="G184" s="859" t="s">
        <v>1237</v>
      </c>
      <c r="H184" s="858">
        <v>224240</v>
      </c>
      <c r="I184" s="200" t="s">
        <v>583</v>
      </c>
      <c r="J184" s="189"/>
      <c r="K184" s="189"/>
      <c r="L184" s="858">
        <v>1</v>
      </c>
      <c r="M184" s="858">
        <f>K184+L184</f>
        <v>1</v>
      </c>
      <c r="N184" s="857" t="s">
        <v>892</v>
      </c>
      <c r="O184" s="1196">
        <v>16982</v>
      </c>
      <c r="P184" s="1218">
        <f ca="1">YEARFRAC(TODAY(),O184)</f>
        <v>71.25833333333334</v>
      </c>
      <c r="Q184" s="1148">
        <v>37200</v>
      </c>
      <c r="R184" s="885"/>
      <c r="S184" s="875"/>
      <c r="T184" s="875">
        <v>3000</v>
      </c>
      <c r="U184" s="875"/>
      <c r="V184" s="875"/>
      <c r="W184" s="875"/>
      <c r="X184" s="1026">
        <f>(Q184+R184+S184+T184+U184+V184+W184)*M184</f>
        <v>40200</v>
      </c>
      <c r="Y184" s="1512">
        <f>(T184+U184)*M184/(X184-M184*(T184+U184))</f>
        <v>8.0645161290322578E-2</v>
      </c>
      <c r="Z184" s="1741">
        <f>M184*(1+Y184)</f>
        <v>1.0806451612903225</v>
      </c>
      <c r="AA184" s="1749">
        <f>SUM(AD184:AS184)</f>
        <v>1</v>
      </c>
      <c r="AB184" s="1810">
        <f t="shared" ref="AB184:AB185" si="127">100*AA184/Z184</f>
        <v>92.53731343283583</v>
      </c>
      <c r="AC184" s="876"/>
      <c r="AD184" s="1525">
        <f t="shared" ref="AD184:AS185" si="128">SUMIF($AV$6:$BS$6,AD$5,$AV184:$BS184)</f>
        <v>0</v>
      </c>
      <c r="AE184" s="1525">
        <f t="shared" si="128"/>
        <v>0</v>
      </c>
      <c r="AF184" s="1525">
        <f t="shared" si="128"/>
        <v>0</v>
      </c>
      <c r="AG184" s="1525">
        <f t="shared" si="128"/>
        <v>0</v>
      </c>
      <c r="AH184" s="1525">
        <f t="shared" si="128"/>
        <v>0</v>
      </c>
      <c r="AI184" s="1525">
        <f t="shared" si="128"/>
        <v>0</v>
      </c>
      <c r="AJ184" s="1525">
        <f t="shared" si="128"/>
        <v>0</v>
      </c>
      <c r="AK184" s="1525">
        <f t="shared" si="128"/>
        <v>0</v>
      </c>
      <c r="AL184" s="1525">
        <f t="shared" si="128"/>
        <v>0</v>
      </c>
      <c r="AM184" s="1525">
        <f t="shared" si="128"/>
        <v>0</v>
      </c>
      <c r="AN184" s="1525">
        <f t="shared" si="128"/>
        <v>0</v>
      </c>
      <c r="AO184" s="1525">
        <f t="shared" si="128"/>
        <v>0</v>
      </c>
      <c r="AP184" s="1525">
        <f t="shared" si="128"/>
        <v>0</v>
      </c>
      <c r="AQ184" s="1525">
        <f t="shared" si="128"/>
        <v>0</v>
      </c>
      <c r="AR184" s="1525">
        <f t="shared" si="128"/>
        <v>0</v>
      </c>
      <c r="AS184" s="1525">
        <f t="shared" si="128"/>
        <v>1</v>
      </c>
      <c r="AU184" s="1525"/>
      <c r="AV184" s="1291"/>
      <c r="AW184" s="1292"/>
      <c r="AX184" s="1292"/>
      <c r="AY184" s="1292"/>
      <c r="AZ184" s="1292"/>
      <c r="BA184" s="1292"/>
      <c r="BB184" s="1292"/>
      <c r="BC184" s="1292"/>
      <c r="BD184" s="1292"/>
      <c r="BE184" s="1292"/>
      <c r="BF184" s="1292"/>
      <c r="BG184" s="1292"/>
      <c r="BH184" s="1292"/>
      <c r="BI184" s="1292"/>
      <c r="BJ184" s="1292"/>
      <c r="BK184" s="1292"/>
      <c r="BL184" s="1292"/>
      <c r="BM184" s="1292"/>
      <c r="BN184" s="1292"/>
      <c r="BO184" s="1292"/>
      <c r="BP184" s="1292">
        <v>1</v>
      </c>
      <c r="BQ184" s="1292"/>
      <c r="BR184" s="1292"/>
      <c r="BS184" s="1292"/>
      <c r="BT184" s="1670">
        <f t="shared" ref="BT184:BT185" si="129">SUM(AV184:BS184)</f>
        <v>1</v>
      </c>
      <c r="BW184" s="859" t="s">
        <v>1237</v>
      </c>
    </row>
    <row r="185" spans="2:75" ht="12.75" customHeight="1" x14ac:dyDescent="0.2">
      <c r="B185" s="175">
        <f>B184+1</f>
        <v>2</v>
      </c>
      <c r="C185" s="219">
        <v>18</v>
      </c>
      <c r="E185" s="12" t="s">
        <v>284</v>
      </c>
      <c r="F185" s="24" t="s">
        <v>582</v>
      </c>
      <c r="G185" s="859" t="s">
        <v>636</v>
      </c>
      <c r="H185" s="858">
        <v>110992</v>
      </c>
      <c r="I185" s="200" t="s">
        <v>1442</v>
      </c>
      <c r="J185" s="189"/>
      <c r="K185" s="189"/>
      <c r="L185" s="858">
        <v>1</v>
      </c>
      <c r="M185" s="858">
        <v>1</v>
      </c>
      <c r="N185" s="857" t="s">
        <v>1326</v>
      </c>
      <c r="O185" s="1196">
        <v>25525</v>
      </c>
      <c r="P185" s="1218">
        <f ca="1">YEARFRAC(TODAY(),O185)</f>
        <v>47.87222222222222</v>
      </c>
      <c r="Q185" s="1071">
        <v>30000</v>
      </c>
      <c r="R185" s="890">
        <f>Q185*0.1</f>
        <v>3000</v>
      </c>
      <c r="S185" s="891"/>
      <c r="T185" s="891"/>
      <c r="U185" s="891"/>
      <c r="V185" s="891"/>
      <c r="W185" s="891"/>
      <c r="X185" s="1026">
        <f>(Q185+R185+S185+T185+U185+V185+W185)*M185</f>
        <v>33000</v>
      </c>
      <c r="Y185" s="1512">
        <f>(T185+U185)*M185/(X185-M185*(T185+U185))</f>
        <v>0</v>
      </c>
      <c r="Z185" s="1741">
        <f>M185*(1+Y185)</f>
        <v>1</v>
      </c>
      <c r="AA185" s="1749">
        <f>SUM(AD185:AS185)</f>
        <v>1</v>
      </c>
      <c r="AB185" s="1810">
        <f t="shared" si="127"/>
        <v>100</v>
      </c>
      <c r="AC185" s="876"/>
      <c r="AD185" s="1525">
        <f t="shared" si="128"/>
        <v>0</v>
      </c>
      <c r="AE185" s="1525">
        <f t="shared" si="128"/>
        <v>0</v>
      </c>
      <c r="AF185" s="1525">
        <f t="shared" si="128"/>
        <v>0</v>
      </c>
      <c r="AG185" s="1525">
        <f t="shared" si="128"/>
        <v>0</v>
      </c>
      <c r="AH185" s="1525">
        <f t="shared" si="128"/>
        <v>0</v>
      </c>
      <c r="AI185" s="1525">
        <f t="shared" si="128"/>
        <v>0</v>
      </c>
      <c r="AJ185" s="1525">
        <f t="shared" si="128"/>
        <v>0</v>
      </c>
      <c r="AK185" s="1525">
        <f t="shared" si="128"/>
        <v>0</v>
      </c>
      <c r="AL185" s="1525">
        <f t="shared" si="128"/>
        <v>0</v>
      </c>
      <c r="AM185" s="1525">
        <f t="shared" si="128"/>
        <v>0</v>
      </c>
      <c r="AN185" s="1525">
        <f t="shared" si="128"/>
        <v>0</v>
      </c>
      <c r="AO185" s="1525">
        <f t="shared" si="128"/>
        <v>0</v>
      </c>
      <c r="AP185" s="1525">
        <f t="shared" si="128"/>
        <v>0</v>
      </c>
      <c r="AQ185" s="1525">
        <f t="shared" si="128"/>
        <v>0</v>
      </c>
      <c r="AR185" s="1525">
        <f t="shared" si="128"/>
        <v>0</v>
      </c>
      <c r="AS185" s="1525">
        <f t="shared" si="128"/>
        <v>1</v>
      </c>
      <c r="AU185" s="1525"/>
      <c r="AV185" s="1291"/>
      <c r="AW185" s="1292"/>
      <c r="AX185" s="1292"/>
      <c r="AY185" s="1292"/>
      <c r="AZ185" s="1292"/>
      <c r="BA185" s="1292"/>
      <c r="BB185" s="1292"/>
      <c r="BC185" s="1292"/>
      <c r="BD185" s="1292"/>
      <c r="BE185" s="1292"/>
      <c r="BF185" s="1292"/>
      <c r="BG185" s="1292"/>
      <c r="BH185" s="1292"/>
      <c r="BI185" s="1292"/>
      <c r="BJ185" s="1292"/>
      <c r="BK185" s="1292"/>
      <c r="BL185" s="1292"/>
      <c r="BM185" s="1292"/>
      <c r="BN185" s="1292"/>
      <c r="BO185" s="1292"/>
      <c r="BP185" s="1292">
        <v>1</v>
      </c>
      <c r="BQ185" s="1292"/>
      <c r="BR185" s="1292"/>
      <c r="BS185" s="1292"/>
      <c r="BT185" s="1670">
        <f t="shared" si="129"/>
        <v>1</v>
      </c>
      <c r="BW185" s="859" t="s">
        <v>636</v>
      </c>
    </row>
    <row r="186" spans="2:75" s="164" customFormat="1" ht="12.75" customHeight="1" x14ac:dyDescent="0.2">
      <c r="B186" s="175"/>
      <c r="C186" s="219" t="s">
        <v>1120</v>
      </c>
      <c r="F186" s="33" t="s">
        <v>1238</v>
      </c>
      <c r="G186" s="900"/>
      <c r="H186" s="1360" t="s">
        <v>1508</v>
      </c>
      <c r="I186" s="201"/>
      <c r="J186" s="199"/>
      <c r="K186" s="199"/>
      <c r="L186" s="899">
        <f>SUM(L184:L185)</f>
        <v>2</v>
      </c>
      <c r="M186" s="899">
        <f>SUM(M184:M185)</f>
        <v>2</v>
      </c>
      <c r="N186" s="901"/>
      <c r="O186" s="1192"/>
      <c r="P186" s="550"/>
      <c r="Q186" s="1153"/>
      <c r="R186" s="884"/>
      <c r="S186" s="876"/>
      <c r="T186" s="876"/>
      <c r="U186" s="876"/>
      <c r="V186" s="876"/>
      <c r="W186" s="876"/>
      <c r="X186" s="1026"/>
      <c r="Y186" s="1335"/>
      <c r="Z186" s="1335"/>
      <c r="AA186" s="1775"/>
      <c r="AB186" s="1814"/>
      <c r="AC186" s="876"/>
      <c r="AD186" s="1295"/>
      <c r="AE186" s="1525"/>
      <c r="AF186" s="1525"/>
      <c r="AG186" s="1525"/>
      <c r="AH186" s="1525"/>
      <c r="AI186" s="1525"/>
      <c r="AJ186" s="1525"/>
      <c r="AK186" s="1525"/>
      <c r="AL186" s="1525"/>
      <c r="AM186" s="1525"/>
      <c r="AN186" s="1525"/>
      <c r="AO186" s="1525"/>
      <c r="AP186" s="1525"/>
      <c r="AQ186" s="1525"/>
      <c r="AR186" s="1525"/>
      <c r="AS186" s="1525"/>
      <c r="AU186" s="1525"/>
      <c r="AV186" s="1295"/>
      <c r="AW186" s="1525"/>
      <c r="AX186" s="1525"/>
      <c r="AY186" s="1525"/>
      <c r="AZ186" s="1525"/>
      <c r="BA186" s="1525"/>
      <c r="BB186" s="1525"/>
      <c r="BC186" s="1525"/>
      <c r="BD186" s="1525"/>
      <c r="BE186" s="1525"/>
      <c r="BF186" s="1525"/>
      <c r="BG186" s="1525"/>
      <c r="BH186" s="1525"/>
      <c r="BI186" s="1525"/>
      <c r="BJ186" s="1525"/>
      <c r="BK186" s="1525"/>
      <c r="BL186" s="1525"/>
      <c r="BM186" s="1525"/>
      <c r="BN186" s="1525"/>
      <c r="BO186" s="1525"/>
      <c r="BP186" s="1525"/>
      <c r="BQ186" s="1525"/>
      <c r="BR186" s="1525"/>
      <c r="BS186" s="1525"/>
      <c r="BT186" s="1670"/>
      <c r="BV186"/>
      <c r="BW186" s="900"/>
    </row>
    <row r="187" spans="2:75" s="164" customFormat="1" ht="12.75" customHeight="1" x14ac:dyDescent="0.2">
      <c r="B187" s="175"/>
      <c r="C187" s="219" t="s">
        <v>1120</v>
      </c>
      <c r="F187" s="24" t="s">
        <v>1239</v>
      </c>
      <c r="G187" s="859"/>
      <c r="H187" s="1361" t="s">
        <v>1508</v>
      </c>
      <c r="I187" s="200"/>
      <c r="J187" s="189"/>
      <c r="K187" s="448">
        <f>K180+K186</f>
        <v>0</v>
      </c>
      <c r="L187" s="902">
        <f>L180+L186</f>
        <v>5</v>
      </c>
      <c r="M187" s="902">
        <f>M180+M186</f>
        <v>5</v>
      </c>
      <c r="N187" s="857"/>
      <c r="O187" s="1192"/>
      <c r="P187" s="550"/>
      <c r="Q187" s="1153"/>
      <c r="R187" s="877"/>
      <c r="S187" s="875"/>
      <c r="T187" s="875"/>
      <c r="U187" s="875"/>
      <c r="V187" s="875"/>
      <c r="W187" s="875"/>
      <c r="X187" s="1026"/>
      <c r="Y187" s="1335"/>
      <c r="Z187" s="1335"/>
      <c r="AA187" s="1775"/>
      <c r="AB187" s="1814"/>
      <c r="AC187" s="876"/>
      <c r="AD187" s="1295"/>
      <c r="AE187" s="1525"/>
      <c r="AF187" s="1525"/>
      <c r="AG187" s="1525"/>
      <c r="AH187" s="1525"/>
      <c r="AI187" s="1525"/>
      <c r="AJ187" s="1525"/>
      <c r="AK187" s="1525"/>
      <c r="AL187" s="1525"/>
      <c r="AM187" s="1525"/>
      <c r="AN187" s="1525"/>
      <c r="AO187" s="1525"/>
      <c r="AP187" s="1525"/>
      <c r="AQ187" s="1525"/>
      <c r="AR187" s="1525"/>
      <c r="AS187" s="1525"/>
      <c r="AU187" s="1525"/>
      <c r="AV187" s="1295"/>
      <c r="AW187" s="1525"/>
      <c r="AX187" s="1525"/>
      <c r="AY187" s="1525"/>
      <c r="AZ187" s="1525"/>
      <c r="BA187" s="1525"/>
      <c r="BB187" s="1525"/>
      <c r="BC187" s="1525"/>
      <c r="BD187" s="1525"/>
      <c r="BE187" s="1525"/>
      <c r="BF187" s="1525"/>
      <c r="BG187" s="1525"/>
      <c r="BH187" s="1525"/>
      <c r="BI187" s="1525"/>
      <c r="BJ187" s="1525"/>
      <c r="BK187" s="1525"/>
      <c r="BL187" s="1525"/>
      <c r="BM187" s="1525"/>
      <c r="BN187" s="1525"/>
      <c r="BO187" s="1525"/>
      <c r="BP187" s="1525"/>
      <c r="BQ187" s="1525"/>
      <c r="BR187" s="1525"/>
      <c r="BS187" s="1525"/>
      <c r="BT187" s="1670"/>
      <c r="BV187"/>
      <c r="BW187" s="859"/>
    </row>
    <row r="188" spans="2:75" s="164" customFormat="1" ht="12.75" customHeight="1" x14ac:dyDescent="0.2">
      <c r="B188" s="175"/>
      <c r="F188" s="4"/>
      <c r="G188" s="862"/>
      <c r="H188" s="1347" t="s">
        <v>1508</v>
      </c>
      <c r="I188" s="197"/>
      <c r="J188" s="174"/>
      <c r="K188" s="174"/>
      <c r="L188" s="861"/>
      <c r="M188" s="861"/>
      <c r="N188" s="836"/>
      <c r="O188" s="1192"/>
      <c r="P188" s="550"/>
      <c r="Q188" s="1153"/>
      <c r="R188" s="877"/>
      <c r="S188" s="875"/>
      <c r="T188" s="875"/>
      <c r="U188" s="875"/>
      <c r="V188" s="875"/>
      <c r="W188" s="875"/>
      <c r="X188" s="1026"/>
      <c r="Y188" s="1754"/>
      <c r="Z188" s="1755"/>
      <c r="AA188" s="1775"/>
      <c r="AB188" s="1814"/>
      <c r="AC188" s="876"/>
      <c r="AD188" s="1295"/>
      <c r="AE188" s="1525"/>
      <c r="AF188" s="1525"/>
      <c r="AG188" s="1525"/>
      <c r="AH188" s="1525"/>
      <c r="AI188" s="1525"/>
      <c r="AJ188" s="1525"/>
      <c r="AK188" s="1525"/>
      <c r="AL188" s="1525"/>
      <c r="AM188" s="1525"/>
      <c r="AN188" s="1525"/>
      <c r="AO188" s="1525"/>
      <c r="AP188" s="1525"/>
      <c r="AQ188" s="1525"/>
      <c r="AR188" s="1525"/>
      <c r="AS188" s="1525"/>
      <c r="AU188" s="1525"/>
      <c r="AV188" s="1295"/>
      <c r="AW188" s="1525"/>
      <c r="AX188" s="1525"/>
      <c r="AY188" s="1525"/>
      <c r="AZ188" s="1525"/>
      <c r="BA188" s="1525"/>
      <c r="BB188" s="1525"/>
      <c r="BC188" s="1525"/>
      <c r="BD188" s="1525"/>
      <c r="BE188" s="1525"/>
      <c r="BF188" s="1525"/>
      <c r="BG188" s="1525"/>
      <c r="BH188" s="1525"/>
      <c r="BI188" s="1525"/>
      <c r="BJ188" s="1525"/>
      <c r="BK188" s="1525"/>
      <c r="BL188" s="1525"/>
      <c r="BM188" s="1525"/>
      <c r="BN188" s="1525"/>
      <c r="BO188" s="1525"/>
      <c r="BP188" s="1525"/>
      <c r="BQ188" s="1525"/>
      <c r="BR188" s="1525"/>
      <c r="BS188" s="1525"/>
      <c r="BT188" s="1670"/>
      <c r="BV188"/>
      <c r="BW188" s="862"/>
    </row>
    <row r="189" spans="2:75" s="164" customFormat="1" ht="12.75" customHeight="1" x14ac:dyDescent="0.2">
      <c r="B189" s="175"/>
      <c r="C189" s="707" t="s">
        <v>344</v>
      </c>
      <c r="D189" s="590" t="s">
        <v>346</v>
      </c>
      <c r="E189" s="691" t="s">
        <v>284</v>
      </c>
      <c r="F189" s="603" t="s">
        <v>1240</v>
      </c>
      <c r="G189" s="863">
        <f>COUNTA(G160:G188)</f>
        <v>12</v>
      </c>
      <c r="H189" s="1348" t="s">
        <v>1508</v>
      </c>
      <c r="I189" s="604"/>
      <c r="J189" s="605"/>
      <c r="K189" s="606">
        <f>K162+K173+K187</f>
        <v>0</v>
      </c>
      <c r="L189" s="863">
        <f>L162+L173+L187</f>
        <v>11.5</v>
      </c>
      <c r="M189" s="863">
        <f>M162+M173+M187</f>
        <v>11.5</v>
      </c>
      <c r="N189" s="840"/>
      <c r="O189" s="1201"/>
      <c r="P189" s="1222"/>
      <c r="Q189" s="1154"/>
      <c r="R189" s="887"/>
      <c r="S189" s="880"/>
      <c r="T189" s="880"/>
      <c r="U189" s="880"/>
      <c r="V189" s="880"/>
      <c r="W189" s="880"/>
      <c r="X189" s="1276">
        <f>SUM(X161:X188)</f>
        <v>434400</v>
      </c>
      <c r="Y189" s="1276"/>
      <c r="Z189" s="1665">
        <f t="shared" ref="Z189:AA189" si="130">SUM(Z161:Z188)</f>
        <v>11.853717096547882</v>
      </c>
      <c r="AA189" s="1777">
        <f t="shared" si="130"/>
        <v>11.6</v>
      </c>
      <c r="AB189" s="1813">
        <f t="shared" ref="AB189" si="131">100*AA189/Z189</f>
        <v>97.859598854254997</v>
      </c>
      <c r="AC189" s="1721"/>
      <c r="AD189" s="1531"/>
      <c r="AE189" s="1525"/>
      <c r="AF189" s="1525"/>
      <c r="AG189" s="1525"/>
      <c r="AH189" s="1525"/>
      <c r="AI189" s="1525"/>
      <c r="AJ189" s="1525"/>
      <c r="AK189" s="1525"/>
      <c r="AL189" s="1525"/>
      <c r="AM189" s="1525"/>
      <c r="AN189" s="1525"/>
      <c r="AO189" s="1525"/>
      <c r="AP189" s="1525"/>
      <c r="AQ189" s="1525"/>
      <c r="AR189" s="1525"/>
      <c r="AS189" s="1525"/>
      <c r="AU189" s="1525"/>
      <c r="AV189" s="1295"/>
      <c r="AW189" s="1525"/>
      <c r="AX189" s="1525"/>
      <c r="AY189" s="1525"/>
      <c r="AZ189" s="1525"/>
      <c r="BA189" s="1525"/>
      <c r="BB189" s="1525"/>
      <c r="BC189" s="1525"/>
      <c r="BD189" s="1525"/>
      <c r="BE189" s="1525"/>
      <c r="BF189" s="1525"/>
      <c r="BG189" s="1525"/>
      <c r="BH189" s="1525"/>
      <c r="BI189" s="1525"/>
      <c r="BJ189" s="1525"/>
      <c r="BK189" s="1525"/>
      <c r="BL189" s="1525"/>
      <c r="BM189" s="1525"/>
      <c r="BN189" s="1525"/>
      <c r="BO189" s="1525"/>
      <c r="BP189" s="1525"/>
      <c r="BQ189" s="1525"/>
      <c r="BR189" s="1525"/>
      <c r="BS189" s="1525"/>
      <c r="BT189" s="1670"/>
      <c r="BV189"/>
      <c r="BW189" s="864"/>
    </row>
    <row r="190" spans="2:75" s="164" customFormat="1" ht="12.75" customHeight="1" x14ac:dyDescent="0.2">
      <c r="B190" s="175"/>
      <c r="C190" s="733" t="s">
        <v>136</v>
      </c>
      <c r="D190" s="733"/>
      <c r="E190" s="596" t="s">
        <v>284</v>
      </c>
      <c r="F190" s="607" t="s">
        <v>893</v>
      </c>
      <c r="G190" s="867"/>
      <c r="H190" s="1349" t="s">
        <v>1508</v>
      </c>
      <c r="I190" s="608"/>
      <c r="J190" s="609"/>
      <c r="K190" s="609"/>
      <c r="L190" s="866"/>
      <c r="M190" s="866"/>
      <c r="N190" s="865"/>
      <c r="O190" s="1191"/>
      <c r="P190" s="1223"/>
      <c r="Q190" s="1158"/>
      <c r="R190" s="1027"/>
      <c r="S190" s="1028"/>
      <c r="T190" s="1028"/>
      <c r="U190" s="1028"/>
      <c r="V190" s="1028"/>
      <c r="W190" s="1028"/>
      <c r="X190" s="1697">
        <v>79685</v>
      </c>
      <c r="Y190" s="1052"/>
      <c r="Z190" s="1798"/>
      <c r="AA190" s="1749"/>
      <c r="AB190" s="1812"/>
      <c r="AC190" s="876"/>
      <c r="AD190" s="1295"/>
      <c r="AE190" s="1525"/>
      <c r="AF190" s="1525"/>
      <c r="AG190" s="1525"/>
      <c r="AH190" s="1525"/>
      <c r="AI190" s="1525"/>
      <c r="AJ190" s="1525"/>
      <c r="AK190" s="1525"/>
      <c r="AL190" s="1525"/>
      <c r="AM190" s="1525"/>
      <c r="AN190" s="1525"/>
      <c r="AO190" s="1525"/>
      <c r="AP190" s="1525"/>
      <c r="AQ190" s="1525"/>
      <c r="AR190" s="1525"/>
      <c r="AS190" s="1525"/>
      <c r="AU190" s="1525"/>
      <c r="AV190" s="1295"/>
      <c r="AW190" s="1525"/>
      <c r="AX190" s="1525"/>
      <c r="AY190" s="1525"/>
      <c r="AZ190" s="1525"/>
      <c r="BA190" s="1525"/>
      <c r="BB190" s="1525"/>
      <c r="BC190" s="1525"/>
      <c r="BD190" s="1525"/>
      <c r="BE190" s="1525"/>
      <c r="BF190" s="1525"/>
      <c r="BG190" s="1525"/>
      <c r="BH190" s="1525"/>
      <c r="BI190" s="1525"/>
      <c r="BJ190" s="1525"/>
      <c r="BK190" s="1525"/>
      <c r="BL190" s="1525"/>
      <c r="BM190" s="1525"/>
      <c r="BN190" s="1525"/>
      <c r="BO190" s="1525"/>
      <c r="BP190" s="1525"/>
      <c r="BQ190" s="1525"/>
      <c r="BR190" s="1525"/>
      <c r="BS190" s="1525"/>
      <c r="BT190" s="1670"/>
      <c r="BV190"/>
      <c r="BW190" s="867"/>
    </row>
    <row r="191" spans="2:75" s="164" customFormat="1" ht="12.75" customHeight="1" x14ac:dyDescent="0.2">
      <c r="B191" s="175"/>
      <c r="F191" s="24"/>
      <c r="G191" s="859"/>
      <c r="H191" s="1346" t="s">
        <v>1508</v>
      </c>
      <c r="I191" s="200"/>
      <c r="J191" s="189"/>
      <c r="K191" s="189"/>
      <c r="L191" s="858"/>
      <c r="M191" s="858"/>
      <c r="N191" s="857"/>
      <c r="O191" s="1192"/>
      <c r="P191" s="550"/>
      <c r="Q191" s="1153"/>
      <c r="R191" s="877"/>
      <c r="S191" s="875"/>
      <c r="T191" s="875"/>
      <c r="U191" s="875"/>
      <c r="V191" s="875"/>
      <c r="W191" s="875"/>
      <c r="X191" s="1026"/>
      <c r="Y191" s="1754"/>
      <c r="Z191" s="1755"/>
      <c r="AA191" s="1775"/>
      <c r="AB191" s="1814"/>
      <c r="AC191" s="876"/>
      <c r="AD191" s="1295"/>
      <c r="AE191" s="1525"/>
      <c r="AF191" s="1525"/>
      <c r="AG191" s="1525"/>
      <c r="AH191" s="1525"/>
      <c r="AI191" s="1525"/>
      <c r="AJ191" s="1525"/>
      <c r="AK191" s="1525"/>
      <c r="AL191" s="1525"/>
      <c r="AM191" s="1525"/>
      <c r="AN191" s="1525"/>
      <c r="AO191" s="1525"/>
      <c r="AP191" s="1525"/>
      <c r="AQ191" s="1525"/>
      <c r="AR191" s="1525"/>
      <c r="AS191" s="1525"/>
      <c r="AU191" s="1525"/>
      <c r="AV191" s="1295"/>
      <c r="AW191" s="1525"/>
      <c r="AX191" s="1525"/>
      <c r="AY191" s="1525"/>
      <c r="AZ191" s="1525"/>
      <c r="BA191" s="1525"/>
      <c r="BB191" s="1525"/>
      <c r="BC191" s="1525"/>
      <c r="BD191" s="1525"/>
      <c r="BE191" s="1525"/>
      <c r="BF191" s="1525"/>
      <c r="BG191" s="1525"/>
      <c r="BH191" s="1525"/>
      <c r="BI191" s="1525"/>
      <c r="BJ191" s="1525"/>
      <c r="BK191" s="1525"/>
      <c r="BL191" s="1525"/>
      <c r="BM191" s="1525"/>
      <c r="BN191" s="1525"/>
      <c r="BO191" s="1525"/>
      <c r="BP191" s="1525"/>
      <c r="BQ191" s="1525"/>
      <c r="BR191" s="1525"/>
      <c r="BS191" s="1525"/>
      <c r="BT191" s="1670"/>
      <c r="BV191"/>
      <c r="BW191" s="859"/>
    </row>
    <row r="192" spans="2:75" s="164" customFormat="1" ht="12.75" customHeight="1" x14ac:dyDescent="0.15">
      <c r="B192" s="175"/>
      <c r="F192" s="21" t="s">
        <v>1241</v>
      </c>
      <c r="G192" s="859"/>
      <c r="H192" s="1346" t="s">
        <v>1508</v>
      </c>
      <c r="I192" s="200"/>
      <c r="J192" s="189"/>
      <c r="K192" s="189"/>
      <c r="L192" s="858"/>
      <c r="M192" s="858"/>
      <c r="N192" s="857"/>
      <c r="O192" s="1200"/>
      <c r="P192" s="550"/>
      <c r="Q192" s="1151"/>
      <c r="R192" s="876"/>
      <c r="S192" s="876"/>
      <c r="T192" s="876"/>
      <c r="U192" s="876"/>
      <c r="V192" s="876"/>
      <c r="W192" s="876"/>
      <c r="X192" s="1026"/>
      <c r="Y192" s="1754"/>
      <c r="Z192" s="1755"/>
      <c r="AA192" s="1775"/>
      <c r="AB192" s="1814"/>
      <c r="AC192" s="876"/>
      <c r="AD192" s="1295"/>
      <c r="AE192" s="1525"/>
      <c r="AF192" s="1525"/>
      <c r="AG192" s="1525"/>
      <c r="AH192" s="1525"/>
      <c r="AI192" s="1525"/>
      <c r="AJ192" s="1525"/>
      <c r="AK192" s="1525"/>
      <c r="AL192" s="1525"/>
      <c r="AM192" s="1525"/>
      <c r="AN192" s="1525"/>
      <c r="AO192" s="1525"/>
      <c r="AP192" s="1525"/>
      <c r="AQ192" s="1525"/>
      <c r="AR192" s="1525"/>
      <c r="AS192" s="1525"/>
      <c r="AU192" s="1525"/>
      <c r="AV192" s="1295"/>
      <c r="AW192" s="1525"/>
      <c r="AX192" s="1525"/>
      <c r="AY192" s="1525"/>
      <c r="AZ192" s="1525"/>
      <c r="BA192" s="1525"/>
      <c r="BB192" s="1525"/>
      <c r="BC192" s="1525"/>
      <c r="BD192" s="1525"/>
      <c r="BE192" s="1525"/>
      <c r="BF192" s="1525"/>
      <c r="BG192" s="1525"/>
      <c r="BH192" s="1525"/>
      <c r="BI192" s="1525"/>
      <c r="BJ192" s="1525"/>
      <c r="BK192" s="1525"/>
      <c r="BL192" s="1525"/>
      <c r="BM192" s="1525"/>
      <c r="BN192" s="1525"/>
      <c r="BO192" s="1525"/>
      <c r="BP192" s="1525"/>
      <c r="BQ192" s="1525"/>
      <c r="BR192" s="1525"/>
      <c r="BS192" s="1525"/>
      <c r="BT192" s="1670"/>
      <c r="BV192"/>
      <c r="BW192" s="859"/>
    </row>
    <row r="193" spans="1:75" s="164" customFormat="1" ht="12.75" customHeight="1" x14ac:dyDescent="0.2">
      <c r="B193" s="175"/>
      <c r="F193" s="21" t="s">
        <v>1242</v>
      </c>
      <c r="G193" s="859"/>
      <c r="H193" s="1346" t="s">
        <v>1508</v>
      </c>
      <c r="I193" s="200"/>
      <c r="J193" s="189"/>
      <c r="K193" s="189"/>
      <c r="L193" s="858"/>
      <c r="M193" s="858"/>
      <c r="N193" s="857"/>
      <c r="O193" s="1192"/>
      <c r="P193" s="550"/>
      <c r="Q193" s="1151"/>
      <c r="R193" s="876"/>
      <c r="S193" s="876"/>
      <c r="T193" s="876"/>
      <c r="U193" s="876"/>
      <c r="V193" s="876"/>
      <c r="W193" s="876"/>
      <c r="X193" s="1026"/>
      <c r="Y193" s="1754"/>
      <c r="Z193" s="1755"/>
      <c r="AA193" s="1775"/>
      <c r="AB193" s="1814"/>
      <c r="AC193" s="876"/>
      <c r="AD193" s="1295"/>
      <c r="AE193" s="1525"/>
      <c r="AF193" s="1525"/>
      <c r="AG193" s="1525"/>
      <c r="AH193" s="1525"/>
      <c r="AI193" s="1525"/>
      <c r="AJ193" s="1525"/>
      <c r="AK193" s="1525"/>
      <c r="AL193" s="1525"/>
      <c r="AM193" s="1525"/>
      <c r="AN193" s="1525"/>
      <c r="AO193" s="1525"/>
      <c r="AP193" s="1525"/>
      <c r="AQ193" s="1525"/>
      <c r="AR193" s="1525"/>
      <c r="AS193" s="1525"/>
      <c r="AU193" s="1525"/>
      <c r="AV193" s="1295"/>
      <c r="AW193" s="1525"/>
      <c r="AX193" s="1525"/>
      <c r="AY193" s="1525"/>
      <c r="AZ193" s="1525"/>
      <c r="BA193" s="1525"/>
      <c r="BB193" s="1525"/>
      <c r="BC193" s="1525"/>
      <c r="BD193" s="1525"/>
      <c r="BE193" s="1525"/>
      <c r="BF193" s="1525"/>
      <c r="BG193" s="1525"/>
      <c r="BH193" s="1525"/>
      <c r="BI193" s="1525"/>
      <c r="BJ193" s="1525"/>
      <c r="BK193" s="1525"/>
      <c r="BL193" s="1525"/>
      <c r="BM193" s="1525"/>
      <c r="BN193" s="1525"/>
      <c r="BO193" s="1525"/>
      <c r="BP193" s="1525"/>
      <c r="BQ193" s="1525"/>
      <c r="BR193" s="1525"/>
      <c r="BS193" s="1525"/>
      <c r="BT193" s="1670"/>
      <c r="BV193"/>
      <c r="BW193" s="859"/>
    </row>
    <row r="194" spans="1:75" s="164" customFormat="1" ht="12.75" customHeight="1" x14ac:dyDescent="0.2">
      <c r="B194" s="175"/>
      <c r="F194" s="24" t="s">
        <v>562</v>
      </c>
      <c r="G194" s="859"/>
      <c r="H194" s="1346" t="s">
        <v>1508</v>
      </c>
      <c r="I194" s="244"/>
      <c r="J194" s="233"/>
      <c r="K194" s="233"/>
      <c r="L194" s="858"/>
      <c r="M194" s="858"/>
      <c r="N194" s="857"/>
      <c r="O194" s="1192"/>
      <c r="P194" s="550"/>
      <c r="Q194" s="1151"/>
      <c r="R194" s="876"/>
      <c r="S194" s="876"/>
      <c r="T194" s="876"/>
      <c r="U194" s="876"/>
      <c r="V194" s="876"/>
      <c r="W194" s="876"/>
      <c r="X194" s="1026"/>
      <c r="Y194" s="1754"/>
      <c r="Z194" s="1755"/>
      <c r="AA194" s="1775"/>
      <c r="AB194" s="1814"/>
      <c r="AC194" s="876"/>
      <c r="AD194" s="1295"/>
      <c r="AE194" s="1525"/>
      <c r="AF194" s="1525"/>
      <c r="AG194" s="1525"/>
      <c r="AH194" s="1525"/>
      <c r="AI194" s="1525"/>
      <c r="AJ194" s="1525"/>
      <c r="AK194" s="1525"/>
      <c r="AL194" s="1525"/>
      <c r="AM194" s="1525"/>
      <c r="AN194" s="1525"/>
      <c r="AO194" s="1525"/>
      <c r="AP194" s="1525"/>
      <c r="AQ194" s="1525"/>
      <c r="AR194" s="1525"/>
      <c r="AS194" s="1525"/>
      <c r="AU194" s="1525"/>
      <c r="AV194" s="1295"/>
      <c r="AW194" s="1525"/>
      <c r="AX194" s="1525"/>
      <c r="AY194" s="1525"/>
      <c r="AZ194" s="1525"/>
      <c r="BA194" s="1525"/>
      <c r="BB194" s="1525"/>
      <c r="BC194" s="1525"/>
      <c r="BD194" s="1525"/>
      <c r="BE194" s="1525"/>
      <c r="BF194" s="1525"/>
      <c r="BG194" s="1525"/>
      <c r="BH194" s="1525"/>
      <c r="BI194" s="1525"/>
      <c r="BJ194" s="1525"/>
      <c r="BK194" s="1525"/>
      <c r="BL194" s="1525"/>
      <c r="BM194" s="1525"/>
      <c r="BN194" s="1525"/>
      <c r="BO194" s="1525"/>
      <c r="BP194" s="1525"/>
      <c r="BQ194" s="1525"/>
      <c r="BR194" s="1525"/>
      <c r="BS194" s="1525"/>
      <c r="BT194" s="1670"/>
      <c r="BV194"/>
      <c r="BW194" s="859"/>
    </row>
    <row r="195" spans="1:75" ht="12.75" customHeight="1" x14ac:dyDescent="0.2">
      <c r="B195" s="175">
        <f>B194+1</f>
        <v>1</v>
      </c>
      <c r="C195" s="569">
        <v>4</v>
      </c>
      <c r="D195" s="570"/>
      <c r="E195" s="472" t="s">
        <v>285</v>
      </c>
      <c r="F195" s="24" t="s">
        <v>1270</v>
      </c>
      <c r="G195" s="821" t="s">
        <v>1271</v>
      </c>
      <c r="H195" s="858">
        <v>3400</v>
      </c>
      <c r="I195" s="200" t="s">
        <v>351</v>
      </c>
      <c r="J195" s="189"/>
      <c r="K195" s="189"/>
      <c r="L195" s="858">
        <v>1</v>
      </c>
      <c r="M195" s="858">
        <f>K195+L195</f>
        <v>1</v>
      </c>
      <c r="N195" s="857" t="s">
        <v>1326</v>
      </c>
      <c r="O195" s="1196">
        <v>18816</v>
      </c>
      <c r="P195" s="1218">
        <f ca="1">YEARFRAC(TODAY(),O195)</f>
        <v>66.236111111111114</v>
      </c>
      <c r="Q195" s="1148">
        <v>67850</v>
      </c>
      <c r="R195" s="874">
        <f>Q195*0.1</f>
        <v>6785</v>
      </c>
      <c r="S195" s="875">
        <v>3000</v>
      </c>
      <c r="T195" s="875">
        <v>20000</v>
      </c>
      <c r="U195" s="875"/>
      <c r="V195" s="875"/>
      <c r="W195" s="875"/>
      <c r="X195" s="1026">
        <f>(Q195+R195+S195+T195+U195+V195+W195)*M195</f>
        <v>97635</v>
      </c>
      <c r="Y195" s="1512">
        <f>(T195+U195)*M195/(X195-M195*(T195+U195))</f>
        <v>0.2576157660848844</v>
      </c>
      <c r="Z195" s="1741">
        <f>M195*(1+Y195)</f>
        <v>1.2576157660848843</v>
      </c>
      <c r="AA195" s="1749">
        <f>SUM(AD195:AS195)</f>
        <v>0</v>
      </c>
      <c r="AB195" s="1810">
        <f t="shared" ref="AB195:AB196" si="132">100*AA195/Z195</f>
        <v>0</v>
      </c>
      <c r="AC195" s="876"/>
      <c r="AD195" s="1525">
        <f t="shared" ref="AD195:AS196" si="133">SUMIF($AV$6:$BS$6,AD$5,$AV195:$BS195)</f>
        <v>0</v>
      </c>
      <c r="AE195" s="1525">
        <f t="shared" si="133"/>
        <v>0</v>
      </c>
      <c r="AF195" s="1525">
        <f t="shared" si="133"/>
        <v>0</v>
      </c>
      <c r="AG195" s="1525">
        <f t="shared" si="133"/>
        <v>0</v>
      </c>
      <c r="AH195" s="1525">
        <f t="shared" si="133"/>
        <v>0</v>
      </c>
      <c r="AI195" s="1525">
        <f t="shared" si="133"/>
        <v>0</v>
      </c>
      <c r="AJ195" s="1525">
        <f t="shared" si="133"/>
        <v>0</v>
      </c>
      <c r="AK195" s="1525">
        <f t="shared" si="133"/>
        <v>0</v>
      </c>
      <c r="AL195" s="1525">
        <f t="shared" si="133"/>
        <v>0</v>
      </c>
      <c r="AM195" s="1525">
        <f t="shared" si="133"/>
        <v>0</v>
      </c>
      <c r="AN195" s="1525">
        <f t="shared" si="133"/>
        <v>0</v>
      </c>
      <c r="AO195" s="1525">
        <f t="shared" si="133"/>
        <v>0</v>
      </c>
      <c r="AP195" s="1525">
        <f t="shared" si="133"/>
        <v>0</v>
      </c>
      <c r="AQ195" s="1525">
        <f t="shared" si="133"/>
        <v>0</v>
      </c>
      <c r="AR195" s="1525">
        <f t="shared" si="133"/>
        <v>0</v>
      </c>
      <c r="AS195" s="1525">
        <f t="shared" si="133"/>
        <v>0</v>
      </c>
      <c r="AU195" s="1525"/>
      <c r="AV195" s="1291"/>
      <c r="AW195" s="1292"/>
      <c r="AX195" s="1292"/>
      <c r="AY195" s="1292"/>
      <c r="AZ195" s="1292"/>
      <c r="BA195" s="1292"/>
      <c r="BB195" s="1292"/>
      <c r="BC195" s="1292"/>
      <c r="BD195" s="1292"/>
      <c r="BE195" s="1292"/>
      <c r="BF195" s="1292"/>
      <c r="BG195" s="1292"/>
      <c r="BH195" s="1292"/>
      <c r="BI195" s="1292"/>
      <c r="BJ195" s="1292"/>
      <c r="BK195" s="1292"/>
      <c r="BL195" s="1292"/>
      <c r="BM195" s="1292"/>
      <c r="BN195" s="1292"/>
      <c r="BO195" s="1292"/>
      <c r="BP195" s="1292"/>
      <c r="BQ195" s="1292"/>
      <c r="BR195" s="1292"/>
      <c r="BS195" s="1292"/>
      <c r="BT195" s="1670">
        <f t="shared" ref="BT195:BT196" si="134">SUM(AV195:BS195)</f>
        <v>0</v>
      </c>
      <c r="BW195" s="821" t="s">
        <v>1271</v>
      </c>
    </row>
    <row r="196" spans="1:75" s="164" customFormat="1" ht="12.75" customHeight="1" x14ac:dyDescent="0.2">
      <c r="B196" s="175">
        <f>B195+1</f>
        <v>2</v>
      </c>
      <c r="C196" s="219">
        <v>7</v>
      </c>
      <c r="E196" s="12" t="s">
        <v>285</v>
      </c>
      <c r="F196" s="30" t="s">
        <v>1334</v>
      </c>
      <c r="G196" s="859" t="s">
        <v>1902</v>
      </c>
      <c r="H196" s="858">
        <v>98396</v>
      </c>
      <c r="I196" s="200" t="s">
        <v>351</v>
      </c>
      <c r="J196" s="189"/>
      <c r="K196" s="189"/>
      <c r="L196" s="858">
        <v>0.1</v>
      </c>
      <c r="M196" s="858">
        <f>K196+L196</f>
        <v>0.1</v>
      </c>
      <c r="N196" s="857" t="s">
        <v>892</v>
      </c>
      <c r="O196" s="1196">
        <v>20869</v>
      </c>
      <c r="P196" s="1218">
        <f ca="1">YEARFRAC(TODAY(),O196)</f>
        <v>60.62222222222222</v>
      </c>
      <c r="Q196" s="1148">
        <v>19300</v>
      </c>
      <c r="R196" s="874"/>
      <c r="S196" s="875">
        <v>7000</v>
      </c>
      <c r="T196" s="877"/>
      <c r="U196" s="877"/>
      <c r="V196" s="877"/>
      <c r="W196" s="875"/>
      <c r="X196" s="1026">
        <f>(Q196+R196+S196+T196+U196+V196+W196)*M196</f>
        <v>2630</v>
      </c>
      <c r="Y196" s="1512">
        <f>(T196+U196)*M196/(X196-M196*(T196+U196))</f>
        <v>0</v>
      </c>
      <c r="Z196" s="1741">
        <f>M196*(1+Y196)</f>
        <v>0.1</v>
      </c>
      <c r="AA196" s="1749">
        <f>SUM(AD196:AS196)</f>
        <v>0</v>
      </c>
      <c r="AB196" s="1810">
        <f t="shared" si="132"/>
        <v>0</v>
      </c>
      <c r="AC196" s="876"/>
      <c r="AD196" s="1525">
        <f t="shared" si="133"/>
        <v>0</v>
      </c>
      <c r="AE196" s="1525">
        <f t="shared" si="133"/>
        <v>0</v>
      </c>
      <c r="AF196" s="1525">
        <f t="shared" si="133"/>
        <v>0</v>
      </c>
      <c r="AG196" s="1525">
        <f t="shared" si="133"/>
        <v>0</v>
      </c>
      <c r="AH196" s="1525">
        <f t="shared" si="133"/>
        <v>0</v>
      </c>
      <c r="AI196" s="1525">
        <f t="shared" si="133"/>
        <v>0</v>
      </c>
      <c r="AJ196" s="1525">
        <f t="shared" si="133"/>
        <v>0</v>
      </c>
      <c r="AK196" s="1525">
        <f t="shared" si="133"/>
        <v>0</v>
      </c>
      <c r="AL196" s="1525">
        <f t="shared" si="133"/>
        <v>0</v>
      </c>
      <c r="AM196" s="1525">
        <f t="shared" si="133"/>
        <v>0</v>
      </c>
      <c r="AN196" s="1525">
        <f t="shared" si="133"/>
        <v>0</v>
      </c>
      <c r="AO196" s="1525">
        <f t="shared" si="133"/>
        <v>0</v>
      </c>
      <c r="AP196" s="1525">
        <f t="shared" si="133"/>
        <v>0</v>
      </c>
      <c r="AQ196" s="1525">
        <f t="shared" si="133"/>
        <v>0</v>
      </c>
      <c r="AR196" s="1525">
        <f t="shared" si="133"/>
        <v>0</v>
      </c>
      <c r="AS196" s="1525">
        <f t="shared" si="133"/>
        <v>0</v>
      </c>
      <c r="AU196" s="1525"/>
      <c r="AV196" s="1295"/>
      <c r="AW196" s="1525"/>
      <c r="AX196" s="1525"/>
      <c r="AY196" s="1525"/>
      <c r="AZ196" s="1525"/>
      <c r="BA196" s="1525"/>
      <c r="BB196" s="1525"/>
      <c r="BC196" s="1525"/>
      <c r="BD196" s="1525"/>
      <c r="BE196" s="1525"/>
      <c r="BF196" s="1525"/>
      <c r="BG196" s="1525"/>
      <c r="BH196" s="1525"/>
      <c r="BI196" s="1525"/>
      <c r="BJ196" s="1525"/>
      <c r="BK196" s="1525"/>
      <c r="BL196" s="1525"/>
      <c r="BM196" s="1525"/>
      <c r="BN196" s="1525"/>
      <c r="BO196" s="1525"/>
      <c r="BP196" s="1525"/>
      <c r="BQ196" s="1525"/>
      <c r="BR196" s="1525"/>
      <c r="BS196" s="1525"/>
      <c r="BT196" s="1670">
        <f t="shared" si="134"/>
        <v>0</v>
      </c>
      <c r="BV196"/>
      <c r="BW196" s="859" t="s">
        <v>1902</v>
      </c>
    </row>
    <row r="197" spans="1:75" s="164" customFormat="1" ht="12.75" customHeight="1" x14ac:dyDescent="0.2">
      <c r="B197" s="175"/>
      <c r="C197" s="569" t="s">
        <v>1120</v>
      </c>
      <c r="D197" s="570"/>
      <c r="E197" s="570"/>
      <c r="F197" s="610" t="s">
        <v>379</v>
      </c>
      <c r="G197" s="900"/>
      <c r="H197" s="1349" t="s">
        <v>1508</v>
      </c>
      <c r="I197" s="611"/>
      <c r="J197" s="612"/>
      <c r="K197" s="599">
        <f>SUM(K195:K196)</f>
        <v>0</v>
      </c>
      <c r="L197" s="866">
        <f>SUM(L195:L196)</f>
        <v>1.1000000000000001</v>
      </c>
      <c r="M197" s="866">
        <f>SUM(M195:M196)</f>
        <v>1.1000000000000001</v>
      </c>
      <c r="N197" s="901"/>
      <c r="O197" s="1192"/>
      <c r="P197" s="550"/>
      <c r="Q197" s="1159"/>
      <c r="R197" s="1029"/>
      <c r="S197" s="1030"/>
      <c r="T197" s="1030"/>
      <c r="U197" s="1030"/>
      <c r="V197" s="1030"/>
      <c r="W197" s="1030"/>
      <c r="X197" s="1698">
        <f>SUM(X195:X196)</f>
        <v>100265</v>
      </c>
      <c r="Y197" s="1335">
        <f>(T197+U197)*M197/(X197-M197*(T197-U197))</f>
        <v>0</v>
      </c>
      <c r="Z197" s="1335"/>
      <c r="AA197" s="1775"/>
      <c r="AB197" s="1812"/>
      <c r="AC197" s="1541"/>
      <c r="AD197" s="1295"/>
      <c r="AE197" s="1525"/>
      <c r="AF197" s="1525"/>
      <c r="AG197" s="1525"/>
      <c r="AH197" s="1525"/>
      <c r="AI197" s="1525"/>
      <c r="AJ197" s="1525"/>
      <c r="AK197" s="1525"/>
      <c r="AL197" s="1525"/>
      <c r="AM197" s="1525"/>
      <c r="AN197" s="1525"/>
      <c r="AO197" s="1525"/>
      <c r="AP197" s="1525"/>
      <c r="AQ197" s="1525"/>
      <c r="AR197" s="1525"/>
      <c r="AS197" s="1525"/>
      <c r="AU197" s="1525"/>
      <c r="AV197" s="1295"/>
      <c r="AW197" s="1525"/>
      <c r="AX197" s="1525"/>
      <c r="AY197" s="1525"/>
      <c r="AZ197" s="1525"/>
      <c r="BA197" s="1525"/>
      <c r="BB197" s="1525"/>
      <c r="BC197" s="1525"/>
      <c r="BD197" s="1525"/>
      <c r="BE197" s="1525"/>
      <c r="BF197" s="1525"/>
      <c r="BG197" s="1525"/>
      <c r="BH197" s="1525"/>
      <c r="BI197" s="1525"/>
      <c r="BJ197" s="1525"/>
      <c r="BK197" s="1525"/>
      <c r="BL197" s="1525"/>
      <c r="BM197" s="1525"/>
      <c r="BN197" s="1525"/>
      <c r="BO197" s="1525"/>
      <c r="BP197" s="1525"/>
      <c r="BQ197" s="1525"/>
      <c r="BR197" s="1525"/>
      <c r="BS197" s="1525"/>
      <c r="BT197" s="1670"/>
      <c r="BV197"/>
      <c r="BW197" s="900"/>
    </row>
    <row r="198" spans="1:75" s="164" customFormat="1" ht="12.75" customHeight="1" x14ac:dyDescent="0.2">
      <c r="B198" s="175"/>
      <c r="F198" s="24"/>
      <c r="G198" s="859"/>
      <c r="H198" s="1346" t="s">
        <v>1508</v>
      </c>
      <c r="I198" s="200"/>
      <c r="J198" s="189"/>
      <c r="K198" s="189"/>
      <c r="L198" s="858"/>
      <c r="M198" s="858"/>
      <c r="N198" s="857"/>
      <c r="O198" s="1192"/>
      <c r="P198" s="550"/>
      <c r="Q198" s="1160"/>
      <c r="R198" s="876"/>
      <c r="S198" s="876"/>
      <c r="T198" s="876"/>
      <c r="U198" s="876"/>
      <c r="V198" s="876"/>
      <c r="W198" s="876"/>
      <c r="X198" s="1026"/>
      <c r="Y198" s="1754"/>
      <c r="Z198" s="1755"/>
      <c r="AA198" s="1775"/>
      <c r="AB198" s="1814"/>
      <c r="AC198" s="876"/>
      <c r="AD198" s="1295"/>
      <c r="AE198" s="1525"/>
      <c r="AF198" s="1525"/>
      <c r="AG198" s="1525"/>
      <c r="AH198" s="1525"/>
      <c r="AI198" s="1525"/>
      <c r="AJ198" s="1525"/>
      <c r="AK198" s="1525"/>
      <c r="AL198" s="1525"/>
      <c r="AM198" s="1525"/>
      <c r="AN198" s="1525"/>
      <c r="AO198" s="1525"/>
      <c r="AP198" s="1525"/>
      <c r="AQ198" s="1525"/>
      <c r="AR198" s="1525"/>
      <c r="AS198" s="1525"/>
      <c r="AU198" s="1525"/>
      <c r="AV198" s="1295"/>
      <c r="AW198" s="1525"/>
      <c r="AX198" s="1525"/>
      <c r="AY198" s="1525"/>
      <c r="AZ198" s="1525"/>
      <c r="BA198" s="1525"/>
      <c r="BB198" s="1525"/>
      <c r="BC198" s="1525"/>
      <c r="BD198" s="1525"/>
      <c r="BE198" s="1525"/>
      <c r="BF198" s="1525"/>
      <c r="BG198" s="1525"/>
      <c r="BH198" s="1525"/>
      <c r="BI198" s="1525"/>
      <c r="BJ198" s="1525"/>
      <c r="BK198" s="1525"/>
      <c r="BL198" s="1525"/>
      <c r="BM198" s="1525"/>
      <c r="BN198" s="1525"/>
      <c r="BO198" s="1525"/>
      <c r="BP198" s="1525"/>
      <c r="BQ198" s="1525"/>
      <c r="BR198" s="1525"/>
      <c r="BS198" s="1525"/>
      <c r="BT198" s="1670"/>
      <c r="BV198"/>
      <c r="BW198" s="859"/>
    </row>
    <row r="199" spans="1:75" s="164" customFormat="1" ht="12.75" customHeight="1" x14ac:dyDescent="0.2">
      <c r="B199" s="175"/>
      <c r="F199" s="36" t="s">
        <v>389</v>
      </c>
      <c r="G199" s="825"/>
      <c r="H199" s="1347" t="s">
        <v>1508</v>
      </c>
      <c r="I199" s="197"/>
      <c r="J199" s="189"/>
      <c r="K199" s="174"/>
      <c r="L199" s="861"/>
      <c r="M199" s="861"/>
      <c r="N199" s="857"/>
      <c r="O199" s="1192"/>
      <c r="P199" s="550"/>
      <c r="Q199" s="1151"/>
      <c r="R199" s="876"/>
      <c r="S199" s="876"/>
      <c r="T199" s="876"/>
      <c r="U199" s="876"/>
      <c r="V199" s="876"/>
      <c r="W199" s="876"/>
      <c r="X199" s="1026"/>
      <c r="Y199" s="1754"/>
      <c r="Z199" s="1755"/>
      <c r="AA199" s="1775"/>
      <c r="AB199" s="1814"/>
      <c r="AC199" s="876"/>
      <c r="AD199" s="1295"/>
      <c r="AE199" s="1525"/>
      <c r="AF199" s="1525"/>
      <c r="AG199" s="1525"/>
      <c r="AH199" s="1525"/>
      <c r="AI199" s="1525"/>
      <c r="AJ199" s="1525"/>
      <c r="AK199" s="1525"/>
      <c r="AL199" s="1525"/>
      <c r="AM199" s="1525"/>
      <c r="AN199" s="1525"/>
      <c r="AO199" s="1525"/>
      <c r="AP199" s="1525"/>
      <c r="AQ199" s="1525"/>
      <c r="AR199" s="1525"/>
      <c r="AS199" s="1525"/>
      <c r="AU199" s="1525"/>
      <c r="AV199" s="1295"/>
      <c r="AW199" s="1525"/>
      <c r="AX199" s="1525"/>
      <c r="AY199" s="1525"/>
      <c r="AZ199" s="1525"/>
      <c r="BA199" s="1525"/>
      <c r="BB199" s="1525"/>
      <c r="BC199" s="1525"/>
      <c r="BD199" s="1525"/>
      <c r="BE199" s="1525"/>
      <c r="BF199" s="1525"/>
      <c r="BG199" s="1525"/>
      <c r="BH199" s="1525"/>
      <c r="BI199" s="1525"/>
      <c r="BJ199" s="1525"/>
      <c r="BK199" s="1525"/>
      <c r="BL199" s="1525"/>
      <c r="BM199" s="1525"/>
      <c r="BN199" s="1525"/>
      <c r="BO199" s="1525"/>
      <c r="BP199" s="1525"/>
      <c r="BQ199" s="1525"/>
      <c r="BR199" s="1525"/>
      <c r="BS199" s="1525"/>
      <c r="BT199" s="1670"/>
      <c r="BV199"/>
      <c r="BW199" s="825"/>
    </row>
    <row r="200" spans="1:75" s="164" customFormat="1" ht="12.75" customHeight="1" x14ac:dyDescent="0.15">
      <c r="B200" s="175"/>
      <c r="F200" s="24"/>
      <c r="G200" s="821"/>
      <c r="H200" s="1346" t="s">
        <v>1508</v>
      </c>
      <c r="I200" s="200"/>
      <c r="J200" s="189"/>
      <c r="K200" s="189"/>
      <c r="L200" s="858"/>
      <c r="M200" s="858"/>
      <c r="N200" s="857"/>
      <c r="O200" s="1200"/>
      <c r="P200" s="550"/>
      <c r="Q200" s="1151"/>
      <c r="R200" s="876"/>
      <c r="S200" s="876"/>
      <c r="T200" s="876"/>
      <c r="U200" s="876"/>
      <c r="V200" s="876"/>
      <c r="W200" s="876"/>
      <c r="X200" s="1026"/>
      <c r="Y200" s="1754"/>
      <c r="Z200" s="1755"/>
      <c r="AA200" s="1775"/>
      <c r="AB200" s="1814"/>
      <c r="AC200" s="876"/>
      <c r="AD200" s="1295"/>
      <c r="AE200" s="1525"/>
      <c r="AF200" s="1525"/>
      <c r="AG200" s="1525"/>
      <c r="AH200" s="1525"/>
      <c r="AI200" s="1525"/>
      <c r="AJ200" s="1525"/>
      <c r="AK200" s="1525"/>
      <c r="AL200" s="1525"/>
      <c r="AM200" s="1525"/>
      <c r="AN200" s="1525"/>
      <c r="AO200" s="1525"/>
      <c r="AP200" s="1525"/>
      <c r="AQ200" s="1525"/>
      <c r="AR200" s="1525"/>
      <c r="AS200" s="1525"/>
      <c r="AU200" s="1525"/>
      <c r="AV200" s="1295"/>
      <c r="AW200" s="1525"/>
      <c r="AX200" s="1525"/>
      <c r="AY200" s="1525"/>
      <c r="AZ200" s="1525"/>
      <c r="BA200" s="1525"/>
      <c r="BB200" s="1525"/>
      <c r="BC200" s="1525"/>
      <c r="BD200" s="1525"/>
      <c r="BE200" s="1525"/>
      <c r="BF200" s="1525"/>
      <c r="BG200" s="1525"/>
      <c r="BH200" s="1525"/>
      <c r="BI200" s="1525"/>
      <c r="BJ200" s="1525"/>
      <c r="BK200" s="1525"/>
      <c r="BL200" s="1525"/>
      <c r="BM200" s="1525"/>
      <c r="BN200" s="1525"/>
      <c r="BO200" s="1525"/>
      <c r="BP200" s="1525"/>
      <c r="BQ200" s="1525"/>
      <c r="BR200" s="1525"/>
      <c r="BS200" s="1525"/>
      <c r="BT200" s="1670"/>
      <c r="BV200"/>
      <c r="BW200" s="821"/>
    </row>
    <row r="201" spans="1:75" ht="12.75" customHeight="1" x14ac:dyDescent="0.2">
      <c r="B201" s="175">
        <f>B200+1</f>
        <v>1</v>
      </c>
      <c r="C201" s="219">
        <v>5</v>
      </c>
      <c r="E201" s="12" t="s">
        <v>285</v>
      </c>
      <c r="F201" s="24" t="s">
        <v>728</v>
      </c>
      <c r="G201" s="821" t="s">
        <v>390</v>
      </c>
      <c r="H201" s="858">
        <v>3147</v>
      </c>
      <c r="I201" s="200" t="s">
        <v>351</v>
      </c>
      <c r="J201" s="189"/>
      <c r="K201" s="189"/>
      <c r="L201" s="858">
        <v>1</v>
      </c>
      <c r="M201" s="858">
        <f>K201+L201</f>
        <v>1</v>
      </c>
      <c r="N201" s="857" t="s">
        <v>1326</v>
      </c>
      <c r="O201" s="1196">
        <v>18912</v>
      </c>
      <c r="P201" s="1218">
        <f ca="1">YEARFRAC(TODAY(),O201)</f>
        <v>65.974999999999994</v>
      </c>
      <c r="Q201" s="1148">
        <v>46750</v>
      </c>
      <c r="R201" s="874">
        <f>Q201*0.1</f>
        <v>4675</v>
      </c>
      <c r="S201" s="875">
        <v>3000</v>
      </c>
      <c r="T201" s="875">
        <v>30000</v>
      </c>
      <c r="U201" s="875"/>
      <c r="V201" s="875"/>
      <c r="W201" s="875"/>
      <c r="X201" s="1026">
        <f>(Q201+R201+S201+T201+U201+V201+W201)*M201</f>
        <v>84425</v>
      </c>
      <c r="Y201" s="1512">
        <f>(T201+U201)*M201/(X201-M201*(T201+U201))</f>
        <v>0.55121727147450617</v>
      </c>
      <c r="Z201" s="1741">
        <f>M201*(1+Y201)</f>
        <v>1.5512172714745063</v>
      </c>
      <c r="AA201" s="1749">
        <f>SUM(AD201:AS201)</f>
        <v>0</v>
      </c>
      <c r="AB201" s="1810">
        <f t="shared" ref="AB201:AB205" si="135">100*AA201/Z201</f>
        <v>0</v>
      </c>
      <c r="AC201" s="876"/>
      <c r="AD201" s="1525">
        <f t="shared" ref="AD201:AS205" si="136">SUMIF($AV$6:$BS$6,AD$5,$AV201:$BS201)</f>
        <v>0</v>
      </c>
      <c r="AE201" s="1525">
        <f t="shared" si="136"/>
        <v>0</v>
      </c>
      <c r="AF201" s="1525">
        <f t="shared" si="136"/>
        <v>0</v>
      </c>
      <c r="AG201" s="1525">
        <f t="shared" si="136"/>
        <v>0</v>
      </c>
      <c r="AH201" s="1525">
        <f t="shared" si="136"/>
        <v>0</v>
      </c>
      <c r="AI201" s="1525">
        <f t="shared" si="136"/>
        <v>0</v>
      </c>
      <c r="AJ201" s="1525">
        <f t="shared" si="136"/>
        <v>0</v>
      </c>
      <c r="AK201" s="1525">
        <f t="shared" si="136"/>
        <v>0</v>
      </c>
      <c r="AL201" s="1525">
        <f t="shared" si="136"/>
        <v>0</v>
      </c>
      <c r="AM201" s="1525">
        <f t="shared" si="136"/>
        <v>0</v>
      </c>
      <c r="AN201" s="1525">
        <f t="shared" si="136"/>
        <v>0</v>
      </c>
      <c r="AO201" s="1525">
        <f t="shared" si="136"/>
        <v>0</v>
      </c>
      <c r="AP201" s="1525">
        <f t="shared" si="136"/>
        <v>0</v>
      </c>
      <c r="AQ201" s="1525">
        <f t="shared" si="136"/>
        <v>0</v>
      </c>
      <c r="AR201" s="1525">
        <f t="shared" si="136"/>
        <v>0</v>
      </c>
      <c r="AS201" s="1525">
        <f t="shared" si="136"/>
        <v>0</v>
      </c>
      <c r="AU201" s="1525"/>
      <c r="AV201" s="1291"/>
      <c r="AW201" s="1292"/>
      <c r="AX201" s="1292"/>
      <c r="AY201" s="1292"/>
      <c r="AZ201" s="1292"/>
      <c r="BA201" s="1292"/>
      <c r="BB201" s="1292"/>
      <c r="BC201" s="1292"/>
      <c r="BD201" s="1292"/>
      <c r="BE201" s="1292"/>
      <c r="BF201" s="1292"/>
      <c r="BG201" s="1292"/>
      <c r="BH201" s="1292"/>
      <c r="BI201" s="1292"/>
      <c r="BJ201" s="1292"/>
      <c r="BK201" s="1292"/>
      <c r="BL201" s="1292"/>
      <c r="BM201" s="1292"/>
      <c r="BN201" s="1292"/>
      <c r="BO201" s="1292"/>
      <c r="BP201" s="1292"/>
      <c r="BQ201" s="1292"/>
      <c r="BR201" s="1292"/>
      <c r="BS201" s="1292"/>
      <c r="BT201" s="1670">
        <f t="shared" ref="BT201:BT205" si="137">SUM(AV201:BS201)</f>
        <v>0</v>
      </c>
      <c r="BW201" s="821" t="s">
        <v>390</v>
      </c>
    </row>
    <row r="202" spans="1:75" ht="12.75" customHeight="1" x14ac:dyDescent="0.2">
      <c r="B202" s="175">
        <f>B201+1</f>
        <v>2</v>
      </c>
      <c r="C202" s="219">
        <v>11</v>
      </c>
      <c r="E202" s="12" t="s">
        <v>285</v>
      </c>
      <c r="F202" s="4" t="s">
        <v>792</v>
      </c>
      <c r="G202" s="821" t="s">
        <v>1373</v>
      </c>
      <c r="H202" s="858">
        <v>3157</v>
      </c>
      <c r="I202" s="200" t="s">
        <v>583</v>
      </c>
      <c r="J202" s="189"/>
      <c r="K202" s="189"/>
      <c r="L202" s="858">
        <v>0.5</v>
      </c>
      <c r="M202" s="858">
        <v>0.5</v>
      </c>
      <c r="N202" s="857" t="s">
        <v>892</v>
      </c>
      <c r="O202" s="1196">
        <v>13916</v>
      </c>
      <c r="P202" s="1218">
        <f ca="1">YEARFRAC(TODAY(),O202)</f>
        <v>79.658333333333331</v>
      </c>
      <c r="Q202" s="1148">
        <v>42000</v>
      </c>
      <c r="R202" s="874"/>
      <c r="S202" s="875"/>
      <c r="T202" s="875">
        <v>8000</v>
      </c>
      <c r="U202" s="875"/>
      <c r="V202" s="875"/>
      <c r="W202" s="875"/>
      <c r="X202" s="1026">
        <f>(Q202+R202+S202+T202+U202+V202+W202)*M202</f>
        <v>25000</v>
      </c>
      <c r="Y202" s="1512">
        <f>(T202+U202)*M202/(X202-M202*(T202+U202))</f>
        <v>0.19047619047619047</v>
      </c>
      <c r="Z202" s="1741">
        <f>M202*(1+Y202)</f>
        <v>0.59523809523809523</v>
      </c>
      <c r="AA202" s="1749">
        <f>SUM(AD202:AS202)</f>
        <v>0</v>
      </c>
      <c r="AB202" s="1810">
        <f t="shared" si="135"/>
        <v>0</v>
      </c>
      <c r="AC202" s="876"/>
      <c r="AD202" s="1525">
        <f t="shared" si="136"/>
        <v>0</v>
      </c>
      <c r="AE202" s="1525">
        <f t="shared" si="136"/>
        <v>0</v>
      </c>
      <c r="AF202" s="1525">
        <f t="shared" si="136"/>
        <v>0</v>
      </c>
      <c r="AG202" s="1525">
        <f t="shared" si="136"/>
        <v>0</v>
      </c>
      <c r="AH202" s="1525">
        <f t="shared" si="136"/>
        <v>0</v>
      </c>
      <c r="AI202" s="1525">
        <f t="shared" si="136"/>
        <v>0</v>
      </c>
      <c r="AJ202" s="1525">
        <f t="shared" si="136"/>
        <v>0</v>
      </c>
      <c r="AK202" s="1525">
        <f t="shared" si="136"/>
        <v>0</v>
      </c>
      <c r="AL202" s="1525">
        <f t="shared" si="136"/>
        <v>0</v>
      </c>
      <c r="AM202" s="1525">
        <f t="shared" si="136"/>
        <v>0</v>
      </c>
      <c r="AN202" s="1525">
        <f t="shared" si="136"/>
        <v>0</v>
      </c>
      <c r="AO202" s="1525">
        <f t="shared" si="136"/>
        <v>0</v>
      </c>
      <c r="AP202" s="1525">
        <f t="shared" si="136"/>
        <v>0</v>
      </c>
      <c r="AQ202" s="1525">
        <f t="shared" si="136"/>
        <v>0</v>
      </c>
      <c r="AR202" s="1525">
        <f t="shared" si="136"/>
        <v>0</v>
      </c>
      <c r="AS202" s="1525">
        <f t="shared" si="136"/>
        <v>0</v>
      </c>
      <c r="AU202" s="1525"/>
      <c r="AV202" s="1291"/>
      <c r="AW202" s="1292"/>
      <c r="AX202" s="1292"/>
      <c r="AY202" s="1292"/>
      <c r="AZ202" s="1292"/>
      <c r="BA202" s="1292"/>
      <c r="BB202" s="1292"/>
      <c r="BC202" s="1292"/>
      <c r="BD202" s="1292"/>
      <c r="BE202" s="1292"/>
      <c r="BF202" s="1292"/>
      <c r="BG202" s="1292"/>
      <c r="BH202" s="1292"/>
      <c r="BI202" s="1292"/>
      <c r="BJ202" s="1292"/>
      <c r="BK202" s="1292"/>
      <c r="BL202" s="1292"/>
      <c r="BM202" s="1292"/>
      <c r="BN202" s="1292"/>
      <c r="BO202" s="1292"/>
      <c r="BP202" s="1292"/>
      <c r="BQ202" s="1292"/>
      <c r="BR202" s="1292"/>
      <c r="BS202" s="1292"/>
      <c r="BT202" s="1670">
        <f t="shared" si="137"/>
        <v>0</v>
      </c>
      <c r="BW202" s="821" t="s">
        <v>1373</v>
      </c>
    </row>
    <row r="203" spans="1:75" ht="12.75" customHeight="1" x14ac:dyDescent="0.2">
      <c r="B203" s="175">
        <f>B202+1</f>
        <v>3</v>
      </c>
      <c r="C203" s="219">
        <v>14</v>
      </c>
      <c r="E203" s="12" t="s">
        <v>285</v>
      </c>
      <c r="F203" s="4" t="s">
        <v>1158</v>
      </c>
      <c r="G203" s="821" t="s">
        <v>1737</v>
      </c>
      <c r="H203" s="858">
        <v>151632</v>
      </c>
      <c r="I203" s="200" t="s">
        <v>583</v>
      </c>
      <c r="J203" s="189"/>
      <c r="K203" s="189"/>
      <c r="L203" s="858">
        <v>1</v>
      </c>
      <c r="M203" s="858">
        <v>1</v>
      </c>
      <c r="N203" s="857" t="s">
        <v>892</v>
      </c>
      <c r="O203" s="1196">
        <v>33284</v>
      </c>
      <c r="P203" s="1218">
        <f ca="1">YEARFRAC(TODAY(),O203)</f>
        <v>26.630555555555556</v>
      </c>
      <c r="Q203" s="1148">
        <v>30000</v>
      </c>
      <c r="R203" s="874"/>
      <c r="S203" s="875"/>
      <c r="T203" s="875"/>
      <c r="U203" s="875"/>
      <c r="V203" s="875"/>
      <c r="W203" s="875"/>
      <c r="X203" s="1026">
        <f>(Q203+R203+S203+T203+U203+V203+W203)*M203</f>
        <v>30000</v>
      </c>
      <c r="Y203" s="1512">
        <f>(T203+U203)*M203/(X203-M203*(T203+U203))</f>
        <v>0</v>
      </c>
      <c r="Z203" s="1741">
        <f>M203*(1+Y203)</f>
        <v>1</v>
      </c>
      <c r="AA203" s="1749">
        <f>SUM(AD203:AS203)</f>
        <v>0</v>
      </c>
      <c r="AB203" s="1810">
        <f t="shared" si="135"/>
        <v>0</v>
      </c>
      <c r="AC203" s="876"/>
      <c r="AD203" s="1525">
        <f t="shared" si="136"/>
        <v>0</v>
      </c>
      <c r="AE203" s="1525">
        <f t="shared" si="136"/>
        <v>0</v>
      </c>
      <c r="AF203" s="1525">
        <f t="shared" si="136"/>
        <v>0</v>
      </c>
      <c r="AG203" s="1525">
        <f t="shared" si="136"/>
        <v>0</v>
      </c>
      <c r="AH203" s="1525">
        <f t="shared" si="136"/>
        <v>0</v>
      </c>
      <c r="AI203" s="1525">
        <f t="shared" si="136"/>
        <v>0</v>
      </c>
      <c r="AJ203" s="1525">
        <f t="shared" si="136"/>
        <v>0</v>
      </c>
      <c r="AK203" s="1525">
        <f t="shared" si="136"/>
        <v>0</v>
      </c>
      <c r="AL203" s="1525">
        <f t="shared" si="136"/>
        <v>0</v>
      </c>
      <c r="AM203" s="1525">
        <f t="shared" si="136"/>
        <v>0</v>
      </c>
      <c r="AN203" s="1525">
        <f t="shared" si="136"/>
        <v>0</v>
      </c>
      <c r="AO203" s="1525">
        <f t="shared" si="136"/>
        <v>0</v>
      </c>
      <c r="AP203" s="1525">
        <f t="shared" si="136"/>
        <v>0</v>
      </c>
      <c r="AQ203" s="1525">
        <f t="shared" si="136"/>
        <v>0</v>
      </c>
      <c r="AR203" s="1525">
        <f t="shared" si="136"/>
        <v>0</v>
      </c>
      <c r="AS203" s="1525">
        <f t="shared" si="136"/>
        <v>0</v>
      </c>
      <c r="AU203" s="1525"/>
      <c r="AV203" s="1291"/>
      <c r="AW203" s="1292"/>
      <c r="AX203" s="1292"/>
      <c r="AY203" s="1292"/>
      <c r="AZ203" s="1292"/>
      <c r="BA203" s="1292"/>
      <c r="BB203" s="1292"/>
      <c r="BC203" s="1292"/>
      <c r="BD203" s="1292"/>
      <c r="BE203" s="1292"/>
      <c r="BF203" s="1292"/>
      <c r="BG203" s="1292"/>
      <c r="BH203" s="1292"/>
      <c r="BI203" s="1292"/>
      <c r="BJ203" s="1292"/>
      <c r="BK203" s="1292"/>
      <c r="BL203" s="1292"/>
      <c r="BM203" s="1292"/>
      <c r="BN203" s="1292"/>
      <c r="BO203" s="1292"/>
      <c r="BP203" s="1292"/>
      <c r="BQ203" s="1292"/>
      <c r="BR203" s="1292"/>
      <c r="BS203" s="1292"/>
      <c r="BT203" s="1670">
        <f t="shared" si="137"/>
        <v>0</v>
      </c>
      <c r="BW203" s="821" t="s">
        <v>1737</v>
      </c>
    </row>
    <row r="204" spans="1:75" ht="12.75" customHeight="1" x14ac:dyDescent="0.2">
      <c r="B204" s="175">
        <f>B203+1</f>
        <v>4</v>
      </c>
      <c r="C204" s="219">
        <v>17</v>
      </c>
      <c r="E204" s="12" t="s">
        <v>285</v>
      </c>
      <c r="F204" s="4" t="s">
        <v>584</v>
      </c>
      <c r="G204" s="821" t="s">
        <v>1899</v>
      </c>
      <c r="H204" s="858">
        <v>161149</v>
      </c>
      <c r="I204" s="200" t="s">
        <v>583</v>
      </c>
      <c r="J204" s="189"/>
      <c r="K204" s="189"/>
      <c r="L204" s="858">
        <v>1</v>
      </c>
      <c r="M204" s="858">
        <v>1</v>
      </c>
      <c r="N204" s="857" t="s">
        <v>892</v>
      </c>
      <c r="O204" s="1196">
        <v>35028</v>
      </c>
      <c r="P204" s="1218">
        <f ca="1">YEARFRAC(TODAY(),O204)</f>
        <v>21.852777777777778</v>
      </c>
      <c r="Q204" s="1148">
        <v>19100</v>
      </c>
      <c r="R204" s="874"/>
      <c r="S204" s="875"/>
      <c r="T204" s="875"/>
      <c r="U204" s="875"/>
      <c r="V204" s="875"/>
      <c r="W204" s="875"/>
      <c r="X204" s="1026">
        <f>(Q204+R204+S204+T204+U204+V204+W204)*M204</f>
        <v>19100</v>
      </c>
      <c r="Y204" s="1512">
        <f>(T204+U204)*M204/(X204-M204*(T204+U204))</f>
        <v>0</v>
      </c>
      <c r="Z204" s="1741">
        <f>M204*(1+Y204)</f>
        <v>1</v>
      </c>
      <c r="AA204" s="1749">
        <f>SUM(AD204:AS204)</f>
        <v>0</v>
      </c>
      <c r="AB204" s="1810">
        <f t="shared" si="135"/>
        <v>0</v>
      </c>
      <c r="AC204" s="876"/>
      <c r="AD204" s="1525">
        <f t="shared" si="136"/>
        <v>0</v>
      </c>
      <c r="AE204" s="1525">
        <f t="shared" si="136"/>
        <v>0</v>
      </c>
      <c r="AF204" s="1525">
        <f t="shared" si="136"/>
        <v>0</v>
      </c>
      <c r="AG204" s="1525">
        <f t="shared" si="136"/>
        <v>0</v>
      </c>
      <c r="AH204" s="1525">
        <f t="shared" si="136"/>
        <v>0</v>
      </c>
      <c r="AI204" s="1525">
        <f t="shared" si="136"/>
        <v>0</v>
      </c>
      <c r="AJ204" s="1525">
        <f t="shared" si="136"/>
        <v>0</v>
      </c>
      <c r="AK204" s="1525">
        <f t="shared" si="136"/>
        <v>0</v>
      </c>
      <c r="AL204" s="1525">
        <f t="shared" si="136"/>
        <v>0</v>
      </c>
      <c r="AM204" s="1525">
        <f t="shared" si="136"/>
        <v>0</v>
      </c>
      <c r="AN204" s="1525">
        <f t="shared" si="136"/>
        <v>0</v>
      </c>
      <c r="AO204" s="1525">
        <f t="shared" si="136"/>
        <v>0</v>
      </c>
      <c r="AP204" s="1525">
        <f t="shared" si="136"/>
        <v>0</v>
      </c>
      <c r="AQ204" s="1525">
        <f t="shared" si="136"/>
        <v>0</v>
      </c>
      <c r="AR204" s="1525">
        <f t="shared" si="136"/>
        <v>0</v>
      </c>
      <c r="AS204" s="1525">
        <f t="shared" si="136"/>
        <v>0</v>
      </c>
      <c r="AU204" s="1525"/>
      <c r="AV204" s="1291"/>
      <c r="AW204" s="1292"/>
      <c r="AX204" s="1292"/>
      <c r="AY204" s="1292"/>
      <c r="AZ204" s="1292"/>
      <c r="BA204" s="1292"/>
      <c r="BB204" s="1292"/>
      <c r="BC204" s="1292"/>
      <c r="BD204" s="1292"/>
      <c r="BE204" s="1292"/>
      <c r="BF204" s="1292"/>
      <c r="BG204" s="1292"/>
      <c r="BH204" s="1292"/>
      <c r="BI204" s="1292"/>
      <c r="BJ204" s="1292"/>
      <c r="BK204" s="1292"/>
      <c r="BL204" s="1292"/>
      <c r="BM204" s="1292"/>
      <c r="BN204" s="1292"/>
      <c r="BO204" s="1292"/>
      <c r="BP204" s="1292"/>
      <c r="BQ204" s="1292"/>
      <c r="BR204" s="1292"/>
      <c r="BS204" s="1292"/>
      <c r="BT204" s="1670">
        <f t="shared" si="137"/>
        <v>0</v>
      </c>
      <c r="BW204" s="821" t="s">
        <v>1899</v>
      </c>
    </row>
    <row r="205" spans="1:75" s="65" customFormat="1" ht="12.75" customHeight="1" x14ac:dyDescent="0.2">
      <c r="A205" s="164"/>
      <c r="B205" s="175">
        <f>B204+1</f>
        <v>5</v>
      </c>
      <c r="C205" s="220">
        <v>18</v>
      </c>
      <c r="D205" s="220"/>
      <c r="E205" s="447" t="s">
        <v>285</v>
      </c>
      <c r="F205" s="26" t="s">
        <v>1017</v>
      </c>
      <c r="G205" s="830" t="s">
        <v>1818</v>
      </c>
      <c r="H205" s="873">
        <v>51714</v>
      </c>
      <c r="I205" s="196" t="s">
        <v>1442</v>
      </c>
      <c r="J205" s="195"/>
      <c r="K205" s="195"/>
      <c r="L205" s="873">
        <v>0.5</v>
      </c>
      <c r="M205" s="873">
        <v>0.5</v>
      </c>
      <c r="N205" s="872" t="s">
        <v>892</v>
      </c>
      <c r="O205" s="1196">
        <v>19933</v>
      </c>
      <c r="P205" s="1218">
        <f ca="1">YEARFRAC(TODAY(),O205)</f>
        <v>63.177777777777777</v>
      </c>
      <c r="Q205" s="1148">
        <v>25200</v>
      </c>
      <c r="R205" s="874"/>
      <c r="S205" s="876"/>
      <c r="T205" s="876"/>
      <c r="U205" s="876"/>
      <c r="V205" s="876"/>
      <c r="W205" s="876"/>
      <c r="X205" s="1026">
        <f>(Q205+R205+S205+T205+U205+V205+W205)*M205</f>
        <v>12600</v>
      </c>
      <c r="Y205" s="1512">
        <f>(T205+U205)*M205/(X205-M205*(T205+U205))</f>
        <v>0</v>
      </c>
      <c r="Z205" s="1741">
        <f>M205*(1+Y205)</f>
        <v>0.5</v>
      </c>
      <c r="AA205" s="1749">
        <f>SUM(AD205:AS205)</f>
        <v>0</v>
      </c>
      <c r="AB205" s="1810">
        <f t="shared" si="135"/>
        <v>0</v>
      </c>
      <c r="AC205" s="876"/>
      <c r="AD205" s="1525">
        <f t="shared" si="136"/>
        <v>0</v>
      </c>
      <c r="AE205" s="1525">
        <f t="shared" si="136"/>
        <v>0</v>
      </c>
      <c r="AF205" s="1525">
        <f t="shared" si="136"/>
        <v>0</v>
      </c>
      <c r="AG205" s="1525">
        <f t="shared" si="136"/>
        <v>0</v>
      </c>
      <c r="AH205" s="1525">
        <f t="shared" si="136"/>
        <v>0</v>
      </c>
      <c r="AI205" s="1525">
        <f t="shared" si="136"/>
        <v>0</v>
      </c>
      <c r="AJ205" s="1525">
        <f t="shared" si="136"/>
        <v>0</v>
      </c>
      <c r="AK205" s="1525">
        <f t="shared" si="136"/>
        <v>0</v>
      </c>
      <c r="AL205" s="1525">
        <f t="shared" si="136"/>
        <v>0</v>
      </c>
      <c r="AM205" s="1525">
        <f t="shared" si="136"/>
        <v>0</v>
      </c>
      <c r="AN205" s="1525">
        <f t="shared" si="136"/>
        <v>0</v>
      </c>
      <c r="AO205" s="1525">
        <f t="shared" si="136"/>
        <v>0</v>
      </c>
      <c r="AP205" s="1525">
        <f t="shared" si="136"/>
        <v>0</v>
      </c>
      <c r="AQ205" s="1525">
        <f t="shared" si="136"/>
        <v>0</v>
      </c>
      <c r="AR205" s="1525">
        <f t="shared" si="136"/>
        <v>0</v>
      </c>
      <c r="AS205" s="1525">
        <f t="shared" si="136"/>
        <v>0</v>
      </c>
      <c r="AU205" s="1525"/>
      <c r="AV205" s="1529"/>
      <c r="AW205" s="1530"/>
      <c r="AX205" s="1530"/>
      <c r="AY205" s="1530"/>
      <c r="AZ205" s="1530"/>
      <c r="BA205" s="1530"/>
      <c r="BB205" s="1530"/>
      <c r="BC205" s="1530"/>
      <c r="BD205" s="1530"/>
      <c r="BE205" s="1530"/>
      <c r="BF205" s="1530"/>
      <c r="BG205" s="1530"/>
      <c r="BH205" s="1530"/>
      <c r="BI205" s="1530"/>
      <c r="BJ205" s="1530"/>
      <c r="BK205" s="1530"/>
      <c r="BL205" s="1530"/>
      <c r="BM205" s="1530"/>
      <c r="BN205" s="1530"/>
      <c r="BO205" s="1530"/>
      <c r="BP205" s="1530"/>
      <c r="BQ205" s="1530"/>
      <c r="BR205" s="1530"/>
      <c r="BS205" s="1530"/>
      <c r="BT205" s="1670">
        <f t="shared" si="137"/>
        <v>0</v>
      </c>
      <c r="BV205"/>
      <c r="BW205" s="830" t="s">
        <v>1818</v>
      </c>
    </row>
    <row r="206" spans="1:75" s="164" customFormat="1" ht="12.75" customHeight="1" x14ac:dyDescent="0.15">
      <c r="B206" s="175"/>
      <c r="C206" s="219" t="s">
        <v>1120</v>
      </c>
      <c r="F206" s="4" t="s">
        <v>379</v>
      </c>
      <c r="G206" s="825"/>
      <c r="H206" s="1351" t="s">
        <v>1508</v>
      </c>
      <c r="I206" s="197"/>
      <c r="J206" s="174"/>
      <c r="K206" s="446">
        <f>SUM(K201:K205)</f>
        <v>0</v>
      </c>
      <c r="L206" s="892">
        <f>SUM(L201:L205)</f>
        <v>4</v>
      </c>
      <c r="M206" s="892">
        <f>SUM(M201:M205)</f>
        <v>4</v>
      </c>
      <c r="N206" s="836"/>
      <c r="O206" s="1200"/>
      <c r="P206" s="550"/>
      <c r="Q206" s="1148"/>
      <c r="R206" s="874"/>
      <c r="S206" s="875"/>
      <c r="T206" s="875"/>
      <c r="U206" s="875"/>
      <c r="V206" s="875"/>
      <c r="W206" s="875"/>
      <c r="X206" s="1026"/>
      <c r="Y206" s="1335"/>
      <c r="Z206" s="1335"/>
      <c r="AA206" s="1749"/>
      <c r="AB206" s="1812"/>
      <c r="AC206" s="876"/>
      <c r="AD206" s="1295"/>
      <c r="AE206" s="1525"/>
      <c r="AF206" s="1525"/>
      <c r="AG206" s="1525"/>
      <c r="AH206" s="1525"/>
      <c r="AI206" s="1525"/>
      <c r="AJ206" s="1525"/>
      <c r="AK206" s="1525"/>
      <c r="AL206" s="1525"/>
      <c r="AM206" s="1525"/>
      <c r="AN206" s="1525"/>
      <c r="AO206" s="1525"/>
      <c r="AP206" s="1525"/>
      <c r="AQ206" s="1525"/>
      <c r="AR206" s="1525"/>
      <c r="AS206" s="1525"/>
      <c r="AU206" s="1525"/>
      <c r="AV206" s="1295"/>
      <c r="AW206" s="1525"/>
      <c r="AX206" s="1525"/>
      <c r="AY206" s="1525"/>
      <c r="AZ206" s="1525"/>
      <c r="BA206" s="1525"/>
      <c r="BB206" s="1525"/>
      <c r="BC206" s="1525"/>
      <c r="BD206" s="1525"/>
      <c r="BE206" s="1525"/>
      <c r="BF206" s="1525"/>
      <c r="BG206" s="1525"/>
      <c r="BH206" s="1525"/>
      <c r="BI206" s="1525"/>
      <c r="BJ206" s="1525"/>
      <c r="BK206" s="1525"/>
      <c r="BL206" s="1525"/>
      <c r="BM206" s="1525"/>
      <c r="BN206" s="1525"/>
      <c r="BO206" s="1525"/>
      <c r="BP206" s="1525"/>
      <c r="BQ206" s="1525"/>
      <c r="BR206" s="1525"/>
      <c r="BS206" s="1525"/>
      <c r="BT206" s="1670"/>
      <c r="BV206"/>
      <c r="BW206" s="825"/>
    </row>
    <row r="207" spans="1:75" s="164" customFormat="1" ht="12.75" customHeight="1" x14ac:dyDescent="0.2">
      <c r="B207" s="175"/>
      <c r="F207" s="1"/>
      <c r="G207" s="821"/>
      <c r="H207" s="1346" t="s">
        <v>1508</v>
      </c>
      <c r="I207" s="244"/>
      <c r="J207" s="233"/>
      <c r="K207" s="233"/>
      <c r="L207" s="858"/>
      <c r="M207" s="858"/>
      <c r="N207" s="857"/>
      <c r="O207" s="1192"/>
      <c r="P207" s="550"/>
      <c r="Q207" s="1148"/>
      <c r="R207" s="874"/>
      <c r="S207" s="875"/>
      <c r="T207" s="875"/>
      <c r="U207" s="875"/>
      <c r="V207" s="875"/>
      <c r="W207" s="875"/>
      <c r="X207" s="1026"/>
      <c r="Y207" s="1512"/>
      <c r="Z207" s="1741"/>
      <c r="AA207" s="1749"/>
      <c r="AB207" s="1812"/>
      <c r="AC207" s="876"/>
      <c r="AD207" s="1295"/>
      <c r="AE207" s="1525"/>
      <c r="AF207" s="1525"/>
      <c r="AG207" s="1525"/>
      <c r="AH207" s="1525"/>
      <c r="AI207" s="1525"/>
      <c r="AJ207" s="1525"/>
      <c r="AK207" s="1525"/>
      <c r="AL207" s="1525"/>
      <c r="AM207" s="1525"/>
      <c r="AN207" s="1525"/>
      <c r="AO207" s="1525"/>
      <c r="AP207" s="1525"/>
      <c r="AQ207" s="1525"/>
      <c r="AR207" s="1525"/>
      <c r="AS207" s="1525"/>
      <c r="AU207" s="1525"/>
      <c r="AV207" s="1295"/>
      <c r="AW207" s="1525"/>
      <c r="AX207" s="1525"/>
      <c r="AY207" s="1525"/>
      <c r="AZ207" s="1525"/>
      <c r="BA207" s="1525"/>
      <c r="BB207" s="1525"/>
      <c r="BC207" s="1525"/>
      <c r="BD207" s="1525"/>
      <c r="BE207" s="1525"/>
      <c r="BF207" s="1525"/>
      <c r="BG207" s="1525"/>
      <c r="BH207" s="1525"/>
      <c r="BI207" s="1525"/>
      <c r="BJ207" s="1525"/>
      <c r="BK207" s="1525"/>
      <c r="BL207" s="1525"/>
      <c r="BM207" s="1525"/>
      <c r="BN207" s="1525"/>
      <c r="BO207" s="1525"/>
      <c r="BP207" s="1525"/>
      <c r="BQ207" s="1525"/>
      <c r="BR207" s="1525"/>
      <c r="BS207" s="1525"/>
      <c r="BT207" s="1670"/>
      <c r="BV207"/>
      <c r="BW207" s="821"/>
    </row>
    <row r="208" spans="1:75" s="164" customFormat="1" ht="12.75" customHeight="1" x14ac:dyDescent="0.2">
      <c r="B208" s="175"/>
      <c r="F208" s="24" t="s">
        <v>1018</v>
      </c>
      <c r="G208" s="821"/>
      <c r="H208" s="1359" t="s">
        <v>1508</v>
      </c>
      <c r="I208" s="200"/>
      <c r="J208" s="189"/>
      <c r="K208" s="189"/>
      <c r="L208" s="897"/>
      <c r="M208" s="897"/>
      <c r="N208" s="857"/>
      <c r="O208" s="1192"/>
      <c r="P208" s="550"/>
      <c r="Q208" s="1148"/>
      <c r="R208" s="874"/>
      <c r="S208" s="875"/>
      <c r="T208" s="875"/>
      <c r="U208" s="875"/>
      <c r="V208" s="875"/>
      <c r="W208" s="875"/>
      <c r="X208" s="1026"/>
      <c r="Y208" s="1512"/>
      <c r="Z208" s="1741"/>
      <c r="AA208" s="1749"/>
      <c r="AB208" s="1812"/>
      <c r="AC208" s="876"/>
      <c r="AD208" s="1295"/>
      <c r="AE208" s="1525"/>
      <c r="AF208" s="1525"/>
      <c r="AG208" s="1525"/>
      <c r="AH208" s="1525"/>
      <c r="AI208" s="1525"/>
      <c r="AJ208" s="1525"/>
      <c r="AK208" s="1525"/>
      <c r="AL208" s="1525"/>
      <c r="AM208" s="1525"/>
      <c r="AN208" s="1525"/>
      <c r="AO208" s="1525"/>
      <c r="AP208" s="1525"/>
      <c r="AQ208" s="1525"/>
      <c r="AR208" s="1525"/>
      <c r="AS208" s="1525"/>
      <c r="AU208" s="1525"/>
      <c r="AV208" s="1295"/>
      <c r="AW208" s="1525"/>
      <c r="AX208" s="1525"/>
      <c r="AY208" s="1525"/>
      <c r="AZ208" s="1525"/>
      <c r="BA208" s="1525"/>
      <c r="BB208" s="1525"/>
      <c r="BC208" s="1525"/>
      <c r="BD208" s="1525"/>
      <c r="BE208" s="1525"/>
      <c r="BF208" s="1525"/>
      <c r="BG208" s="1525"/>
      <c r="BH208" s="1525"/>
      <c r="BI208" s="1525"/>
      <c r="BJ208" s="1525"/>
      <c r="BK208" s="1525"/>
      <c r="BL208" s="1525"/>
      <c r="BM208" s="1525"/>
      <c r="BN208" s="1525"/>
      <c r="BO208" s="1525"/>
      <c r="BP208" s="1525"/>
      <c r="BQ208" s="1525"/>
      <c r="BR208" s="1525"/>
      <c r="BS208" s="1525"/>
      <c r="BT208" s="1670"/>
      <c r="BV208"/>
      <c r="BW208" s="821"/>
    </row>
    <row r="209" spans="2:75" s="164" customFormat="1" ht="12.75" customHeight="1" x14ac:dyDescent="0.2">
      <c r="B209" s="175"/>
      <c r="F209" s="24"/>
      <c r="G209" s="821"/>
      <c r="H209" s="1346" t="s">
        <v>1508</v>
      </c>
      <c r="I209" s="200"/>
      <c r="J209" s="189"/>
      <c r="K209" s="189"/>
      <c r="L209" s="858"/>
      <c r="M209" s="858"/>
      <c r="N209" s="857"/>
      <c r="O209" s="1192"/>
      <c r="P209" s="550"/>
      <c r="Q209" s="1148"/>
      <c r="R209" s="874"/>
      <c r="S209" s="875"/>
      <c r="T209" s="875"/>
      <c r="U209" s="875"/>
      <c r="V209" s="875"/>
      <c r="W209" s="875"/>
      <c r="X209" s="1026"/>
      <c r="Y209" s="1512"/>
      <c r="Z209" s="1741"/>
      <c r="AA209" s="1749"/>
      <c r="AB209" s="1812"/>
      <c r="AC209" s="876"/>
      <c r="AD209" s="1295"/>
      <c r="AE209" s="1525"/>
      <c r="AF209" s="1525"/>
      <c r="AG209" s="1525"/>
      <c r="AH209" s="1525"/>
      <c r="AI209" s="1525"/>
      <c r="AJ209" s="1525"/>
      <c r="AK209" s="1525"/>
      <c r="AL209" s="1525"/>
      <c r="AM209" s="1525"/>
      <c r="AN209" s="1525"/>
      <c r="AO209" s="1525"/>
      <c r="AP209" s="1525"/>
      <c r="AQ209" s="1525"/>
      <c r="AR209" s="1525"/>
      <c r="AS209" s="1525"/>
      <c r="AU209" s="1525"/>
      <c r="AV209" s="1295"/>
      <c r="AW209" s="1525"/>
      <c r="AX209" s="1525"/>
      <c r="AY209" s="1525"/>
      <c r="AZ209" s="1525"/>
      <c r="BA209" s="1525"/>
      <c r="BB209" s="1525"/>
      <c r="BC209" s="1525"/>
      <c r="BD209" s="1525"/>
      <c r="BE209" s="1525"/>
      <c r="BF209" s="1525"/>
      <c r="BG209" s="1525"/>
      <c r="BH209" s="1525"/>
      <c r="BI209" s="1525"/>
      <c r="BJ209" s="1525"/>
      <c r="BK209" s="1525"/>
      <c r="BL209" s="1525"/>
      <c r="BM209" s="1525"/>
      <c r="BN209" s="1525"/>
      <c r="BO209" s="1525"/>
      <c r="BP209" s="1525"/>
      <c r="BQ209" s="1525"/>
      <c r="BR209" s="1525"/>
      <c r="BS209" s="1525"/>
      <c r="BT209" s="1670"/>
      <c r="BV209"/>
      <c r="BW209" s="821"/>
    </row>
    <row r="210" spans="2:75" ht="12.75" customHeight="1" x14ac:dyDescent="0.2">
      <c r="B210" s="175">
        <f>B209+1</f>
        <v>1</v>
      </c>
      <c r="C210" s="219">
        <v>12</v>
      </c>
      <c r="E210" s="12" t="s">
        <v>285</v>
      </c>
      <c r="F210" s="24" t="s">
        <v>1235</v>
      </c>
      <c r="G210" s="821" t="s">
        <v>1901</v>
      </c>
      <c r="H210" s="858">
        <v>4707</v>
      </c>
      <c r="I210" s="197" t="s">
        <v>583</v>
      </c>
      <c r="J210" s="189"/>
      <c r="K210" s="189"/>
      <c r="L210" s="858">
        <v>0.5</v>
      </c>
      <c r="M210" s="858">
        <f>K210+L210</f>
        <v>0.5</v>
      </c>
      <c r="N210" s="857" t="s">
        <v>892</v>
      </c>
      <c r="O210" s="1196">
        <v>18715</v>
      </c>
      <c r="P210" s="1218">
        <f ca="1">YEARFRAC(TODAY(),O210)</f>
        <v>66.511111111111106</v>
      </c>
      <c r="Q210" s="1148">
        <v>49000</v>
      </c>
      <c r="R210" s="874"/>
      <c r="S210" s="875"/>
      <c r="T210" s="875">
        <v>7000</v>
      </c>
      <c r="U210" s="875"/>
      <c r="V210" s="875"/>
      <c r="W210" s="875"/>
      <c r="X210" s="1026">
        <f>(Q210+R210+S210+T210+U210+V210+W210)*M210</f>
        <v>28000</v>
      </c>
      <c r="Y210" s="1512">
        <f>(T210+U210)*M210/(X210-M210*(T210+U210))</f>
        <v>0.14285714285714285</v>
      </c>
      <c r="Z210" s="1741">
        <f>M210*(1+Y210)</f>
        <v>0.5714285714285714</v>
      </c>
      <c r="AA210" s="1749">
        <f>SUM(AD210:AS210)</f>
        <v>0</v>
      </c>
      <c r="AB210" s="1810">
        <f t="shared" ref="AB210:AB214" si="138">100*AA210/Z210</f>
        <v>0</v>
      </c>
      <c r="AC210" s="876"/>
      <c r="AD210" s="1525">
        <f t="shared" ref="AD210:AS214" si="139">SUMIF($AV$6:$BS$6,AD$5,$AV210:$BS210)</f>
        <v>0</v>
      </c>
      <c r="AE210" s="1525">
        <f t="shared" si="139"/>
        <v>0</v>
      </c>
      <c r="AF210" s="1525">
        <f t="shared" si="139"/>
        <v>0</v>
      </c>
      <c r="AG210" s="1525">
        <f t="shared" si="139"/>
        <v>0</v>
      </c>
      <c r="AH210" s="1525">
        <f t="shared" si="139"/>
        <v>0</v>
      </c>
      <c r="AI210" s="1525">
        <f t="shared" si="139"/>
        <v>0</v>
      </c>
      <c r="AJ210" s="1525">
        <f t="shared" si="139"/>
        <v>0</v>
      </c>
      <c r="AK210" s="1525">
        <f t="shared" si="139"/>
        <v>0</v>
      </c>
      <c r="AL210" s="1525">
        <f t="shared" si="139"/>
        <v>0</v>
      </c>
      <c r="AM210" s="1525">
        <f t="shared" si="139"/>
        <v>0</v>
      </c>
      <c r="AN210" s="1525">
        <f t="shared" si="139"/>
        <v>0</v>
      </c>
      <c r="AO210" s="1525">
        <f t="shared" si="139"/>
        <v>0</v>
      </c>
      <c r="AP210" s="1525">
        <f t="shared" si="139"/>
        <v>0</v>
      </c>
      <c r="AQ210" s="1525">
        <f t="shared" si="139"/>
        <v>0</v>
      </c>
      <c r="AR210" s="1525">
        <f t="shared" si="139"/>
        <v>0</v>
      </c>
      <c r="AS210" s="1525">
        <f t="shared" si="139"/>
        <v>0</v>
      </c>
      <c r="AU210" s="1525"/>
      <c r="AV210" s="1291"/>
      <c r="AW210" s="1292"/>
      <c r="AX210" s="1292"/>
      <c r="AY210" s="1292"/>
      <c r="AZ210" s="1292"/>
      <c r="BA210" s="1292"/>
      <c r="BB210" s="1292"/>
      <c r="BC210" s="1292"/>
      <c r="BD210" s="1292"/>
      <c r="BE210" s="1292"/>
      <c r="BF210" s="1292"/>
      <c r="BG210" s="1292"/>
      <c r="BH210" s="1292"/>
      <c r="BI210" s="1292"/>
      <c r="BJ210" s="1292"/>
      <c r="BK210" s="1292"/>
      <c r="BL210" s="1292"/>
      <c r="BM210" s="1292"/>
      <c r="BN210" s="1292"/>
      <c r="BO210" s="1292"/>
      <c r="BP210" s="1292"/>
      <c r="BQ210" s="1292"/>
      <c r="BR210" s="1292"/>
      <c r="BS210" s="1292"/>
      <c r="BT210" s="1670">
        <f t="shared" ref="BT210:BT214" si="140">SUM(AV210:BS210)</f>
        <v>0</v>
      </c>
      <c r="BW210" s="821" t="s">
        <v>1901</v>
      </c>
    </row>
    <row r="211" spans="2:75" ht="12.75" customHeight="1" x14ac:dyDescent="0.2">
      <c r="B211" s="175">
        <f>B210+1</f>
        <v>2</v>
      </c>
      <c r="C211" s="220">
        <v>14</v>
      </c>
      <c r="D211" s="170"/>
      <c r="E211" s="447" t="s">
        <v>285</v>
      </c>
      <c r="F211" s="4" t="s">
        <v>626</v>
      </c>
      <c r="G211" s="825" t="s">
        <v>1277</v>
      </c>
      <c r="H211" s="861">
        <v>3044</v>
      </c>
      <c r="I211" s="197" t="s">
        <v>583</v>
      </c>
      <c r="J211" s="174"/>
      <c r="K211" s="174"/>
      <c r="L211" s="861">
        <v>1</v>
      </c>
      <c r="M211" s="861">
        <f>K211+L211</f>
        <v>1</v>
      </c>
      <c r="N211" s="836" t="s">
        <v>892</v>
      </c>
      <c r="O211" s="1196">
        <v>20286</v>
      </c>
      <c r="P211" s="1262">
        <f ca="1">YEARFRAC(TODAY(),O211)</f>
        <v>62.211111111111109</v>
      </c>
      <c r="Q211" s="1148">
        <v>18300</v>
      </c>
      <c r="R211" s="874"/>
      <c r="S211" s="876"/>
      <c r="T211" s="876"/>
      <c r="U211" s="876"/>
      <c r="V211" s="876"/>
      <c r="W211" s="876"/>
      <c r="X211" s="1026">
        <f>(Q211+R211+S211+T211+U211+V211+W211)*M211</f>
        <v>18300</v>
      </c>
      <c r="Y211" s="1512">
        <f>(T211+U211)*M211/(X211-M211*(T211+U211))</f>
        <v>0</v>
      </c>
      <c r="Z211" s="1741">
        <f>M211*(1+Y211)</f>
        <v>1</v>
      </c>
      <c r="AA211" s="1749">
        <f>SUM(AD211:AS211)</f>
        <v>0</v>
      </c>
      <c r="AB211" s="1810">
        <f t="shared" si="138"/>
        <v>0</v>
      </c>
      <c r="AC211" s="876"/>
      <c r="AD211" s="1525">
        <f t="shared" si="139"/>
        <v>0</v>
      </c>
      <c r="AE211" s="1525">
        <f t="shared" si="139"/>
        <v>0</v>
      </c>
      <c r="AF211" s="1525">
        <f t="shared" si="139"/>
        <v>0</v>
      </c>
      <c r="AG211" s="1525">
        <f t="shared" si="139"/>
        <v>0</v>
      </c>
      <c r="AH211" s="1525">
        <f t="shared" si="139"/>
        <v>0</v>
      </c>
      <c r="AI211" s="1525">
        <f t="shared" si="139"/>
        <v>0</v>
      </c>
      <c r="AJ211" s="1525">
        <f t="shared" si="139"/>
        <v>0</v>
      </c>
      <c r="AK211" s="1525">
        <f t="shared" si="139"/>
        <v>0</v>
      </c>
      <c r="AL211" s="1525">
        <f t="shared" si="139"/>
        <v>0</v>
      </c>
      <c r="AM211" s="1525">
        <f t="shared" si="139"/>
        <v>0</v>
      </c>
      <c r="AN211" s="1525">
        <f t="shared" si="139"/>
        <v>0</v>
      </c>
      <c r="AO211" s="1525">
        <f t="shared" si="139"/>
        <v>0</v>
      </c>
      <c r="AP211" s="1525">
        <f t="shared" si="139"/>
        <v>0</v>
      </c>
      <c r="AQ211" s="1525">
        <f t="shared" si="139"/>
        <v>0</v>
      </c>
      <c r="AR211" s="1525">
        <f t="shared" si="139"/>
        <v>0</v>
      </c>
      <c r="AS211" s="1525">
        <f t="shared" si="139"/>
        <v>0</v>
      </c>
      <c r="AU211" s="1525"/>
      <c r="AV211" s="1291"/>
      <c r="AW211" s="1292"/>
      <c r="AX211" s="1292"/>
      <c r="AY211" s="1292"/>
      <c r="AZ211" s="1292"/>
      <c r="BA211" s="1292"/>
      <c r="BB211" s="1292"/>
      <c r="BC211" s="1292"/>
      <c r="BD211" s="1292"/>
      <c r="BE211" s="1292"/>
      <c r="BF211" s="1292"/>
      <c r="BG211" s="1292"/>
      <c r="BH211" s="1292"/>
      <c r="BI211" s="1292"/>
      <c r="BJ211" s="1292"/>
      <c r="BK211" s="1292"/>
      <c r="BL211" s="1292"/>
      <c r="BM211" s="1292"/>
      <c r="BN211" s="1292"/>
      <c r="BO211" s="1292"/>
      <c r="BP211" s="1292"/>
      <c r="BQ211" s="1292"/>
      <c r="BR211" s="1292"/>
      <c r="BS211" s="1292"/>
      <c r="BT211" s="1670">
        <f t="shared" si="140"/>
        <v>0</v>
      </c>
      <c r="BW211" s="825" t="s">
        <v>1277</v>
      </c>
    </row>
    <row r="212" spans="2:75" ht="12.75" customHeight="1" x14ac:dyDescent="0.2">
      <c r="B212" s="175">
        <f>B211+1</f>
        <v>3</v>
      </c>
      <c r="C212" s="219">
        <v>17</v>
      </c>
      <c r="D212"/>
      <c r="E212" s="12" t="s">
        <v>285</v>
      </c>
      <c r="F212" s="4" t="s">
        <v>584</v>
      </c>
      <c r="G212" s="821" t="s">
        <v>1278</v>
      </c>
      <c r="H212" s="858">
        <v>243652</v>
      </c>
      <c r="I212" s="197" t="s">
        <v>583</v>
      </c>
      <c r="J212" s="174"/>
      <c r="K212" s="174"/>
      <c r="L212" s="861">
        <v>1</v>
      </c>
      <c r="M212" s="858">
        <f>K212+L212</f>
        <v>1</v>
      </c>
      <c r="N212" s="857" t="s">
        <v>1326</v>
      </c>
      <c r="O212" s="1196">
        <v>28044</v>
      </c>
      <c r="P212" s="1218">
        <f ca="1">YEARFRAC(TODAY(),O212)</f>
        <v>40.975000000000001</v>
      </c>
      <c r="Q212" s="1148">
        <v>20000</v>
      </c>
      <c r="R212" s="874">
        <f>Q212*0.1</f>
        <v>2000</v>
      </c>
      <c r="S212" s="875"/>
      <c r="T212" s="875"/>
      <c r="U212" s="875"/>
      <c r="V212" s="875"/>
      <c r="W212" s="875"/>
      <c r="X212" s="1026">
        <f>(Q212+R212+S212+T212+U212+V212+W212)*M212</f>
        <v>22000</v>
      </c>
      <c r="Y212" s="1512">
        <f>(T212+U212)*M212/(X212-M212*(T212+U212))</f>
        <v>0</v>
      </c>
      <c r="Z212" s="1741">
        <f>M212*(1+Y212)</f>
        <v>1</v>
      </c>
      <c r="AA212" s="1749">
        <f>SUM(AD212:AS212)</f>
        <v>0</v>
      </c>
      <c r="AB212" s="1810">
        <f t="shared" si="138"/>
        <v>0</v>
      </c>
      <c r="AC212" s="876"/>
      <c r="AD212" s="1525">
        <f t="shared" si="139"/>
        <v>0</v>
      </c>
      <c r="AE212" s="1525">
        <f t="shared" si="139"/>
        <v>0</v>
      </c>
      <c r="AF212" s="1525">
        <f t="shared" si="139"/>
        <v>0</v>
      </c>
      <c r="AG212" s="1525">
        <f t="shared" si="139"/>
        <v>0</v>
      </c>
      <c r="AH212" s="1525">
        <f t="shared" si="139"/>
        <v>0</v>
      </c>
      <c r="AI212" s="1525">
        <f t="shared" si="139"/>
        <v>0</v>
      </c>
      <c r="AJ212" s="1525">
        <f t="shared" si="139"/>
        <v>0</v>
      </c>
      <c r="AK212" s="1525">
        <f t="shared" si="139"/>
        <v>0</v>
      </c>
      <c r="AL212" s="1525">
        <f t="shared" si="139"/>
        <v>0</v>
      </c>
      <c r="AM212" s="1525">
        <f t="shared" si="139"/>
        <v>0</v>
      </c>
      <c r="AN212" s="1525">
        <f t="shared" si="139"/>
        <v>0</v>
      </c>
      <c r="AO212" s="1525">
        <f t="shared" si="139"/>
        <v>0</v>
      </c>
      <c r="AP212" s="1525">
        <f t="shared" si="139"/>
        <v>0</v>
      </c>
      <c r="AQ212" s="1525">
        <f t="shared" si="139"/>
        <v>0</v>
      </c>
      <c r="AR212" s="1525">
        <f t="shared" si="139"/>
        <v>0</v>
      </c>
      <c r="AS212" s="1525">
        <f t="shared" si="139"/>
        <v>0</v>
      </c>
      <c r="AU212" s="1525"/>
      <c r="AV212" s="1291"/>
      <c r="AW212" s="1292"/>
      <c r="AX212" s="1292"/>
      <c r="AY212" s="1292"/>
      <c r="AZ212" s="1292"/>
      <c r="BA212" s="1292"/>
      <c r="BB212" s="1292"/>
      <c r="BC212" s="1292"/>
      <c r="BD212" s="1292"/>
      <c r="BE212" s="1292"/>
      <c r="BF212" s="1292"/>
      <c r="BG212" s="1292"/>
      <c r="BH212" s="1292"/>
      <c r="BI212" s="1292"/>
      <c r="BJ212" s="1292"/>
      <c r="BK212" s="1292"/>
      <c r="BL212" s="1292"/>
      <c r="BM212" s="1292"/>
      <c r="BN212" s="1292"/>
      <c r="BO212" s="1292"/>
      <c r="BP212" s="1292"/>
      <c r="BQ212" s="1292"/>
      <c r="BR212" s="1292"/>
      <c r="BS212" s="1292"/>
      <c r="BT212" s="1670">
        <f t="shared" si="140"/>
        <v>0</v>
      </c>
      <c r="BW212" s="821" t="s">
        <v>1278</v>
      </c>
    </row>
    <row r="213" spans="2:75" ht="12.75" customHeight="1" x14ac:dyDescent="0.2">
      <c r="B213" s="175">
        <f>B212+1</f>
        <v>4</v>
      </c>
      <c r="C213" s="219">
        <v>18</v>
      </c>
      <c r="E213" s="12" t="s">
        <v>285</v>
      </c>
      <c r="F213" s="4" t="s">
        <v>910</v>
      </c>
      <c r="G213" s="825" t="s">
        <v>911</v>
      </c>
      <c r="H213" s="858">
        <v>3126</v>
      </c>
      <c r="I213" s="200" t="s">
        <v>1442</v>
      </c>
      <c r="J213" s="189"/>
      <c r="K213" s="189"/>
      <c r="L213" s="861">
        <v>1</v>
      </c>
      <c r="M213" s="858">
        <f>K213+L213</f>
        <v>1</v>
      </c>
      <c r="N213" s="836" t="s">
        <v>1326</v>
      </c>
      <c r="O213" s="1196">
        <v>17413</v>
      </c>
      <c r="P213" s="1218">
        <f ca="1">YEARFRAC(TODAY(),O213)</f>
        <v>70.080555555555549</v>
      </c>
      <c r="Q213" s="1148">
        <v>23500</v>
      </c>
      <c r="R213" s="874">
        <f>Q213*0.1</f>
        <v>2350</v>
      </c>
      <c r="S213" s="875"/>
      <c r="T213" s="875"/>
      <c r="U213" s="875"/>
      <c r="V213" s="875"/>
      <c r="W213" s="875"/>
      <c r="X213" s="1026">
        <f>(Q213+R213+S213+T213+U213+V213+W213)*M213</f>
        <v>25850</v>
      </c>
      <c r="Y213" s="1512">
        <f>(T213+U213)*M213/(X213-M213*(T213+U213))</f>
        <v>0</v>
      </c>
      <c r="Z213" s="1741">
        <f>M213*(1+Y213)</f>
        <v>1</v>
      </c>
      <c r="AA213" s="1749">
        <f>SUM(AD213:AS213)</f>
        <v>0</v>
      </c>
      <c r="AB213" s="1810">
        <f t="shared" si="138"/>
        <v>0</v>
      </c>
      <c r="AC213" s="876"/>
      <c r="AD213" s="1525">
        <f t="shared" si="139"/>
        <v>0</v>
      </c>
      <c r="AE213" s="1525">
        <f t="shared" si="139"/>
        <v>0</v>
      </c>
      <c r="AF213" s="1525">
        <f t="shared" si="139"/>
        <v>0</v>
      </c>
      <c r="AG213" s="1525">
        <f t="shared" si="139"/>
        <v>0</v>
      </c>
      <c r="AH213" s="1525">
        <f t="shared" si="139"/>
        <v>0</v>
      </c>
      <c r="AI213" s="1525">
        <f t="shared" si="139"/>
        <v>0</v>
      </c>
      <c r="AJ213" s="1525">
        <f t="shared" si="139"/>
        <v>0</v>
      </c>
      <c r="AK213" s="1525">
        <f t="shared" si="139"/>
        <v>0</v>
      </c>
      <c r="AL213" s="1525">
        <f t="shared" si="139"/>
        <v>0</v>
      </c>
      <c r="AM213" s="1525">
        <f t="shared" si="139"/>
        <v>0</v>
      </c>
      <c r="AN213" s="1525">
        <f t="shared" si="139"/>
        <v>0</v>
      </c>
      <c r="AO213" s="1525">
        <f t="shared" si="139"/>
        <v>0</v>
      </c>
      <c r="AP213" s="1525">
        <f t="shared" si="139"/>
        <v>0</v>
      </c>
      <c r="AQ213" s="1525">
        <f t="shared" si="139"/>
        <v>0</v>
      </c>
      <c r="AR213" s="1525">
        <f t="shared" si="139"/>
        <v>0</v>
      </c>
      <c r="AS213" s="1525">
        <f t="shared" si="139"/>
        <v>0</v>
      </c>
      <c r="AU213" s="1525"/>
      <c r="AV213" s="1291"/>
      <c r="AW213" s="1292"/>
      <c r="AX213" s="1292"/>
      <c r="AY213" s="1292"/>
      <c r="AZ213" s="1292"/>
      <c r="BA213" s="1292"/>
      <c r="BB213" s="1292"/>
      <c r="BC213" s="1292"/>
      <c r="BD213" s="1292"/>
      <c r="BE213" s="1292"/>
      <c r="BF213" s="1292"/>
      <c r="BG213" s="1292"/>
      <c r="BH213" s="1292"/>
      <c r="BI213" s="1292"/>
      <c r="BJ213" s="1292"/>
      <c r="BK213" s="1292"/>
      <c r="BL213" s="1292"/>
      <c r="BM213" s="1292"/>
      <c r="BN213" s="1292"/>
      <c r="BO213" s="1292"/>
      <c r="BP213" s="1292"/>
      <c r="BQ213" s="1292"/>
      <c r="BR213" s="1292"/>
      <c r="BS213" s="1292"/>
      <c r="BT213" s="1670">
        <f t="shared" si="140"/>
        <v>0</v>
      </c>
      <c r="BW213" s="825" t="s">
        <v>911</v>
      </c>
    </row>
    <row r="214" spans="2:75" ht="12.75" customHeight="1" x14ac:dyDescent="0.2">
      <c r="B214" s="175">
        <f>B213+1</f>
        <v>5</v>
      </c>
      <c r="C214" s="220">
        <v>18</v>
      </c>
      <c r="D214" s="170"/>
      <c r="E214" s="447" t="s">
        <v>285</v>
      </c>
      <c r="F214" s="4" t="s">
        <v>19</v>
      </c>
      <c r="G214" s="825" t="s">
        <v>20</v>
      </c>
      <c r="H214" s="861">
        <v>3113</v>
      </c>
      <c r="I214" s="197" t="s">
        <v>1442</v>
      </c>
      <c r="J214" s="174"/>
      <c r="K214" s="174"/>
      <c r="L214" s="861">
        <v>0.5</v>
      </c>
      <c r="M214" s="873">
        <f>K214+L214</f>
        <v>0.5</v>
      </c>
      <c r="N214" s="836" t="s">
        <v>892</v>
      </c>
      <c r="O214" s="1196">
        <v>18540</v>
      </c>
      <c r="P214" s="1262">
        <f ca="1">YEARFRAC(TODAY(),O214)</f>
        <v>66.99444444444444</v>
      </c>
      <c r="Q214" s="1148">
        <v>23800</v>
      </c>
      <c r="R214" s="874"/>
      <c r="S214" s="876"/>
      <c r="T214" s="876"/>
      <c r="U214" s="876"/>
      <c r="V214" s="876"/>
      <c r="W214" s="876">
        <f>Q214*0.36</f>
        <v>8568</v>
      </c>
      <c r="X214" s="1026">
        <f>(Q214+R214+S214+T214+U214+V214+W214)*M214</f>
        <v>16184</v>
      </c>
      <c r="Y214" s="1512">
        <f>(T214+U214+W214)*M214/(X214-M214*(T214+U214+W214))</f>
        <v>0.36</v>
      </c>
      <c r="Z214" s="1741">
        <f>M214*(1+Y214)</f>
        <v>0.67999999999999994</v>
      </c>
      <c r="AA214" s="1749">
        <f>SUM(AD214:AS214)</f>
        <v>0</v>
      </c>
      <c r="AB214" s="1810">
        <f t="shared" si="138"/>
        <v>0</v>
      </c>
      <c r="AC214" s="876"/>
      <c r="AD214" s="1525">
        <f t="shared" si="139"/>
        <v>0</v>
      </c>
      <c r="AE214" s="1525">
        <f t="shared" si="139"/>
        <v>0</v>
      </c>
      <c r="AF214" s="1525">
        <f t="shared" si="139"/>
        <v>0</v>
      </c>
      <c r="AG214" s="1525">
        <f t="shared" si="139"/>
        <v>0</v>
      </c>
      <c r="AH214" s="1525">
        <f t="shared" si="139"/>
        <v>0</v>
      </c>
      <c r="AI214" s="1525">
        <f t="shared" si="139"/>
        <v>0</v>
      </c>
      <c r="AJ214" s="1525">
        <f t="shared" si="139"/>
        <v>0</v>
      </c>
      <c r="AK214" s="1525">
        <f t="shared" si="139"/>
        <v>0</v>
      </c>
      <c r="AL214" s="1525">
        <f t="shared" si="139"/>
        <v>0</v>
      </c>
      <c r="AM214" s="1525">
        <f t="shared" si="139"/>
        <v>0</v>
      </c>
      <c r="AN214" s="1525">
        <f t="shared" si="139"/>
        <v>0</v>
      </c>
      <c r="AO214" s="1525">
        <f t="shared" si="139"/>
        <v>0</v>
      </c>
      <c r="AP214" s="1525">
        <f t="shared" si="139"/>
        <v>0</v>
      </c>
      <c r="AQ214" s="1525">
        <f t="shared" si="139"/>
        <v>0</v>
      </c>
      <c r="AR214" s="1525">
        <f t="shared" si="139"/>
        <v>0</v>
      </c>
      <c r="AS214" s="1525">
        <f t="shared" si="139"/>
        <v>0</v>
      </c>
      <c r="AU214" s="1525"/>
      <c r="AV214" s="1291"/>
      <c r="AW214" s="1292"/>
      <c r="AX214" s="1292"/>
      <c r="AY214" s="1292"/>
      <c r="AZ214" s="1292"/>
      <c r="BA214" s="1292"/>
      <c r="BB214" s="1292"/>
      <c r="BC214" s="1292"/>
      <c r="BD214" s="1292"/>
      <c r="BE214" s="1292"/>
      <c r="BF214" s="1292"/>
      <c r="BG214" s="1292"/>
      <c r="BH214" s="1292"/>
      <c r="BI214" s="1292"/>
      <c r="BJ214" s="1292"/>
      <c r="BK214" s="1292"/>
      <c r="BL214" s="1292"/>
      <c r="BM214" s="1292"/>
      <c r="BN214" s="1292"/>
      <c r="BO214" s="1292"/>
      <c r="BP214" s="1292"/>
      <c r="BQ214" s="1292"/>
      <c r="BR214" s="1292"/>
      <c r="BS214" s="1292"/>
      <c r="BT214" s="1670">
        <f t="shared" si="140"/>
        <v>0</v>
      </c>
      <c r="BW214" s="825" t="s">
        <v>20</v>
      </c>
    </row>
    <row r="215" spans="2:75" s="164" customFormat="1" ht="12.75" customHeight="1" x14ac:dyDescent="0.2">
      <c r="B215" s="175"/>
      <c r="C215" s="219" t="s">
        <v>1120</v>
      </c>
      <c r="F215" s="330" t="s">
        <v>1238</v>
      </c>
      <c r="G215" s="904"/>
      <c r="H215" s="1362" t="s">
        <v>1508</v>
      </c>
      <c r="I215" s="331"/>
      <c r="J215" s="329"/>
      <c r="K215" s="449">
        <f>SUM(K210:K214)</f>
        <v>0</v>
      </c>
      <c r="L215" s="903">
        <f>SUM(L210:L214)</f>
        <v>4</v>
      </c>
      <c r="M215" s="903">
        <f>SUM(M210:M214)</f>
        <v>4</v>
      </c>
      <c r="N215" s="905"/>
      <c r="O215" s="1192"/>
      <c r="P215" s="550"/>
      <c r="Q215" s="1153"/>
      <c r="R215" s="877"/>
      <c r="S215" s="875"/>
      <c r="T215" s="875"/>
      <c r="U215" s="875"/>
      <c r="V215" s="875"/>
      <c r="W215" s="875"/>
      <c r="X215" s="1026"/>
      <c r="Y215" s="1335"/>
      <c r="Z215" s="1335"/>
      <c r="AA215" s="1749"/>
      <c r="AB215" s="1812"/>
      <c r="AC215" s="876"/>
      <c r="AD215" s="1295"/>
      <c r="AE215" s="1525"/>
      <c r="AF215" s="1525"/>
      <c r="AG215" s="1525"/>
      <c r="AH215" s="1525"/>
      <c r="AI215" s="1525"/>
      <c r="AJ215" s="1525"/>
      <c r="AK215" s="1525"/>
      <c r="AL215" s="1525"/>
      <c r="AM215" s="1525"/>
      <c r="AN215" s="1525"/>
      <c r="AO215" s="1525"/>
      <c r="AP215" s="1525"/>
      <c r="AQ215" s="1525"/>
      <c r="AR215" s="1525"/>
      <c r="AS215" s="1525"/>
      <c r="AU215" s="1525"/>
      <c r="AV215" s="1295"/>
      <c r="AW215" s="1525"/>
      <c r="AX215" s="1525"/>
      <c r="AY215" s="1525"/>
      <c r="AZ215" s="1525"/>
      <c r="BA215" s="1525"/>
      <c r="BB215" s="1525"/>
      <c r="BC215" s="1525"/>
      <c r="BD215" s="1525"/>
      <c r="BE215" s="1525"/>
      <c r="BF215" s="1525"/>
      <c r="BG215" s="1525"/>
      <c r="BH215" s="1525"/>
      <c r="BI215" s="1525"/>
      <c r="BJ215" s="1525"/>
      <c r="BK215" s="1525"/>
      <c r="BL215" s="1525"/>
      <c r="BM215" s="1525"/>
      <c r="BN215" s="1525"/>
      <c r="BO215" s="1525"/>
      <c r="BP215" s="1525"/>
      <c r="BQ215" s="1525"/>
      <c r="BR215" s="1525"/>
      <c r="BS215" s="1525"/>
      <c r="BT215" s="1670"/>
      <c r="BV215"/>
      <c r="BW215" s="904"/>
    </row>
    <row r="216" spans="2:75" s="164" customFormat="1" ht="12.75" customHeight="1" x14ac:dyDescent="0.2">
      <c r="B216" s="175"/>
      <c r="C216" s="569" t="s">
        <v>1120</v>
      </c>
      <c r="D216" s="570"/>
      <c r="E216" s="570"/>
      <c r="F216" s="613" t="s">
        <v>1125</v>
      </c>
      <c r="G216" s="906"/>
      <c r="H216" s="1349" t="s">
        <v>1508</v>
      </c>
      <c r="I216" s="614"/>
      <c r="J216" s="615"/>
      <c r="K216" s="616">
        <f>K206+K215</f>
        <v>0</v>
      </c>
      <c r="L216" s="866">
        <f>L206+L215</f>
        <v>8</v>
      </c>
      <c r="M216" s="866">
        <f>M206+M215</f>
        <v>8</v>
      </c>
      <c r="N216" s="901"/>
      <c r="O216" s="1192"/>
      <c r="P216" s="550"/>
      <c r="Q216" s="1159"/>
      <c r="R216" s="1029"/>
      <c r="S216" s="1030"/>
      <c r="T216" s="1030"/>
      <c r="U216" s="1030"/>
      <c r="V216" s="1030"/>
      <c r="W216" s="1030"/>
      <c r="X216" s="1698">
        <f>SUM(X201:X215)</f>
        <v>281459</v>
      </c>
      <c r="Y216" s="1335"/>
      <c r="Z216" s="1335"/>
      <c r="AA216" s="1749"/>
      <c r="AB216" s="1812"/>
      <c r="AC216" s="1541"/>
      <c r="AD216" s="1295"/>
      <c r="AE216" s="1525"/>
      <c r="AF216" s="1525"/>
      <c r="AG216" s="1525"/>
      <c r="AH216" s="1525"/>
      <c r="AI216" s="1525"/>
      <c r="AJ216" s="1525"/>
      <c r="AK216" s="1525"/>
      <c r="AL216" s="1525"/>
      <c r="AM216" s="1525"/>
      <c r="AN216" s="1525"/>
      <c r="AO216" s="1525"/>
      <c r="AP216" s="1525"/>
      <c r="AQ216" s="1525"/>
      <c r="AR216" s="1525"/>
      <c r="AS216" s="1525"/>
      <c r="AU216" s="1525"/>
      <c r="AV216" s="1295"/>
      <c r="AW216" s="1525"/>
      <c r="AX216" s="1525"/>
      <c r="AY216" s="1525"/>
      <c r="AZ216" s="1525"/>
      <c r="BA216" s="1525"/>
      <c r="BB216" s="1525"/>
      <c r="BC216" s="1525"/>
      <c r="BD216" s="1525"/>
      <c r="BE216" s="1525"/>
      <c r="BF216" s="1525"/>
      <c r="BG216" s="1525"/>
      <c r="BH216" s="1525"/>
      <c r="BI216" s="1525"/>
      <c r="BJ216" s="1525"/>
      <c r="BK216" s="1525"/>
      <c r="BL216" s="1525"/>
      <c r="BM216" s="1525"/>
      <c r="BN216" s="1525"/>
      <c r="BO216" s="1525"/>
      <c r="BP216" s="1525"/>
      <c r="BQ216" s="1525"/>
      <c r="BR216" s="1525"/>
      <c r="BS216" s="1525"/>
      <c r="BT216" s="1670"/>
      <c r="BV216"/>
      <c r="BW216" s="906"/>
    </row>
    <row r="217" spans="2:75" s="164" customFormat="1" ht="12.75" customHeight="1" x14ac:dyDescent="0.15">
      <c r="B217" s="175"/>
      <c r="F217" s="4"/>
      <c r="G217" s="821"/>
      <c r="H217" s="1346" t="s">
        <v>1508</v>
      </c>
      <c r="I217" s="197"/>
      <c r="J217" s="174"/>
      <c r="K217" s="174"/>
      <c r="L217" s="858"/>
      <c r="M217" s="858"/>
      <c r="N217" s="857"/>
      <c r="O217" s="1200"/>
      <c r="P217" s="550"/>
      <c r="Q217" s="1153"/>
      <c r="R217" s="877"/>
      <c r="S217" s="875"/>
      <c r="T217" s="875"/>
      <c r="U217" s="875"/>
      <c r="V217" s="875"/>
      <c r="W217" s="875"/>
      <c r="X217" s="1026"/>
      <c r="Y217" s="1754"/>
      <c r="Z217" s="1755"/>
      <c r="AA217" s="1775"/>
      <c r="AB217" s="1814"/>
      <c r="AC217" s="876"/>
      <c r="AD217" s="1295"/>
      <c r="AE217" s="1525"/>
      <c r="AF217" s="1525"/>
      <c r="AG217" s="1525"/>
      <c r="AH217" s="1525"/>
      <c r="AI217" s="1525"/>
      <c r="AJ217" s="1525"/>
      <c r="AK217" s="1525"/>
      <c r="AL217" s="1525"/>
      <c r="AM217" s="1525"/>
      <c r="AN217" s="1525"/>
      <c r="AO217" s="1525"/>
      <c r="AP217" s="1525"/>
      <c r="AQ217" s="1525"/>
      <c r="AR217" s="1525"/>
      <c r="AS217" s="1525"/>
      <c r="AU217" s="1525"/>
      <c r="AV217" s="1295"/>
      <c r="AW217" s="1525"/>
      <c r="AX217" s="1525"/>
      <c r="AY217" s="1525"/>
      <c r="AZ217" s="1525"/>
      <c r="BA217" s="1525"/>
      <c r="BB217" s="1525"/>
      <c r="BC217" s="1525"/>
      <c r="BD217" s="1525"/>
      <c r="BE217" s="1525"/>
      <c r="BF217" s="1525"/>
      <c r="BG217" s="1525"/>
      <c r="BH217" s="1525"/>
      <c r="BI217" s="1525"/>
      <c r="BJ217" s="1525"/>
      <c r="BK217" s="1525"/>
      <c r="BL217" s="1525"/>
      <c r="BM217" s="1525"/>
      <c r="BN217" s="1525"/>
      <c r="BO217" s="1525"/>
      <c r="BP217" s="1525"/>
      <c r="BQ217" s="1525"/>
      <c r="BR217" s="1525"/>
      <c r="BS217" s="1525"/>
      <c r="BT217" s="1670"/>
      <c r="BV217"/>
      <c r="BW217" s="821"/>
    </row>
    <row r="218" spans="2:75" s="164" customFormat="1" ht="12.75" customHeight="1" x14ac:dyDescent="0.2">
      <c r="B218" s="175"/>
      <c r="F218" s="34" t="s">
        <v>165</v>
      </c>
      <c r="G218" s="821"/>
      <c r="H218" s="1346" t="s">
        <v>1508</v>
      </c>
      <c r="I218" s="202"/>
      <c r="J218" s="215"/>
      <c r="K218" s="215"/>
      <c r="L218" s="858"/>
      <c r="M218" s="858"/>
      <c r="N218" s="857"/>
      <c r="O218" s="1192"/>
      <c r="P218" s="550"/>
      <c r="Q218" s="1153"/>
      <c r="R218" s="877"/>
      <c r="S218" s="875"/>
      <c r="T218" s="875"/>
      <c r="U218" s="875"/>
      <c r="V218" s="875"/>
      <c r="W218" s="875"/>
      <c r="X218" s="1026"/>
      <c r="Y218" s="1754"/>
      <c r="Z218" s="1755"/>
      <c r="AA218" s="1775"/>
      <c r="AB218" s="1814"/>
      <c r="AC218" s="876"/>
      <c r="AD218" s="1295"/>
      <c r="AE218" s="1525"/>
      <c r="AF218" s="1525"/>
      <c r="AG218" s="1525"/>
      <c r="AH218" s="1525"/>
      <c r="AI218" s="1525"/>
      <c r="AJ218" s="1525"/>
      <c r="AK218" s="1525"/>
      <c r="AL218" s="1525"/>
      <c r="AM218" s="1525"/>
      <c r="AN218" s="1525"/>
      <c r="AO218" s="1525"/>
      <c r="AP218" s="1525"/>
      <c r="AQ218" s="1525"/>
      <c r="AR218" s="1525"/>
      <c r="AS218" s="1525"/>
      <c r="AU218" s="1525"/>
      <c r="AV218" s="1295"/>
      <c r="AW218" s="1525"/>
      <c r="AX218" s="1525"/>
      <c r="AY218" s="1525"/>
      <c r="AZ218" s="1525"/>
      <c r="BA218" s="1525"/>
      <c r="BB218" s="1525"/>
      <c r="BC218" s="1525"/>
      <c r="BD218" s="1525"/>
      <c r="BE218" s="1525"/>
      <c r="BF218" s="1525"/>
      <c r="BG218" s="1525"/>
      <c r="BH218" s="1525"/>
      <c r="BI218" s="1525"/>
      <c r="BJ218" s="1525"/>
      <c r="BK218" s="1525"/>
      <c r="BL218" s="1525"/>
      <c r="BM218" s="1525"/>
      <c r="BN218" s="1525"/>
      <c r="BO218" s="1525"/>
      <c r="BP218" s="1525"/>
      <c r="BQ218" s="1525"/>
      <c r="BR218" s="1525"/>
      <c r="BS218" s="1525"/>
      <c r="BT218" s="1670"/>
      <c r="BV218"/>
      <c r="BW218" s="821"/>
    </row>
    <row r="219" spans="2:75" s="164" customFormat="1" ht="12.75" customHeight="1" x14ac:dyDescent="0.2">
      <c r="B219" s="175"/>
      <c r="F219" s="4"/>
      <c r="G219" s="821"/>
      <c r="H219" s="1346" t="s">
        <v>1508</v>
      </c>
      <c r="I219" s="197"/>
      <c r="J219" s="174"/>
      <c r="K219" s="174"/>
      <c r="L219" s="858"/>
      <c r="M219" s="858"/>
      <c r="N219" s="857"/>
      <c r="O219" s="1192"/>
      <c r="P219" s="550"/>
      <c r="Q219" s="1153"/>
      <c r="R219" s="877"/>
      <c r="S219" s="875"/>
      <c r="T219" s="875"/>
      <c r="U219" s="875"/>
      <c r="V219" s="875"/>
      <c r="W219" s="875"/>
      <c r="X219" s="1026"/>
      <c r="Y219" s="1754"/>
      <c r="Z219" s="1755"/>
      <c r="AA219" s="1775"/>
      <c r="AB219" s="1814"/>
      <c r="AC219" s="876"/>
      <c r="AD219" s="1295"/>
      <c r="AE219" s="1525"/>
      <c r="AF219" s="1525"/>
      <c r="AG219" s="1525"/>
      <c r="AH219" s="1525"/>
      <c r="AI219" s="1525"/>
      <c r="AJ219" s="1525"/>
      <c r="AK219" s="1525"/>
      <c r="AL219" s="1525"/>
      <c r="AM219" s="1525"/>
      <c r="AN219" s="1525"/>
      <c r="AO219" s="1525"/>
      <c r="AP219" s="1525"/>
      <c r="AQ219" s="1525"/>
      <c r="AR219" s="1525"/>
      <c r="AS219" s="1525"/>
      <c r="AU219" s="1525"/>
      <c r="AV219" s="1295"/>
      <c r="AW219" s="1525"/>
      <c r="AX219" s="1525"/>
      <c r="AY219" s="1525"/>
      <c r="AZ219" s="1525"/>
      <c r="BA219" s="1525"/>
      <c r="BB219" s="1525"/>
      <c r="BC219" s="1525"/>
      <c r="BD219" s="1525"/>
      <c r="BE219" s="1525"/>
      <c r="BF219" s="1525"/>
      <c r="BG219" s="1525"/>
      <c r="BH219" s="1525"/>
      <c r="BI219" s="1525"/>
      <c r="BJ219" s="1525"/>
      <c r="BK219" s="1525"/>
      <c r="BL219" s="1525"/>
      <c r="BM219" s="1525"/>
      <c r="BN219" s="1525"/>
      <c r="BO219" s="1525"/>
      <c r="BP219" s="1525"/>
      <c r="BQ219" s="1525"/>
      <c r="BR219" s="1525"/>
      <c r="BS219" s="1525"/>
      <c r="BT219" s="1670"/>
      <c r="BV219"/>
      <c r="BW219" s="821"/>
    </row>
    <row r="220" spans="2:75" ht="12.75" customHeight="1" x14ac:dyDescent="0.2">
      <c r="B220" s="175">
        <f>B219+1</f>
        <v>1</v>
      </c>
      <c r="C220" s="219">
        <v>5</v>
      </c>
      <c r="E220" s="12" t="s">
        <v>285</v>
      </c>
      <c r="F220" s="24" t="s">
        <v>166</v>
      </c>
      <c r="G220" s="821" t="s">
        <v>1900</v>
      </c>
      <c r="H220" s="858">
        <v>18472</v>
      </c>
      <c r="I220" s="200" t="s">
        <v>351</v>
      </c>
      <c r="J220" s="189"/>
      <c r="K220" s="189"/>
      <c r="L220" s="858">
        <v>1</v>
      </c>
      <c r="M220" s="858">
        <f>K220+L220</f>
        <v>1</v>
      </c>
      <c r="N220" s="857" t="s">
        <v>1326</v>
      </c>
      <c r="O220" s="1196">
        <v>20727</v>
      </c>
      <c r="P220" s="1218">
        <f ca="1">YEARFRAC(TODAY(),O220)</f>
        <v>61.008333333333333</v>
      </c>
      <c r="Q220" s="1148">
        <v>46750</v>
      </c>
      <c r="R220" s="874">
        <f>Q220*0.1</f>
        <v>4675</v>
      </c>
      <c r="S220" s="875">
        <v>3000</v>
      </c>
      <c r="T220" s="875"/>
      <c r="U220" s="875"/>
      <c r="V220" s="875"/>
      <c r="W220" s="875"/>
      <c r="X220" s="1026">
        <f>(Q220+R220+S220+T220+U220+V220+W220)*M220</f>
        <v>54425</v>
      </c>
      <c r="Y220" s="1512">
        <f>(T220+U220)*M220/(X220-M220*(T220+U220))</f>
        <v>0</v>
      </c>
      <c r="Z220" s="1741">
        <f>M220*(1+Y220)</f>
        <v>1</v>
      </c>
      <c r="AA220" s="1749">
        <f>SUM(AD220:AS220)</f>
        <v>1</v>
      </c>
      <c r="AB220" s="1810">
        <f t="shared" ref="AB220:AB224" si="141">100*AA220/Z220</f>
        <v>100</v>
      </c>
      <c r="AC220" s="876"/>
      <c r="AD220" s="1525">
        <f t="shared" ref="AD220:AS224" si="142">SUMIF($AV$6:$BS$6,AD$5,$AV220:$BS220)</f>
        <v>0</v>
      </c>
      <c r="AE220" s="1525">
        <f t="shared" si="142"/>
        <v>0</v>
      </c>
      <c r="AF220" s="1525">
        <f t="shared" si="142"/>
        <v>0</v>
      </c>
      <c r="AG220" s="1525">
        <f t="shared" si="142"/>
        <v>0</v>
      </c>
      <c r="AH220" s="1525">
        <f t="shared" si="142"/>
        <v>0</v>
      </c>
      <c r="AI220" s="1525">
        <f t="shared" si="142"/>
        <v>0</v>
      </c>
      <c r="AJ220" s="1525">
        <f t="shared" si="142"/>
        <v>0</v>
      </c>
      <c r="AK220" s="1525">
        <f t="shared" si="142"/>
        <v>0</v>
      </c>
      <c r="AL220" s="1525">
        <f t="shared" si="142"/>
        <v>0</v>
      </c>
      <c r="AM220" s="1525">
        <f t="shared" si="142"/>
        <v>0</v>
      </c>
      <c r="AN220" s="1525">
        <f t="shared" si="142"/>
        <v>0</v>
      </c>
      <c r="AO220" s="1525">
        <f t="shared" si="142"/>
        <v>1</v>
      </c>
      <c r="AP220" s="1525">
        <f t="shared" si="142"/>
        <v>0</v>
      </c>
      <c r="AQ220" s="1525">
        <f t="shared" si="142"/>
        <v>0</v>
      </c>
      <c r="AR220" s="1525">
        <f t="shared" si="142"/>
        <v>0</v>
      </c>
      <c r="AS220" s="1525">
        <f t="shared" si="142"/>
        <v>0</v>
      </c>
      <c r="AU220" s="1525"/>
      <c r="AV220" s="1291"/>
      <c r="AW220" s="1292"/>
      <c r="AX220" s="1292"/>
      <c r="AY220" s="1292"/>
      <c r="AZ220" s="1292"/>
      <c r="BA220" s="1292"/>
      <c r="BB220" s="1292"/>
      <c r="BC220" s="1292"/>
      <c r="BD220" s="1292">
        <v>1</v>
      </c>
      <c r="BE220" s="1292"/>
      <c r="BF220" s="1292"/>
      <c r="BG220" s="1292"/>
      <c r="BH220" s="1292"/>
      <c r="BI220" s="1292"/>
      <c r="BJ220" s="1292"/>
      <c r="BK220" s="1292"/>
      <c r="BL220" s="1292"/>
      <c r="BM220" s="1292"/>
      <c r="BN220" s="1292"/>
      <c r="BO220" s="1292"/>
      <c r="BP220" s="1292"/>
      <c r="BQ220" s="1292"/>
      <c r="BR220" s="1292"/>
      <c r="BS220" s="1292"/>
      <c r="BT220" s="1670">
        <f t="shared" ref="BT220:BT224" si="143">SUM(AV220:BS220)</f>
        <v>1</v>
      </c>
      <c r="BW220" s="821" t="s">
        <v>1900</v>
      </c>
    </row>
    <row r="221" spans="2:75" ht="12.75" customHeight="1" x14ac:dyDescent="0.2">
      <c r="B221" s="175">
        <f>B220+1</f>
        <v>2</v>
      </c>
      <c r="C221" s="219">
        <v>7</v>
      </c>
      <c r="E221" s="12" t="s">
        <v>285</v>
      </c>
      <c r="F221" s="30" t="s">
        <v>1334</v>
      </c>
      <c r="G221" s="859" t="s">
        <v>168</v>
      </c>
      <c r="H221" s="858">
        <v>3168</v>
      </c>
      <c r="I221" s="200" t="s">
        <v>351</v>
      </c>
      <c r="J221" s="189"/>
      <c r="K221" s="189"/>
      <c r="L221" s="858">
        <v>1</v>
      </c>
      <c r="M221" s="858">
        <f>K221+L221</f>
        <v>1</v>
      </c>
      <c r="N221" s="857" t="s">
        <v>1326</v>
      </c>
      <c r="O221" s="1196">
        <v>14868</v>
      </c>
      <c r="P221" s="1218">
        <f ca="1">YEARFRAC(TODAY(),O221)</f>
        <v>77.05</v>
      </c>
      <c r="Q221" s="1148">
        <v>35300</v>
      </c>
      <c r="R221" s="874">
        <f>Q221*0.1</f>
        <v>3530</v>
      </c>
      <c r="S221" s="875">
        <v>7000</v>
      </c>
      <c r="T221" s="875"/>
      <c r="U221" s="875"/>
      <c r="V221" s="875"/>
      <c r="W221" s="875"/>
      <c r="X221" s="1026">
        <f>(Q221+R221+S221+T221+U221+V221+W221)*M221</f>
        <v>45830</v>
      </c>
      <c r="Y221" s="1512">
        <f>(T221+U221)*M221/(X221-M221*(T221+U221))</f>
        <v>0</v>
      </c>
      <c r="Z221" s="1741">
        <f>M221*(1+Y221)</f>
        <v>1</v>
      </c>
      <c r="AA221" s="1749">
        <f>SUM(AD221:AS221)</f>
        <v>0</v>
      </c>
      <c r="AB221" s="1810">
        <f t="shared" si="141"/>
        <v>0</v>
      </c>
      <c r="AC221" s="876"/>
      <c r="AD221" s="1525">
        <f t="shared" si="142"/>
        <v>0</v>
      </c>
      <c r="AE221" s="1525">
        <f t="shared" si="142"/>
        <v>0</v>
      </c>
      <c r="AF221" s="1525">
        <f t="shared" si="142"/>
        <v>0</v>
      </c>
      <c r="AG221" s="1525">
        <f t="shared" si="142"/>
        <v>0</v>
      </c>
      <c r="AH221" s="1525">
        <f t="shared" si="142"/>
        <v>0</v>
      </c>
      <c r="AI221" s="1525">
        <f t="shared" si="142"/>
        <v>0</v>
      </c>
      <c r="AJ221" s="1525">
        <f t="shared" si="142"/>
        <v>0</v>
      </c>
      <c r="AK221" s="1525">
        <f t="shared" si="142"/>
        <v>0</v>
      </c>
      <c r="AL221" s="1525">
        <f t="shared" si="142"/>
        <v>0</v>
      </c>
      <c r="AM221" s="1525">
        <f t="shared" si="142"/>
        <v>0</v>
      </c>
      <c r="AN221" s="1525">
        <f t="shared" si="142"/>
        <v>0</v>
      </c>
      <c r="AO221" s="1525">
        <f t="shared" si="142"/>
        <v>0</v>
      </c>
      <c r="AP221" s="1525">
        <f t="shared" si="142"/>
        <v>0</v>
      </c>
      <c r="AQ221" s="1525">
        <f t="shared" si="142"/>
        <v>0</v>
      </c>
      <c r="AR221" s="1525">
        <f t="shared" si="142"/>
        <v>0</v>
      </c>
      <c r="AS221" s="1525">
        <f t="shared" si="142"/>
        <v>0</v>
      </c>
      <c r="AU221" s="1525"/>
      <c r="AV221" s="1291"/>
      <c r="AW221" s="1292"/>
      <c r="AX221" s="1292"/>
      <c r="AY221" s="1292"/>
      <c r="AZ221" s="1292"/>
      <c r="BA221" s="1292"/>
      <c r="BB221" s="1292"/>
      <c r="BC221" s="1292"/>
      <c r="BD221" s="1292"/>
      <c r="BE221" s="1292"/>
      <c r="BF221" s="1292"/>
      <c r="BG221" s="1292"/>
      <c r="BH221" s="1292"/>
      <c r="BI221" s="1292"/>
      <c r="BJ221" s="1292"/>
      <c r="BK221" s="1292"/>
      <c r="BL221" s="1292"/>
      <c r="BM221" s="1292"/>
      <c r="BN221" s="1292"/>
      <c r="BO221" s="1292"/>
      <c r="BP221" s="1292"/>
      <c r="BQ221" s="1292"/>
      <c r="BR221" s="1292"/>
      <c r="BS221" s="1292"/>
      <c r="BT221" s="1670">
        <f t="shared" si="143"/>
        <v>0</v>
      </c>
      <c r="BW221" s="859" t="s">
        <v>168</v>
      </c>
    </row>
    <row r="222" spans="2:75" s="164" customFormat="1" ht="12.75" customHeight="1" x14ac:dyDescent="0.2">
      <c r="B222" s="175">
        <f>B221+1</f>
        <v>3</v>
      </c>
      <c r="C222" s="219">
        <v>8</v>
      </c>
      <c r="E222" s="12" t="s">
        <v>285</v>
      </c>
      <c r="F222" s="24" t="s">
        <v>353</v>
      </c>
      <c r="G222" s="821" t="s">
        <v>169</v>
      </c>
      <c r="H222" s="858">
        <v>2383</v>
      </c>
      <c r="I222" s="200" t="s">
        <v>351</v>
      </c>
      <c r="J222" s="189"/>
      <c r="K222" s="189"/>
      <c r="L222" s="858">
        <v>1</v>
      </c>
      <c r="M222" s="858">
        <f>K222+L222</f>
        <v>1</v>
      </c>
      <c r="N222" s="857" t="s">
        <v>1326</v>
      </c>
      <c r="O222" s="1196">
        <v>17510</v>
      </c>
      <c r="P222" s="1218">
        <f ca="1">YEARFRAC(TODAY(),O222)</f>
        <v>69.813888888888883</v>
      </c>
      <c r="Q222" s="1148">
        <v>21050</v>
      </c>
      <c r="R222" s="874">
        <f>Q222*0.1</f>
        <v>2105</v>
      </c>
      <c r="S222" s="875"/>
      <c r="T222" s="875"/>
      <c r="U222" s="875"/>
      <c r="V222" s="875"/>
      <c r="W222" s="875"/>
      <c r="X222" s="1026">
        <f>(Q222+R222+S222+T222+U222+V222+W222)*M222</f>
        <v>23155</v>
      </c>
      <c r="Y222" s="1512">
        <f>(T222+U222)*M222/(X222-M222*(T222+U222))</f>
        <v>0</v>
      </c>
      <c r="Z222" s="1741">
        <f>M222*(1+Y222)</f>
        <v>1</v>
      </c>
      <c r="AA222" s="1749">
        <f>SUM(AD222:AS222)</f>
        <v>0</v>
      </c>
      <c r="AB222" s="1810">
        <f t="shared" si="141"/>
        <v>0</v>
      </c>
      <c r="AC222" s="876"/>
      <c r="AD222" s="1525">
        <f t="shared" si="142"/>
        <v>0</v>
      </c>
      <c r="AE222" s="1525">
        <f t="shared" si="142"/>
        <v>0</v>
      </c>
      <c r="AF222" s="1525">
        <f t="shared" si="142"/>
        <v>0</v>
      </c>
      <c r="AG222" s="1525">
        <f t="shared" si="142"/>
        <v>0</v>
      </c>
      <c r="AH222" s="1525">
        <f t="shared" si="142"/>
        <v>0</v>
      </c>
      <c r="AI222" s="1525">
        <f t="shared" si="142"/>
        <v>0</v>
      </c>
      <c r="AJ222" s="1525">
        <f t="shared" si="142"/>
        <v>0</v>
      </c>
      <c r="AK222" s="1525">
        <f t="shared" si="142"/>
        <v>0</v>
      </c>
      <c r="AL222" s="1525">
        <f t="shared" si="142"/>
        <v>0</v>
      </c>
      <c r="AM222" s="1525">
        <f t="shared" si="142"/>
        <v>0</v>
      </c>
      <c r="AN222" s="1525">
        <f t="shared" si="142"/>
        <v>0</v>
      </c>
      <c r="AO222" s="1525">
        <f t="shared" si="142"/>
        <v>0</v>
      </c>
      <c r="AP222" s="1525">
        <f t="shared" si="142"/>
        <v>0</v>
      </c>
      <c r="AQ222" s="1525">
        <f t="shared" si="142"/>
        <v>0</v>
      </c>
      <c r="AR222" s="1525">
        <f t="shared" si="142"/>
        <v>0</v>
      </c>
      <c r="AS222" s="1525">
        <f t="shared" si="142"/>
        <v>0</v>
      </c>
      <c r="AU222" s="1525"/>
      <c r="AV222" s="1295"/>
      <c r="AW222" s="1525"/>
      <c r="AX222" s="1525"/>
      <c r="AY222" s="1525"/>
      <c r="AZ222" s="1525"/>
      <c r="BA222" s="1525"/>
      <c r="BB222" s="1525"/>
      <c r="BC222" s="1525"/>
      <c r="BD222" s="1525"/>
      <c r="BE222" s="1525"/>
      <c r="BF222" s="1525"/>
      <c r="BG222" s="1525"/>
      <c r="BH222" s="1525"/>
      <c r="BI222" s="1525"/>
      <c r="BJ222" s="1525"/>
      <c r="BK222" s="1525"/>
      <c r="BL222" s="1525"/>
      <c r="BM222" s="1525"/>
      <c r="BN222" s="1525"/>
      <c r="BO222" s="1525"/>
      <c r="BP222" s="1525"/>
      <c r="BQ222" s="1525"/>
      <c r="BR222" s="1525"/>
      <c r="BS222" s="1525"/>
      <c r="BT222" s="1670">
        <f t="shared" si="143"/>
        <v>0</v>
      </c>
      <c r="BV222"/>
      <c r="BW222" s="821" t="s">
        <v>169</v>
      </c>
    </row>
    <row r="223" spans="2:75" ht="12.75" customHeight="1" x14ac:dyDescent="0.2">
      <c r="B223" s="175">
        <f>B222+1</f>
        <v>4</v>
      </c>
      <c r="C223" s="219">
        <v>13</v>
      </c>
      <c r="E223" s="12" t="s">
        <v>285</v>
      </c>
      <c r="F223" s="4" t="s">
        <v>792</v>
      </c>
      <c r="G223" s="821" t="s">
        <v>1371</v>
      </c>
      <c r="H223" s="858">
        <v>3159</v>
      </c>
      <c r="I223" s="197" t="s">
        <v>583</v>
      </c>
      <c r="J223" s="189"/>
      <c r="K223" s="189"/>
      <c r="L223" s="858">
        <v>1</v>
      </c>
      <c r="M223" s="858">
        <f>K223+L223</f>
        <v>1</v>
      </c>
      <c r="N223" s="857" t="s">
        <v>1326</v>
      </c>
      <c r="O223" s="1196">
        <v>16996</v>
      </c>
      <c r="P223" s="1218">
        <f ca="1">YEARFRAC(TODAY(),O223)</f>
        <v>71.219444444444449</v>
      </c>
      <c r="Q223" s="1148">
        <v>24500</v>
      </c>
      <c r="R223" s="874">
        <f>Q223*0.1</f>
        <v>2450</v>
      </c>
      <c r="S223" s="875"/>
      <c r="T223" s="875"/>
      <c r="U223" s="875"/>
      <c r="V223" s="875"/>
      <c r="W223" s="875"/>
      <c r="X223" s="1026">
        <f>(Q223+R223+S223+T223+U223+V223+W223)*M223</f>
        <v>26950</v>
      </c>
      <c r="Y223" s="1512">
        <f>(T223+U223)*M223/(X223-M223*(T223+U223))</f>
        <v>0</v>
      </c>
      <c r="Z223" s="1741">
        <f>M223*(1+Y223)</f>
        <v>1</v>
      </c>
      <c r="AA223" s="1749">
        <f>SUM(AD223:AS223)</f>
        <v>0</v>
      </c>
      <c r="AB223" s="1810">
        <f t="shared" si="141"/>
        <v>0</v>
      </c>
      <c r="AC223" s="876"/>
      <c r="AD223" s="1525">
        <f t="shared" si="142"/>
        <v>0</v>
      </c>
      <c r="AE223" s="1525">
        <f t="shared" si="142"/>
        <v>0</v>
      </c>
      <c r="AF223" s="1525">
        <f t="shared" si="142"/>
        <v>0</v>
      </c>
      <c r="AG223" s="1525">
        <f t="shared" si="142"/>
        <v>0</v>
      </c>
      <c r="AH223" s="1525">
        <f t="shared" si="142"/>
        <v>0</v>
      </c>
      <c r="AI223" s="1525">
        <f t="shared" si="142"/>
        <v>0</v>
      </c>
      <c r="AJ223" s="1525">
        <f t="shared" si="142"/>
        <v>0</v>
      </c>
      <c r="AK223" s="1525">
        <f t="shared" si="142"/>
        <v>0</v>
      </c>
      <c r="AL223" s="1525">
        <f t="shared" si="142"/>
        <v>0</v>
      </c>
      <c r="AM223" s="1525">
        <f t="shared" si="142"/>
        <v>0</v>
      </c>
      <c r="AN223" s="1525">
        <f t="shared" si="142"/>
        <v>0</v>
      </c>
      <c r="AO223" s="1525">
        <f t="shared" si="142"/>
        <v>0</v>
      </c>
      <c r="AP223" s="1525">
        <f t="shared" si="142"/>
        <v>0</v>
      </c>
      <c r="AQ223" s="1525">
        <f t="shared" si="142"/>
        <v>0</v>
      </c>
      <c r="AR223" s="1525">
        <f t="shared" si="142"/>
        <v>0</v>
      </c>
      <c r="AS223" s="1525">
        <f t="shared" si="142"/>
        <v>0</v>
      </c>
      <c r="AU223" s="1525"/>
      <c r="AV223" s="1291"/>
      <c r="AW223" s="1292"/>
      <c r="AX223" s="1292"/>
      <c r="AY223" s="1292"/>
      <c r="AZ223" s="1292"/>
      <c r="BA223" s="1292"/>
      <c r="BB223" s="1292"/>
      <c r="BC223" s="1292"/>
      <c r="BD223" s="1292"/>
      <c r="BE223" s="1292"/>
      <c r="BF223" s="1292"/>
      <c r="BG223" s="1292"/>
      <c r="BH223" s="1292"/>
      <c r="BI223" s="1292"/>
      <c r="BJ223" s="1292"/>
      <c r="BK223" s="1292"/>
      <c r="BL223" s="1292"/>
      <c r="BM223" s="1292"/>
      <c r="BN223" s="1292"/>
      <c r="BO223" s="1292"/>
      <c r="BP223" s="1292"/>
      <c r="BQ223" s="1292"/>
      <c r="BR223" s="1292"/>
      <c r="BS223" s="1292"/>
      <c r="BT223" s="1670">
        <f t="shared" si="143"/>
        <v>0</v>
      </c>
      <c r="BW223" s="821" t="s">
        <v>1371</v>
      </c>
    </row>
    <row r="224" spans="2:75" ht="12.75" customHeight="1" x14ac:dyDescent="0.2">
      <c r="B224" s="175">
        <f>B223+1</f>
        <v>5</v>
      </c>
      <c r="C224" s="219">
        <v>14</v>
      </c>
      <c r="E224" s="12" t="s">
        <v>285</v>
      </c>
      <c r="F224" s="26" t="s">
        <v>626</v>
      </c>
      <c r="G224" s="830" t="s">
        <v>1374</v>
      </c>
      <c r="H224" s="873">
        <v>244023</v>
      </c>
      <c r="I224" s="196" t="s">
        <v>583</v>
      </c>
      <c r="J224" s="195"/>
      <c r="K224" s="195"/>
      <c r="L224" s="873">
        <v>1</v>
      </c>
      <c r="M224" s="873">
        <f>K224+L224</f>
        <v>1</v>
      </c>
      <c r="N224" s="872" t="s">
        <v>1326</v>
      </c>
      <c r="O224" s="1196">
        <v>28389</v>
      </c>
      <c r="P224" s="1218">
        <f ca="1">YEARFRAC(TODAY(),O224)</f>
        <v>40.030555555555559</v>
      </c>
      <c r="Q224" s="1148">
        <v>24000</v>
      </c>
      <c r="R224" s="874">
        <f>Q224*0.1</f>
        <v>2400</v>
      </c>
      <c r="S224" s="875"/>
      <c r="T224" s="875"/>
      <c r="U224" s="875"/>
      <c r="V224" s="875"/>
      <c r="W224" s="875"/>
      <c r="X224" s="1026">
        <f>(Q224+R224+S224+T224+U224+V224+W224)*M224</f>
        <v>26400</v>
      </c>
      <c r="Y224" s="1512">
        <f>(T224+U224)*M224/(X224-M224*(T224+U224))</f>
        <v>0</v>
      </c>
      <c r="Z224" s="1741">
        <f>M224*(1+Y224)</f>
        <v>1</v>
      </c>
      <c r="AA224" s="1749">
        <f>SUM(AD224:AS224)</f>
        <v>0</v>
      </c>
      <c r="AB224" s="1810">
        <f t="shared" si="141"/>
        <v>0</v>
      </c>
      <c r="AC224" s="876"/>
      <c r="AD224" s="1525">
        <f t="shared" si="142"/>
        <v>0</v>
      </c>
      <c r="AE224" s="1525">
        <f t="shared" si="142"/>
        <v>0</v>
      </c>
      <c r="AF224" s="1525">
        <f t="shared" si="142"/>
        <v>0</v>
      </c>
      <c r="AG224" s="1525">
        <f t="shared" si="142"/>
        <v>0</v>
      </c>
      <c r="AH224" s="1525">
        <f t="shared" si="142"/>
        <v>0</v>
      </c>
      <c r="AI224" s="1525">
        <f t="shared" si="142"/>
        <v>0</v>
      </c>
      <c r="AJ224" s="1525">
        <f t="shared" si="142"/>
        <v>0</v>
      </c>
      <c r="AK224" s="1525">
        <f t="shared" si="142"/>
        <v>0</v>
      </c>
      <c r="AL224" s="1525">
        <f t="shared" si="142"/>
        <v>0</v>
      </c>
      <c r="AM224" s="1525">
        <f t="shared" si="142"/>
        <v>0</v>
      </c>
      <c r="AN224" s="1525">
        <f t="shared" si="142"/>
        <v>0</v>
      </c>
      <c r="AO224" s="1525">
        <f t="shared" si="142"/>
        <v>0</v>
      </c>
      <c r="AP224" s="1525">
        <f t="shared" si="142"/>
        <v>0</v>
      </c>
      <c r="AQ224" s="1525">
        <f t="shared" si="142"/>
        <v>0</v>
      </c>
      <c r="AR224" s="1525">
        <f t="shared" si="142"/>
        <v>0</v>
      </c>
      <c r="AS224" s="1525">
        <f t="shared" si="142"/>
        <v>0</v>
      </c>
      <c r="AU224" s="1525"/>
      <c r="AV224" s="1291"/>
      <c r="AW224" s="1292"/>
      <c r="AX224" s="1292"/>
      <c r="AY224" s="1292"/>
      <c r="AZ224" s="1292"/>
      <c r="BA224" s="1292"/>
      <c r="BB224" s="1292"/>
      <c r="BC224" s="1292"/>
      <c r="BD224" s="1292"/>
      <c r="BE224" s="1292"/>
      <c r="BF224" s="1292"/>
      <c r="BG224" s="1292"/>
      <c r="BH224" s="1292"/>
      <c r="BI224" s="1292"/>
      <c r="BJ224" s="1292"/>
      <c r="BK224" s="1292"/>
      <c r="BL224" s="1292"/>
      <c r="BM224" s="1292"/>
      <c r="BN224" s="1292"/>
      <c r="BO224" s="1292"/>
      <c r="BP224" s="1292"/>
      <c r="BQ224" s="1292"/>
      <c r="BR224" s="1292"/>
      <c r="BS224" s="1292"/>
      <c r="BT224" s="1670">
        <f t="shared" si="143"/>
        <v>0</v>
      </c>
      <c r="BW224" s="830" t="s">
        <v>1374</v>
      </c>
    </row>
    <row r="225" spans="2:75" s="164" customFormat="1" ht="12.75" customHeight="1" x14ac:dyDescent="0.2">
      <c r="B225" s="175"/>
      <c r="C225" s="219" t="s">
        <v>1120</v>
      </c>
      <c r="F225" s="24" t="s">
        <v>379</v>
      </c>
      <c r="G225" s="821"/>
      <c r="H225" s="1361" t="s">
        <v>1508</v>
      </c>
      <c r="I225" s="200"/>
      <c r="J225" s="189"/>
      <c r="K225" s="448">
        <f>K220+K221+K222+K223+K224</f>
        <v>0</v>
      </c>
      <c r="L225" s="902">
        <f>SUM(L220:L224)</f>
        <v>5</v>
      </c>
      <c r="M225" s="902">
        <f>SUM(M220:M224)</f>
        <v>5</v>
      </c>
      <c r="N225" s="857"/>
      <c r="O225" s="1192"/>
      <c r="P225" s="550"/>
      <c r="Q225" s="1148"/>
      <c r="R225" s="874"/>
      <c r="S225" s="875"/>
      <c r="T225" s="875"/>
      <c r="U225" s="875"/>
      <c r="V225" s="875"/>
      <c r="W225" s="875"/>
      <c r="X225" s="1026"/>
      <c r="Y225" s="1335"/>
      <c r="Z225" s="1335"/>
      <c r="AA225" s="1749"/>
      <c r="AB225" s="1812"/>
      <c r="AC225" s="876"/>
      <c r="AD225" s="1295"/>
      <c r="AE225" s="1525"/>
      <c r="AF225" s="1525"/>
      <c r="AG225" s="1525"/>
      <c r="AH225" s="1525"/>
      <c r="AI225" s="1525"/>
      <c r="AJ225" s="1525"/>
      <c r="AK225" s="1525"/>
      <c r="AL225" s="1525"/>
      <c r="AM225" s="1525"/>
      <c r="AN225" s="1525"/>
      <c r="AO225" s="1525"/>
      <c r="AP225" s="1525"/>
      <c r="AQ225" s="1525"/>
      <c r="AR225" s="1525"/>
      <c r="AS225" s="1525"/>
      <c r="AU225" s="1525"/>
      <c r="AV225" s="1295"/>
      <c r="AW225" s="1525"/>
      <c r="AX225" s="1525"/>
      <c r="AY225" s="1525"/>
      <c r="AZ225" s="1525"/>
      <c r="BA225" s="1525"/>
      <c r="BB225" s="1525"/>
      <c r="BC225" s="1525"/>
      <c r="BD225" s="1525"/>
      <c r="BE225" s="1525"/>
      <c r="BF225" s="1525"/>
      <c r="BG225" s="1525"/>
      <c r="BH225" s="1525"/>
      <c r="BI225" s="1525"/>
      <c r="BJ225" s="1525"/>
      <c r="BK225" s="1525"/>
      <c r="BL225" s="1525"/>
      <c r="BM225" s="1525"/>
      <c r="BN225" s="1525"/>
      <c r="BO225" s="1525"/>
      <c r="BP225" s="1525"/>
      <c r="BQ225" s="1525"/>
      <c r="BR225" s="1525"/>
      <c r="BS225" s="1525"/>
      <c r="BT225" s="1670"/>
      <c r="BV225"/>
      <c r="BW225" s="821"/>
    </row>
    <row r="226" spans="2:75" s="164" customFormat="1" ht="12.75" customHeight="1" x14ac:dyDescent="0.2">
      <c r="B226" s="175"/>
      <c r="F226" s="24"/>
      <c r="G226" s="821"/>
      <c r="H226" s="1346" t="s">
        <v>1508</v>
      </c>
      <c r="I226" s="200"/>
      <c r="J226" s="189"/>
      <c r="K226" s="189"/>
      <c r="L226" s="858"/>
      <c r="M226" s="858"/>
      <c r="N226" s="857"/>
      <c r="O226" s="1192"/>
      <c r="P226" s="550"/>
      <c r="Q226" s="1148"/>
      <c r="R226" s="874"/>
      <c r="S226" s="875"/>
      <c r="T226" s="875"/>
      <c r="U226" s="875"/>
      <c r="V226" s="875"/>
      <c r="W226" s="875"/>
      <c r="X226" s="1026"/>
      <c r="Y226" s="1512"/>
      <c r="Z226" s="1741"/>
      <c r="AA226" s="1749"/>
      <c r="AB226" s="1812"/>
      <c r="AC226" s="876"/>
      <c r="AD226" s="1295"/>
      <c r="AE226" s="1525"/>
      <c r="AF226" s="1525"/>
      <c r="AG226" s="1525"/>
      <c r="AH226" s="1525"/>
      <c r="AI226" s="1525"/>
      <c r="AJ226" s="1525"/>
      <c r="AK226" s="1525"/>
      <c r="AL226" s="1525"/>
      <c r="AM226" s="1525"/>
      <c r="AN226" s="1525"/>
      <c r="AO226" s="1525"/>
      <c r="AP226" s="1525"/>
      <c r="AQ226" s="1525"/>
      <c r="AR226" s="1525"/>
      <c r="AS226" s="1525"/>
      <c r="AU226" s="1525"/>
      <c r="AV226" s="1295"/>
      <c r="AW226" s="1525"/>
      <c r="AX226" s="1525"/>
      <c r="AY226" s="1525"/>
      <c r="AZ226" s="1525"/>
      <c r="BA226" s="1525"/>
      <c r="BB226" s="1525"/>
      <c r="BC226" s="1525"/>
      <c r="BD226" s="1525"/>
      <c r="BE226" s="1525"/>
      <c r="BF226" s="1525"/>
      <c r="BG226" s="1525"/>
      <c r="BH226" s="1525"/>
      <c r="BI226" s="1525"/>
      <c r="BJ226" s="1525"/>
      <c r="BK226" s="1525"/>
      <c r="BL226" s="1525"/>
      <c r="BM226" s="1525"/>
      <c r="BN226" s="1525"/>
      <c r="BO226" s="1525"/>
      <c r="BP226" s="1525"/>
      <c r="BQ226" s="1525"/>
      <c r="BR226" s="1525"/>
      <c r="BS226" s="1525"/>
      <c r="BT226" s="1670"/>
      <c r="BV226"/>
      <c r="BW226" s="821"/>
    </row>
    <row r="227" spans="2:75" s="164" customFormat="1" ht="12.75" customHeight="1" x14ac:dyDescent="0.2">
      <c r="B227" s="175"/>
      <c r="F227" s="24" t="s">
        <v>1309</v>
      </c>
      <c r="G227" s="821"/>
      <c r="H227" s="1346" t="s">
        <v>1508</v>
      </c>
      <c r="I227" s="200"/>
      <c r="J227" s="189"/>
      <c r="K227" s="189"/>
      <c r="L227" s="858"/>
      <c r="M227" s="858"/>
      <c r="N227" s="857"/>
      <c r="O227" s="1192"/>
      <c r="P227" s="550"/>
      <c r="Q227" s="1148"/>
      <c r="R227" s="874"/>
      <c r="S227" s="875"/>
      <c r="T227" s="875"/>
      <c r="U227" s="875"/>
      <c r="V227" s="875"/>
      <c r="W227" s="875"/>
      <c r="X227" s="1026"/>
      <c r="Y227" s="1512"/>
      <c r="Z227" s="1741"/>
      <c r="AA227" s="1749"/>
      <c r="AB227" s="1812"/>
      <c r="AC227" s="876"/>
      <c r="AD227" s="1295"/>
      <c r="AE227" s="1525"/>
      <c r="AF227" s="1525"/>
      <c r="AG227" s="1525"/>
      <c r="AH227" s="1525"/>
      <c r="AI227" s="1525"/>
      <c r="AJ227" s="1525"/>
      <c r="AK227" s="1525"/>
      <c r="AL227" s="1525"/>
      <c r="AM227" s="1525"/>
      <c r="AN227" s="1525"/>
      <c r="AO227" s="1525"/>
      <c r="AP227" s="1525"/>
      <c r="AQ227" s="1525"/>
      <c r="AR227" s="1525"/>
      <c r="AS227" s="1525"/>
      <c r="AU227" s="1525"/>
      <c r="AV227" s="1295"/>
      <c r="AW227" s="1525"/>
      <c r="AX227" s="1525"/>
      <c r="AY227" s="1525"/>
      <c r="AZ227" s="1525"/>
      <c r="BA227" s="1525"/>
      <c r="BB227" s="1525"/>
      <c r="BC227" s="1525"/>
      <c r="BD227" s="1525"/>
      <c r="BE227" s="1525"/>
      <c r="BF227" s="1525"/>
      <c r="BG227" s="1525"/>
      <c r="BH227" s="1525"/>
      <c r="BI227" s="1525"/>
      <c r="BJ227" s="1525"/>
      <c r="BK227" s="1525"/>
      <c r="BL227" s="1525"/>
      <c r="BM227" s="1525"/>
      <c r="BN227" s="1525"/>
      <c r="BO227" s="1525"/>
      <c r="BP227" s="1525"/>
      <c r="BQ227" s="1525"/>
      <c r="BR227" s="1525"/>
      <c r="BS227" s="1525"/>
      <c r="BT227" s="1670"/>
      <c r="BV227"/>
      <c r="BW227" s="821"/>
    </row>
    <row r="228" spans="2:75" s="164" customFormat="1" ht="12.75" customHeight="1" x14ac:dyDescent="0.2">
      <c r="B228" s="175"/>
      <c r="F228" s="4" t="s">
        <v>315</v>
      </c>
      <c r="G228" s="825"/>
      <c r="H228" s="1347" t="s">
        <v>1508</v>
      </c>
      <c r="I228" s="197"/>
      <c r="J228" s="174"/>
      <c r="K228" s="174"/>
      <c r="L228" s="861"/>
      <c r="M228" s="861"/>
      <c r="N228" s="836"/>
      <c r="O228" s="1192"/>
      <c r="P228" s="550"/>
      <c r="Q228" s="1148"/>
      <c r="R228" s="874"/>
      <c r="S228" s="876"/>
      <c r="T228" s="876"/>
      <c r="U228" s="876"/>
      <c r="V228" s="876"/>
      <c r="W228" s="876"/>
      <c r="X228" s="1026"/>
      <c r="Y228" s="1512"/>
      <c r="Z228" s="1741"/>
      <c r="AA228" s="1749"/>
      <c r="AB228" s="1812"/>
      <c r="AC228" s="876"/>
      <c r="AD228" s="1295"/>
      <c r="AE228" s="1525"/>
      <c r="AF228" s="1525"/>
      <c r="AG228" s="1525"/>
      <c r="AH228" s="1525"/>
      <c r="AI228" s="1525"/>
      <c r="AJ228" s="1525"/>
      <c r="AK228" s="1525"/>
      <c r="AL228" s="1525"/>
      <c r="AM228" s="1525"/>
      <c r="AN228" s="1525"/>
      <c r="AO228" s="1525"/>
      <c r="AP228" s="1525"/>
      <c r="AQ228" s="1525"/>
      <c r="AR228" s="1525"/>
      <c r="AS228" s="1525"/>
      <c r="AU228" s="1525"/>
      <c r="AV228" s="1295"/>
      <c r="AW228" s="1525"/>
      <c r="AX228" s="1525"/>
      <c r="AY228" s="1525"/>
      <c r="AZ228" s="1525"/>
      <c r="BA228" s="1525"/>
      <c r="BB228" s="1525"/>
      <c r="BC228" s="1525"/>
      <c r="BD228" s="1525"/>
      <c r="BE228" s="1525"/>
      <c r="BF228" s="1525"/>
      <c r="BG228" s="1525"/>
      <c r="BH228" s="1525"/>
      <c r="BI228" s="1525"/>
      <c r="BJ228" s="1525"/>
      <c r="BK228" s="1525"/>
      <c r="BL228" s="1525"/>
      <c r="BM228" s="1525"/>
      <c r="BN228" s="1525"/>
      <c r="BO228" s="1525"/>
      <c r="BP228" s="1525"/>
      <c r="BQ228" s="1525"/>
      <c r="BR228" s="1525"/>
      <c r="BS228" s="1525"/>
      <c r="BT228" s="1670"/>
      <c r="BV228"/>
      <c r="BW228" s="825"/>
    </row>
    <row r="229" spans="2:75" s="164" customFormat="1" ht="12.75" customHeight="1" x14ac:dyDescent="0.2">
      <c r="B229" s="175"/>
      <c r="F229" s="24"/>
      <c r="G229" s="821"/>
      <c r="H229" s="1346" t="s">
        <v>1508</v>
      </c>
      <c r="I229" s="200"/>
      <c r="J229" s="189"/>
      <c r="K229" s="189"/>
      <c r="L229" s="858"/>
      <c r="M229" s="858"/>
      <c r="N229" s="857"/>
      <c r="O229" s="1192"/>
      <c r="P229" s="550"/>
      <c r="Q229" s="1148"/>
      <c r="R229" s="874"/>
      <c r="S229" s="875"/>
      <c r="T229" s="875"/>
      <c r="U229" s="875"/>
      <c r="V229" s="875"/>
      <c r="W229" s="875"/>
      <c r="X229" s="1026"/>
      <c r="Y229" s="1512"/>
      <c r="Z229" s="1741"/>
      <c r="AA229" s="1749"/>
      <c r="AB229" s="1812"/>
      <c r="AC229" s="876"/>
      <c r="AD229" s="1295"/>
      <c r="AE229" s="1525"/>
      <c r="AF229" s="1525"/>
      <c r="AG229" s="1525"/>
      <c r="AH229" s="1525"/>
      <c r="AI229" s="1525"/>
      <c r="AJ229" s="1525"/>
      <c r="AK229" s="1525"/>
      <c r="AL229" s="1525"/>
      <c r="AM229" s="1525"/>
      <c r="AN229" s="1525"/>
      <c r="AO229" s="1525"/>
      <c r="AP229" s="1525"/>
      <c r="AQ229" s="1525"/>
      <c r="AR229" s="1525"/>
      <c r="AS229" s="1525"/>
      <c r="AU229" s="1525"/>
      <c r="AV229" s="1295"/>
      <c r="AW229" s="1525"/>
      <c r="AX229" s="1525"/>
      <c r="AY229" s="1525"/>
      <c r="AZ229" s="1525"/>
      <c r="BA229" s="1525"/>
      <c r="BB229" s="1525"/>
      <c r="BC229" s="1525"/>
      <c r="BD229" s="1525"/>
      <c r="BE229" s="1525"/>
      <c r="BF229" s="1525"/>
      <c r="BG229" s="1525"/>
      <c r="BH229" s="1525"/>
      <c r="BI229" s="1525"/>
      <c r="BJ229" s="1525"/>
      <c r="BK229" s="1525"/>
      <c r="BL229" s="1525"/>
      <c r="BM229" s="1525"/>
      <c r="BN229" s="1525"/>
      <c r="BO229" s="1525"/>
      <c r="BP229" s="1525"/>
      <c r="BQ229" s="1525"/>
      <c r="BR229" s="1525"/>
      <c r="BS229" s="1525"/>
      <c r="BT229" s="1670"/>
      <c r="BV229"/>
      <c r="BW229" s="821"/>
    </row>
    <row r="230" spans="2:75" ht="12.75" customHeight="1" x14ac:dyDescent="0.2">
      <c r="B230" s="175">
        <f>B229+1</f>
        <v>1</v>
      </c>
      <c r="C230" s="219">
        <v>12</v>
      </c>
      <c r="E230" s="12" t="s">
        <v>285</v>
      </c>
      <c r="F230" s="24" t="s">
        <v>1235</v>
      </c>
      <c r="G230" s="821" t="s">
        <v>1335</v>
      </c>
      <c r="H230" s="858">
        <v>3174</v>
      </c>
      <c r="I230" s="200" t="s">
        <v>583</v>
      </c>
      <c r="J230" s="189"/>
      <c r="K230" s="189"/>
      <c r="L230" s="858">
        <v>1</v>
      </c>
      <c r="M230" s="858">
        <f>K230+L230</f>
        <v>1</v>
      </c>
      <c r="N230" s="857" t="s">
        <v>892</v>
      </c>
      <c r="O230" s="1196">
        <v>15921</v>
      </c>
      <c r="P230" s="1218">
        <f ca="1">YEARFRAC(TODAY(),O230)</f>
        <v>74.163888888888891</v>
      </c>
      <c r="Q230" s="1148">
        <v>28000</v>
      </c>
      <c r="R230" s="874"/>
      <c r="S230" s="875"/>
      <c r="T230" s="875"/>
      <c r="U230" s="875"/>
      <c r="V230" s="875"/>
      <c r="W230" s="875"/>
      <c r="X230" s="1026">
        <f>(Q230+R230+S230+T230+U230+V230+W230)*M230</f>
        <v>28000</v>
      </c>
      <c r="Y230" s="1512">
        <f>(T230+U230)*M230/(X230-M230*(T230+U230))</f>
        <v>0</v>
      </c>
      <c r="Z230" s="1741">
        <f>M230*(1+Y230)</f>
        <v>1</v>
      </c>
      <c r="AA230" s="1749">
        <f>SUM(AD230:AS230)</f>
        <v>0</v>
      </c>
      <c r="AB230" s="1810">
        <f t="shared" ref="AB230:AB232" si="144">100*AA230/Z230</f>
        <v>0</v>
      </c>
      <c r="AC230" s="876"/>
      <c r="AD230" s="1525">
        <f t="shared" ref="AD230:AS232" si="145">SUMIF($AV$6:$BS$6,AD$5,$AV230:$BS230)</f>
        <v>0</v>
      </c>
      <c r="AE230" s="1525">
        <f t="shared" si="145"/>
        <v>0</v>
      </c>
      <c r="AF230" s="1525">
        <f t="shared" si="145"/>
        <v>0</v>
      </c>
      <c r="AG230" s="1525">
        <f t="shared" si="145"/>
        <v>0</v>
      </c>
      <c r="AH230" s="1525">
        <f t="shared" si="145"/>
        <v>0</v>
      </c>
      <c r="AI230" s="1525">
        <f t="shared" si="145"/>
        <v>0</v>
      </c>
      <c r="AJ230" s="1525">
        <f t="shared" si="145"/>
        <v>0</v>
      </c>
      <c r="AK230" s="1525">
        <f t="shared" si="145"/>
        <v>0</v>
      </c>
      <c r="AL230" s="1525">
        <f t="shared" si="145"/>
        <v>0</v>
      </c>
      <c r="AM230" s="1525">
        <f t="shared" si="145"/>
        <v>0</v>
      </c>
      <c r="AN230" s="1525">
        <f t="shared" si="145"/>
        <v>0</v>
      </c>
      <c r="AO230" s="1525">
        <f t="shared" si="145"/>
        <v>0</v>
      </c>
      <c r="AP230" s="1525">
        <f t="shared" si="145"/>
        <v>0</v>
      </c>
      <c r="AQ230" s="1525">
        <f t="shared" si="145"/>
        <v>0</v>
      </c>
      <c r="AR230" s="1525">
        <f t="shared" si="145"/>
        <v>0</v>
      </c>
      <c r="AS230" s="1525">
        <f t="shared" si="145"/>
        <v>0</v>
      </c>
      <c r="AU230" s="1525"/>
      <c r="AV230" s="1291"/>
      <c r="AW230" s="1292"/>
      <c r="AX230" s="1292"/>
      <c r="AY230" s="1292"/>
      <c r="AZ230" s="1292"/>
      <c r="BA230" s="1292"/>
      <c r="BB230" s="1292"/>
      <c r="BC230" s="1292"/>
      <c r="BD230" s="1292"/>
      <c r="BE230" s="1292"/>
      <c r="BF230" s="1292"/>
      <c r="BG230" s="1292"/>
      <c r="BH230" s="1292"/>
      <c r="BI230" s="1292"/>
      <c r="BJ230" s="1292"/>
      <c r="BK230" s="1292"/>
      <c r="BL230" s="1292"/>
      <c r="BM230" s="1292"/>
      <c r="BN230" s="1292"/>
      <c r="BO230" s="1292"/>
      <c r="BP230" s="1292"/>
      <c r="BQ230" s="1292"/>
      <c r="BR230" s="1292"/>
      <c r="BS230" s="1292"/>
      <c r="BT230" s="1670">
        <f t="shared" ref="BT230:BT232" si="146">SUM(AV230:BS230)</f>
        <v>0</v>
      </c>
      <c r="BW230" s="821" t="s">
        <v>1335</v>
      </c>
    </row>
    <row r="231" spans="2:75" ht="12.75" customHeight="1" x14ac:dyDescent="0.2">
      <c r="B231" s="175">
        <f>B230+1</f>
        <v>2</v>
      </c>
      <c r="C231" s="219">
        <v>18</v>
      </c>
      <c r="E231" s="12" t="s">
        <v>285</v>
      </c>
      <c r="F231" s="24" t="s">
        <v>427</v>
      </c>
      <c r="G231" s="821" t="s">
        <v>428</v>
      </c>
      <c r="H231" s="858">
        <v>3191</v>
      </c>
      <c r="I231" s="200" t="s">
        <v>1442</v>
      </c>
      <c r="J231" s="189"/>
      <c r="K231" s="189"/>
      <c r="L231" s="858">
        <v>1</v>
      </c>
      <c r="M231" s="858">
        <f>K231+L231</f>
        <v>1</v>
      </c>
      <c r="N231" s="857" t="s">
        <v>1326</v>
      </c>
      <c r="O231" s="1196">
        <v>15040</v>
      </c>
      <c r="P231" s="1218">
        <f ca="1">YEARFRAC(TODAY(),O231)</f>
        <v>76.575000000000003</v>
      </c>
      <c r="Q231" s="1148">
        <v>23800</v>
      </c>
      <c r="R231" s="874">
        <f>Q231*0.1</f>
        <v>2380</v>
      </c>
      <c r="S231" s="875"/>
      <c r="T231" s="875"/>
      <c r="U231" s="875"/>
      <c r="V231" s="875"/>
      <c r="W231" s="875"/>
      <c r="X231" s="1026">
        <f>(Q231+R231+S231+T231+U231+V231+W231)*M231</f>
        <v>26180</v>
      </c>
      <c r="Y231" s="1512">
        <f>(T231+U231)*M231/(X231-M231*(T231+U231))</f>
        <v>0</v>
      </c>
      <c r="Z231" s="1741">
        <f>M231*(1+Y231)</f>
        <v>1</v>
      </c>
      <c r="AA231" s="1749">
        <f>SUM(AD231:AS231)</f>
        <v>0</v>
      </c>
      <c r="AB231" s="1810">
        <f t="shared" si="144"/>
        <v>0</v>
      </c>
      <c r="AC231" s="876"/>
      <c r="AD231" s="1525">
        <f t="shared" si="145"/>
        <v>0</v>
      </c>
      <c r="AE231" s="1525">
        <f t="shared" si="145"/>
        <v>0</v>
      </c>
      <c r="AF231" s="1525">
        <f t="shared" si="145"/>
        <v>0</v>
      </c>
      <c r="AG231" s="1525">
        <f t="shared" si="145"/>
        <v>0</v>
      </c>
      <c r="AH231" s="1525">
        <f t="shared" si="145"/>
        <v>0</v>
      </c>
      <c r="AI231" s="1525">
        <f t="shared" si="145"/>
        <v>0</v>
      </c>
      <c r="AJ231" s="1525">
        <f t="shared" si="145"/>
        <v>0</v>
      </c>
      <c r="AK231" s="1525">
        <f t="shared" si="145"/>
        <v>0</v>
      </c>
      <c r="AL231" s="1525">
        <f t="shared" si="145"/>
        <v>0</v>
      </c>
      <c r="AM231" s="1525">
        <f t="shared" si="145"/>
        <v>0</v>
      </c>
      <c r="AN231" s="1525">
        <f t="shared" si="145"/>
        <v>0</v>
      </c>
      <c r="AO231" s="1525">
        <f t="shared" si="145"/>
        <v>0</v>
      </c>
      <c r="AP231" s="1525">
        <f t="shared" si="145"/>
        <v>0</v>
      </c>
      <c r="AQ231" s="1525">
        <f t="shared" si="145"/>
        <v>0</v>
      </c>
      <c r="AR231" s="1525">
        <f t="shared" si="145"/>
        <v>0</v>
      </c>
      <c r="AS231" s="1525">
        <f t="shared" si="145"/>
        <v>0</v>
      </c>
      <c r="AU231" s="1525"/>
      <c r="AV231" s="1291"/>
      <c r="AW231" s="1292"/>
      <c r="AX231" s="1292"/>
      <c r="AY231" s="1292"/>
      <c r="AZ231" s="1292"/>
      <c r="BA231" s="1292"/>
      <c r="BB231" s="1292"/>
      <c r="BC231" s="1292"/>
      <c r="BD231" s="1292"/>
      <c r="BE231" s="1292"/>
      <c r="BF231" s="1292"/>
      <c r="BG231" s="1292"/>
      <c r="BH231" s="1292"/>
      <c r="BI231" s="1292"/>
      <c r="BJ231" s="1292"/>
      <c r="BK231" s="1292"/>
      <c r="BL231" s="1292"/>
      <c r="BM231" s="1292"/>
      <c r="BN231" s="1292"/>
      <c r="BO231" s="1292"/>
      <c r="BP231" s="1292"/>
      <c r="BQ231" s="1292"/>
      <c r="BR231" s="1292"/>
      <c r="BS231" s="1292"/>
      <c r="BT231" s="1670">
        <f t="shared" si="146"/>
        <v>0</v>
      </c>
      <c r="BW231" s="821" t="s">
        <v>428</v>
      </c>
    </row>
    <row r="232" spans="2:75" ht="12.75" customHeight="1" x14ac:dyDescent="0.2">
      <c r="B232" s="175">
        <f>B231+1</f>
        <v>3</v>
      </c>
      <c r="C232" s="219">
        <v>18</v>
      </c>
      <c r="E232" s="12" t="s">
        <v>285</v>
      </c>
      <c r="F232" s="26" t="s">
        <v>427</v>
      </c>
      <c r="G232" s="830" t="s">
        <v>429</v>
      </c>
      <c r="H232" s="873">
        <v>3119</v>
      </c>
      <c r="I232" s="196" t="s">
        <v>1442</v>
      </c>
      <c r="J232" s="195"/>
      <c r="K232" s="195"/>
      <c r="L232" s="873">
        <v>1</v>
      </c>
      <c r="M232" s="873">
        <f>K232+L232</f>
        <v>1</v>
      </c>
      <c r="N232" s="872" t="s">
        <v>1326</v>
      </c>
      <c r="O232" s="1196">
        <v>15251</v>
      </c>
      <c r="P232" s="1218">
        <f ca="1">YEARFRAC(TODAY(),O232)</f>
        <v>76</v>
      </c>
      <c r="Q232" s="1148">
        <v>23800</v>
      </c>
      <c r="R232" s="874">
        <f>Q232*0.1</f>
        <v>2380</v>
      </c>
      <c r="S232" s="875"/>
      <c r="T232" s="875"/>
      <c r="U232" s="875"/>
      <c r="V232" s="875"/>
      <c r="W232" s="875"/>
      <c r="X232" s="1026">
        <f>(Q232+R232+S232+T232+U232+V232+W232)*M232</f>
        <v>26180</v>
      </c>
      <c r="Y232" s="1512">
        <f>(T232+U232)*M232/(X232-M232*(T232+U232))</f>
        <v>0</v>
      </c>
      <c r="Z232" s="1741">
        <f>M232*(1+Y232)</f>
        <v>1</v>
      </c>
      <c r="AA232" s="1749">
        <f>SUM(AD232:AS232)</f>
        <v>0</v>
      </c>
      <c r="AB232" s="1810">
        <f t="shared" si="144"/>
        <v>0</v>
      </c>
      <c r="AC232" s="876"/>
      <c r="AD232" s="1525">
        <f t="shared" si="145"/>
        <v>0</v>
      </c>
      <c r="AE232" s="1525">
        <f t="shared" si="145"/>
        <v>0</v>
      </c>
      <c r="AF232" s="1525">
        <f t="shared" si="145"/>
        <v>0</v>
      </c>
      <c r="AG232" s="1525">
        <f t="shared" si="145"/>
        <v>0</v>
      </c>
      <c r="AH232" s="1525">
        <f t="shared" si="145"/>
        <v>0</v>
      </c>
      <c r="AI232" s="1525">
        <f t="shared" si="145"/>
        <v>0</v>
      </c>
      <c r="AJ232" s="1525">
        <f t="shared" si="145"/>
        <v>0</v>
      </c>
      <c r="AK232" s="1525">
        <f t="shared" si="145"/>
        <v>0</v>
      </c>
      <c r="AL232" s="1525">
        <f t="shared" si="145"/>
        <v>0</v>
      </c>
      <c r="AM232" s="1525">
        <f t="shared" si="145"/>
        <v>0</v>
      </c>
      <c r="AN232" s="1525">
        <f t="shared" si="145"/>
        <v>0</v>
      </c>
      <c r="AO232" s="1525">
        <f t="shared" si="145"/>
        <v>0</v>
      </c>
      <c r="AP232" s="1525">
        <f t="shared" si="145"/>
        <v>0</v>
      </c>
      <c r="AQ232" s="1525">
        <f t="shared" si="145"/>
        <v>0</v>
      </c>
      <c r="AR232" s="1525">
        <f t="shared" si="145"/>
        <v>0</v>
      </c>
      <c r="AS232" s="1525">
        <f t="shared" si="145"/>
        <v>0</v>
      </c>
      <c r="AU232" s="1525"/>
      <c r="AV232" s="1291"/>
      <c r="AW232" s="1292"/>
      <c r="AX232" s="1292"/>
      <c r="AY232" s="1292"/>
      <c r="AZ232" s="1292"/>
      <c r="BA232" s="1292"/>
      <c r="BB232" s="1292"/>
      <c r="BC232" s="1292"/>
      <c r="BD232" s="1292"/>
      <c r="BE232" s="1292"/>
      <c r="BF232" s="1292"/>
      <c r="BG232" s="1292"/>
      <c r="BH232" s="1292"/>
      <c r="BI232" s="1292"/>
      <c r="BJ232" s="1292"/>
      <c r="BK232" s="1292"/>
      <c r="BL232" s="1292"/>
      <c r="BM232" s="1292"/>
      <c r="BN232" s="1292"/>
      <c r="BO232" s="1292"/>
      <c r="BP232" s="1292"/>
      <c r="BQ232" s="1292"/>
      <c r="BR232" s="1292"/>
      <c r="BS232" s="1292"/>
      <c r="BT232" s="1670">
        <f t="shared" si="146"/>
        <v>0</v>
      </c>
      <c r="BW232" s="830" t="s">
        <v>429</v>
      </c>
    </row>
    <row r="233" spans="2:75" s="164" customFormat="1" ht="12.75" customHeight="1" x14ac:dyDescent="0.2">
      <c r="B233" s="175"/>
      <c r="C233" s="219" t="s">
        <v>1120</v>
      </c>
      <c r="F233" s="24" t="s">
        <v>709</v>
      </c>
      <c r="G233" s="821"/>
      <c r="H233" s="1361" t="s">
        <v>1508</v>
      </c>
      <c r="I233" s="200"/>
      <c r="J233" s="189"/>
      <c r="K233" s="318"/>
      <c r="L233" s="902">
        <f>SUM(L230:L232)</f>
        <v>3</v>
      </c>
      <c r="M233" s="902">
        <f>SUM(M230:M232)</f>
        <v>3</v>
      </c>
      <c r="N233" s="857"/>
      <c r="O233" s="1192"/>
      <c r="P233" s="550"/>
      <c r="Q233" s="1148"/>
      <c r="R233" s="874"/>
      <c r="S233" s="875"/>
      <c r="T233" s="875"/>
      <c r="U233" s="875"/>
      <c r="V233" s="875"/>
      <c r="W233" s="875"/>
      <c r="X233" s="1026"/>
      <c r="Y233" s="1335"/>
      <c r="Z233" s="1335"/>
      <c r="AA233" s="1749"/>
      <c r="AB233" s="1812"/>
      <c r="AC233" s="876"/>
      <c r="AD233" s="1295"/>
      <c r="AE233" s="1525"/>
      <c r="AF233" s="1525"/>
      <c r="AG233" s="1525"/>
      <c r="AH233" s="1525"/>
      <c r="AI233" s="1525"/>
      <c r="AJ233" s="1525"/>
      <c r="AK233" s="1525"/>
      <c r="AL233" s="1525"/>
      <c r="AM233" s="1525"/>
      <c r="AN233" s="1525"/>
      <c r="AO233" s="1525"/>
      <c r="AP233" s="1525"/>
      <c r="AQ233" s="1525"/>
      <c r="AR233" s="1525"/>
      <c r="AS233" s="1525"/>
      <c r="AU233" s="1525"/>
      <c r="AV233" s="1295"/>
      <c r="AW233" s="1525"/>
      <c r="AX233" s="1525"/>
      <c r="AY233" s="1525"/>
      <c r="AZ233" s="1525"/>
      <c r="BA233" s="1525"/>
      <c r="BB233" s="1525"/>
      <c r="BC233" s="1525"/>
      <c r="BD233" s="1525"/>
      <c r="BE233" s="1525"/>
      <c r="BF233" s="1525"/>
      <c r="BG233" s="1525"/>
      <c r="BH233" s="1525"/>
      <c r="BI233" s="1525"/>
      <c r="BJ233" s="1525"/>
      <c r="BK233" s="1525"/>
      <c r="BL233" s="1525"/>
      <c r="BM233" s="1525"/>
      <c r="BN233" s="1525"/>
      <c r="BO233" s="1525"/>
      <c r="BP233" s="1525"/>
      <c r="BQ233" s="1525"/>
      <c r="BR233" s="1525"/>
      <c r="BS233" s="1525"/>
      <c r="BT233" s="1670"/>
      <c r="BV233"/>
      <c r="BW233" s="821"/>
    </row>
    <row r="234" spans="2:75" s="164" customFormat="1" ht="12.75" customHeight="1" x14ac:dyDescent="0.2">
      <c r="B234" s="175"/>
      <c r="F234" s="24"/>
      <c r="G234" s="821"/>
      <c r="H234" s="1347" t="s">
        <v>1508</v>
      </c>
      <c r="I234" s="197"/>
      <c r="J234" s="174"/>
      <c r="K234" s="174"/>
      <c r="L234" s="861"/>
      <c r="M234" s="861"/>
      <c r="N234" s="857"/>
      <c r="O234" s="1192"/>
      <c r="P234" s="550"/>
      <c r="Q234" s="1148"/>
      <c r="R234" s="874"/>
      <c r="S234" s="875"/>
      <c r="T234" s="875"/>
      <c r="U234" s="875"/>
      <c r="V234" s="875"/>
      <c r="W234" s="875"/>
      <c r="X234" s="1026"/>
      <c r="Y234" s="1512"/>
      <c r="Z234" s="1741"/>
      <c r="AA234" s="1749"/>
      <c r="AB234" s="1812"/>
      <c r="AC234" s="876"/>
      <c r="AD234" s="1295"/>
      <c r="AE234" s="1525"/>
      <c r="AF234" s="1525"/>
      <c r="AG234" s="1525"/>
      <c r="AH234" s="1525"/>
      <c r="AI234" s="1525"/>
      <c r="AJ234" s="1525"/>
      <c r="AK234" s="1525"/>
      <c r="AL234" s="1525"/>
      <c r="AM234" s="1525"/>
      <c r="AN234" s="1525"/>
      <c r="AO234" s="1525"/>
      <c r="AP234" s="1525"/>
      <c r="AQ234" s="1525"/>
      <c r="AR234" s="1525"/>
      <c r="AS234" s="1525"/>
      <c r="AU234" s="1525"/>
      <c r="AV234" s="1295"/>
      <c r="AW234" s="1525"/>
      <c r="AX234" s="1525"/>
      <c r="AY234" s="1525"/>
      <c r="AZ234" s="1525"/>
      <c r="BA234" s="1525"/>
      <c r="BB234" s="1525"/>
      <c r="BC234" s="1525"/>
      <c r="BD234" s="1525"/>
      <c r="BE234" s="1525"/>
      <c r="BF234" s="1525"/>
      <c r="BG234" s="1525"/>
      <c r="BH234" s="1525"/>
      <c r="BI234" s="1525"/>
      <c r="BJ234" s="1525"/>
      <c r="BK234" s="1525"/>
      <c r="BL234" s="1525"/>
      <c r="BM234" s="1525"/>
      <c r="BN234" s="1525"/>
      <c r="BO234" s="1525"/>
      <c r="BP234" s="1525"/>
      <c r="BQ234" s="1525"/>
      <c r="BR234" s="1525"/>
      <c r="BS234" s="1525"/>
      <c r="BT234" s="1670"/>
      <c r="BV234"/>
      <c r="BW234" s="821"/>
    </row>
    <row r="235" spans="2:75" s="164" customFormat="1" ht="12.75" customHeight="1" x14ac:dyDescent="0.2">
      <c r="B235" s="175"/>
      <c r="C235" s="734" t="s">
        <v>1120</v>
      </c>
      <c r="D235" s="735"/>
      <c r="E235" s="736"/>
      <c r="F235" s="33" t="s">
        <v>700</v>
      </c>
      <c r="G235" s="906"/>
      <c r="H235" s="1349" t="s">
        <v>1508</v>
      </c>
      <c r="I235" s="201"/>
      <c r="J235" s="199"/>
      <c r="K235" s="427">
        <f>K225+K233</f>
        <v>0</v>
      </c>
      <c r="L235" s="866">
        <f>L225+L233</f>
        <v>8</v>
      </c>
      <c r="M235" s="866">
        <f>M225+M233</f>
        <v>8</v>
      </c>
      <c r="N235" s="901"/>
      <c r="O235" s="1192"/>
      <c r="P235" s="550"/>
      <c r="Q235" s="1161"/>
      <c r="R235" s="1031"/>
      <c r="S235" s="881"/>
      <c r="T235" s="881"/>
      <c r="U235" s="881"/>
      <c r="V235" s="881"/>
      <c r="W235" s="881"/>
      <c r="X235" s="1699">
        <f>SUM(X220:X234)</f>
        <v>257120</v>
      </c>
      <c r="Y235" s="1335"/>
      <c r="Z235" s="1335"/>
      <c r="AA235" s="1749"/>
      <c r="AB235" s="1812"/>
      <c r="AC235" s="1542"/>
      <c r="AD235" s="1295"/>
      <c r="AE235" s="1525"/>
      <c r="AF235" s="1525"/>
      <c r="AG235" s="1525"/>
      <c r="AH235" s="1525"/>
      <c r="AI235" s="1525"/>
      <c r="AJ235" s="1525"/>
      <c r="AK235" s="1525"/>
      <c r="AL235" s="1525"/>
      <c r="AM235" s="1525"/>
      <c r="AN235" s="1525"/>
      <c r="AO235" s="1525"/>
      <c r="AP235" s="1525"/>
      <c r="AQ235" s="1525"/>
      <c r="AR235" s="1525"/>
      <c r="AS235" s="1525"/>
      <c r="AU235" s="1525"/>
      <c r="AV235" s="1295"/>
      <c r="AW235" s="1525"/>
      <c r="AX235" s="1525"/>
      <c r="AY235" s="1525"/>
      <c r="AZ235" s="1525"/>
      <c r="BA235" s="1525"/>
      <c r="BB235" s="1525"/>
      <c r="BC235" s="1525"/>
      <c r="BD235" s="1525"/>
      <c r="BE235" s="1525"/>
      <c r="BF235" s="1525"/>
      <c r="BG235" s="1525"/>
      <c r="BH235" s="1525"/>
      <c r="BI235" s="1525"/>
      <c r="BJ235" s="1525"/>
      <c r="BK235" s="1525"/>
      <c r="BL235" s="1525"/>
      <c r="BM235" s="1525"/>
      <c r="BN235" s="1525"/>
      <c r="BO235" s="1525"/>
      <c r="BP235" s="1525"/>
      <c r="BQ235" s="1525"/>
      <c r="BR235" s="1525"/>
      <c r="BS235" s="1525"/>
      <c r="BT235" s="1670"/>
      <c r="BV235"/>
      <c r="BW235" s="906"/>
    </row>
    <row r="236" spans="2:75" s="164" customFormat="1" ht="12.75" customHeight="1" x14ac:dyDescent="0.2">
      <c r="B236" s="175"/>
      <c r="C236" s="655" t="s">
        <v>344</v>
      </c>
      <c r="D236" s="586" t="s">
        <v>346</v>
      </c>
      <c r="E236" s="656" t="s">
        <v>285</v>
      </c>
      <c r="F236" s="533" t="s">
        <v>701</v>
      </c>
      <c r="G236" s="907">
        <f>COUNTA(G195:G235)</f>
        <v>20</v>
      </c>
      <c r="H236" s="1363" t="s">
        <v>1508</v>
      </c>
      <c r="I236" s="534"/>
      <c r="J236" s="535"/>
      <c r="K236" s="617">
        <f>K197+K216+K235</f>
        <v>0</v>
      </c>
      <c r="L236" s="907">
        <f>L197+L216+L235</f>
        <v>17.100000000000001</v>
      </c>
      <c r="M236" s="907">
        <f>M197+M216+M235</f>
        <v>17.100000000000001</v>
      </c>
      <c r="N236" s="909"/>
      <c r="O236" s="1201"/>
      <c r="P236" s="1222"/>
      <c r="Q236" s="1152"/>
      <c r="R236" s="883"/>
      <c r="S236" s="879"/>
      <c r="T236" s="879"/>
      <c r="U236" s="879"/>
      <c r="V236" s="879"/>
      <c r="W236" s="879"/>
      <c r="X236" s="1278">
        <f>X197+X216+X235</f>
        <v>638844</v>
      </c>
      <c r="Y236" s="1278"/>
      <c r="Z236" s="1799">
        <f>SUM(Z195:Z232)</f>
        <v>18.255499704226057</v>
      </c>
      <c r="AA236" s="1794">
        <f t="shared" ref="AA236" si="147">SUM(AA195:AA232)</f>
        <v>1</v>
      </c>
      <c r="AB236" s="1813">
        <f t="shared" ref="AB236" si="148">100*AA236/Z236</f>
        <v>5.4778012993449039</v>
      </c>
      <c r="AC236" s="1782"/>
      <c r="AD236" s="1291"/>
      <c r="AE236" s="1292"/>
      <c r="AF236" s="1525"/>
      <c r="AG236" s="1525"/>
      <c r="AH236" s="1525"/>
      <c r="AI236" s="1525"/>
      <c r="AJ236" s="1525"/>
      <c r="AK236" s="1525"/>
      <c r="AL236" s="1525"/>
      <c r="AM236" s="1525"/>
      <c r="AN236" s="1525"/>
      <c r="AO236" s="1525"/>
      <c r="AP236" s="1525"/>
      <c r="AQ236" s="1525"/>
      <c r="AR236" s="1525"/>
      <c r="AS236" s="1525"/>
      <c r="AU236" s="1525"/>
      <c r="AV236" s="1295"/>
      <c r="AW236" s="1525"/>
      <c r="AX236" s="1525"/>
      <c r="AY236" s="1525"/>
      <c r="AZ236" s="1525"/>
      <c r="BA236" s="1525"/>
      <c r="BB236" s="1525"/>
      <c r="BC236" s="1525"/>
      <c r="BD236" s="1525"/>
      <c r="BE236" s="1525"/>
      <c r="BF236" s="1525"/>
      <c r="BG236" s="1525"/>
      <c r="BH236" s="1525"/>
      <c r="BI236" s="1525"/>
      <c r="BJ236" s="1525"/>
      <c r="BK236" s="1525"/>
      <c r="BL236" s="1525"/>
      <c r="BM236" s="1525"/>
      <c r="BN236" s="1525"/>
      <c r="BO236" s="1525"/>
      <c r="BP236" s="1525"/>
      <c r="BQ236" s="1525"/>
      <c r="BR236" s="1525"/>
      <c r="BS236" s="1525"/>
      <c r="BT236" s="1670"/>
      <c r="BV236"/>
      <c r="BW236" s="908"/>
    </row>
    <row r="237" spans="2:75" s="164" customFormat="1" ht="12.75" customHeight="1" x14ac:dyDescent="0.2">
      <c r="B237" s="175"/>
      <c r="C237" s="661" t="s">
        <v>136</v>
      </c>
      <c r="D237" s="661"/>
      <c r="E237" s="640" t="s">
        <v>285</v>
      </c>
      <c r="F237" s="618" t="s">
        <v>893</v>
      </c>
      <c r="G237" s="867"/>
      <c r="H237" s="1349" t="s">
        <v>1508</v>
      </c>
      <c r="I237" s="619"/>
      <c r="J237" s="620"/>
      <c r="K237" s="620"/>
      <c r="L237" s="866"/>
      <c r="M237" s="866"/>
      <c r="N237" s="865"/>
      <c r="O237" s="1191"/>
      <c r="P237" s="1223"/>
      <c r="Q237" s="1158"/>
      <c r="R237" s="1027"/>
      <c r="S237" s="1028"/>
      <c r="T237" s="1028"/>
      <c r="U237" s="1028"/>
      <c r="V237" s="1028"/>
      <c r="W237" s="1028"/>
      <c r="X237" s="1697">
        <v>79688</v>
      </c>
      <c r="Y237" s="1052"/>
      <c r="Z237" s="1798"/>
      <c r="AA237" s="1749"/>
      <c r="AB237" s="1812"/>
      <c r="AC237" s="876"/>
      <c r="AD237" s="1295"/>
      <c r="AE237" s="1525"/>
      <c r="AF237" s="1525"/>
      <c r="AG237" s="1525"/>
      <c r="AH237" s="1525"/>
      <c r="AI237" s="1525"/>
      <c r="AJ237" s="1525"/>
      <c r="AK237" s="1525"/>
      <c r="AL237" s="1525"/>
      <c r="AM237" s="1525"/>
      <c r="AN237" s="1525"/>
      <c r="AO237" s="1525"/>
      <c r="AP237" s="1525"/>
      <c r="AQ237" s="1525"/>
      <c r="AR237" s="1525"/>
      <c r="AS237" s="1525"/>
      <c r="AU237" s="1525"/>
      <c r="AV237" s="1295"/>
      <c r="AW237" s="1525"/>
      <c r="AX237" s="1525"/>
      <c r="AY237" s="1525"/>
      <c r="AZ237" s="1525"/>
      <c r="BA237" s="1525"/>
      <c r="BB237" s="1525"/>
      <c r="BC237" s="1525"/>
      <c r="BD237" s="1525"/>
      <c r="BE237" s="1525"/>
      <c r="BF237" s="1525"/>
      <c r="BG237" s="1525"/>
      <c r="BH237" s="1525"/>
      <c r="BI237" s="1525"/>
      <c r="BJ237" s="1525"/>
      <c r="BK237" s="1525"/>
      <c r="BL237" s="1525"/>
      <c r="BM237" s="1525"/>
      <c r="BN237" s="1525"/>
      <c r="BO237" s="1525"/>
      <c r="BP237" s="1525"/>
      <c r="BQ237" s="1525"/>
      <c r="BR237" s="1525"/>
      <c r="BS237" s="1525"/>
      <c r="BT237" s="1670"/>
      <c r="BV237"/>
      <c r="BW237" s="867"/>
    </row>
    <row r="238" spans="2:75" s="164" customFormat="1" ht="12.75" customHeight="1" x14ac:dyDescent="0.2">
      <c r="B238" s="175"/>
      <c r="F238" s="1"/>
      <c r="G238" s="856"/>
      <c r="H238" s="1364" t="s">
        <v>1508</v>
      </c>
      <c r="I238" s="172"/>
      <c r="J238" s="168"/>
      <c r="K238" s="168"/>
      <c r="L238" s="841"/>
      <c r="M238" s="841"/>
      <c r="N238" s="855"/>
      <c r="O238" s="1192"/>
      <c r="P238" s="550"/>
      <c r="Q238" s="1153"/>
      <c r="R238" s="877"/>
      <c r="S238" s="875"/>
      <c r="T238" s="875"/>
      <c r="U238" s="875"/>
      <c r="V238" s="875"/>
      <c r="W238" s="875"/>
      <c r="X238" s="1026"/>
      <c r="Y238" s="1512"/>
      <c r="Z238" s="1741"/>
      <c r="AA238" s="1749"/>
      <c r="AB238" s="1812"/>
      <c r="AC238" s="876"/>
      <c r="AD238" s="1295"/>
      <c r="AE238" s="1525"/>
      <c r="AF238" s="1525"/>
      <c r="AG238" s="1525"/>
      <c r="AH238" s="1525"/>
      <c r="AI238" s="1525"/>
      <c r="AJ238" s="1525"/>
      <c r="AK238" s="1525"/>
      <c r="AL238" s="1525"/>
      <c r="AM238" s="1525"/>
      <c r="AN238" s="1525"/>
      <c r="AO238" s="1525"/>
      <c r="AP238" s="1525"/>
      <c r="AQ238" s="1525"/>
      <c r="AR238" s="1525"/>
      <c r="AS238" s="1525"/>
      <c r="AU238" s="1525"/>
      <c r="AV238" s="1295"/>
      <c r="AW238" s="1525"/>
      <c r="AX238" s="1525"/>
      <c r="AY238" s="1525"/>
      <c r="AZ238" s="1525"/>
      <c r="BA238" s="1525"/>
      <c r="BB238" s="1525"/>
      <c r="BC238" s="1525"/>
      <c r="BD238" s="1525"/>
      <c r="BE238" s="1525"/>
      <c r="BF238" s="1525"/>
      <c r="BG238" s="1525"/>
      <c r="BH238" s="1525"/>
      <c r="BI238" s="1525"/>
      <c r="BJ238" s="1525"/>
      <c r="BK238" s="1525"/>
      <c r="BL238" s="1525"/>
      <c r="BM238" s="1525"/>
      <c r="BN238" s="1525"/>
      <c r="BO238" s="1525"/>
      <c r="BP238" s="1525"/>
      <c r="BQ238" s="1525"/>
      <c r="BR238" s="1525"/>
      <c r="BS238" s="1525"/>
      <c r="BT238" s="1670"/>
      <c r="BV238"/>
      <c r="BW238" s="856"/>
    </row>
    <row r="239" spans="2:75" s="164" customFormat="1" ht="12.75" customHeight="1" x14ac:dyDescent="0.2">
      <c r="B239" s="175"/>
      <c r="F239" s="2" t="s">
        <v>702</v>
      </c>
      <c r="G239" s="856"/>
      <c r="H239" s="1364" t="s">
        <v>1508</v>
      </c>
      <c r="I239" s="172"/>
      <c r="J239" s="168"/>
      <c r="K239" s="168"/>
      <c r="L239" s="841"/>
      <c r="M239" s="841"/>
      <c r="N239" s="855"/>
      <c r="O239" s="1192"/>
      <c r="P239" s="550"/>
      <c r="Q239" s="1153"/>
      <c r="R239" s="877"/>
      <c r="S239" s="875"/>
      <c r="T239" s="875"/>
      <c r="U239" s="875"/>
      <c r="V239" s="875"/>
      <c r="W239" s="875"/>
      <c r="X239" s="1026"/>
      <c r="Y239" s="1512"/>
      <c r="Z239" s="1741"/>
      <c r="AA239" s="1749"/>
      <c r="AB239" s="1812"/>
      <c r="AC239" s="876"/>
      <c r="AD239" s="1295"/>
      <c r="AE239" s="1525"/>
      <c r="AF239" s="1525"/>
      <c r="AG239" s="1525"/>
      <c r="AH239" s="1525"/>
      <c r="AI239" s="1525"/>
      <c r="AJ239" s="1525"/>
      <c r="AK239" s="1525"/>
      <c r="AL239" s="1525"/>
      <c r="AM239" s="1525"/>
      <c r="AN239" s="1525"/>
      <c r="AO239" s="1525"/>
      <c r="AP239" s="1525"/>
      <c r="AQ239" s="1525"/>
      <c r="AR239" s="1525"/>
      <c r="AS239" s="1525"/>
      <c r="AU239" s="1525"/>
      <c r="AV239" s="1295"/>
      <c r="AW239" s="1525"/>
      <c r="AX239" s="1525"/>
      <c r="AY239" s="1525"/>
      <c r="AZ239" s="1525"/>
      <c r="BA239" s="1525"/>
      <c r="BB239" s="1525"/>
      <c r="BC239" s="1525"/>
      <c r="BD239" s="1525"/>
      <c r="BE239" s="1525"/>
      <c r="BF239" s="1525"/>
      <c r="BG239" s="1525"/>
      <c r="BH239" s="1525"/>
      <c r="BI239" s="1525"/>
      <c r="BJ239" s="1525"/>
      <c r="BK239" s="1525"/>
      <c r="BL239" s="1525"/>
      <c r="BM239" s="1525"/>
      <c r="BN239" s="1525"/>
      <c r="BO239" s="1525"/>
      <c r="BP239" s="1525"/>
      <c r="BQ239" s="1525"/>
      <c r="BR239" s="1525"/>
      <c r="BS239" s="1525"/>
      <c r="BT239" s="1670"/>
      <c r="BV239"/>
      <c r="BW239" s="856"/>
    </row>
    <row r="240" spans="2:75" s="164" customFormat="1" ht="12.75" customHeight="1" x14ac:dyDescent="0.2">
      <c r="B240" s="175"/>
      <c r="F240" s="1" t="s">
        <v>562</v>
      </c>
      <c r="G240" s="859"/>
      <c r="H240" s="1346" t="s">
        <v>1508</v>
      </c>
      <c r="I240" s="247"/>
      <c r="J240" s="294"/>
      <c r="K240" s="294"/>
      <c r="L240" s="858"/>
      <c r="M240" s="858"/>
      <c r="N240" s="857"/>
      <c r="O240" s="1192"/>
      <c r="P240" s="550"/>
      <c r="Q240" s="1153"/>
      <c r="R240" s="877"/>
      <c r="S240" s="875"/>
      <c r="T240" s="875"/>
      <c r="U240" s="875"/>
      <c r="V240" s="875"/>
      <c r="W240" s="875"/>
      <c r="X240" s="1026"/>
      <c r="Y240" s="1512"/>
      <c r="Z240" s="1741"/>
      <c r="AA240" s="1749"/>
      <c r="AB240" s="1812"/>
      <c r="AC240" s="876"/>
      <c r="AD240" s="1295"/>
      <c r="AE240" s="1525"/>
      <c r="AF240" s="1525"/>
      <c r="AG240" s="1525"/>
      <c r="AH240" s="1525"/>
      <c r="AI240" s="1525"/>
      <c r="AJ240" s="1525"/>
      <c r="AK240" s="1525"/>
      <c r="AL240" s="1525"/>
      <c r="AM240" s="1525"/>
      <c r="AN240" s="1525"/>
      <c r="AO240" s="1525"/>
      <c r="AP240" s="1525"/>
      <c r="AQ240" s="1525"/>
      <c r="AR240" s="1525"/>
      <c r="AS240" s="1525"/>
      <c r="AU240" s="1525"/>
      <c r="AV240" s="1295"/>
      <c r="AW240" s="1525"/>
      <c r="AX240" s="1525"/>
      <c r="AY240" s="1525"/>
      <c r="AZ240" s="1525"/>
      <c r="BA240" s="1525"/>
      <c r="BB240" s="1525"/>
      <c r="BC240" s="1525"/>
      <c r="BD240" s="1525"/>
      <c r="BE240" s="1525"/>
      <c r="BF240" s="1525"/>
      <c r="BG240" s="1525"/>
      <c r="BH240" s="1525"/>
      <c r="BI240" s="1525"/>
      <c r="BJ240" s="1525"/>
      <c r="BK240" s="1525"/>
      <c r="BL240" s="1525"/>
      <c r="BM240" s="1525"/>
      <c r="BN240" s="1525"/>
      <c r="BO240" s="1525"/>
      <c r="BP240" s="1525"/>
      <c r="BQ240" s="1525"/>
      <c r="BR240" s="1525"/>
      <c r="BS240" s="1525"/>
      <c r="BT240" s="1670"/>
      <c r="BV240"/>
      <c r="BW240" s="859"/>
    </row>
    <row r="241" spans="2:75" ht="12.75" customHeight="1" x14ac:dyDescent="0.2">
      <c r="B241" s="175">
        <f>B240+1</f>
        <v>1</v>
      </c>
      <c r="C241" s="573">
        <v>4</v>
      </c>
      <c r="D241" s="574"/>
      <c r="E241" s="572" t="s">
        <v>423</v>
      </c>
      <c r="F241" s="467" t="s">
        <v>629</v>
      </c>
      <c r="G241" s="859" t="s">
        <v>30</v>
      </c>
      <c r="H241" s="858">
        <v>7564</v>
      </c>
      <c r="I241" s="621" t="s">
        <v>351</v>
      </c>
      <c r="J241" s="622"/>
      <c r="K241" s="622"/>
      <c r="L241" s="858">
        <v>1</v>
      </c>
      <c r="M241" s="858">
        <f>K241+L241</f>
        <v>1</v>
      </c>
      <c r="N241" s="857" t="s">
        <v>1326</v>
      </c>
      <c r="O241" s="1196">
        <v>17100</v>
      </c>
      <c r="P241" s="1218">
        <f ca="1">YEARFRAC(TODAY(),O241)</f>
        <v>70.936111111111117</v>
      </c>
      <c r="Q241" s="1148">
        <v>78900</v>
      </c>
      <c r="R241" s="874">
        <f>Q241*0.1</f>
        <v>7890</v>
      </c>
      <c r="S241" s="875"/>
      <c r="T241" s="875">
        <v>35000</v>
      </c>
      <c r="U241" s="875">
        <v>8000</v>
      </c>
      <c r="V241" s="875"/>
      <c r="W241" s="875"/>
      <c r="X241" s="1026">
        <f>(Q241+R241+S241+T241+U241+V241+W241)*M241</f>
        <v>129790</v>
      </c>
      <c r="Y241" s="1512">
        <f>(T241+U241)*M241/(X241-M241*(T241+U241))</f>
        <v>0.49544878442216844</v>
      </c>
      <c r="Z241" s="1741">
        <f>M241*(1+Y241)</f>
        <v>1.4954487844221684</v>
      </c>
      <c r="AA241" s="1749">
        <f>SUM(AD241:AS241)</f>
        <v>0</v>
      </c>
      <c r="AB241" s="1810">
        <f t="shared" ref="AB241:AB242" si="149">100*AA241/Z241</f>
        <v>0</v>
      </c>
      <c r="AC241" s="876"/>
      <c r="AD241" s="1525">
        <f t="shared" ref="AD241:AS242" si="150">SUMIF($AV$6:$BS$6,AD$5,$AV241:$BS241)</f>
        <v>0</v>
      </c>
      <c r="AE241" s="1525">
        <f t="shared" si="150"/>
        <v>0</v>
      </c>
      <c r="AF241" s="1525">
        <f t="shared" si="150"/>
        <v>0</v>
      </c>
      <c r="AG241" s="1525">
        <f t="shared" si="150"/>
        <v>0</v>
      </c>
      <c r="AH241" s="1525">
        <f t="shared" si="150"/>
        <v>0</v>
      </c>
      <c r="AI241" s="1525">
        <f t="shared" si="150"/>
        <v>0</v>
      </c>
      <c r="AJ241" s="1525">
        <f t="shared" si="150"/>
        <v>0</v>
      </c>
      <c r="AK241" s="1525">
        <f t="shared" si="150"/>
        <v>0</v>
      </c>
      <c r="AL241" s="1525">
        <f t="shared" si="150"/>
        <v>0</v>
      </c>
      <c r="AM241" s="1525">
        <f t="shared" si="150"/>
        <v>0</v>
      </c>
      <c r="AN241" s="1525">
        <f t="shared" si="150"/>
        <v>0</v>
      </c>
      <c r="AO241" s="1525">
        <f t="shared" si="150"/>
        <v>0</v>
      </c>
      <c r="AP241" s="1525">
        <f t="shared" si="150"/>
        <v>0</v>
      </c>
      <c r="AQ241" s="1525">
        <f t="shared" si="150"/>
        <v>0</v>
      </c>
      <c r="AR241" s="1525">
        <f t="shared" si="150"/>
        <v>0</v>
      </c>
      <c r="AS241" s="1525">
        <f t="shared" si="150"/>
        <v>0</v>
      </c>
      <c r="AU241" s="1525"/>
      <c r="AV241" s="1291"/>
      <c r="AW241" s="1292"/>
      <c r="AX241" s="1292"/>
      <c r="AY241" s="1292"/>
      <c r="AZ241" s="1292"/>
      <c r="BA241" s="1292"/>
      <c r="BB241" s="1292"/>
      <c r="BC241" s="1292"/>
      <c r="BD241" s="1292"/>
      <c r="BE241" s="1292"/>
      <c r="BF241" s="1292"/>
      <c r="BG241" s="1292"/>
      <c r="BH241" s="1292"/>
      <c r="BI241" s="1292"/>
      <c r="BJ241" s="1292"/>
      <c r="BK241" s="1292"/>
      <c r="BL241" s="1292"/>
      <c r="BM241" s="1292"/>
      <c r="BN241" s="1292"/>
      <c r="BO241" s="1292"/>
      <c r="BP241" s="1292"/>
      <c r="BQ241" s="1292"/>
      <c r="BR241" s="1292"/>
      <c r="BS241" s="1292"/>
      <c r="BT241" s="1670">
        <f t="shared" ref="BT241:BT242" si="151">SUM(AV241:BS241)</f>
        <v>0</v>
      </c>
      <c r="BW241" s="859" t="s">
        <v>30</v>
      </c>
    </row>
    <row r="242" spans="2:75" ht="12.75" customHeight="1" x14ac:dyDescent="0.2">
      <c r="B242" s="175">
        <f>B241+1</f>
        <v>2</v>
      </c>
      <c r="C242" s="219">
        <v>21</v>
      </c>
      <c r="E242" s="12" t="s">
        <v>423</v>
      </c>
      <c r="F242" s="26" t="s">
        <v>1583</v>
      </c>
      <c r="G242" s="910" t="s">
        <v>1585</v>
      </c>
      <c r="H242" s="873">
        <v>7634</v>
      </c>
      <c r="I242" s="176" t="s">
        <v>1584</v>
      </c>
      <c r="J242" s="177"/>
      <c r="K242" s="177"/>
      <c r="L242" s="873">
        <v>1</v>
      </c>
      <c r="M242" s="873">
        <f>K242+L242</f>
        <v>1</v>
      </c>
      <c r="N242" s="872" t="s">
        <v>892</v>
      </c>
      <c r="O242" s="1196">
        <v>17633</v>
      </c>
      <c r="P242" s="1218">
        <f ca="1">YEARFRAC(TODAY(),O242)</f>
        <v>69.477777777777774</v>
      </c>
      <c r="Q242" s="1071">
        <v>24000</v>
      </c>
      <c r="R242" s="890"/>
      <c r="S242" s="891"/>
      <c r="T242" s="891"/>
      <c r="U242" s="891"/>
      <c r="V242" s="891"/>
      <c r="W242" s="891"/>
      <c r="X242" s="1026">
        <f>(Q242+R242+S242+T242+U242+V242+W242)*M242</f>
        <v>24000</v>
      </c>
      <c r="Y242" s="1512">
        <f>(T242+U242)*M242/(X242-M242*(T242+U242))</f>
        <v>0</v>
      </c>
      <c r="Z242" s="1741">
        <f>M242*(1+Y242)</f>
        <v>1</v>
      </c>
      <c r="AA242" s="1749">
        <f>SUM(AD242:AS242)</f>
        <v>0</v>
      </c>
      <c r="AB242" s="1810">
        <f t="shared" si="149"/>
        <v>0</v>
      </c>
      <c r="AC242" s="876"/>
      <c r="AD242" s="1525">
        <f t="shared" si="150"/>
        <v>0</v>
      </c>
      <c r="AE242" s="1525">
        <f t="shared" si="150"/>
        <v>0</v>
      </c>
      <c r="AF242" s="1525">
        <f t="shared" si="150"/>
        <v>0</v>
      </c>
      <c r="AG242" s="1525">
        <f t="shared" si="150"/>
        <v>0</v>
      </c>
      <c r="AH242" s="1525">
        <f t="shared" si="150"/>
        <v>0</v>
      </c>
      <c r="AI242" s="1525">
        <f t="shared" si="150"/>
        <v>0</v>
      </c>
      <c r="AJ242" s="1525">
        <f t="shared" si="150"/>
        <v>0</v>
      </c>
      <c r="AK242" s="1525">
        <f t="shared" si="150"/>
        <v>0</v>
      </c>
      <c r="AL242" s="1525">
        <f t="shared" si="150"/>
        <v>0</v>
      </c>
      <c r="AM242" s="1525">
        <f t="shared" si="150"/>
        <v>0</v>
      </c>
      <c r="AN242" s="1525">
        <f t="shared" si="150"/>
        <v>0</v>
      </c>
      <c r="AO242" s="1525">
        <f t="shared" si="150"/>
        <v>0</v>
      </c>
      <c r="AP242" s="1525">
        <f t="shared" si="150"/>
        <v>0</v>
      </c>
      <c r="AQ242" s="1525">
        <f t="shared" si="150"/>
        <v>0</v>
      </c>
      <c r="AR242" s="1525">
        <f t="shared" si="150"/>
        <v>0</v>
      </c>
      <c r="AS242" s="1525">
        <f t="shared" si="150"/>
        <v>0</v>
      </c>
      <c r="AU242" s="1525"/>
      <c r="AV242" s="1291"/>
      <c r="AW242" s="1292"/>
      <c r="AX242" s="1292"/>
      <c r="AY242" s="1292"/>
      <c r="AZ242" s="1292"/>
      <c r="BA242" s="1292"/>
      <c r="BB242" s="1292"/>
      <c r="BC242" s="1292"/>
      <c r="BD242" s="1292"/>
      <c r="BE242" s="1292"/>
      <c r="BF242" s="1292"/>
      <c r="BG242" s="1292"/>
      <c r="BH242" s="1292"/>
      <c r="BI242" s="1292"/>
      <c r="BJ242" s="1292"/>
      <c r="BK242" s="1292"/>
      <c r="BL242" s="1292"/>
      <c r="BM242" s="1292"/>
      <c r="BN242" s="1292"/>
      <c r="BO242" s="1292"/>
      <c r="BP242" s="1292"/>
      <c r="BQ242" s="1292"/>
      <c r="BR242" s="1292"/>
      <c r="BS242" s="1292"/>
      <c r="BT242" s="1670">
        <f t="shared" si="151"/>
        <v>0</v>
      </c>
      <c r="BW242" s="910" t="s">
        <v>1585</v>
      </c>
    </row>
    <row r="243" spans="2:75" s="164" customFormat="1" ht="12.75" customHeight="1" x14ac:dyDescent="0.2">
      <c r="B243" s="175"/>
      <c r="C243" s="219" t="s">
        <v>1120</v>
      </c>
      <c r="F243" s="24" t="s">
        <v>379</v>
      </c>
      <c r="G243" s="859"/>
      <c r="H243" s="1361" t="s">
        <v>1508</v>
      </c>
      <c r="I243" s="172"/>
      <c r="J243" s="168"/>
      <c r="K243" s="448">
        <f>SUM(K241:K242)</f>
        <v>0</v>
      </c>
      <c r="L243" s="902">
        <f>SUM(L241:L242)</f>
        <v>2</v>
      </c>
      <c r="M243" s="902">
        <f>SUM(M241:M242)</f>
        <v>2</v>
      </c>
      <c r="N243" s="857"/>
      <c r="O243" s="1192"/>
      <c r="P243" s="550"/>
      <c r="Q243" s="1148"/>
      <c r="R243" s="874"/>
      <c r="S243" s="875"/>
      <c r="T243" s="875"/>
      <c r="U243" s="875"/>
      <c r="V243" s="875"/>
      <c r="W243" s="875"/>
      <c r="X243" s="1026"/>
      <c r="Y243" s="1335"/>
      <c r="Z243" s="1335"/>
      <c r="AA243" s="1749"/>
      <c r="AB243" s="1812"/>
      <c r="AC243" s="876"/>
      <c r="AD243" s="1295"/>
      <c r="AE243" s="1525"/>
      <c r="AF243" s="1525"/>
      <c r="AG243" s="1525"/>
      <c r="AH243" s="1525"/>
      <c r="AI243" s="1525"/>
      <c r="AJ243" s="1525"/>
      <c r="AK243" s="1525"/>
      <c r="AL243" s="1525"/>
      <c r="AM243" s="1525"/>
      <c r="AN243" s="1525"/>
      <c r="AO243" s="1525"/>
      <c r="AP243" s="1525"/>
      <c r="AQ243" s="1525"/>
      <c r="AR243" s="1525"/>
      <c r="AS243" s="1525"/>
      <c r="AU243" s="1525"/>
      <c r="AV243" s="1295"/>
      <c r="AW243" s="1525"/>
      <c r="AX243" s="1525"/>
      <c r="AY243" s="1525"/>
      <c r="AZ243" s="1525"/>
      <c r="BA243" s="1525"/>
      <c r="BB243" s="1525"/>
      <c r="BC243" s="1525"/>
      <c r="BD243" s="1525"/>
      <c r="BE243" s="1525"/>
      <c r="BF243" s="1525"/>
      <c r="BG243" s="1525"/>
      <c r="BH243" s="1525"/>
      <c r="BI243" s="1525"/>
      <c r="BJ243" s="1525"/>
      <c r="BK243" s="1525"/>
      <c r="BL243" s="1525"/>
      <c r="BM243" s="1525"/>
      <c r="BN243" s="1525"/>
      <c r="BO243" s="1525"/>
      <c r="BP243" s="1525"/>
      <c r="BQ243" s="1525"/>
      <c r="BR243" s="1525"/>
      <c r="BS243" s="1525"/>
      <c r="BT243" s="1670"/>
      <c r="BV243"/>
      <c r="BW243" s="859"/>
    </row>
    <row r="244" spans="2:75" s="164" customFormat="1" ht="12.75" customHeight="1" x14ac:dyDescent="0.2">
      <c r="B244" s="175"/>
      <c r="F244" s="24"/>
      <c r="G244" s="859"/>
      <c r="H244" s="1346" t="s">
        <v>1508</v>
      </c>
      <c r="I244" s="172"/>
      <c r="J244" s="168"/>
      <c r="K244" s="168"/>
      <c r="L244" s="858"/>
      <c r="M244" s="858"/>
      <c r="N244" s="857"/>
      <c r="O244" s="1192"/>
      <c r="P244" s="550"/>
      <c r="Q244" s="1148"/>
      <c r="R244" s="874"/>
      <c r="S244" s="875"/>
      <c r="T244" s="875"/>
      <c r="U244" s="875"/>
      <c r="V244" s="875"/>
      <c r="W244" s="875"/>
      <c r="X244" s="1026"/>
      <c r="Y244" s="1512"/>
      <c r="Z244" s="1741"/>
      <c r="AA244" s="1749"/>
      <c r="AB244" s="1812"/>
      <c r="AC244" s="876"/>
      <c r="AD244" s="1295"/>
      <c r="AE244" s="1525"/>
      <c r="AF244" s="1525"/>
      <c r="AG244" s="1525"/>
      <c r="AH244" s="1525"/>
      <c r="AI244" s="1525"/>
      <c r="AJ244" s="1525"/>
      <c r="AK244" s="1525"/>
      <c r="AL244" s="1525"/>
      <c r="AM244" s="1525"/>
      <c r="AN244" s="1525"/>
      <c r="AO244" s="1525"/>
      <c r="AP244" s="1525"/>
      <c r="AQ244" s="1525"/>
      <c r="AR244" s="1525"/>
      <c r="AS244" s="1525"/>
      <c r="AU244" s="1525"/>
      <c r="AV244" s="1295"/>
      <c r="AW244" s="1525"/>
      <c r="AX244" s="1525"/>
      <c r="AY244" s="1525"/>
      <c r="AZ244" s="1525"/>
      <c r="BA244" s="1525"/>
      <c r="BB244" s="1525"/>
      <c r="BC244" s="1525"/>
      <c r="BD244" s="1525"/>
      <c r="BE244" s="1525"/>
      <c r="BF244" s="1525"/>
      <c r="BG244" s="1525"/>
      <c r="BH244" s="1525"/>
      <c r="BI244" s="1525"/>
      <c r="BJ244" s="1525"/>
      <c r="BK244" s="1525"/>
      <c r="BL244" s="1525"/>
      <c r="BM244" s="1525"/>
      <c r="BN244" s="1525"/>
      <c r="BO244" s="1525"/>
      <c r="BP244" s="1525"/>
      <c r="BQ244" s="1525"/>
      <c r="BR244" s="1525"/>
      <c r="BS244" s="1525"/>
      <c r="BT244" s="1670"/>
      <c r="BV244"/>
      <c r="BW244" s="859"/>
    </row>
    <row r="245" spans="2:75" s="164" customFormat="1" ht="12.75" customHeight="1" x14ac:dyDescent="0.2">
      <c r="B245" s="175"/>
      <c r="F245" s="21" t="s">
        <v>1587</v>
      </c>
      <c r="G245" s="859"/>
      <c r="H245" s="1346" t="s">
        <v>1508</v>
      </c>
      <c r="I245" s="172"/>
      <c r="J245" s="168"/>
      <c r="K245" s="168"/>
      <c r="L245" s="858"/>
      <c r="M245" s="858"/>
      <c r="N245" s="857"/>
      <c r="O245" s="1192"/>
      <c r="P245" s="550"/>
      <c r="Q245" s="1148"/>
      <c r="R245" s="874"/>
      <c r="S245" s="875"/>
      <c r="T245" s="875"/>
      <c r="U245" s="875"/>
      <c r="V245" s="875"/>
      <c r="W245" s="875"/>
      <c r="X245" s="1026"/>
      <c r="Y245" s="1512"/>
      <c r="Z245" s="1741"/>
      <c r="AA245" s="1749"/>
      <c r="AB245" s="1812"/>
      <c r="AC245" s="876"/>
      <c r="AD245" s="1295"/>
      <c r="AE245" s="1525"/>
      <c r="AF245" s="1525"/>
      <c r="AG245" s="1525"/>
      <c r="AH245" s="1525"/>
      <c r="AI245" s="1525"/>
      <c r="AJ245" s="1525"/>
      <c r="AK245" s="1525"/>
      <c r="AL245" s="1525"/>
      <c r="AM245" s="1525"/>
      <c r="AN245" s="1525"/>
      <c r="AO245" s="1525"/>
      <c r="AP245" s="1525"/>
      <c r="AQ245" s="1525"/>
      <c r="AR245" s="1525"/>
      <c r="AS245" s="1525"/>
      <c r="AU245" s="1525"/>
      <c r="AV245" s="1295"/>
      <c r="AW245" s="1525"/>
      <c r="AX245" s="1525"/>
      <c r="AY245" s="1525"/>
      <c r="AZ245" s="1525"/>
      <c r="BA245" s="1525"/>
      <c r="BB245" s="1525"/>
      <c r="BC245" s="1525"/>
      <c r="BD245" s="1525"/>
      <c r="BE245" s="1525"/>
      <c r="BF245" s="1525"/>
      <c r="BG245" s="1525"/>
      <c r="BH245" s="1525"/>
      <c r="BI245" s="1525"/>
      <c r="BJ245" s="1525"/>
      <c r="BK245" s="1525"/>
      <c r="BL245" s="1525"/>
      <c r="BM245" s="1525"/>
      <c r="BN245" s="1525"/>
      <c r="BO245" s="1525"/>
      <c r="BP245" s="1525"/>
      <c r="BQ245" s="1525"/>
      <c r="BR245" s="1525"/>
      <c r="BS245" s="1525"/>
      <c r="BT245" s="1670"/>
      <c r="BV245"/>
      <c r="BW245" s="859"/>
    </row>
    <row r="246" spans="2:75" s="164" customFormat="1" ht="12.75" customHeight="1" x14ac:dyDescent="0.2">
      <c r="B246" s="175"/>
      <c r="F246" s="21"/>
      <c r="G246" s="859"/>
      <c r="H246" s="1346" t="s">
        <v>1508</v>
      </c>
      <c r="I246" s="172"/>
      <c r="J246" s="168"/>
      <c r="K246" s="168"/>
      <c r="L246" s="858"/>
      <c r="M246" s="858"/>
      <c r="N246" s="857"/>
      <c r="O246" s="1192"/>
      <c r="P246" s="550"/>
      <c r="Q246" s="1148"/>
      <c r="R246" s="874"/>
      <c r="S246" s="875"/>
      <c r="T246" s="875"/>
      <c r="U246" s="875"/>
      <c r="V246" s="875"/>
      <c r="W246" s="875"/>
      <c r="X246" s="1026"/>
      <c r="Y246" s="1512"/>
      <c r="Z246" s="1741"/>
      <c r="AA246" s="1749"/>
      <c r="AB246" s="1812"/>
      <c r="AC246" s="876"/>
      <c r="AD246" s="1295"/>
      <c r="AE246" s="1525"/>
      <c r="AF246" s="1525"/>
      <c r="AG246" s="1525"/>
      <c r="AH246" s="1525"/>
      <c r="AI246" s="1525"/>
      <c r="AJ246" s="1525"/>
      <c r="AK246" s="1525"/>
      <c r="AL246" s="1525"/>
      <c r="AM246" s="1525"/>
      <c r="AN246" s="1525"/>
      <c r="AO246" s="1525"/>
      <c r="AP246" s="1525"/>
      <c r="AQ246" s="1525"/>
      <c r="AR246" s="1525"/>
      <c r="AS246" s="1525"/>
      <c r="AU246" s="1525"/>
      <c r="AV246" s="1295"/>
      <c r="AW246" s="1525"/>
      <c r="AX246" s="1525"/>
      <c r="AY246" s="1525"/>
      <c r="AZ246" s="1525"/>
      <c r="BA246" s="1525"/>
      <c r="BB246" s="1525"/>
      <c r="BC246" s="1525"/>
      <c r="BD246" s="1525"/>
      <c r="BE246" s="1525"/>
      <c r="BF246" s="1525"/>
      <c r="BG246" s="1525"/>
      <c r="BH246" s="1525"/>
      <c r="BI246" s="1525"/>
      <c r="BJ246" s="1525"/>
      <c r="BK246" s="1525"/>
      <c r="BL246" s="1525"/>
      <c r="BM246" s="1525"/>
      <c r="BN246" s="1525"/>
      <c r="BO246" s="1525"/>
      <c r="BP246" s="1525"/>
      <c r="BQ246" s="1525"/>
      <c r="BR246" s="1525"/>
      <c r="BS246" s="1525"/>
      <c r="BT246" s="1670"/>
      <c r="BV246"/>
      <c r="BW246" s="859"/>
    </row>
    <row r="247" spans="2:75" ht="12.75" customHeight="1" x14ac:dyDescent="0.2">
      <c r="B247" s="175">
        <f>B246+1</f>
        <v>1</v>
      </c>
      <c r="C247" s="573">
        <v>5</v>
      </c>
      <c r="D247" s="574"/>
      <c r="E247" s="572" t="s">
        <v>423</v>
      </c>
      <c r="F247" s="24" t="s">
        <v>166</v>
      </c>
      <c r="G247" s="859" t="s">
        <v>1588</v>
      </c>
      <c r="H247" s="858">
        <v>7616</v>
      </c>
      <c r="I247" s="200" t="s">
        <v>351</v>
      </c>
      <c r="J247" s="168"/>
      <c r="K247" s="168"/>
      <c r="L247" s="858">
        <v>1</v>
      </c>
      <c r="M247" s="858">
        <f t="shared" ref="M247:M255" si="152">K247+L247</f>
        <v>1</v>
      </c>
      <c r="N247" s="857" t="s">
        <v>1326</v>
      </c>
      <c r="O247" s="1196">
        <v>16651</v>
      </c>
      <c r="P247" s="1218">
        <f t="shared" ref="P247:P264" ca="1" si="153">YEARFRAC(TODAY(),O247)</f>
        <v>72.166666666666671</v>
      </c>
      <c r="Q247" s="1148">
        <v>46750</v>
      </c>
      <c r="R247" s="874">
        <f>Q247*0.1</f>
        <v>4675</v>
      </c>
      <c r="S247" s="875">
        <v>3000</v>
      </c>
      <c r="T247" s="875">
        <v>29000</v>
      </c>
      <c r="U247" s="875">
        <v>2000</v>
      </c>
      <c r="V247" s="875"/>
      <c r="W247" s="875"/>
      <c r="X247" s="1026">
        <f t="shared" ref="X247:X264" si="154">(Q247+R247+S247+T247+U247+V247+W247)*M247</f>
        <v>85425</v>
      </c>
      <c r="Y247" s="1512">
        <f t="shared" ref="Y247:Y264" si="155">(T247+U247)*M247/(X247-M247*(T247+U247))</f>
        <v>0.56959118052365643</v>
      </c>
      <c r="Z247" s="1741">
        <f t="shared" ref="Z247:Z264" si="156">M247*(1+Y247)</f>
        <v>1.5695911805236564</v>
      </c>
      <c r="AA247" s="1749">
        <f t="shared" ref="AA247:AA264" si="157">SUM(AD247:AS247)</f>
        <v>0</v>
      </c>
      <c r="AB247" s="1810">
        <f t="shared" ref="AB247:AB264" si="158">100*AA247/Z247</f>
        <v>0</v>
      </c>
      <c r="AC247" s="876"/>
      <c r="AD247" s="1525">
        <f t="shared" ref="AD247:AS256" si="159">SUMIF($AV$6:$BS$6,AD$5,$AV247:$BS247)</f>
        <v>0</v>
      </c>
      <c r="AE247" s="1525">
        <f t="shared" si="159"/>
        <v>0</v>
      </c>
      <c r="AF247" s="1525">
        <f t="shared" si="159"/>
        <v>0</v>
      </c>
      <c r="AG247" s="1525">
        <f t="shared" si="159"/>
        <v>0</v>
      </c>
      <c r="AH247" s="1525">
        <f t="shared" si="159"/>
        <v>0</v>
      </c>
      <c r="AI247" s="1525">
        <f t="shared" si="159"/>
        <v>0</v>
      </c>
      <c r="AJ247" s="1525">
        <f t="shared" si="159"/>
        <v>0</v>
      </c>
      <c r="AK247" s="1525">
        <f t="shared" si="159"/>
        <v>0</v>
      </c>
      <c r="AL247" s="1525">
        <f t="shared" si="159"/>
        <v>0</v>
      </c>
      <c r="AM247" s="1525">
        <f t="shared" si="159"/>
        <v>0</v>
      </c>
      <c r="AN247" s="1525">
        <f t="shared" si="159"/>
        <v>0</v>
      </c>
      <c r="AO247" s="1525">
        <f t="shared" si="159"/>
        <v>0</v>
      </c>
      <c r="AP247" s="1525">
        <f t="shared" si="159"/>
        <v>0</v>
      </c>
      <c r="AQ247" s="1525">
        <f t="shared" si="159"/>
        <v>0</v>
      </c>
      <c r="AR247" s="1525">
        <f t="shared" si="159"/>
        <v>0</v>
      </c>
      <c r="AS247" s="1525">
        <f t="shared" si="159"/>
        <v>0</v>
      </c>
      <c r="AU247" s="1525"/>
      <c r="AV247" s="1291"/>
      <c r="AW247" s="1292"/>
      <c r="AX247" s="1292"/>
      <c r="AY247" s="1292"/>
      <c r="AZ247" s="1292"/>
      <c r="BA247" s="1292"/>
      <c r="BB247" s="1292"/>
      <c r="BC247" s="1292"/>
      <c r="BD247" s="1292"/>
      <c r="BE247" s="1292"/>
      <c r="BF247" s="1292"/>
      <c r="BG247" s="1292"/>
      <c r="BH247" s="1292"/>
      <c r="BI247" s="1292"/>
      <c r="BJ247" s="1292"/>
      <c r="BK247" s="1292"/>
      <c r="BL247" s="1292"/>
      <c r="BM247" s="1292"/>
      <c r="BN247" s="1292"/>
      <c r="BO247" s="1292"/>
      <c r="BP247" s="1292"/>
      <c r="BQ247" s="1292"/>
      <c r="BR247" s="1292"/>
      <c r="BS247" s="1292"/>
      <c r="BT247" s="1670">
        <f t="shared" ref="BT247:BT264" si="160">SUM(AV247:BS247)</f>
        <v>0</v>
      </c>
      <c r="BW247" s="859" t="s">
        <v>1588</v>
      </c>
    </row>
    <row r="248" spans="2:75" ht="12.75" customHeight="1" x14ac:dyDescent="0.2">
      <c r="B248" s="175">
        <f>B247+1</f>
        <v>2</v>
      </c>
      <c r="C248" s="573">
        <v>8</v>
      </c>
      <c r="D248" s="574"/>
      <c r="E248" s="572" t="s">
        <v>423</v>
      </c>
      <c r="F248" s="24" t="s">
        <v>353</v>
      </c>
      <c r="G248" s="859" t="s">
        <v>1589</v>
      </c>
      <c r="H248" s="858">
        <v>7560</v>
      </c>
      <c r="I248" s="200" t="s">
        <v>351</v>
      </c>
      <c r="J248" s="168"/>
      <c r="K248" s="168"/>
      <c r="L248" s="858">
        <v>1</v>
      </c>
      <c r="M248" s="858">
        <f t="shared" si="152"/>
        <v>1</v>
      </c>
      <c r="N248" s="857" t="s">
        <v>1326</v>
      </c>
      <c r="O248" s="1196">
        <v>15019</v>
      </c>
      <c r="P248" s="1218">
        <f t="shared" ca="1" si="153"/>
        <v>76.638888888888886</v>
      </c>
      <c r="Q248" s="1148">
        <v>41450</v>
      </c>
      <c r="R248" s="874">
        <f>Q248*0.1</f>
        <v>4145</v>
      </c>
      <c r="S248" s="875">
        <v>3000</v>
      </c>
      <c r="T248" s="875">
        <v>4000</v>
      </c>
      <c r="U248" s="875"/>
      <c r="V248" s="875"/>
      <c r="W248" s="875"/>
      <c r="X248" s="1026">
        <f t="shared" si="154"/>
        <v>52595</v>
      </c>
      <c r="Y248" s="1512">
        <f t="shared" si="155"/>
        <v>8.231299516411153E-2</v>
      </c>
      <c r="Z248" s="1741">
        <f t="shared" si="156"/>
        <v>1.0823129951641115</v>
      </c>
      <c r="AA248" s="1749">
        <f t="shared" si="157"/>
        <v>0</v>
      </c>
      <c r="AB248" s="1810">
        <f t="shared" si="158"/>
        <v>0</v>
      </c>
      <c r="AC248" s="876"/>
      <c r="AD248" s="1525">
        <f t="shared" si="159"/>
        <v>0</v>
      </c>
      <c r="AE248" s="1525">
        <f t="shared" si="159"/>
        <v>0</v>
      </c>
      <c r="AF248" s="1525">
        <f t="shared" si="159"/>
        <v>0</v>
      </c>
      <c r="AG248" s="1525">
        <f t="shared" si="159"/>
        <v>0</v>
      </c>
      <c r="AH248" s="1525">
        <f t="shared" si="159"/>
        <v>0</v>
      </c>
      <c r="AI248" s="1525">
        <f t="shared" si="159"/>
        <v>0</v>
      </c>
      <c r="AJ248" s="1525">
        <f t="shared" si="159"/>
        <v>0</v>
      </c>
      <c r="AK248" s="1525">
        <f t="shared" si="159"/>
        <v>0</v>
      </c>
      <c r="AL248" s="1525">
        <f t="shared" si="159"/>
        <v>0</v>
      </c>
      <c r="AM248" s="1525">
        <f t="shared" si="159"/>
        <v>0</v>
      </c>
      <c r="AN248" s="1525">
        <f t="shared" si="159"/>
        <v>0</v>
      </c>
      <c r="AO248" s="1525">
        <f t="shared" si="159"/>
        <v>0</v>
      </c>
      <c r="AP248" s="1525">
        <f t="shared" si="159"/>
        <v>0</v>
      </c>
      <c r="AQ248" s="1525">
        <f t="shared" si="159"/>
        <v>0</v>
      </c>
      <c r="AR248" s="1525">
        <f t="shared" si="159"/>
        <v>0</v>
      </c>
      <c r="AS248" s="1525">
        <f t="shared" si="159"/>
        <v>0</v>
      </c>
      <c r="AU248" s="1525"/>
      <c r="AV248" s="1291"/>
      <c r="AW248" s="1292"/>
      <c r="AX248" s="1292"/>
      <c r="AY248" s="1292"/>
      <c r="AZ248" s="1292"/>
      <c r="BA248" s="1292"/>
      <c r="BB248" s="1292"/>
      <c r="BC248" s="1292"/>
      <c r="BD248" s="1292"/>
      <c r="BE248" s="1292"/>
      <c r="BF248" s="1292"/>
      <c r="BG248" s="1292"/>
      <c r="BH248" s="1292"/>
      <c r="BI248" s="1292"/>
      <c r="BJ248" s="1292"/>
      <c r="BK248" s="1292"/>
      <c r="BL248" s="1292"/>
      <c r="BM248" s="1292"/>
      <c r="BN248" s="1292"/>
      <c r="BO248" s="1292"/>
      <c r="BP248" s="1292"/>
      <c r="BQ248" s="1292"/>
      <c r="BR248" s="1292"/>
      <c r="BS248" s="1292"/>
      <c r="BT248" s="1670">
        <f t="shared" si="160"/>
        <v>0</v>
      </c>
      <c r="BW248" s="859" t="s">
        <v>1589</v>
      </c>
    </row>
    <row r="249" spans="2:75" ht="12.75" customHeight="1" x14ac:dyDescent="0.2">
      <c r="B249" s="175">
        <f>B248+1</f>
        <v>3</v>
      </c>
      <c r="C249" s="219">
        <v>8</v>
      </c>
      <c r="E249" s="12" t="s">
        <v>423</v>
      </c>
      <c r="F249" s="24" t="s">
        <v>353</v>
      </c>
      <c r="G249" s="859" t="s">
        <v>1397</v>
      </c>
      <c r="H249" s="858">
        <v>26211</v>
      </c>
      <c r="I249" s="200" t="s">
        <v>351</v>
      </c>
      <c r="J249" s="168"/>
      <c r="K249" s="168"/>
      <c r="L249" s="858">
        <v>1</v>
      </c>
      <c r="M249" s="858">
        <f t="shared" si="152"/>
        <v>1</v>
      </c>
      <c r="N249" s="857" t="s">
        <v>1326</v>
      </c>
      <c r="O249" s="1196">
        <v>24764</v>
      </c>
      <c r="P249" s="1218">
        <f t="shared" ca="1" si="153"/>
        <v>49.952777777777776</v>
      </c>
      <c r="Q249" s="1148">
        <v>41450</v>
      </c>
      <c r="R249" s="874">
        <f>Q249*0.1</f>
        <v>4145</v>
      </c>
      <c r="S249" s="875"/>
      <c r="T249" s="875">
        <v>20000</v>
      </c>
      <c r="U249" s="875"/>
      <c r="V249" s="875"/>
      <c r="W249" s="875"/>
      <c r="X249" s="1026">
        <f t="shared" si="154"/>
        <v>65595</v>
      </c>
      <c r="Y249" s="1512">
        <f t="shared" si="155"/>
        <v>0.43864458822239283</v>
      </c>
      <c r="Z249" s="1741">
        <f t="shared" si="156"/>
        <v>1.4386445882223928</v>
      </c>
      <c r="AA249" s="1749">
        <f t="shared" si="157"/>
        <v>0</v>
      </c>
      <c r="AB249" s="1810">
        <f t="shared" si="158"/>
        <v>0</v>
      </c>
      <c r="AC249" s="876"/>
      <c r="AD249" s="1525">
        <f t="shared" si="159"/>
        <v>0</v>
      </c>
      <c r="AE249" s="1525">
        <f t="shared" si="159"/>
        <v>0</v>
      </c>
      <c r="AF249" s="1525">
        <f t="shared" si="159"/>
        <v>0</v>
      </c>
      <c r="AG249" s="1525">
        <f t="shared" si="159"/>
        <v>0</v>
      </c>
      <c r="AH249" s="1525">
        <f t="shared" si="159"/>
        <v>0</v>
      </c>
      <c r="AI249" s="1525">
        <f t="shared" si="159"/>
        <v>0</v>
      </c>
      <c r="AJ249" s="1525">
        <f t="shared" si="159"/>
        <v>0</v>
      </c>
      <c r="AK249" s="1525">
        <f t="shared" si="159"/>
        <v>0</v>
      </c>
      <c r="AL249" s="1525">
        <f t="shared" si="159"/>
        <v>0</v>
      </c>
      <c r="AM249" s="1525">
        <f t="shared" si="159"/>
        <v>0</v>
      </c>
      <c r="AN249" s="1525">
        <f t="shared" si="159"/>
        <v>0</v>
      </c>
      <c r="AO249" s="1525">
        <f t="shared" si="159"/>
        <v>0</v>
      </c>
      <c r="AP249" s="1525">
        <f t="shared" si="159"/>
        <v>0</v>
      </c>
      <c r="AQ249" s="1525">
        <f t="shared" si="159"/>
        <v>0</v>
      </c>
      <c r="AR249" s="1525">
        <f t="shared" si="159"/>
        <v>0</v>
      </c>
      <c r="AS249" s="1525">
        <f t="shared" si="159"/>
        <v>0</v>
      </c>
      <c r="AU249" s="1525"/>
      <c r="AV249" s="1291"/>
      <c r="AW249" s="1292"/>
      <c r="AX249" s="1292"/>
      <c r="AY249" s="1292"/>
      <c r="AZ249" s="1292"/>
      <c r="BA249" s="1292"/>
      <c r="BB249" s="1292"/>
      <c r="BC249" s="1292"/>
      <c r="BD249" s="1292"/>
      <c r="BE249" s="1292"/>
      <c r="BF249" s="1292"/>
      <c r="BG249" s="1292"/>
      <c r="BH249" s="1292"/>
      <c r="BI249" s="1292"/>
      <c r="BJ249" s="1292"/>
      <c r="BK249" s="1292"/>
      <c r="BL249" s="1292"/>
      <c r="BM249" s="1292"/>
      <c r="BN249" s="1292"/>
      <c r="BO249" s="1292"/>
      <c r="BP249" s="1292"/>
      <c r="BQ249" s="1292"/>
      <c r="BR249" s="1292"/>
      <c r="BS249" s="1292"/>
      <c r="BT249" s="1670">
        <f t="shared" si="160"/>
        <v>0</v>
      </c>
      <c r="BW249" s="859" t="s">
        <v>1397</v>
      </c>
    </row>
    <row r="250" spans="2:75" ht="12.75" customHeight="1" x14ac:dyDescent="0.2">
      <c r="B250" s="175">
        <f t="shared" ref="B250:B264" si="161">B249+1</f>
        <v>4</v>
      </c>
      <c r="C250" s="219">
        <v>12</v>
      </c>
      <c r="E250" s="12" t="s">
        <v>423</v>
      </c>
      <c r="F250" s="24" t="s">
        <v>1235</v>
      </c>
      <c r="G250" s="859" t="s">
        <v>1008</v>
      </c>
      <c r="H250" s="858">
        <v>66397</v>
      </c>
      <c r="I250" s="172" t="s">
        <v>1584</v>
      </c>
      <c r="J250" s="168"/>
      <c r="K250" s="168"/>
      <c r="L250" s="858">
        <v>1</v>
      </c>
      <c r="M250" s="858">
        <f>K250+L250</f>
        <v>1</v>
      </c>
      <c r="N250" s="857" t="s">
        <v>1326</v>
      </c>
      <c r="O250" s="1196">
        <v>26867</v>
      </c>
      <c r="P250" s="1218">
        <f ca="1">YEARFRAC(TODAY(),O250)</f>
        <v>44.194444444444443</v>
      </c>
      <c r="Q250" s="1148">
        <v>38500</v>
      </c>
      <c r="R250" s="874">
        <f>Q250*0.1</f>
        <v>3850</v>
      </c>
      <c r="S250" s="875"/>
      <c r="T250" s="875">
        <v>5000</v>
      </c>
      <c r="U250" s="875"/>
      <c r="V250" s="875"/>
      <c r="W250" s="875"/>
      <c r="X250" s="1026">
        <f t="shared" si="154"/>
        <v>47350</v>
      </c>
      <c r="Y250" s="1512">
        <f t="shared" si="155"/>
        <v>0.1180637544273908</v>
      </c>
      <c r="Z250" s="1741">
        <f t="shared" si="156"/>
        <v>1.1180637544273908</v>
      </c>
      <c r="AA250" s="1749">
        <f t="shared" si="157"/>
        <v>0</v>
      </c>
      <c r="AB250" s="1810">
        <f t="shared" si="158"/>
        <v>0</v>
      </c>
      <c r="AC250" s="876"/>
      <c r="AD250" s="1525">
        <f t="shared" si="159"/>
        <v>0</v>
      </c>
      <c r="AE250" s="1525">
        <f t="shared" si="159"/>
        <v>0</v>
      </c>
      <c r="AF250" s="1525">
        <f t="shared" si="159"/>
        <v>0</v>
      </c>
      <c r="AG250" s="1525">
        <f t="shared" si="159"/>
        <v>0</v>
      </c>
      <c r="AH250" s="1525">
        <f t="shared" si="159"/>
        <v>0</v>
      </c>
      <c r="AI250" s="1525">
        <f t="shared" si="159"/>
        <v>0</v>
      </c>
      <c r="AJ250" s="1525">
        <f t="shared" si="159"/>
        <v>0</v>
      </c>
      <c r="AK250" s="1525">
        <f t="shared" si="159"/>
        <v>0</v>
      </c>
      <c r="AL250" s="1525">
        <f t="shared" si="159"/>
        <v>0</v>
      </c>
      <c r="AM250" s="1525">
        <f t="shared" si="159"/>
        <v>0</v>
      </c>
      <c r="AN250" s="1525">
        <f t="shared" si="159"/>
        <v>0</v>
      </c>
      <c r="AO250" s="1525">
        <f t="shared" si="159"/>
        <v>0</v>
      </c>
      <c r="AP250" s="1525">
        <f t="shared" si="159"/>
        <v>0</v>
      </c>
      <c r="AQ250" s="1525">
        <f t="shared" si="159"/>
        <v>0</v>
      </c>
      <c r="AR250" s="1525">
        <f t="shared" si="159"/>
        <v>0</v>
      </c>
      <c r="AS250" s="1525">
        <f t="shared" si="159"/>
        <v>0</v>
      </c>
      <c r="AU250" s="1525"/>
      <c r="AV250" s="1291"/>
      <c r="AW250" s="1292"/>
      <c r="AX250" s="1292"/>
      <c r="AY250" s="1292"/>
      <c r="AZ250" s="1292"/>
      <c r="BA250" s="1292"/>
      <c r="BB250" s="1292"/>
      <c r="BC250" s="1292"/>
      <c r="BD250" s="1292"/>
      <c r="BE250" s="1292"/>
      <c r="BF250" s="1292"/>
      <c r="BG250" s="1292"/>
      <c r="BH250" s="1292"/>
      <c r="BI250" s="1292"/>
      <c r="BJ250" s="1292"/>
      <c r="BK250" s="1292"/>
      <c r="BL250" s="1292"/>
      <c r="BM250" s="1292"/>
      <c r="BN250" s="1292"/>
      <c r="BO250" s="1292"/>
      <c r="BP250" s="1292"/>
      <c r="BQ250" s="1292"/>
      <c r="BR250" s="1292"/>
      <c r="BS250" s="1292"/>
      <c r="BT250" s="1670">
        <f t="shared" si="160"/>
        <v>0</v>
      </c>
      <c r="BW250" s="859" t="s">
        <v>1008</v>
      </c>
    </row>
    <row r="251" spans="2:75" ht="12.75" customHeight="1" x14ac:dyDescent="0.2">
      <c r="B251" s="175">
        <f t="shared" si="161"/>
        <v>5</v>
      </c>
      <c r="C251" s="219">
        <v>12</v>
      </c>
      <c r="E251" s="12" t="s">
        <v>423</v>
      </c>
      <c r="F251" s="24" t="s">
        <v>1235</v>
      </c>
      <c r="G251" s="859" t="s">
        <v>274</v>
      </c>
      <c r="H251" s="858">
        <v>292811</v>
      </c>
      <c r="I251" s="172" t="s">
        <v>1584</v>
      </c>
      <c r="J251" s="168"/>
      <c r="K251" s="168"/>
      <c r="L251" s="858">
        <v>1</v>
      </c>
      <c r="M251" s="858">
        <v>1</v>
      </c>
      <c r="N251" s="857" t="s">
        <v>892</v>
      </c>
      <c r="O251" s="1196">
        <v>20015</v>
      </c>
      <c r="P251" s="1218">
        <f ca="1">YEARFRAC(TODAY(),O251)</f>
        <v>62.955555555555556</v>
      </c>
      <c r="Q251" s="1148">
        <v>34500</v>
      </c>
      <c r="R251" s="874"/>
      <c r="S251" s="875"/>
      <c r="T251" s="875"/>
      <c r="U251" s="875"/>
      <c r="V251" s="875"/>
      <c r="W251" s="875"/>
      <c r="X251" s="1026">
        <f t="shared" si="154"/>
        <v>34500</v>
      </c>
      <c r="Y251" s="1512">
        <f t="shared" si="155"/>
        <v>0</v>
      </c>
      <c r="Z251" s="1741">
        <f t="shared" si="156"/>
        <v>1</v>
      </c>
      <c r="AA251" s="1749">
        <f t="shared" si="157"/>
        <v>0</v>
      </c>
      <c r="AB251" s="1810">
        <f t="shared" si="158"/>
        <v>0</v>
      </c>
      <c r="AC251" s="876"/>
      <c r="AD251" s="1525">
        <f t="shared" si="159"/>
        <v>0</v>
      </c>
      <c r="AE251" s="1525">
        <f t="shared" si="159"/>
        <v>0</v>
      </c>
      <c r="AF251" s="1525">
        <f t="shared" si="159"/>
        <v>0</v>
      </c>
      <c r="AG251" s="1525">
        <f t="shared" si="159"/>
        <v>0</v>
      </c>
      <c r="AH251" s="1525">
        <f t="shared" si="159"/>
        <v>0</v>
      </c>
      <c r="AI251" s="1525">
        <f t="shared" si="159"/>
        <v>0</v>
      </c>
      <c r="AJ251" s="1525">
        <f t="shared" si="159"/>
        <v>0</v>
      </c>
      <c r="AK251" s="1525">
        <f t="shared" si="159"/>
        <v>0</v>
      </c>
      <c r="AL251" s="1525">
        <f t="shared" si="159"/>
        <v>0</v>
      </c>
      <c r="AM251" s="1525">
        <f t="shared" si="159"/>
        <v>0</v>
      </c>
      <c r="AN251" s="1525">
        <f t="shared" si="159"/>
        <v>0</v>
      </c>
      <c r="AO251" s="1525">
        <f t="shared" si="159"/>
        <v>0</v>
      </c>
      <c r="AP251" s="1525">
        <f t="shared" si="159"/>
        <v>0</v>
      </c>
      <c r="AQ251" s="1525">
        <f t="shared" si="159"/>
        <v>0</v>
      </c>
      <c r="AR251" s="1525">
        <f t="shared" si="159"/>
        <v>0</v>
      </c>
      <c r="AS251" s="1525">
        <f t="shared" si="159"/>
        <v>0</v>
      </c>
      <c r="AU251" s="1525"/>
      <c r="AV251" s="1291"/>
      <c r="AW251" s="1292"/>
      <c r="AX251" s="1292"/>
      <c r="AY251" s="1292"/>
      <c r="AZ251" s="1292"/>
      <c r="BA251" s="1292"/>
      <c r="BB251" s="1292"/>
      <c r="BC251" s="1292"/>
      <c r="BD251" s="1292"/>
      <c r="BE251" s="1292"/>
      <c r="BF251" s="1292"/>
      <c r="BG251" s="1292"/>
      <c r="BH251" s="1292"/>
      <c r="BI251" s="1292"/>
      <c r="BJ251" s="1292"/>
      <c r="BK251" s="1292"/>
      <c r="BL251" s="1292"/>
      <c r="BM251" s="1292"/>
      <c r="BN251" s="1292"/>
      <c r="BO251" s="1292"/>
      <c r="BP251" s="1292"/>
      <c r="BQ251" s="1292"/>
      <c r="BR251" s="1292"/>
      <c r="BS251" s="1292"/>
      <c r="BT251" s="1670">
        <f t="shared" si="160"/>
        <v>0</v>
      </c>
      <c r="BW251" s="859" t="s">
        <v>274</v>
      </c>
    </row>
    <row r="252" spans="2:75" ht="12.75" customHeight="1" x14ac:dyDescent="0.2">
      <c r="B252" s="175">
        <f t="shared" si="161"/>
        <v>6</v>
      </c>
      <c r="C252" s="219">
        <v>12</v>
      </c>
      <c r="E252" s="12" t="s">
        <v>423</v>
      </c>
      <c r="F252" s="24" t="s">
        <v>1235</v>
      </c>
      <c r="G252" s="859" t="s">
        <v>1854</v>
      </c>
      <c r="H252" s="858">
        <v>994311</v>
      </c>
      <c r="I252" s="172" t="s">
        <v>1584</v>
      </c>
      <c r="J252" s="168"/>
      <c r="K252" s="168"/>
      <c r="L252" s="858">
        <v>1</v>
      </c>
      <c r="M252" s="858">
        <f>K252+L252</f>
        <v>1</v>
      </c>
      <c r="N252" s="857" t="s">
        <v>1326</v>
      </c>
      <c r="O252" s="1196">
        <v>22738</v>
      </c>
      <c r="P252" s="1218">
        <f ca="1">YEARFRAC(TODAY(),O252)</f>
        <v>55.5</v>
      </c>
      <c r="Q252" s="1148">
        <v>39000</v>
      </c>
      <c r="R252" s="874">
        <f>Q252*0.1</f>
        <v>3900</v>
      </c>
      <c r="S252" s="875"/>
      <c r="T252" s="875"/>
      <c r="U252" s="875"/>
      <c r="V252" s="875"/>
      <c r="W252" s="875"/>
      <c r="X252" s="1026">
        <f t="shared" si="154"/>
        <v>42900</v>
      </c>
      <c r="Y252" s="1512">
        <f t="shared" si="155"/>
        <v>0</v>
      </c>
      <c r="Z252" s="1741">
        <f t="shared" si="156"/>
        <v>1</v>
      </c>
      <c r="AA252" s="1749">
        <f t="shared" si="157"/>
        <v>0</v>
      </c>
      <c r="AB252" s="1810">
        <f t="shared" si="158"/>
        <v>0</v>
      </c>
      <c r="AC252" s="876"/>
      <c r="AD252" s="1525">
        <f t="shared" si="159"/>
        <v>0</v>
      </c>
      <c r="AE252" s="1525">
        <f t="shared" si="159"/>
        <v>0</v>
      </c>
      <c r="AF252" s="1525">
        <f t="shared" si="159"/>
        <v>0</v>
      </c>
      <c r="AG252" s="1525">
        <f t="shared" si="159"/>
        <v>0</v>
      </c>
      <c r="AH252" s="1525">
        <f t="shared" si="159"/>
        <v>0</v>
      </c>
      <c r="AI252" s="1525">
        <f t="shared" si="159"/>
        <v>0</v>
      </c>
      <c r="AJ252" s="1525">
        <f t="shared" si="159"/>
        <v>0</v>
      </c>
      <c r="AK252" s="1525">
        <f t="shared" si="159"/>
        <v>0</v>
      </c>
      <c r="AL252" s="1525">
        <f t="shared" si="159"/>
        <v>0</v>
      </c>
      <c r="AM252" s="1525">
        <f t="shared" si="159"/>
        <v>0</v>
      </c>
      <c r="AN252" s="1525">
        <f t="shared" si="159"/>
        <v>0</v>
      </c>
      <c r="AO252" s="1525">
        <f t="shared" si="159"/>
        <v>0</v>
      </c>
      <c r="AP252" s="1525">
        <f t="shared" si="159"/>
        <v>0</v>
      </c>
      <c r="AQ252" s="1525">
        <f t="shared" si="159"/>
        <v>0</v>
      </c>
      <c r="AR252" s="1525">
        <f t="shared" si="159"/>
        <v>0</v>
      </c>
      <c r="AS252" s="1525">
        <f t="shared" si="159"/>
        <v>0</v>
      </c>
      <c r="AU252" s="1525"/>
      <c r="AV252" s="1291"/>
      <c r="AW252" s="1292"/>
      <c r="AX252" s="1292"/>
      <c r="AY252" s="1292"/>
      <c r="AZ252" s="1292"/>
      <c r="BA252" s="1292"/>
      <c r="BB252" s="1292"/>
      <c r="BC252" s="1292"/>
      <c r="BD252" s="1292"/>
      <c r="BE252" s="1292"/>
      <c r="BF252" s="1292"/>
      <c r="BG252" s="1292"/>
      <c r="BH252" s="1292"/>
      <c r="BI252" s="1292"/>
      <c r="BJ252" s="1292"/>
      <c r="BK252" s="1292"/>
      <c r="BL252" s="1292"/>
      <c r="BM252" s="1292"/>
      <c r="BN252" s="1292"/>
      <c r="BO252" s="1292"/>
      <c r="BP252" s="1292"/>
      <c r="BQ252" s="1292"/>
      <c r="BR252" s="1292"/>
      <c r="BS252" s="1292"/>
      <c r="BT252" s="1670">
        <f t="shared" si="160"/>
        <v>0</v>
      </c>
      <c r="BW252" s="859" t="s">
        <v>1854</v>
      </c>
    </row>
    <row r="253" spans="2:75" ht="12.75" customHeight="1" x14ac:dyDescent="0.2">
      <c r="B253" s="175">
        <f t="shared" si="161"/>
        <v>7</v>
      </c>
      <c r="C253" s="219">
        <v>12</v>
      </c>
      <c r="E253" s="12" t="s">
        <v>423</v>
      </c>
      <c r="F253" s="24" t="s">
        <v>1235</v>
      </c>
      <c r="G253" s="859" t="s">
        <v>1399</v>
      </c>
      <c r="H253" s="858">
        <v>7194</v>
      </c>
      <c r="I253" s="200" t="s">
        <v>583</v>
      </c>
      <c r="J253" s="168"/>
      <c r="K253" s="168"/>
      <c r="L253" s="858">
        <v>1</v>
      </c>
      <c r="M253" s="858">
        <f t="shared" si="152"/>
        <v>1</v>
      </c>
      <c r="N253" s="857" t="s">
        <v>416</v>
      </c>
      <c r="O253" s="1196">
        <v>15094</v>
      </c>
      <c r="P253" s="1218">
        <f t="shared" ca="1" si="153"/>
        <v>76.427777777777777</v>
      </c>
      <c r="Q253" s="1148">
        <v>36000</v>
      </c>
      <c r="R253" s="874">
        <f>Q253*0.15</f>
        <v>5400</v>
      </c>
      <c r="S253" s="875"/>
      <c r="T253" s="875"/>
      <c r="U253" s="875"/>
      <c r="V253" s="875"/>
      <c r="W253" s="875"/>
      <c r="X253" s="1026">
        <f t="shared" si="154"/>
        <v>41400</v>
      </c>
      <c r="Y253" s="1512">
        <f t="shared" si="155"/>
        <v>0</v>
      </c>
      <c r="Z253" s="1741">
        <f t="shared" si="156"/>
        <v>1</v>
      </c>
      <c r="AA253" s="1749">
        <f t="shared" si="157"/>
        <v>0</v>
      </c>
      <c r="AB253" s="1810">
        <f t="shared" si="158"/>
        <v>0</v>
      </c>
      <c r="AC253" s="876"/>
      <c r="AD253" s="1525">
        <f t="shared" si="159"/>
        <v>0</v>
      </c>
      <c r="AE253" s="1525">
        <f t="shared" si="159"/>
        <v>0</v>
      </c>
      <c r="AF253" s="1525">
        <f t="shared" si="159"/>
        <v>0</v>
      </c>
      <c r="AG253" s="1525">
        <f t="shared" si="159"/>
        <v>0</v>
      </c>
      <c r="AH253" s="1525">
        <f t="shared" si="159"/>
        <v>0</v>
      </c>
      <c r="AI253" s="1525">
        <f t="shared" si="159"/>
        <v>0</v>
      </c>
      <c r="AJ253" s="1525">
        <f t="shared" si="159"/>
        <v>0</v>
      </c>
      <c r="AK253" s="1525">
        <f t="shared" si="159"/>
        <v>0</v>
      </c>
      <c r="AL253" s="1525">
        <f t="shared" si="159"/>
        <v>0</v>
      </c>
      <c r="AM253" s="1525">
        <f t="shared" si="159"/>
        <v>0</v>
      </c>
      <c r="AN253" s="1525">
        <f t="shared" si="159"/>
        <v>0</v>
      </c>
      <c r="AO253" s="1525">
        <f t="shared" si="159"/>
        <v>0</v>
      </c>
      <c r="AP253" s="1525">
        <f t="shared" si="159"/>
        <v>0</v>
      </c>
      <c r="AQ253" s="1525">
        <f t="shared" si="159"/>
        <v>0</v>
      </c>
      <c r="AR253" s="1525">
        <f t="shared" si="159"/>
        <v>0</v>
      </c>
      <c r="AS253" s="1525">
        <f t="shared" si="159"/>
        <v>0</v>
      </c>
      <c r="AU253" s="1525"/>
      <c r="AV253" s="1291"/>
      <c r="AW253" s="1292"/>
      <c r="AX253" s="1292"/>
      <c r="AY253" s="1292"/>
      <c r="AZ253" s="1292"/>
      <c r="BA253" s="1292"/>
      <c r="BB253" s="1292"/>
      <c r="BC253" s="1292"/>
      <c r="BD253" s="1292"/>
      <c r="BE253" s="1292"/>
      <c r="BF253" s="1292"/>
      <c r="BG253" s="1292"/>
      <c r="BH253" s="1292"/>
      <c r="BI253" s="1292"/>
      <c r="BJ253" s="1292"/>
      <c r="BK253" s="1292"/>
      <c r="BL253" s="1292"/>
      <c r="BM253" s="1292"/>
      <c r="BN253" s="1292"/>
      <c r="BO253" s="1292"/>
      <c r="BP253" s="1292"/>
      <c r="BQ253" s="1292"/>
      <c r="BR253" s="1292"/>
      <c r="BS253" s="1292"/>
      <c r="BT253" s="1670">
        <f t="shared" si="160"/>
        <v>0</v>
      </c>
      <c r="BW253" s="859" t="s">
        <v>1399</v>
      </c>
    </row>
    <row r="254" spans="2:75" ht="12.75" customHeight="1" x14ac:dyDescent="0.2">
      <c r="B254" s="175">
        <f t="shared" si="161"/>
        <v>8</v>
      </c>
      <c r="C254" s="219">
        <v>12</v>
      </c>
      <c r="E254" s="12" t="s">
        <v>423</v>
      </c>
      <c r="F254" s="24" t="s">
        <v>1235</v>
      </c>
      <c r="G254" s="859" t="s">
        <v>1007</v>
      </c>
      <c r="H254" s="858">
        <v>6266</v>
      </c>
      <c r="I254" s="172" t="s">
        <v>1584</v>
      </c>
      <c r="J254" s="168"/>
      <c r="K254" s="168"/>
      <c r="L254" s="858">
        <v>1</v>
      </c>
      <c r="M254" s="858">
        <f t="shared" si="152"/>
        <v>1</v>
      </c>
      <c r="N254" s="857" t="s">
        <v>1326</v>
      </c>
      <c r="O254" s="1196">
        <v>13263</v>
      </c>
      <c r="P254" s="1218">
        <f t="shared" ca="1" si="153"/>
        <v>81.441666666666663</v>
      </c>
      <c r="Q254" s="1148">
        <v>19500</v>
      </c>
      <c r="R254" s="874">
        <f>Q254*0.1</f>
        <v>1950</v>
      </c>
      <c r="S254" s="875"/>
      <c r="T254" s="875"/>
      <c r="U254" s="875"/>
      <c r="V254" s="875"/>
      <c r="W254" s="875"/>
      <c r="X254" s="1026">
        <f t="shared" si="154"/>
        <v>21450</v>
      </c>
      <c r="Y254" s="1512">
        <f t="shared" si="155"/>
        <v>0</v>
      </c>
      <c r="Z254" s="1741">
        <f t="shared" si="156"/>
        <v>1</v>
      </c>
      <c r="AA254" s="1749">
        <f t="shared" si="157"/>
        <v>0</v>
      </c>
      <c r="AB254" s="1810">
        <f t="shared" si="158"/>
        <v>0</v>
      </c>
      <c r="AC254" s="876"/>
      <c r="AD254" s="1525">
        <f t="shared" si="159"/>
        <v>0</v>
      </c>
      <c r="AE254" s="1525">
        <f t="shared" si="159"/>
        <v>0</v>
      </c>
      <c r="AF254" s="1525">
        <f t="shared" si="159"/>
        <v>0</v>
      </c>
      <c r="AG254" s="1525">
        <f t="shared" si="159"/>
        <v>0</v>
      </c>
      <c r="AH254" s="1525">
        <f t="shared" si="159"/>
        <v>0</v>
      </c>
      <c r="AI254" s="1525">
        <f t="shared" si="159"/>
        <v>0</v>
      </c>
      <c r="AJ254" s="1525">
        <f t="shared" si="159"/>
        <v>0</v>
      </c>
      <c r="AK254" s="1525">
        <f t="shared" si="159"/>
        <v>0</v>
      </c>
      <c r="AL254" s="1525">
        <f t="shared" si="159"/>
        <v>0</v>
      </c>
      <c r="AM254" s="1525">
        <f t="shared" si="159"/>
        <v>0</v>
      </c>
      <c r="AN254" s="1525">
        <f t="shared" si="159"/>
        <v>0</v>
      </c>
      <c r="AO254" s="1525">
        <f t="shared" si="159"/>
        <v>0</v>
      </c>
      <c r="AP254" s="1525">
        <f t="shared" si="159"/>
        <v>0</v>
      </c>
      <c r="AQ254" s="1525">
        <f t="shared" si="159"/>
        <v>0</v>
      </c>
      <c r="AR254" s="1525">
        <f t="shared" si="159"/>
        <v>0</v>
      </c>
      <c r="AS254" s="1525">
        <f t="shared" si="159"/>
        <v>0</v>
      </c>
      <c r="AU254" s="1525"/>
      <c r="AV254" s="1291"/>
      <c r="AW254" s="1292"/>
      <c r="AX254" s="1292"/>
      <c r="AY254" s="1292"/>
      <c r="AZ254" s="1292"/>
      <c r="BA254" s="1292"/>
      <c r="BB254" s="1292"/>
      <c r="BC254" s="1292"/>
      <c r="BD254" s="1292"/>
      <c r="BE254" s="1292"/>
      <c r="BF254" s="1292"/>
      <c r="BG254" s="1292"/>
      <c r="BH254" s="1292"/>
      <c r="BI254" s="1292"/>
      <c r="BJ254" s="1292"/>
      <c r="BK254" s="1292"/>
      <c r="BL254" s="1292"/>
      <c r="BM254" s="1292"/>
      <c r="BN254" s="1292"/>
      <c r="BO254" s="1292"/>
      <c r="BP254" s="1292"/>
      <c r="BQ254" s="1292"/>
      <c r="BR254" s="1292"/>
      <c r="BS254" s="1292"/>
      <c r="BT254" s="1670">
        <f t="shared" si="160"/>
        <v>0</v>
      </c>
      <c r="BW254" s="859" t="s">
        <v>1007</v>
      </c>
    </row>
    <row r="255" spans="2:75" ht="12.75" customHeight="1" x14ac:dyDescent="0.2">
      <c r="B255" s="175">
        <f t="shared" si="161"/>
        <v>9</v>
      </c>
      <c r="C255" s="219">
        <v>12</v>
      </c>
      <c r="E255" s="12" t="s">
        <v>423</v>
      </c>
      <c r="F255" s="24" t="s">
        <v>1235</v>
      </c>
      <c r="G255" s="859" t="s">
        <v>1857</v>
      </c>
      <c r="H255" s="858">
        <v>7622</v>
      </c>
      <c r="I255" s="172" t="s">
        <v>1584</v>
      </c>
      <c r="J255" s="168"/>
      <c r="K255" s="168"/>
      <c r="L255" s="858">
        <v>0.5</v>
      </c>
      <c r="M255" s="858">
        <f t="shared" si="152"/>
        <v>0.5</v>
      </c>
      <c r="N255" s="857" t="s">
        <v>892</v>
      </c>
      <c r="O255" s="1196">
        <v>12769</v>
      </c>
      <c r="P255" s="1218">
        <f t="shared" ca="1" si="153"/>
        <v>82.794444444444451</v>
      </c>
      <c r="Q255" s="1148">
        <v>41000</v>
      </c>
      <c r="R255" s="874"/>
      <c r="S255" s="875"/>
      <c r="T255" s="875">
        <v>6000</v>
      </c>
      <c r="U255" s="875"/>
      <c r="V255" s="875"/>
      <c r="W255" s="875"/>
      <c r="X255" s="1026">
        <f t="shared" si="154"/>
        <v>23500</v>
      </c>
      <c r="Y255" s="1512">
        <f t="shared" si="155"/>
        <v>0.14634146341463414</v>
      </c>
      <c r="Z255" s="1741">
        <f t="shared" si="156"/>
        <v>0.57317073170731703</v>
      </c>
      <c r="AA255" s="1749">
        <f t="shared" si="157"/>
        <v>0</v>
      </c>
      <c r="AB255" s="1810">
        <f t="shared" si="158"/>
        <v>0</v>
      </c>
      <c r="AC255" s="876"/>
      <c r="AD255" s="1525">
        <f t="shared" si="159"/>
        <v>0</v>
      </c>
      <c r="AE255" s="1525">
        <f t="shared" si="159"/>
        <v>0</v>
      </c>
      <c r="AF255" s="1525">
        <f t="shared" si="159"/>
        <v>0</v>
      </c>
      <c r="AG255" s="1525">
        <f t="shared" si="159"/>
        <v>0</v>
      </c>
      <c r="AH255" s="1525">
        <f t="shared" si="159"/>
        <v>0</v>
      </c>
      <c r="AI255" s="1525">
        <f t="shared" si="159"/>
        <v>0</v>
      </c>
      <c r="AJ255" s="1525">
        <f t="shared" si="159"/>
        <v>0</v>
      </c>
      <c r="AK255" s="1525">
        <f t="shared" si="159"/>
        <v>0</v>
      </c>
      <c r="AL255" s="1525">
        <f t="shared" si="159"/>
        <v>0</v>
      </c>
      <c r="AM255" s="1525">
        <f t="shared" si="159"/>
        <v>0</v>
      </c>
      <c r="AN255" s="1525">
        <f t="shared" si="159"/>
        <v>0</v>
      </c>
      <c r="AO255" s="1525">
        <f t="shared" si="159"/>
        <v>0</v>
      </c>
      <c r="AP255" s="1525">
        <f t="shared" si="159"/>
        <v>0</v>
      </c>
      <c r="AQ255" s="1525">
        <f t="shared" si="159"/>
        <v>0</v>
      </c>
      <c r="AR255" s="1525">
        <f t="shared" si="159"/>
        <v>0</v>
      </c>
      <c r="AS255" s="1525">
        <f t="shared" si="159"/>
        <v>0</v>
      </c>
      <c r="AU255" s="1525"/>
      <c r="AV255" s="1291"/>
      <c r="AW255" s="1292"/>
      <c r="AX255" s="1292"/>
      <c r="AY255" s="1292"/>
      <c r="AZ255" s="1292"/>
      <c r="BA255" s="1292"/>
      <c r="BB255" s="1292"/>
      <c r="BC255" s="1292"/>
      <c r="BD255" s="1292"/>
      <c r="BE255" s="1292"/>
      <c r="BF255" s="1292"/>
      <c r="BG255" s="1292"/>
      <c r="BH255" s="1292"/>
      <c r="BI255" s="1292"/>
      <c r="BJ255" s="1292"/>
      <c r="BK255" s="1292"/>
      <c r="BL255" s="1292"/>
      <c r="BM255" s="1292"/>
      <c r="BN255" s="1292"/>
      <c r="BO255" s="1292"/>
      <c r="BP255" s="1292"/>
      <c r="BQ255" s="1292"/>
      <c r="BR255" s="1292"/>
      <c r="BS255" s="1292"/>
      <c r="BT255" s="1670">
        <f t="shared" si="160"/>
        <v>0</v>
      </c>
      <c r="BW255" s="859" t="s">
        <v>1857</v>
      </c>
    </row>
    <row r="256" spans="2:75" ht="12.75" customHeight="1" x14ac:dyDescent="0.2">
      <c r="B256" s="175">
        <f t="shared" si="161"/>
        <v>10</v>
      </c>
      <c r="C256" s="219">
        <v>13</v>
      </c>
      <c r="E256" s="12" t="s">
        <v>423</v>
      </c>
      <c r="F256" s="4" t="s">
        <v>792</v>
      </c>
      <c r="G256" s="859" t="s">
        <v>1290</v>
      </c>
      <c r="H256" s="858">
        <v>262018</v>
      </c>
      <c r="I256" s="172" t="s">
        <v>1584</v>
      </c>
      <c r="J256" s="168">
        <v>2</v>
      </c>
      <c r="K256" s="168"/>
      <c r="L256" s="858">
        <v>0.4</v>
      </c>
      <c r="M256" s="858">
        <v>0.4</v>
      </c>
      <c r="N256" s="857" t="s">
        <v>892</v>
      </c>
      <c r="O256" s="1196">
        <v>19251</v>
      </c>
      <c r="P256" s="1218">
        <f t="shared" ca="1" si="153"/>
        <v>65.05</v>
      </c>
      <c r="Q256" s="1148">
        <v>29000</v>
      </c>
      <c r="R256" s="874"/>
      <c r="S256" s="875"/>
      <c r="T256" s="875"/>
      <c r="U256" s="875"/>
      <c r="V256" s="875"/>
      <c r="W256" s="875"/>
      <c r="X256" s="1026">
        <f t="shared" si="154"/>
        <v>11600</v>
      </c>
      <c r="Y256" s="1512">
        <f t="shared" si="155"/>
        <v>0</v>
      </c>
      <c r="Z256" s="1741">
        <f t="shared" si="156"/>
        <v>0.4</v>
      </c>
      <c r="AA256" s="1749">
        <f t="shared" si="157"/>
        <v>0</v>
      </c>
      <c r="AB256" s="1810">
        <f t="shared" si="158"/>
        <v>0</v>
      </c>
      <c r="AC256" s="876"/>
      <c r="AD256" s="1525">
        <f t="shared" si="159"/>
        <v>0</v>
      </c>
      <c r="AE256" s="1525">
        <f t="shared" si="159"/>
        <v>0</v>
      </c>
      <c r="AF256" s="1525">
        <f t="shared" si="159"/>
        <v>0</v>
      </c>
      <c r="AG256" s="1525">
        <f t="shared" si="159"/>
        <v>0</v>
      </c>
      <c r="AH256" s="1525">
        <f t="shared" si="159"/>
        <v>0</v>
      </c>
      <c r="AI256" s="1525">
        <f t="shared" si="159"/>
        <v>0</v>
      </c>
      <c r="AJ256" s="1525">
        <f t="shared" si="159"/>
        <v>0</v>
      </c>
      <c r="AK256" s="1525">
        <f t="shared" si="159"/>
        <v>0</v>
      </c>
      <c r="AL256" s="1525">
        <f t="shared" si="159"/>
        <v>0</v>
      </c>
      <c r="AM256" s="1525">
        <f t="shared" si="159"/>
        <v>0</v>
      </c>
      <c r="AN256" s="1525">
        <f t="shared" si="159"/>
        <v>0</v>
      </c>
      <c r="AO256" s="1525">
        <f t="shared" si="159"/>
        <v>0</v>
      </c>
      <c r="AP256" s="1525">
        <f t="shared" si="159"/>
        <v>0</v>
      </c>
      <c r="AQ256" s="1525">
        <f t="shared" si="159"/>
        <v>0</v>
      </c>
      <c r="AR256" s="1525">
        <f t="shared" si="159"/>
        <v>0</v>
      </c>
      <c r="AS256" s="1525">
        <f t="shared" si="159"/>
        <v>0</v>
      </c>
      <c r="AU256" s="1525"/>
      <c r="AV256" s="1291"/>
      <c r="AW256" s="1292"/>
      <c r="AX256" s="1292"/>
      <c r="AY256" s="1292"/>
      <c r="AZ256" s="1292"/>
      <c r="BA256" s="1292"/>
      <c r="BB256" s="1292"/>
      <c r="BC256" s="1292"/>
      <c r="BD256" s="1292"/>
      <c r="BE256" s="1292"/>
      <c r="BF256" s="1292"/>
      <c r="BG256" s="1292"/>
      <c r="BH256" s="1292"/>
      <c r="BI256" s="1292"/>
      <c r="BJ256" s="1292"/>
      <c r="BK256" s="1292"/>
      <c r="BL256" s="1292"/>
      <c r="BM256" s="1292"/>
      <c r="BN256" s="1292"/>
      <c r="BO256" s="1292"/>
      <c r="BP256" s="1292"/>
      <c r="BQ256" s="1292"/>
      <c r="BR256" s="1292"/>
      <c r="BS256" s="1292"/>
      <c r="BT256" s="1670">
        <f t="shared" si="160"/>
        <v>0</v>
      </c>
      <c r="BW256" s="859" t="s">
        <v>1290</v>
      </c>
    </row>
    <row r="257" spans="2:75" ht="12.75" customHeight="1" x14ac:dyDescent="0.2">
      <c r="B257" s="175">
        <f t="shared" si="161"/>
        <v>11</v>
      </c>
      <c r="C257" s="219">
        <v>14</v>
      </c>
      <c r="E257" s="12" t="s">
        <v>423</v>
      </c>
      <c r="F257" s="24" t="s">
        <v>1158</v>
      </c>
      <c r="G257" s="859" t="s">
        <v>412</v>
      </c>
      <c r="H257" s="858">
        <v>233106</v>
      </c>
      <c r="I257" s="172" t="s">
        <v>1584</v>
      </c>
      <c r="J257" s="168"/>
      <c r="K257" s="168"/>
      <c r="L257" s="858">
        <v>1</v>
      </c>
      <c r="M257" s="858">
        <f>K257+L257</f>
        <v>1</v>
      </c>
      <c r="N257" s="857" t="s">
        <v>1326</v>
      </c>
      <c r="O257" s="1196">
        <v>27934</v>
      </c>
      <c r="P257" s="1218">
        <f t="shared" ca="1" si="153"/>
        <v>41.274999999999999</v>
      </c>
      <c r="Q257" s="1148">
        <v>20000</v>
      </c>
      <c r="R257" s="874">
        <f>Q257*0.1</f>
        <v>2000</v>
      </c>
      <c r="S257" s="875"/>
      <c r="T257" s="875"/>
      <c r="U257" s="875"/>
      <c r="V257" s="875"/>
      <c r="W257" s="875"/>
      <c r="X257" s="1026">
        <f t="shared" si="154"/>
        <v>22000</v>
      </c>
      <c r="Y257" s="1512">
        <f t="shared" si="155"/>
        <v>0</v>
      </c>
      <c r="Z257" s="1741">
        <f t="shared" si="156"/>
        <v>1</v>
      </c>
      <c r="AA257" s="1749">
        <f t="shared" si="157"/>
        <v>0</v>
      </c>
      <c r="AB257" s="1810">
        <f t="shared" si="158"/>
        <v>0</v>
      </c>
      <c r="AC257" s="876"/>
      <c r="AD257" s="1525">
        <f t="shared" ref="AD257:AS264" si="162">SUMIF($AV$6:$BS$6,AD$5,$AV257:$BS257)</f>
        <v>0</v>
      </c>
      <c r="AE257" s="1525">
        <f t="shared" si="162"/>
        <v>0</v>
      </c>
      <c r="AF257" s="1525">
        <f t="shared" si="162"/>
        <v>0</v>
      </c>
      <c r="AG257" s="1525">
        <f t="shared" si="162"/>
        <v>0</v>
      </c>
      <c r="AH257" s="1525">
        <f t="shared" si="162"/>
        <v>0</v>
      </c>
      <c r="AI257" s="1525">
        <f t="shared" si="162"/>
        <v>0</v>
      </c>
      <c r="AJ257" s="1525">
        <f t="shared" si="162"/>
        <v>0</v>
      </c>
      <c r="AK257" s="1525">
        <f t="shared" si="162"/>
        <v>0</v>
      </c>
      <c r="AL257" s="1525">
        <f t="shared" si="162"/>
        <v>0</v>
      </c>
      <c r="AM257" s="1525">
        <f t="shared" si="162"/>
        <v>0</v>
      </c>
      <c r="AN257" s="1525">
        <f t="shared" si="162"/>
        <v>0</v>
      </c>
      <c r="AO257" s="1525">
        <f t="shared" si="162"/>
        <v>0</v>
      </c>
      <c r="AP257" s="1525">
        <f t="shared" si="162"/>
        <v>0</v>
      </c>
      <c r="AQ257" s="1525">
        <f t="shared" si="162"/>
        <v>0</v>
      </c>
      <c r="AR257" s="1525">
        <f t="shared" si="162"/>
        <v>0</v>
      </c>
      <c r="AS257" s="1525">
        <f t="shared" si="162"/>
        <v>0</v>
      </c>
      <c r="AU257" s="1525"/>
      <c r="AV257" s="1291"/>
      <c r="AW257" s="1292"/>
      <c r="AX257" s="1292"/>
      <c r="AY257" s="1292"/>
      <c r="AZ257" s="1292"/>
      <c r="BA257" s="1292"/>
      <c r="BB257" s="1292"/>
      <c r="BC257" s="1292"/>
      <c r="BD257" s="1292"/>
      <c r="BE257" s="1292"/>
      <c r="BF257" s="1292"/>
      <c r="BG257" s="1292"/>
      <c r="BH257" s="1292"/>
      <c r="BI257" s="1292"/>
      <c r="BJ257" s="1292"/>
      <c r="BK257" s="1292"/>
      <c r="BL257" s="1292"/>
      <c r="BM257" s="1292"/>
      <c r="BN257" s="1292"/>
      <c r="BO257" s="1292"/>
      <c r="BP257" s="1292"/>
      <c r="BQ257" s="1292"/>
      <c r="BR257" s="1292"/>
      <c r="BS257" s="1292"/>
      <c r="BT257" s="1670">
        <f t="shared" si="160"/>
        <v>0</v>
      </c>
      <c r="BW257" s="859" t="s">
        <v>412</v>
      </c>
    </row>
    <row r="258" spans="2:75" ht="12.75" customHeight="1" x14ac:dyDescent="0.2">
      <c r="B258" s="175">
        <f t="shared" si="161"/>
        <v>12</v>
      </c>
      <c r="C258" s="219">
        <v>14</v>
      </c>
      <c r="E258" s="12" t="s">
        <v>423</v>
      </c>
      <c r="F258" s="24" t="s">
        <v>1158</v>
      </c>
      <c r="G258" s="859" t="s">
        <v>413</v>
      </c>
      <c r="H258" s="858">
        <v>220918</v>
      </c>
      <c r="I258" s="172" t="s">
        <v>1584</v>
      </c>
      <c r="J258" s="168"/>
      <c r="K258" s="168"/>
      <c r="L258" s="858">
        <v>1</v>
      </c>
      <c r="M258" s="858">
        <f>K258+L258</f>
        <v>1</v>
      </c>
      <c r="N258" s="857" t="s">
        <v>892</v>
      </c>
      <c r="O258" s="1196">
        <v>26731</v>
      </c>
      <c r="P258" s="1218">
        <f t="shared" ca="1" si="153"/>
        <v>44.56666666666667</v>
      </c>
      <c r="Q258" s="1148">
        <v>18000</v>
      </c>
      <c r="R258" s="874"/>
      <c r="S258" s="875"/>
      <c r="T258" s="875"/>
      <c r="U258" s="875"/>
      <c r="V258" s="875"/>
      <c r="W258" s="875"/>
      <c r="X258" s="1026">
        <f t="shared" si="154"/>
        <v>18000</v>
      </c>
      <c r="Y258" s="1512">
        <f t="shared" si="155"/>
        <v>0</v>
      </c>
      <c r="Z258" s="1741">
        <f t="shared" si="156"/>
        <v>1</v>
      </c>
      <c r="AA258" s="1749">
        <f t="shared" si="157"/>
        <v>0</v>
      </c>
      <c r="AB258" s="1810">
        <f t="shared" si="158"/>
        <v>0</v>
      </c>
      <c r="AC258" s="876"/>
      <c r="AD258" s="1525">
        <f t="shared" si="162"/>
        <v>0</v>
      </c>
      <c r="AE258" s="1525">
        <f t="shared" si="162"/>
        <v>0</v>
      </c>
      <c r="AF258" s="1525">
        <f t="shared" si="162"/>
        <v>0</v>
      </c>
      <c r="AG258" s="1525">
        <f t="shared" si="162"/>
        <v>0</v>
      </c>
      <c r="AH258" s="1525">
        <f t="shared" si="162"/>
        <v>0</v>
      </c>
      <c r="AI258" s="1525">
        <f t="shared" si="162"/>
        <v>0</v>
      </c>
      <c r="AJ258" s="1525">
        <f t="shared" si="162"/>
        <v>0</v>
      </c>
      <c r="AK258" s="1525">
        <f t="shared" si="162"/>
        <v>0</v>
      </c>
      <c r="AL258" s="1525">
        <f t="shared" si="162"/>
        <v>0</v>
      </c>
      <c r="AM258" s="1525">
        <f t="shared" si="162"/>
        <v>0</v>
      </c>
      <c r="AN258" s="1525">
        <f t="shared" si="162"/>
        <v>0</v>
      </c>
      <c r="AO258" s="1525">
        <f t="shared" si="162"/>
        <v>0</v>
      </c>
      <c r="AP258" s="1525">
        <f t="shared" si="162"/>
        <v>0</v>
      </c>
      <c r="AQ258" s="1525">
        <f t="shared" si="162"/>
        <v>0</v>
      </c>
      <c r="AR258" s="1525">
        <f t="shared" si="162"/>
        <v>0</v>
      </c>
      <c r="AS258" s="1525">
        <f t="shared" si="162"/>
        <v>0</v>
      </c>
      <c r="AU258" s="1525"/>
      <c r="AV258" s="1291"/>
      <c r="AW258" s="1292"/>
      <c r="AX258" s="1292"/>
      <c r="AY258" s="1292"/>
      <c r="AZ258" s="1292"/>
      <c r="BA258" s="1292"/>
      <c r="BB258" s="1292"/>
      <c r="BC258" s="1292"/>
      <c r="BD258" s="1292"/>
      <c r="BE258" s="1292"/>
      <c r="BF258" s="1292"/>
      <c r="BG258" s="1292"/>
      <c r="BH258" s="1292"/>
      <c r="BI258" s="1292"/>
      <c r="BJ258" s="1292"/>
      <c r="BK258" s="1292"/>
      <c r="BL258" s="1292"/>
      <c r="BM258" s="1292"/>
      <c r="BN258" s="1292"/>
      <c r="BO258" s="1292"/>
      <c r="BP258" s="1292"/>
      <c r="BQ258" s="1292"/>
      <c r="BR258" s="1292"/>
      <c r="BS258" s="1292"/>
      <c r="BT258" s="1670">
        <f t="shared" si="160"/>
        <v>0</v>
      </c>
      <c r="BW258" s="859" t="s">
        <v>413</v>
      </c>
    </row>
    <row r="259" spans="2:75" ht="12.75" customHeight="1" x14ac:dyDescent="0.2">
      <c r="B259" s="175">
        <f t="shared" si="161"/>
        <v>13</v>
      </c>
      <c r="C259" s="219">
        <v>14</v>
      </c>
      <c r="E259" s="12" t="s">
        <v>423</v>
      </c>
      <c r="F259" s="24" t="s">
        <v>1158</v>
      </c>
      <c r="G259" s="859" t="s">
        <v>1738</v>
      </c>
      <c r="H259" s="858">
        <v>152904</v>
      </c>
      <c r="I259" s="172" t="s">
        <v>1584</v>
      </c>
      <c r="J259" s="168"/>
      <c r="K259" s="168"/>
      <c r="L259" s="858">
        <v>1</v>
      </c>
      <c r="M259" s="858">
        <v>1</v>
      </c>
      <c r="N259" s="857" t="s">
        <v>1326</v>
      </c>
      <c r="O259" s="1196">
        <v>23323</v>
      </c>
      <c r="P259" s="1218">
        <f t="shared" ca="1" si="153"/>
        <v>53.9</v>
      </c>
      <c r="Q259" s="1148">
        <v>26500</v>
      </c>
      <c r="R259" s="874">
        <f>Q259*0.1</f>
        <v>2650</v>
      </c>
      <c r="S259" s="875"/>
      <c r="T259" s="875"/>
      <c r="U259" s="875"/>
      <c r="V259" s="875"/>
      <c r="W259" s="875"/>
      <c r="X259" s="1026">
        <f t="shared" si="154"/>
        <v>29150</v>
      </c>
      <c r="Y259" s="1512">
        <f t="shared" si="155"/>
        <v>0</v>
      </c>
      <c r="Z259" s="1741">
        <f t="shared" si="156"/>
        <v>1</v>
      </c>
      <c r="AA259" s="1749">
        <f t="shared" si="157"/>
        <v>0</v>
      </c>
      <c r="AB259" s="1810">
        <f t="shared" si="158"/>
        <v>0</v>
      </c>
      <c r="AC259" s="876"/>
      <c r="AD259" s="1525">
        <f t="shared" si="162"/>
        <v>0</v>
      </c>
      <c r="AE259" s="1525">
        <f t="shared" si="162"/>
        <v>0</v>
      </c>
      <c r="AF259" s="1525">
        <f t="shared" si="162"/>
        <v>0</v>
      </c>
      <c r="AG259" s="1525">
        <f t="shared" si="162"/>
        <v>0</v>
      </c>
      <c r="AH259" s="1525">
        <f t="shared" si="162"/>
        <v>0</v>
      </c>
      <c r="AI259" s="1525">
        <f t="shared" si="162"/>
        <v>0</v>
      </c>
      <c r="AJ259" s="1525">
        <f t="shared" si="162"/>
        <v>0</v>
      </c>
      <c r="AK259" s="1525">
        <f t="shared" si="162"/>
        <v>0</v>
      </c>
      <c r="AL259" s="1525">
        <f t="shared" si="162"/>
        <v>0</v>
      </c>
      <c r="AM259" s="1525">
        <f t="shared" si="162"/>
        <v>0</v>
      </c>
      <c r="AN259" s="1525">
        <f t="shared" si="162"/>
        <v>0</v>
      </c>
      <c r="AO259" s="1525">
        <f t="shared" si="162"/>
        <v>0</v>
      </c>
      <c r="AP259" s="1525">
        <f t="shared" si="162"/>
        <v>0</v>
      </c>
      <c r="AQ259" s="1525">
        <f t="shared" si="162"/>
        <v>0</v>
      </c>
      <c r="AR259" s="1525">
        <f t="shared" si="162"/>
        <v>0</v>
      </c>
      <c r="AS259" s="1525">
        <f t="shared" si="162"/>
        <v>0</v>
      </c>
      <c r="AU259" s="1525"/>
      <c r="AV259" s="1291"/>
      <c r="AW259" s="1292"/>
      <c r="AX259" s="1292"/>
      <c r="AY259" s="1292"/>
      <c r="AZ259" s="1292"/>
      <c r="BA259" s="1292"/>
      <c r="BB259" s="1292"/>
      <c r="BC259" s="1292"/>
      <c r="BD259" s="1292"/>
      <c r="BE259" s="1292"/>
      <c r="BF259" s="1292"/>
      <c r="BG259" s="1292"/>
      <c r="BH259" s="1292"/>
      <c r="BI259" s="1292"/>
      <c r="BJ259" s="1292"/>
      <c r="BK259" s="1292"/>
      <c r="BL259" s="1292"/>
      <c r="BM259" s="1292"/>
      <c r="BN259" s="1292"/>
      <c r="BO259" s="1292"/>
      <c r="BP259" s="1292"/>
      <c r="BQ259" s="1292"/>
      <c r="BR259" s="1292"/>
      <c r="BS259" s="1292"/>
      <c r="BT259" s="1670">
        <f t="shared" si="160"/>
        <v>0</v>
      </c>
      <c r="BW259" s="859" t="s">
        <v>1738</v>
      </c>
    </row>
    <row r="260" spans="2:75" ht="12.75" customHeight="1" x14ac:dyDescent="0.2">
      <c r="B260" s="175">
        <f t="shared" si="161"/>
        <v>14</v>
      </c>
      <c r="C260" s="219">
        <v>14</v>
      </c>
      <c r="E260" s="12" t="s">
        <v>423</v>
      </c>
      <c r="F260" s="24" t="s">
        <v>1158</v>
      </c>
      <c r="G260" s="859" t="s">
        <v>414</v>
      </c>
      <c r="H260" s="858">
        <v>7666</v>
      </c>
      <c r="I260" s="172" t="s">
        <v>1584</v>
      </c>
      <c r="J260" s="168"/>
      <c r="K260" s="168"/>
      <c r="L260" s="858">
        <v>1</v>
      </c>
      <c r="M260" s="858">
        <v>1</v>
      </c>
      <c r="N260" s="857" t="s">
        <v>892</v>
      </c>
      <c r="O260" s="1196">
        <v>18762</v>
      </c>
      <c r="P260" s="1218">
        <f t="shared" ca="1" si="153"/>
        <v>66.38333333333334</v>
      </c>
      <c r="Q260" s="1148">
        <v>20000</v>
      </c>
      <c r="R260" s="874"/>
      <c r="S260" s="875"/>
      <c r="T260" s="875"/>
      <c r="U260" s="875"/>
      <c r="V260" s="875"/>
      <c r="W260" s="875"/>
      <c r="X260" s="1026">
        <f t="shared" si="154"/>
        <v>20000</v>
      </c>
      <c r="Y260" s="1512">
        <f t="shared" si="155"/>
        <v>0</v>
      </c>
      <c r="Z260" s="1741">
        <f t="shared" si="156"/>
        <v>1</v>
      </c>
      <c r="AA260" s="1749">
        <f t="shared" si="157"/>
        <v>0</v>
      </c>
      <c r="AB260" s="1810">
        <f t="shared" si="158"/>
        <v>0</v>
      </c>
      <c r="AC260" s="876"/>
      <c r="AD260" s="1525">
        <f t="shared" si="162"/>
        <v>0</v>
      </c>
      <c r="AE260" s="1525">
        <f t="shared" si="162"/>
        <v>0</v>
      </c>
      <c r="AF260" s="1525">
        <f t="shared" si="162"/>
        <v>0</v>
      </c>
      <c r="AG260" s="1525">
        <f t="shared" si="162"/>
        <v>0</v>
      </c>
      <c r="AH260" s="1525">
        <f t="shared" si="162"/>
        <v>0</v>
      </c>
      <c r="AI260" s="1525">
        <f t="shared" si="162"/>
        <v>0</v>
      </c>
      <c r="AJ260" s="1525">
        <f t="shared" si="162"/>
        <v>0</v>
      </c>
      <c r="AK260" s="1525">
        <f t="shared" si="162"/>
        <v>0</v>
      </c>
      <c r="AL260" s="1525">
        <f t="shared" si="162"/>
        <v>0</v>
      </c>
      <c r="AM260" s="1525">
        <f t="shared" si="162"/>
        <v>0</v>
      </c>
      <c r="AN260" s="1525">
        <f t="shared" si="162"/>
        <v>0</v>
      </c>
      <c r="AO260" s="1525">
        <f t="shared" si="162"/>
        <v>0</v>
      </c>
      <c r="AP260" s="1525">
        <f t="shared" si="162"/>
        <v>0</v>
      </c>
      <c r="AQ260" s="1525">
        <f t="shared" si="162"/>
        <v>0</v>
      </c>
      <c r="AR260" s="1525">
        <f t="shared" si="162"/>
        <v>0</v>
      </c>
      <c r="AS260" s="1525">
        <f t="shared" si="162"/>
        <v>0</v>
      </c>
      <c r="AU260" s="1525"/>
      <c r="AV260" s="1291"/>
      <c r="AW260" s="1292"/>
      <c r="AX260" s="1292"/>
      <c r="AY260" s="1292"/>
      <c r="AZ260" s="1292"/>
      <c r="BA260" s="1292"/>
      <c r="BB260" s="1292"/>
      <c r="BC260" s="1292"/>
      <c r="BD260" s="1292"/>
      <c r="BE260" s="1292"/>
      <c r="BF260" s="1292"/>
      <c r="BG260" s="1292"/>
      <c r="BH260" s="1292"/>
      <c r="BI260" s="1292"/>
      <c r="BJ260" s="1292"/>
      <c r="BK260" s="1292"/>
      <c r="BL260" s="1292"/>
      <c r="BM260" s="1292"/>
      <c r="BN260" s="1292"/>
      <c r="BO260" s="1292"/>
      <c r="BP260" s="1292"/>
      <c r="BQ260" s="1292"/>
      <c r="BR260" s="1292"/>
      <c r="BS260" s="1292"/>
      <c r="BT260" s="1670">
        <f t="shared" si="160"/>
        <v>0</v>
      </c>
      <c r="BW260" s="859" t="s">
        <v>414</v>
      </c>
    </row>
    <row r="261" spans="2:75" ht="12.75" customHeight="1" x14ac:dyDescent="0.2">
      <c r="B261" s="175">
        <f t="shared" si="161"/>
        <v>15</v>
      </c>
      <c r="C261" s="219">
        <v>14</v>
      </c>
      <c r="E261" s="12" t="s">
        <v>423</v>
      </c>
      <c r="F261" s="24" t="s">
        <v>1158</v>
      </c>
      <c r="G261" s="859" t="s">
        <v>415</v>
      </c>
      <c r="H261" s="858">
        <v>58510</v>
      </c>
      <c r="I261" s="172" t="s">
        <v>1584</v>
      </c>
      <c r="J261" s="168"/>
      <c r="K261" s="168"/>
      <c r="L261" s="858">
        <v>1</v>
      </c>
      <c r="M261" s="858">
        <f>K261+L261</f>
        <v>1</v>
      </c>
      <c r="N261" s="857" t="s">
        <v>1326</v>
      </c>
      <c r="O261" s="1196">
        <v>23862</v>
      </c>
      <c r="P261" s="1218">
        <f t="shared" ca="1" si="153"/>
        <v>52.422222222222224</v>
      </c>
      <c r="Q261" s="1148">
        <v>17000</v>
      </c>
      <c r="R261" s="874">
        <f>Q261*0.1</f>
        <v>1700</v>
      </c>
      <c r="S261" s="875"/>
      <c r="T261" s="875"/>
      <c r="U261" s="875">
        <v>3000</v>
      </c>
      <c r="V261" s="875"/>
      <c r="W261" s="875"/>
      <c r="X261" s="1026">
        <f t="shared" si="154"/>
        <v>21700</v>
      </c>
      <c r="Y261" s="1512">
        <f t="shared" si="155"/>
        <v>0.16042780748663102</v>
      </c>
      <c r="Z261" s="1741">
        <f t="shared" si="156"/>
        <v>1.160427807486631</v>
      </c>
      <c r="AA261" s="1749">
        <f t="shared" si="157"/>
        <v>0</v>
      </c>
      <c r="AB261" s="1810">
        <f t="shared" si="158"/>
        <v>0</v>
      </c>
      <c r="AC261" s="876"/>
      <c r="AD261" s="1525">
        <f t="shared" si="162"/>
        <v>0</v>
      </c>
      <c r="AE261" s="1525">
        <f t="shared" si="162"/>
        <v>0</v>
      </c>
      <c r="AF261" s="1525">
        <f t="shared" si="162"/>
        <v>0</v>
      </c>
      <c r="AG261" s="1525">
        <f t="shared" si="162"/>
        <v>0</v>
      </c>
      <c r="AH261" s="1525">
        <f t="shared" si="162"/>
        <v>0</v>
      </c>
      <c r="AI261" s="1525">
        <f t="shared" si="162"/>
        <v>0</v>
      </c>
      <c r="AJ261" s="1525">
        <f t="shared" si="162"/>
        <v>0</v>
      </c>
      <c r="AK261" s="1525">
        <f t="shared" si="162"/>
        <v>0</v>
      </c>
      <c r="AL261" s="1525">
        <f t="shared" si="162"/>
        <v>0</v>
      </c>
      <c r="AM261" s="1525">
        <f t="shared" si="162"/>
        <v>0</v>
      </c>
      <c r="AN261" s="1525">
        <f t="shared" si="162"/>
        <v>0</v>
      </c>
      <c r="AO261" s="1525">
        <f t="shared" si="162"/>
        <v>0</v>
      </c>
      <c r="AP261" s="1525">
        <f t="shared" si="162"/>
        <v>0</v>
      </c>
      <c r="AQ261" s="1525">
        <f t="shared" si="162"/>
        <v>0</v>
      </c>
      <c r="AR261" s="1525">
        <f t="shared" si="162"/>
        <v>0</v>
      </c>
      <c r="AS261" s="1525">
        <f t="shared" si="162"/>
        <v>0</v>
      </c>
      <c r="AU261" s="1525"/>
      <c r="AV261" s="1291"/>
      <c r="AW261" s="1292"/>
      <c r="AX261" s="1292"/>
      <c r="AY261" s="1292"/>
      <c r="AZ261" s="1292"/>
      <c r="BA261" s="1292"/>
      <c r="BB261" s="1292"/>
      <c r="BC261" s="1292"/>
      <c r="BD261" s="1292"/>
      <c r="BE261" s="1292"/>
      <c r="BF261" s="1292"/>
      <c r="BG261" s="1292"/>
      <c r="BH261" s="1292"/>
      <c r="BI261" s="1292"/>
      <c r="BJ261" s="1292"/>
      <c r="BK261" s="1292"/>
      <c r="BL261" s="1292"/>
      <c r="BM261" s="1292"/>
      <c r="BN261" s="1292"/>
      <c r="BO261" s="1292"/>
      <c r="BP261" s="1292"/>
      <c r="BQ261" s="1292"/>
      <c r="BR261" s="1292"/>
      <c r="BS261" s="1292"/>
      <c r="BT261" s="1670">
        <f t="shared" si="160"/>
        <v>0</v>
      </c>
      <c r="BW261" s="859" t="s">
        <v>415</v>
      </c>
    </row>
    <row r="262" spans="2:75" ht="12.75" customHeight="1" x14ac:dyDescent="0.2">
      <c r="B262" s="175">
        <f t="shared" si="161"/>
        <v>16</v>
      </c>
      <c r="C262" s="219">
        <v>14</v>
      </c>
      <c r="E262" s="12" t="s">
        <v>423</v>
      </c>
      <c r="F262" s="24" t="s">
        <v>1158</v>
      </c>
      <c r="G262" s="862" t="s">
        <v>430</v>
      </c>
      <c r="H262" s="858">
        <v>100003</v>
      </c>
      <c r="I262" s="172" t="s">
        <v>1584</v>
      </c>
      <c r="J262" s="168"/>
      <c r="K262" s="168"/>
      <c r="L262" s="861">
        <v>0.5</v>
      </c>
      <c r="M262" s="858">
        <v>0.5</v>
      </c>
      <c r="N262" s="836" t="s">
        <v>892</v>
      </c>
      <c r="O262" s="1196">
        <v>33135</v>
      </c>
      <c r="P262" s="1218">
        <f t="shared" ca="1" si="153"/>
        <v>27.036111111111111</v>
      </c>
      <c r="Q262" s="1148">
        <v>37200</v>
      </c>
      <c r="R262" s="874"/>
      <c r="S262" s="875"/>
      <c r="T262" s="875">
        <v>17600</v>
      </c>
      <c r="U262" s="875"/>
      <c r="V262" s="875"/>
      <c r="W262" s="875"/>
      <c r="X262" s="1026">
        <f t="shared" si="154"/>
        <v>27400</v>
      </c>
      <c r="Y262" s="1512">
        <f t="shared" si="155"/>
        <v>0.4731182795698925</v>
      </c>
      <c r="Z262" s="1741">
        <f t="shared" si="156"/>
        <v>0.73655913978494625</v>
      </c>
      <c r="AA262" s="1749">
        <f t="shared" si="157"/>
        <v>0</v>
      </c>
      <c r="AB262" s="1810">
        <f t="shared" si="158"/>
        <v>0</v>
      </c>
      <c r="AC262" s="876"/>
      <c r="AD262" s="1525">
        <f t="shared" si="162"/>
        <v>0</v>
      </c>
      <c r="AE262" s="1525">
        <f t="shared" si="162"/>
        <v>0</v>
      </c>
      <c r="AF262" s="1525">
        <f t="shared" si="162"/>
        <v>0</v>
      </c>
      <c r="AG262" s="1525">
        <f t="shared" si="162"/>
        <v>0</v>
      </c>
      <c r="AH262" s="1525">
        <f t="shared" si="162"/>
        <v>0</v>
      </c>
      <c r="AI262" s="1525">
        <f t="shared" si="162"/>
        <v>0</v>
      </c>
      <c r="AJ262" s="1525">
        <f t="shared" si="162"/>
        <v>0</v>
      </c>
      <c r="AK262" s="1525">
        <f t="shared" si="162"/>
        <v>0</v>
      </c>
      <c r="AL262" s="1525">
        <f t="shared" si="162"/>
        <v>0</v>
      </c>
      <c r="AM262" s="1525">
        <f t="shared" si="162"/>
        <v>0</v>
      </c>
      <c r="AN262" s="1525">
        <f t="shared" si="162"/>
        <v>0</v>
      </c>
      <c r="AO262" s="1525">
        <f t="shared" si="162"/>
        <v>0</v>
      </c>
      <c r="AP262" s="1525">
        <f t="shared" si="162"/>
        <v>0</v>
      </c>
      <c r="AQ262" s="1525">
        <f t="shared" si="162"/>
        <v>0</v>
      </c>
      <c r="AR262" s="1525">
        <f t="shared" si="162"/>
        <v>0</v>
      </c>
      <c r="AS262" s="1525">
        <f t="shared" si="162"/>
        <v>0</v>
      </c>
      <c r="AU262" s="1525"/>
      <c r="AV262" s="1291"/>
      <c r="AW262" s="1292"/>
      <c r="AX262" s="1292"/>
      <c r="AY262" s="1292"/>
      <c r="AZ262" s="1292"/>
      <c r="BA262" s="1292"/>
      <c r="BB262" s="1292"/>
      <c r="BC262" s="1292"/>
      <c r="BD262" s="1292"/>
      <c r="BE262" s="1292"/>
      <c r="BF262" s="1292"/>
      <c r="BG262" s="1292"/>
      <c r="BH262" s="1292"/>
      <c r="BI262" s="1292"/>
      <c r="BJ262" s="1292"/>
      <c r="BK262" s="1292"/>
      <c r="BL262" s="1292"/>
      <c r="BM262" s="1292"/>
      <c r="BN262" s="1292"/>
      <c r="BO262" s="1292"/>
      <c r="BP262" s="1292"/>
      <c r="BQ262" s="1292"/>
      <c r="BR262" s="1292"/>
      <c r="BS262" s="1292"/>
      <c r="BT262" s="1670">
        <f t="shared" si="160"/>
        <v>0</v>
      </c>
      <c r="BW262" s="862" t="s">
        <v>430</v>
      </c>
    </row>
    <row r="263" spans="2:75" ht="12.75" customHeight="1" x14ac:dyDescent="0.2">
      <c r="B263" s="175">
        <f t="shared" si="161"/>
        <v>17</v>
      </c>
      <c r="C263" s="219">
        <v>18</v>
      </c>
      <c r="E263" s="12" t="s">
        <v>423</v>
      </c>
      <c r="F263" s="24" t="s">
        <v>427</v>
      </c>
      <c r="G263" s="859" t="s">
        <v>329</v>
      </c>
      <c r="H263" s="858">
        <v>6973</v>
      </c>
      <c r="I263" s="172" t="s">
        <v>1442</v>
      </c>
      <c r="J263" s="168"/>
      <c r="K263" s="168"/>
      <c r="L263" s="858">
        <v>1</v>
      </c>
      <c r="M263" s="858">
        <v>1</v>
      </c>
      <c r="N263" s="857" t="s">
        <v>1326</v>
      </c>
      <c r="O263" s="1196">
        <v>18260</v>
      </c>
      <c r="P263" s="1218">
        <f t="shared" ca="1" si="153"/>
        <v>67.761111111111106</v>
      </c>
      <c r="Q263" s="1148">
        <v>23000</v>
      </c>
      <c r="R263" s="874">
        <f>Q263*0.1</f>
        <v>2300</v>
      </c>
      <c r="S263" s="875"/>
      <c r="T263" s="875"/>
      <c r="U263" s="875"/>
      <c r="V263" s="875"/>
      <c r="W263" s="875"/>
      <c r="X263" s="1026">
        <f t="shared" si="154"/>
        <v>25300</v>
      </c>
      <c r="Y263" s="1512">
        <f t="shared" si="155"/>
        <v>0</v>
      </c>
      <c r="Z263" s="1741">
        <f t="shared" si="156"/>
        <v>1</v>
      </c>
      <c r="AA263" s="1749">
        <f t="shared" si="157"/>
        <v>0</v>
      </c>
      <c r="AB263" s="1810">
        <f t="shared" si="158"/>
        <v>0</v>
      </c>
      <c r="AC263" s="876"/>
      <c r="AD263" s="1525">
        <f t="shared" si="162"/>
        <v>0</v>
      </c>
      <c r="AE263" s="1525">
        <f t="shared" si="162"/>
        <v>0</v>
      </c>
      <c r="AF263" s="1525">
        <f t="shared" si="162"/>
        <v>0</v>
      </c>
      <c r="AG263" s="1525">
        <f t="shared" si="162"/>
        <v>0</v>
      </c>
      <c r="AH263" s="1525">
        <f t="shared" si="162"/>
        <v>0</v>
      </c>
      <c r="AI263" s="1525">
        <f t="shared" si="162"/>
        <v>0</v>
      </c>
      <c r="AJ263" s="1525">
        <f t="shared" si="162"/>
        <v>0</v>
      </c>
      <c r="AK263" s="1525">
        <f t="shared" si="162"/>
        <v>0</v>
      </c>
      <c r="AL263" s="1525">
        <f t="shared" si="162"/>
        <v>0</v>
      </c>
      <c r="AM263" s="1525">
        <f t="shared" si="162"/>
        <v>0</v>
      </c>
      <c r="AN263" s="1525">
        <f t="shared" si="162"/>
        <v>0</v>
      </c>
      <c r="AO263" s="1525">
        <f t="shared" si="162"/>
        <v>0</v>
      </c>
      <c r="AP263" s="1525">
        <f t="shared" si="162"/>
        <v>0</v>
      </c>
      <c r="AQ263" s="1525">
        <f t="shared" si="162"/>
        <v>0</v>
      </c>
      <c r="AR263" s="1525">
        <f t="shared" si="162"/>
        <v>0</v>
      </c>
      <c r="AS263" s="1525">
        <f t="shared" si="162"/>
        <v>0</v>
      </c>
      <c r="AU263" s="1525"/>
      <c r="AV263" s="1291"/>
      <c r="AW263" s="1292"/>
      <c r="AX263" s="1292"/>
      <c r="AY263" s="1292"/>
      <c r="AZ263" s="1292"/>
      <c r="BA263" s="1292"/>
      <c r="BB263" s="1292"/>
      <c r="BC263" s="1292"/>
      <c r="BD263" s="1292"/>
      <c r="BE263" s="1292"/>
      <c r="BF263" s="1292"/>
      <c r="BG263" s="1292"/>
      <c r="BH263" s="1292"/>
      <c r="BI263" s="1292"/>
      <c r="BJ263" s="1292"/>
      <c r="BK263" s="1292"/>
      <c r="BL263" s="1292"/>
      <c r="BM263" s="1292"/>
      <c r="BN263" s="1292"/>
      <c r="BO263" s="1292"/>
      <c r="BP263" s="1292"/>
      <c r="BQ263" s="1292"/>
      <c r="BR263" s="1292"/>
      <c r="BS263" s="1292"/>
      <c r="BT263" s="1670">
        <f t="shared" si="160"/>
        <v>0</v>
      </c>
      <c r="BW263" s="859" t="s">
        <v>329</v>
      </c>
    </row>
    <row r="264" spans="2:75" ht="12.75" customHeight="1" x14ac:dyDescent="0.2">
      <c r="B264" s="175">
        <f t="shared" si="161"/>
        <v>18</v>
      </c>
      <c r="C264" s="219">
        <v>18</v>
      </c>
      <c r="E264" s="12" t="s">
        <v>423</v>
      </c>
      <c r="F264" s="26" t="s">
        <v>330</v>
      </c>
      <c r="G264" s="910" t="s">
        <v>331</v>
      </c>
      <c r="H264" s="873">
        <v>6267</v>
      </c>
      <c r="I264" s="176" t="s">
        <v>1442</v>
      </c>
      <c r="J264" s="177"/>
      <c r="K264" s="177"/>
      <c r="L264" s="873">
        <v>1</v>
      </c>
      <c r="M264" s="873">
        <f>K264+L264</f>
        <v>1</v>
      </c>
      <c r="N264" s="872" t="s">
        <v>1402</v>
      </c>
      <c r="O264" s="1196">
        <v>15244</v>
      </c>
      <c r="P264" s="1218">
        <f t="shared" ca="1" si="153"/>
        <v>76.019444444444446</v>
      </c>
      <c r="Q264" s="1148">
        <v>13700</v>
      </c>
      <c r="R264" s="874">
        <f>Q264*0.1</f>
        <v>1370</v>
      </c>
      <c r="S264" s="875"/>
      <c r="T264" s="875"/>
      <c r="U264" s="875"/>
      <c r="V264" s="875"/>
      <c r="W264" s="875"/>
      <c r="X264" s="1026">
        <f t="shared" si="154"/>
        <v>15070</v>
      </c>
      <c r="Y264" s="1512">
        <f t="shared" si="155"/>
        <v>0</v>
      </c>
      <c r="Z264" s="1741">
        <f t="shared" si="156"/>
        <v>1</v>
      </c>
      <c r="AA264" s="1749">
        <f t="shared" si="157"/>
        <v>0</v>
      </c>
      <c r="AB264" s="1810">
        <f t="shared" si="158"/>
        <v>0</v>
      </c>
      <c r="AC264" s="876"/>
      <c r="AD264" s="1525">
        <f t="shared" si="162"/>
        <v>0</v>
      </c>
      <c r="AE264" s="1525">
        <f t="shared" si="162"/>
        <v>0</v>
      </c>
      <c r="AF264" s="1525">
        <f t="shared" si="162"/>
        <v>0</v>
      </c>
      <c r="AG264" s="1525">
        <f t="shared" si="162"/>
        <v>0</v>
      </c>
      <c r="AH264" s="1525">
        <f t="shared" si="162"/>
        <v>0</v>
      </c>
      <c r="AI264" s="1525">
        <f t="shared" si="162"/>
        <v>0</v>
      </c>
      <c r="AJ264" s="1525">
        <f t="shared" si="162"/>
        <v>0</v>
      </c>
      <c r="AK264" s="1525">
        <f t="shared" si="162"/>
        <v>0</v>
      </c>
      <c r="AL264" s="1525">
        <f t="shared" si="162"/>
        <v>0</v>
      </c>
      <c r="AM264" s="1525">
        <f t="shared" si="162"/>
        <v>0</v>
      </c>
      <c r="AN264" s="1525">
        <f t="shared" si="162"/>
        <v>0</v>
      </c>
      <c r="AO264" s="1525">
        <f t="shared" si="162"/>
        <v>0</v>
      </c>
      <c r="AP264" s="1525">
        <f t="shared" si="162"/>
        <v>0</v>
      </c>
      <c r="AQ264" s="1525">
        <f t="shared" si="162"/>
        <v>0</v>
      </c>
      <c r="AR264" s="1525">
        <f t="shared" si="162"/>
        <v>0</v>
      </c>
      <c r="AS264" s="1525">
        <f t="shared" si="162"/>
        <v>0</v>
      </c>
      <c r="AU264" s="1525"/>
      <c r="AV264" s="1291"/>
      <c r="AW264" s="1292"/>
      <c r="AX264" s="1292"/>
      <c r="AY264" s="1292"/>
      <c r="AZ264" s="1292"/>
      <c r="BA264" s="1292"/>
      <c r="BB264" s="1292"/>
      <c r="BC264" s="1292"/>
      <c r="BD264" s="1292"/>
      <c r="BE264" s="1292"/>
      <c r="BF264" s="1292"/>
      <c r="BG264" s="1292"/>
      <c r="BH264" s="1292"/>
      <c r="BI264" s="1292"/>
      <c r="BJ264" s="1292"/>
      <c r="BK264" s="1292"/>
      <c r="BL264" s="1292"/>
      <c r="BM264" s="1292"/>
      <c r="BN264" s="1292"/>
      <c r="BO264" s="1292"/>
      <c r="BP264" s="1292"/>
      <c r="BQ264" s="1292"/>
      <c r="BR264" s="1292"/>
      <c r="BS264" s="1292"/>
      <c r="BT264" s="1670">
        <f t="shared" si="160"/>
        <v>0</v>
      </c>
      <c r="BW264" s="910" t="s">
        <v>331</v>
      </c>
    </row>
    <row r="265" spans="2:75" s="164" customFormat="1" ht="12.75" customHeight="1" x14ac:dyDescent="0.15">
      <c r="B265" s="175"/>
      <c r="C265" s="219" t="s">
        <v>1120</v>
      </c>
      <c r="F265" s="24" t="s">
        <v>379</v>
      </c>
      <c r="G265" s="859"/>
      <c r="H265" s="1361" t="s">
        <v>1508</v>
      </c>
      <c r="I265" s="172"/>
      <c r="J265" s="173"/>
      <c r="K265" s="446">
        <v>0</v>
      </c>
      <c r="L265" s="892">
        <f>SUM(L247:L264)</f>
        <v>16.399999999999999</v>
      </c>
      <c r="M265" s="892">
        <f>SUM(M247:M264)</f>
        <v>16.399999999999999</v>
      </c>
      <c r="N265" s="857"/>
      <c r="O265" s="1200"/>
      <c r="P265" s="550"/>
      <c r="Q265" s="1148"/>
      <c r="R265" s="874"/>
      <c r="S265" s="875"/>
      <c r="T265" s="875"/>
      <c r="U265" s="875"/>
      <c r="V265" s="875"/>
      <c r="W265" s="875"/>
      <c r="X265" s="1026"/>
      <c r="Y265" s="1335"/>
      <c r="Z265" s="1335"/>
      <c r="AA265" s="1749"/>
      <c r="AB265" s="1812"/>
      <c r="AC265" s="876"/>
      <c r="AD265" s="1295"/>
      <c r="AE265" s="1525"/>
      <c r="AF265" s="1525"/>
      <c r="AG265" s="1525"/>
      <c r="AH265" s="1525"/>
      <c r="AI265" s="1525"/>
      <c r="AJ265" s="1525"/>
      <c r="AK265" s="1525"/>
      <c r="AL265" s="1525"/>
      <c r="AM265" s="1525"/>
      <c r="AN265" s="1525"/>
      <c r="AO265" s="1525"/>
      <c r="AP265" s="1525"/>
      <c r="AQ265" s="1525"/>
      <c r="AR265" s="1525"/>
      <c r="AS265" s="1525"/>
      <c r="AU265" s="1525"/>
      <c r="AV265" s="1295"/>
      <c r="AW265" s="1525"/>
      <c r="AX265" s="1525"/>
      <c r="AY265" s="1525"/>
      <c r="AZ265" s="1525"/>
      <c r="BA265" s="1525"/>
      <c r="BB265" s="1525"/>
      <c r="BC265" s="1525"/>
      <c r="BD265" s="1525"/>
      <c r="BE265" s="1525"/>
      <c r="BF265" s="1525"/>
      <c r="BG265" s="1525"/>
      <c r="BH265" s="1525"/>
      <c r="BI265" s="1525"/>
      <c r="BJ265" s="1525"/>
      <c r="BK265" s="1525"/>
      <c r="BL265" s="1525"/>
      <c r="BM265" s="1525"/>
      <c r="BN265" s="1525"/>
      <c r="BO265" s="1525"/>
      <c r="BP265" s="1525"/>
      <c r="BQ265" s="1525"/>
      <c r="BR265" s="1525"/>
      <c r="BS265" s="1525"/>
      <c r="BT265" s="1670"/>
      <c r="BV265"/>
      <c r="BW265" s="859"/>
    </row>
    <row r="266" spans="2:75" s="164" customFormat="1" ht="12.75" customHeight="1" x14ac:dyDescent="0.2">
      <c r="B266" s="175"/>
      <c r="F266" s="4"/>
      <c r="G266" s="862"/>
      <c r="H266" s="1347" t="s">
        <v>1508</v>
      </c>
      <c r="I266" s="180"/>
      <c r="J266" s="173"/>
      <c r="K266" s="173"/>
      <c r="L266" s="861"/>
      <c r="M266" s="861"/>
      <c r="N266" s="836"/>
      <c r="O266" s="1192"/>
      <c r="P266" s="1294"/>
      <c r="Q266" s="1148"/>
      <c r="R266" s="874"/>
      <c r="S266" s="876"/>
      <c r="T266" s="876"/>
      <c r="U266" s="876"/>
      <c r="V266" s="876"/>
      <c r="W266" s="876"/>
      <c r="X266" s="1026"/>
      <c r="Y266" s="1512"/>
      <c r="Z266" s="1741"/>
      <c r="AA266" s="1749"/>
      <c r="AB266" s="1812"/>
      <c r="AC266" s="876"/>
      <c r="AD266" s="1295"/>
      <c r="AE266" s="1525"/>
      <c r="AF266" s="1525"/>
      <c r="AG266" s="1525"/>
      <c r="AH266" s="1525"/>
      <c r="AI266" s="1525"/>
      <c r="AJ266" s="1525"/>
      <c r="AK266" s="1525"/>
      <c r="AL266" s="1525"/>
      <c r="AM266" s="1525"/>
      <c r="AN266" s="1525"/>
      <c r="AO266" s="1525"/>
      <c r="AP266" s="1525"/>
      <c r="AQ266" s="1525"/>
      <c r="AR266" s="1525"/>
      <c r="AS266" s="1525"/>
      <c r="AU266" s="1525"/>
      <c r="AV266" s="1295"/>
      <c r="AW266" s="1525"/>
      <c r="AX266" s="1525"/>
      <c r="AY266" s="1525"/>
      <c r="AZ266" s="1525"/>
      <c r="BA266" s="1525"/>
      <c r="BB266" s="1525"/>
      <c r="BC266" s="1525"/>
      <c r="BD266" s="1525"/>
      <c r="BE266" s="1525"/>
      <c r="BF266" s="1525"/>
      <c r="BG266" s="1525"/>
      <c r="BH266" s="1525"/>
      <c r="BI266" s="1525"/>
      <c r="BJ266" s="1525"/>
      <c r="BK266" s="1525"/>
      <c r="BL266" s="1525"/>
      <c r="BM266" s="1525"/>
      <c r="BN266" s="1525"/>
      <c r="BO266" s="1525"/>
      <c r="BP266" s="1525"/>
      <c r="BQ266" s="1525"/>
      <c r="BR266" s="1525"/>
      <c r="BS266" s="1525"/>
      <c r="BT266" s="1670"/>
      <c r="BV266"/>
      <c r="BW266" s="862"/>
    </row>
    <row r="267" spans="2:75" s="164" customFormat="1" ht="12.75" customHeight="1" x14ac:dyDescent="0.2">
      <c r="B267" s="175"/>
      <c r="F267" s="1103" t="s">
        <v>436</v>
      </c>
      <c r="G267" s="862"/>
      <c r="H267" s="1347" t="s">
        <v>1508</v>
      </c>
      <c r="I267" s="180"/>
      <c r="J267" s="173"/>
      <c r="K267" s="173"/>
      <c r="L267" s="861"/>
      <c r="M267" s="861"/>
      <c r="N267" s="836"/>
      <c r="O267" s="1192"/>
      <c r="P267" s="1294"/>
      <c r="Q267" s="1148"/>
      <c r="R267" s="874"/>
      <c r="S267" s="876"/>
      <c r="T267" s="876"/>
      <c r="U267" s="876"/>
      <c r="V267" s="876"/>
      <c r="W267" s="876"/>
      <c r="X267" s="1026"/>
      <c r="Y267" s="1512"/>
      <c r="Z267" s="1741"/>
      <c r="AA267" s="1749"/>
      <c r="AB267" s="1812"/>
      <c r="AC267" s="876"/>
      <c r="AD267" s="1295"/>
      <c r="AE267" s="1525"/>
      <c r="AF267" s="1525"/>
      <c r="AG267" s="1525"/>
      <c r="AH267" s="1525"/>
      <c r="AI267" s="1525"/>
      <c r="AJ267" s="1525"/>
      <c r="AK267" s="1525"/>
      <c r="AL267" s="1525"/>
      <c r="AM267" s="1525"/>
      <c r="AN267" s="1525"/>
      <c r="AO267" s="1525"/>
      <c r="AP267" s="1525"/>
      <c r="AQ267" s="1525"/>
      <c r="AR267" s="1525"/>
      <c r="AS267" s="1525"/>
      <c r="AU267" s="1525"/>
      <c r="AV267" s="1295"/>
      <c r="AW267" s="1525"/>
      <c r="AX267" s="1525"/>
      <c r="AY267" s="1525"/>
      <c r="AZ267" s="1525"/>
      <c r="BA267" s="1525"/>
      <c r="BB267" s="1525"/>
      <c r="BC267" s="1525"/>
      <c r="BD267" s="1525"/>
      <c r="BE267" s="1525"/>
      <c r="BF267" s="1525"/>
      <c r="BG267" s="1525"/>
      <c r="BH267" s="1525"/>
      <c r="BI267" s="1525"/>
      <c r="BJ267" s="1525"/>
      <c r="BK267" s="1525"/>
      <c r="BL267" s="1525"/>
      <c r="BM267" s="1525"/>
      <c r="BN267" s="1525"/>
      <c r="BO267" s="1525"/>
      <c r="BP267" s="1525"/>
      <c r="BQ267" s="1525"/>
      <c r="BR267" s="1525"/>
      <c r="BS267" s="1525"/>
      <c r="BT267" s="1670"/>
      <c r="BV267"/>
      <c r="BW267" s="862"/>
    </row>
    <row r="268" spans="2:75" s="164" customFormat="1" ht="12.75" customHeight="1" x14ac:dyDescent="0.2">
      <c r="B268" s="175">
        <f>B267+1</f>
        <v>1</v>
      </c>
      <c r="C268" s="219">
        <v>14</v>
      </c>
      <c r="E268" s="164" t="s">
        <v>423</v>
      </c>
      <c r="F268" s="24" t="s">
        <v>626</v>
      </c>
      <c r="G268" s="859" t="s">
        <v>1690</v>
      </c>
      <c r="H268" s="1123">
        <v>154849</v>
      </c>
      <c r="I268" s="172" t="s">
        <v>583</v>
      </c>
      <c r="J268" s="168"/>
      <c r="K268" s="1122">
        <v>0.5</v>
      </c>
      <c r="L268" s="1123"/>
      <c r="M268" s="1123">
        <v>0.5</v>
      </c>
      <c r="N268" s="857" t="s">
        <v>892</v>
      </c>
      <c r="O268" s="1192"/>
      <c r="P268" s="550"/>
      <c r="Q268" s="1148">
        <v>29500</v>
      </c>
      <c r="R268" s="874"/>
      <c r="S268" s="875"/>
      <c r="T268" s="875"/>
      <c r="U268" s="875"/>
      <c r="V268" s="875"/>
      <c r="W268" s="875"/>
      <c r="X268" s="1026">
        <f>(Q268+R268+S268+T268+U268+V268+W268)*M268</f>
        <v>14750</v>
      </c>
      <c r="Y268" s="1512">
        <f>(T268+U268)*M268/(X268-M268*(T268+U268))</f>
        <v>0</v>
      </c>
      <c r="Z268" s="1741">
        <f>M268*(1+Y268)</f>
        <v>0.5</v>
      </c>
      <c r="AA268" s="1749">
        <f>SUM(AD268:AS268)</f>
        <v>0</v>
      </c>
      <c r="AB268" s="1810">
        <f t="shared" ref="AB268" si="163">100*AA268/Z268</f>
        <v>0</v>
      </c>
      <c r="AC268" s="876"/>
      <c r="AD268" s="1525">
        <f t="shared" ref="AD268:AS268" si="164">SUMIF($AV$6:$BS$6,AD$5,$AV268:$BS268)</f>
        <v>0</v>
      </c>
      <c r="AE268" s="1525">
        <f t="shared" si="164"/>
        <v>0</v>
      </c>
      <c r="AF268" s="1525">
        <f t="shared" si="164"/>
        <v>0</v>
      </c>
      <c r="AG268" s="1525">
        <f t="shared" si="164"/>
        <v>0</v>
      </c>
      <c r="AH268" s="1525">
        <f t="shared" si="164"/>
        <v>0</v>
      </c>
      <c r="AI268" s="1525">
        <f t="shared" si="164"/>
        <v>0</v>
      </c>
      <c r="AJ268" s="1525">
        <f t="shared" si="164"/>
        <v>0</v>
      </c>
      <c r="AK268" s="1525">
        <f t="shared" si="164"/>
        <v>0</v>
      </c>
      <c r="AL268" s="1525">
        <f t="shared" si="164"/>
        <v>0</v>
      </c>
      <c r="AM268" s="1525">
        <f t="shared" si="164"/>
        <v>0</v>
      </c>
      <c r="AN268" s="1525">
        <f t="shared" si="164"/>
        <v>0</v>
      </c>
      <c r="AO268" s="1525">
        <f t="shared" si="164"/>
        <v>0</v>
      </c>
      <c r="AP268" s="1525">
        <f t="shared" si="164"/>
        <v>0</v>
      </c>
      <c r="AQ268" s="1525">
        <f t="shared" si="164"/>
        <v>0</v>
      </c>
      <c r="AR268" s="1525">
        <f t="shared" si="164"/>
        <v>0</v>
      </c>
      <c r="AS268" s="1525">
        <f t="shared" si="164"/>
        <v>0</v>
      </c>
      <c r="AU268" s="1525"/>
      <c r="AV268" s="1295"/>
      <c r="AW268" s="1525"/>
      <c r="AX268" s="1525"/>
      <c r="AY268" s="1525"/>
      <c r="AZ268" s="1525"/>
      <c r="BA268" s="1525"/>
      <c r="BB268" s="1525"/>
      <c r="BC268" s="1525"/>
      <c r="BD268" s="1525"/>
      <c r="BE268" s="1525"/>
      <c r="BF268" s="1525"/>
      <c r="BG268" s="1525"/>
      <c r="BH268" s="1525"/>
      <c r="BI268" s="1525"/>
      <c r="BJ268" s="1525"/>
      <c r="BK268" s="1525"/>
      <c r="BL268" s="1525"/>
      <c r="BM268" s="1525"/>
      <c r="BN268" s="1525"/>
      <c r="BO268" s="1525"/>
      <c r="BP268" s="1525"/>
      <c r="BQ268" s="1525"/>
      <c r="BR268" s="1525"/>
      <c r="BS268" s="1525"/>
      <c r="BT268" s="1670">
        <f>SUM(AV268:BS268)</f>
        <v>0</v>
      </c>
      <c r="BV268"/>
      <c r="BW268" s="859" t="s">
        <v>1690</v>
      </c>
    </row>
    <row r="269" spans="2:75" s="164" customFormat="1" ht="12.75" customHeight="1" x14ac:dyDescent="0.2">
      <c r="B269" s="175"/>
      <c r="F269" s="4"/>
      <c r="G269" s="859"/>
      <c r="H269" s="1346" t="s">
        <v>1508</v>
      </c>
      <c r="I269" s="180"/>
      <c r="J269" s="173"/>
      <c r="K269" s="173"/>
      <c r="L269" s="861"/>
      <c r="M269" s="861"/>
      <c r="N269" s="857"/>
      <c r="O269" s="1192"/>
      <c r="P269" s="550"/>
      <c r="Q269" s="1148"/>
      <c r="R269" s="874"/>
      <c r="S269" s="875"/>
      <c r="T269" s="875"/>
      <c r="U269" s="875"/>
      <c r="V269" s="875"/>
      <c r="W269" s="875"/>
      <c r="X269" s="1026"/>
      <c r="Y269" s="1512"/>
      <c r="Z269" s="1741"/>
      <c r="AA269" s="1749"/>
      <c r="AB269" s="1812"/>
      <c r="AC269" s="876"/>
      <c r="AD269" s="1295"/>
      <c r="AE269" s="1525"/>
      <c r="AF269" s="1525"/>
      <c r="AG269" s="1525"/>
      <c r="AH269" s="1525"/>
      <c r="AI269" s="1525"/>
      <c r="AJ269" s="1525"/>
      <c r="AK269" s="1525"/>
      <c r="AL269" s="1525"/>
      <c r="AM269" s="1525"/>
      <c r="AN269" s="1525"/>
      <c r="AO269" s="1525"/>
      <c r="AP269" s="1525"/>
      <c r="AQ269" s="1525"/>
      <c r="AR269" s="1525"/>
      <c r="AS269" s="1525"/>
      <c r="AU269" s="1525"/>
      <c r="AV269" s="1295"/>
      <c r="AW269" s="1525"/>
      <c r="AX269" s="1525"/>
      <c r="AY269" s="1525"/>
      <c r="AZ269" s="1525"/>
      <c r="BA269" s="1525"/>
      <c r="BB269" s="1525"/>
      <c r="BC269" s="1525"/>
      <c r="BD269" s="1525"/>
      <c r="BE269" s="1525"/>
      <c r="BF269" s="1525"/>
      <c r="BG269" s="1525"/>
      <c r="BH269" s="1525"/>
      <c r="BI269" s="1525"/>
      <c r="BJ269" s="1525"/>
      <c r="BK269" s="1525"/>
      <c r="BL269" s="1525"/>
      <c r="BM269" s="1525"/>
      <c r="BN269" s="1525"/>
      <c r="BO269" s="1525"/>
      <c r="BP269" s="1525"/>
      <c r="BQ269" s="1525"/>
      <c r="BR269" s="1525"/>
      <c r="BS269" s="1525"/>
      <c r="BT269" s="1670"/>
      <c r="BV269"/>
      <c r="BW269" s="859"/>
    </row>
    <row r="270" spans="2:75" s="164" customFormat="1" ht="12.75" customHeight="1" x14ac:dyDescent="0.15">
      <c r="B270" s="175"/>
      <c r="C270" s="170"/>
      <c r="D270" s="170"/>
      <c r="E270" s="170"/>
      <c r="F270" s="4" t="s">
        <v>1404</v>
      </c>
      <c r="G270" s="862"/>
      <c r="H270" s="1347" t="s">
        <v>1508</v>
      </c>
      <c r="I270" s="180"/>
      <c r="J270" s="173"/>
      <c r="K270" s="173"/>
      <c r="L270" s="861"/>
      <c r="M270" s="861"/>
      <c r="N270" s="836"/>
      <c r="O270" s="1195"/>
      <c r="P270" s="1294"/>
      <c r="Q270" s="1148"/>
      <c r="R270" s="874"/>
      <c r="S270" s="876"/>
      <c r="T270" s="876"/>
      <c r="U270" s="876"/>
      <c r="V270" s="876"/>
      <c r="W270" s="876"/>
      <c r="X270" s="1026"/>
      <c r="Y270" s="1512"/>
      <c r="Z270" s="1741"/>
      <c r="AA270" s="1749"/>
      <c r="AB270" s="1812"/>
      <c r="AC270" s="876"/>
      <c r="AD270" s="1295"/>
      <c r="AE270" s="1525"/>
      <c r="AF270" s="1525"/>
      <c r="AG270" s="1525"/>
      <c r="AH270" s="1525"/>
      <c r="AI270" s="1525"/>
      <c r="AJ270" s="1525"/>
      <c r="AK270" s="1525"/>
      <c r="AL270" s="1525"/>
      <c r="AM270" s="1525"/>
      <c r="AN270" s="1525"/>
      <c r="AO270" s="1525"/>
      <c r="AP270" s="1525"/>
      <c r="AQ270" s="1525"/>
      <c r="AR270" s="1525"/>
      <c r="AS270" s="1525"/>
      <c r="AU270" s="1525"/>
      <c r="AV270" s="1295"/>
      <c r="AW270" s="1525"/>
      <c r="AX270" s="1525"/>
      <c r="AY270" s="1525"/>
      <c r="AZ270" s="1525"/>
      <c r="BA270" s="1525"/>
      <c r="BB270" s="1525"/>
      <c r="BC270" s="1525"/>
      <c r="BD270" s="1525"/>
      <c r="BE270" s="1525"/>
      <c r="BF270" s="1525"/>
      <c r="BG270" s="1525"/>
      <c r="BH270" s="1525"/>
      <c r="BI270" s="1525"/>
      <c r="BJ270" s="1525"/>
      <c r="BK270" s="1525"/>
      <c r="BL270" s="1525"/>
      <c r="BM270" s="1525"/>
      <c r="BN270" s="1525"/>
      <c r="BO270" s="1525"/>
      <c r="BP270" s="1525"/>
      <c r="BQ270" s="1525"/>
      <c r="BR270" s="1525"/>
      <c r="BS270" s="1525"/>
      <c r="BT270" s="1670"/>
      <c r="BV270"/>
      <c r="BW270" s="862"/>
    </row>
    <row r="271" spans="2:75" s="164" customFormat="1" ht="12.75" customHeight="1" x14ac:dyDescent="0.2">
      <c r="B271" s="175"/>
      <c r="C271" s="170"/>
      <c r="D271" s="170"/>
      <c r="E271" s="170"/>
      <c r="F271" s="4"/>
      <c r="G271" s="862"/>
      <c r="H271" s="1347" t="s">
        <v>1508</v>
      </c>
      <c r="I271" s="180"/>
      <c r="J271" s="173"/>
      <c r="K271" s="173"/>
      <c r="L271" s="861"/>
      <c r="M271" s="861"/>
      <c r="N271" s="836"/>
      <c r="O271" s="1192"/>
      <c r="P271" s="1294"/>
      <c r="Q271" s="1148"/>
      <c r="R271" s="874"/>
      <c r="S271" s="876"/>
      <c r="T271" s="876"/>
      <c r="U271" s="876"/>
      <c r="V271" s="876"/>
      <c r="W271" s="876"/>
      <c r="X271" s="1026"/>
      <c r="Y271" s="1512"/>
      <c r="Z271" s="1741"/>
      <c r="AA271" s="1749"/>
      <c r="AB271" s="1812"/>
      <c r="AC271" s="876"/>
      <c r="AD271" s="1295"/>
      <c r="AE271" s="1525"/>
      <c r="AF271" s="1525"/>
      <c r="AG271" s="1525"/>
      <c r="AH271" s="1525"/>
      <c r="AI271" s="1525"/>
      <c r="AJ271" s="1525"/>
      <c r="AK271" s="1525"/>
      <c r="AL271" s="1525"/>
      <c r="AM271" s="1525"/>
      <c r="AN271" s="1525"/>
      <c r="AO271" s="1525"/>
      <c r="AP271" s="1525"/>
      <c r="AQ271" s="1525"/>
      <c r="AR271" s="1525"/>
      <c r="AS271" s="1525"/>
      <c r="AU271" s="1525"/>
      <c r="AV271" s="1295"/>
      <c r="AW271" s="1525"/>
      <c r="AX271" s="1525"/>
      <c r="AY271" s="1525"/>
      <c r="AZ271" s="1525"/>
      <c r="BA271" s="1525"/>
      <c r="BB271" s="1525"/>
      <c r="BC271" s="1525"/>
      <c r="BD271" s="1525"/>
      <c r="BE271" s="1525"/>
      <c r="BF271" s="1525"/>
      <c r="BG271" s="1525"/>
      <c r="BH271" s="1525"/>
      <c r="BI271" s="1525"/>
      <c r="BJ271" s="1525"/>
      <c r="BK271" s="1525"/>
      <c r="BL271" s="1525"/>
      <c r="BM271" s="1525"/>
      <c r="BN271" s="1525"/>
      <c r="BO271" s="1525"/>
      <c r="BP271" s="1525"/>
      <c r="BQ271" s="1525"/>
      <c r="BR271" s="1525"/>
      <c r="BS271" s="1525"/>
      <c r="BT271" s="1670"/>
      <c r="BV271"/>
      <c r="BW271" s="862"/>
    </row>
    <row r="272" spans="2:75" ht="12.75" customHeight="1" x14ac:dyDescent="0.2">
      <c r="B272" s="175">
        <f>B271+1</f>
        <v>1</v>
      </c>
      <c r="C272" s="219">
        <v>11</v>
      </c>
      <c r="E272" s="12" t="s">
        <v>423</v>
      </c>
      <c r="F272" s="24" t="s">
        <v>824</v>
      </c>
      <c r="G272" s="859" t="s">
        <v>1405</v>
      </c>
      <c r="H272" s="858">
        <v>6277</v>
      </c>
      <c r="I272" s="172" t="s">
        <v>161</v>
      </c>
      <c r="J272" s="168"/>
      <c r="K272" s="168"/>
      <c r="L272" s="858">
        <v>1</v>
      </c>
      <c r="M272" s="858">
        <f>K272+L272</f>
        <v>1</v>
      </c>
      <c r="N272" s="857" t="s">
        <v>892</v>
      </c>
      <c r="O272" s="1196">
        <v>18474</v>
      </c>
      <c r="P272" s="1218">
        <f ca="1">YEARFRAC(TODAY(),O272)</f>
        <v>67.172222222222217</v>
      </c>
      <c r="Q272" s="1148">
        <v>59500</v>
      </c>
      <c r="R272" s="874"/>
      <c r="S272" s="875"/>
      <c r="T272" s="875">
        <v>35100</v>
      </c>
      <c r="U272" s="875"/>
      <c r="V272" s="875"/>
      <c r="W272" s="875"/>
      <c r="X272" s="1026">
        <f>(Q272+R272+S272+T272+U272+V272+W272)*M272</f>
        <v>94600</v>
      </c>
      <c r="Y272" s="1512">
        <f>(T272+U272)*M272/(X272-M272*(T272+U272))</f>
        <v>0.58991596638655464</v>
      </c>
      <c r="Z272" s="1741">
        <f>M272*(1+Y272)</f>
        <v>1.5899159663865547</v>
      </c>
      <c r="AA272" s="1749">
        <f>SUM(AD272:AS272)</f>
        <v>0</v>
      </c>
      <c r="AB272" s="1810">
        <f t="shared" ref="AB272:AB273" si="165">100*AA272/Z272</f>
        <v>0</v>
      </c>
      <c r="AC272" s="876"/>
      <c r="AD272" s="1525">
        <f t="shared" ref="AD272:AS273" si="166">SUMIF($AV$6:$BS$6,AD$5,$AV272:$BS272)</f>
        <v>0</v>
      </c>
      <c r="AE272" s="1525">
        <f t="shared" si="166"/>
        <v>0</v>
      </c>
      <c r="AF272" s="1525">
        <f t="shared" si="166"/>
        <v>0</v>
      </c>
      <c r="AG272" s="1525">
        <f t="shared" si="166"/>
        <v>0</v>
      </c>
      <c r="AH272" s="1525">
        <f t="shared" si="166"/>
        <v>0</v>
      </c>
      <c r="AI272" s="1525">
        <f t="shared" si="166"/>
        <v>0</v>
      </c>
      <c r="AJ272" s="1525">
        <f t="shared" si="166"/>
        <v>0</v>
      </c>
      <c r="AK272" s="1525">
        <f t="shared" si="166"/>
        <v>0</v>
      </c>
      <c r="AL272" s="1525">
        <f t="shared" si="166"/>
        <v>0</v>
      </c>
      <c r="AM272" s="1525">
        <f t="shared" si="166"/>
        <v>0</v>
      </c>
      <c r="AN272" s="1525">
        <f t="shared" si="166"/>
        <v>0</v>
      </c>
      <c r="AO272" s="1525">
        <f t="shared" si="166"/>
        <v>0</v>
      </c>
      <c r="AP272" s="1525">
        <f t="shared" si="166"/>
        <v>0</v>
      </c>
      <c r="AQ272" s="1525">
        <f t="shared" si="166"/>
        <v>0</v>
      </c>
      <c r="AR272" s="1525">
        <f t="shared" si="166"/>
        <v>0</v>
      </c>
      <c r="AS272" s="1525">
        <f t="shared" si="166"/>
        <v>0</v>
      </c>
      <c r="AU272" s="1525"/>
      <c r="AV272" s="1291"/>
      <c r="AW272" s="1292"/>
      <c r="AX272" s="1292"/>
      <c r="AY272" s="1292"/>
      <c r="AZ272" s="1292"/>
      <c r="BA272" s="1292"/>
      <c r="BB272" s="1292"/>
      <c r="BC272" s="1292"/>
      <c r="BD272" s="1292"/>
      <c r="BE272" s="1292"/>
      <c r="BF272" s="1292"/>
      <c r="BG272" s="1292"/>
      <c r="BH272" s="1292"/>
      <c r="BI272" s="1292"/>
      <c r="BJ272" s="1292"/>
      <c r="BK272" s="1292"/>
      <c r="BL272" s="1292"/>
      <c r="BM272" s="1292"/>
      <c r="BN272" s="1292"/>
      <c r="BO272" s="1292"/>
      <c r="BP272" s="1292"/>
      <c r="BQ272" s="1292"/>
      <c r="BR272" s="1292"/>
      <c r="BS272" s="1292"/>
      <c r="BT272" s="1670">
        <f t="shared" ref="BT272:BT273" si="167">SUM(AV272:BS272)</f>
        <v>0</v>
      </c>
      <c r="BW272" s="859" t="s">
        <v>1405</v>
      </c>
    </row>
    <row r="273" spans="1:75" ht="12.75" customHeight="1" x14ac:dyDescent="0.2">
      <c r="B273" s="175">
        <f>B272+1</f>
        <v>2</v>
      </c>
      <c r="C273" s="573">
        <v>23</v>
      </c>
      <c r="D273" s="574"/>
      <c r="E273" s="12" t="s">
        <v>423</v>
      </c>
      <c r="F273" s="4" t="s">
        <v>1406</v>
      </c>
      <c r="G273" s="862" t="s">
        <v>1407</v>
      </c>
      <c r="H273" s="861">
        <v>71785</v>
      </c>
      <c r="I273" s="180" t="s">
        <v>1584</v>
      </c>
      <c r="J273" s="173"/>
      <c r="K273" s="173"/>
      <c r="L273" s="861">
        <v>1</v>
      </c>
      <c r="M273" s="861">
        <f>K273+L273</f>
        <v>1</v>
      </c>
      <c r="N273" s="836" t="s">
        <v>416</v>
      </c>
      <c r="O273" s="1196">
        <v>21024</v>
      </c>
      <c r="P273" s="1218">
        <f ca="1">YEARFRAC(TODAY(),O273)</f>
        <v>60.19166666666667</v>
      </c>
      <c r="Q273" s="1148">
        <v>49500</v>
      </c>
      <c r="R273" s="874">
        <f>Q273*0.15</f>
        <v>7425</v>
      </c>
      <c r="S273" s="875"/>
      <c r="T273" s="875">
        <v>29000</v>
      </c>
      <c r="U273" s="875"/>
      <c r="V273" s="875"/>
      <c r="W273" s="875"/>
      <c r="X273" s="1026">
        <f>(Q273+R273+S273+T273+U273+V273+W273)*M273</f>
        <v>85925</v>
      </c>
      <c r="Y273" s="1512">
        <f>(T273+U273)*M273/(X273-M273*(T273+U273))</f>
        <v>0.50944224857268339</v>
      </c>
      <c r="Z273" s="1741">
        <f>M273*(1+Y273)</f>
        <v>1.5094422485726833</v>
      </c>
      <c r="AA273" s="1749">
        <f>SUM(AD273:AS273)</f>
        <v>0</v>
      </c>
      <c r="AB273" s="1810">
        <f t="shared" si="165"/>
        <v>0</v>
      </c>
      <c r="AC273" s="876"/>
      <c r="AD273" s="1525">
        <f t="shared" si="166"/>
        <v>0</v>
      </c>
      <c r="AE273" s="1525">
        <f t="shared" si="166"/>
        <v>0</v>
      </c>
      <c r="AF273" s="1525">
        <f t="shared" si="166"/>
        <v>0</v>
      </c>
      <c r="AG273" s="1525">
        <f t="shared" si="166"/>
        <v>0</v>
      </c>
      <c r="AH273" s="1525">
        <f t="shared" si="166"/>
        <v>0</v>
      </c>
      <c r="AI273" s="1525">
        <f t="shared" si="166"/>
        <v>0</v>
      </c>
      <c r="AJ273" s="1525">
        <f t="shared" si="166"/>
        <v>0</v>
      </c>
      <c r="AK273" s="1525">
        <f t="shared" si="166"/>
        <v>0</v>
      </c>
      <c r="AL273" s="1525">
        <f t="shared" si="166"/>
        <v>0</v>
      </c>
      <c r="AM273" s="1525">
        <f t="shared" si="166"/>
        <v>0</v>
      </c>
      <c r="AN273" s="1525">
        <f t="shared" si="166"/>
        <v>0</v>
      </c>
      <c r="AO273" s="1525">
        <f t="shared" si="166"/>
        <v>0</v>
      </c>
      <c r="AP273" s="1525">
        <f t="shared" si="166"/>
        <v>0</v>
      </c>
      <c r="AQ273" s="1525">
        <f t="shared" si="166"/>
        <v>0</v>
      </c>
      <c r="AR273" s="1525">
        <f t="shared" si="166"/>
        <v>0</v>
      </c>
      <c r="AS273" s="1525">
        <f t="shared" si="166"/>
        <v>0</v>
      </c>
      <c r="AU273" s="1525"/>
      <c r="AV273" s="1291"/>
      <c r="AW273" s="1292"/>
      <c r="AX273" s="1292"/>
      <c r="AY273" s="1292"/>
      <c r="AZ273" s="1292"/>
      <c r="BA273" s="1292"/>
      <c r="BB273" s="1292"/>
      <c r="BC273" s="1292"/>
      <c r="BD273" s="1292"/>
      <c r="BE273" s="1292"/>
      <c r="BF273" s="1292"/>
      <c r="BG273" s="1292"/>
      <c r="BH273" s="1292"/>
      <c r="BI273" s="1292"/>
      <c r="BJ273" s="1292"/>
      <c r="BK273" s="1292"/>
      <c r="BL273" s="1292"/>
      <c r="BM273" s="1292"/>
      <c r="BN273" s="1292"/>
      <c r="BO273" s="1292"/>
      <c r="BP273" s="1292"/>
      <c r="BQ273" s="1292"/>
      <c r="BR273" s="1292"/>
      <c r="BS273" s="1292"/>
      <c r="BT273" s="1670">
        <f t="shared" si="167"/>
        <v>0</v>
      </c>
      <c r="BW273" s="862" t="s">
        <v>1407</v>
      </c>
    </row>
    <row r="274" spans="1:75" s="164" customFormat="1" ht="12.75" customHeight="1" x14ac:dyDescent="0.2">
      <c r="B274" s="175"/>
      <c r="C274" s="219" t="s">
        <v>1120</v>
      </c>
      <c r="F274" s="33" t="s">
        <v>1238</v>
      </c>
      <c r="G274" s="900"/>
      <c r="H274" s="1360" t="s">
        <v>1508</v>
      </c>
      <c r="I274" s="229"/>
      <c r="J274" s="206"/>
      <c r="K274" s="198">
        <f>SUM(K272:K273)</f>
        <v>0</v>
      </c>
      <c r="L274" s="899">
        <f>SUM(L272:L273)</f>
        <v>2</v>
      </c>
      <c r="M274" s="899">
        <f>SUM(M272:M273)</f>
        <v>2</v>
      </c>
      <c r="N274" s="901"/>
      <c r="O274" s="1192"/>
      <c r="P274" s="550"/>
      <c r="Q274" s="1148"/>
      <c r="R274" s="874"/>
      <c r="S274" s="875"/>
      <c r="T274" s="875"/>
      <c r="U274" s="875"/>
      <c r="V274" s="875"/>
      <c r="W274" s="875"/>
      <c r="X274" s="1026"/>
      <c r="Y274" s="1335"/>
      <c r="Z274" s="1335"/>
      <c r="AA274" s="1775"/>
      <c r="AB274" s="1812"/>
      <c r="AC274" s="876"/>
      <c r="AD274" s="1295"/>
      <c r="AE274" s="1525"/>
      <c r="AF274" s="1525"/>
      <c r="AG274" s="1525"/>
      <c r="AH274" s="1525"/>
      <c r="AI274" s="1525"/>
      <c r="AJ274" s="1525"/>
      <c r="AK274" s="1525"/>
      <c r="AL274" s="1525"/>
      <c r="AM274" s="1525"/>
      <c r="AN274" s="1525"/>
      <c r="AO274" s="1525"/>
      <c r="AP274" s="1525"/>
      <c r="AQ274" s="1525"/>
      <c r="AR274" s="1525"/>
      <c r="AS274" s="1525"/>
      <c r="AU274" s="1525"/>
      <c r="AV274" s="1295"/>
      <c r="AW274" s="1525"/>
      <c r="AX274" s="1525"/>
      <c r="AY274" s="1525"/>
      <c r="AZ274" s="1525"/>
      <c r="BA274" s="1525"/>
      <c r="BB274" s="1525"/>
      <c r="BC274" s="1525"/>
      <c r="BD274" s="1525"/>
      <c r="BE274" s="1525"/>
      <c r="BF274" s="1525"/>
      <c r="BG274" s="1525"/>
      <c r="BH274" s="1525"/>
      <c r="BI274" s="1525"/>
      <c r="BJ274" s="1525"/>
      <c r="BK274" s="1525"/>
      <c r="BL274" s="1525"/>
      <c r="BM274" s="1525"/>
      <c r="BN274" s="1525"/>
      <c r="BO274" s="1525"/>
      <c r="BP274" s="1525"/>
      <c r="BQ274" s="1525"/>
      <c r="BR274" s="1525"/>
      <c r="BS274" s="1525"/>
      <c r="BT274" s="1670"/>
      <c r="BV274"/>
      <c r="BW274" s="900"/>
    </row>
    <row r="275" spans="1:75" s="164" customFormat="1" ht="12.75" customHeight="1" x14ac:dyDescent="0.2">
      <c r="B275" s="175"/>
      <c r="C275" s="219" t="s">
        <v>1120</v>
      </c>
      <c r="F275" s="24" t="s">
        <v>1125</v>
      </c>
      <c r="G275" s="859"/>
      <c r="H275" s="1365" t="s">
        <v>1508</v>
      </c>
      <c r="I275" s="172"/>
      <c r="J275" s="168"/>
      <c r="K275" s="752">
        <f>K265+K274</f>
        <v>0</v>
      </c>
      <c r="L275" s="911">
        <f>L265+L274</f>
        <v>18.399999999999999</v>
      </c>
      <c r="M275" s="911">
        <f>M265+M274</f>
        <v>18.399999999999999</v>
      </c>
      <c r="N275" s="857"/>
      <c r="O275" s="1192"/>
      <c r="P275" s="550"/>
      <c r="Q275" s="1148"/>
      <c r="R275" s="874"/>
      <c r="S275" s="875"/>
      <c r="T275" s="875"/>
      <c r="U275" s="875"/>
      <c r="V275" s="875"/>
      <c r="W275" s="875"/>
      <c r="X275" s="1026"/>
      <c r="Y275" s="1335"/>
      <c r="Z275" s="1335"/>
      <c r="AA275" s="1775"/>
      <c r="AB275" s="1812"/>
      <c r="AC275" s="876"/>
      <c r="AD275" s="1295"/>
      <c r="AE275" s="1525"/>
      <c r="AF275" s="1525"/>
      <c r="AG275" s="1525"/>
      <c r="AH275" s="1525"/>
      <c r="AI275" s="1525"/>
      <c r="AJ275" s="1525"/>
      <c r="AK275" s="1525"/>
      <c r="AL275" s="1525"/>
      <c r="AM275" s="1525"/>
      <c r="AN275" s="1525"/>
      <c r="AO275" s="1525"/>
      <c r="AP275" s="1525"/>
      <c r="AQ275" s="1525"/>
      <c r="AR275" s="1525"/>
      <c r="AS275" s="1525"/>
      <c r="AU275" s="1525"/>
      <c r="AV275" s="1295"/>
      <c r="AW275" s="1525"/>
      <c r="AX275" s="1525"/>
      <c r="AY275" s="1525"/>
      <c r="AZ275" s="1525"/>
      <c r="BA275" s="1525"/>
      <c r="BB275" s="1525"/>
      <c r="BC275" s="1525"/>
      <c r="BD275" s="1525"/>
      <c r="BE275" s="1525"/>
      <c r="BF275" s="1525"/>
      <c r="BG275" s="1525"/>
      <c r="BH275" s="1525"/>
      <c r="BI275" s="1525"/>
      <c r="BJ275" s="1525"/>
      <c r="BK275" s="1525"/>
      <c r="BL275" s="1525"/>
      <c r="BM275" s="1525"/>
      <c r="BN275" s="1525"/>
      <c r="BO275" s="1525"/>
      <c r="BP275" s="1525"/>
      <c r="BQ275" s="1525"/>
      <c r="BR275" s="1525"/>
      <c r="BS275" s="1525"/>
      <c r="BT275" s="1670"/>
      <c r="BV275"/>
      <c r="BW275" s="859"/>
    </row>
    <row r="276" spans="1:75" s="164" customFormat="1" ht="12.75" customHeight="1" x14ac:dyDescent="0.15">
      <c r="B276" s="175"/>
      <c r="C276" s="170"/>
      <c r="D276" s="170"/>
      <c r="E276" s="170"/>
      <c r="F276" s="4"/>
      <c r="G276" s="862"/>
      <c r="H276" s="1347" t="s">
        <v>1508</v>
      </c>
      <c r="I276" s="180"/>
      <c r="J276" s="173"/>
      <c r="K276" s="173"/>
      <c r="L276" s="861"/>
      <c r="M276" s="861"/>
      <c r="N276" s="836"/>
      <c r="O276" s="1195"/>
      <c r="P276" s="1294"/>
      <c r="Q276" s="1148"/>
      <c r="R276" s="874"/>
      <c r="S276" s="876"/>
      <c r="T276" s="876"/>
      <c r="U276" s="876"/>
      <c r="V276" s="876"/>
      <c r="W276" s="876"/>
      <c r="X276" s="1026"/>
      <c r="Y276" s="1512"/>
      <c r="Z276" s="1741"/>
      <c r="AA276" s="1775"/>
      <c r="AB276" s="1812"/>
      <c r="AC276" s="876"/>
      <c r="AD276" s="1295"/>
      <c r="AE276" s="1525"/>
      <c r="AF276" s="1525"/>
      <c r="AG276" s="1525"/>
      <c r="AH276" s="1525"/>
      <c r="AI276" s="1525"/>
      <c r="AJ276" s="1525"/>
      <c r="AK276" s="1525"/>
      <c r="AL276" s="1525"/>
      <c r="AM276" s="1525"/>
      <c r="AN276" s="1525"/>
      <c r="AO276" s="1525"/>
      <c r="AP276" s="1525"/>
      <c r="AQ276" s="1525"/>
      <c r="AR276" s="1525"/>
      <c r="AS276" s="1525"/>
      <c r="AU276" s="1525"/>
      <c r="AV276" s="1295"/>
      <c r="AW276" s="1525"/>
      <c r="AX276" s="1525"/>
      <c r="AY276" s="1525"/>
      <c r="AZ276" s="1525"/>
      <c r="BA276" s="1525"/>
      <c r="BB276" s="1525"/>
      <c r="BC276" s="1525"/>
      <c r="BD276" s="1525"/>
      <c r="BE276" s="1525"/>
      <c r="BF276" s="1525"/>
      <c r="BG276" s="1525"/>
      <c r="BH276" s="1525"/>
      <c r="BI276" s="1525"/>
      <c r="BJ276" s="1525"/>
      <c r="BK276" s="1525"/>
      <c r="BL276" s="1525"/>
      <c r="BM276" s="1525"/>
      <c r="BN276" s="1525"/>
      <c r="BO276" s="1525"/>
      <c r="BP276" s="1525"/>
      <c r="BQ276" s="1525"/>
      <c r="BR276" s="1525"/>
      <c r="BS276" s="1525"/>
      <c r="BT276" s="1670"/>
      <c r="BV276"/>
      <c r="BW276" s="862"/>
    </row>
    <row r="277" spans="1:75" s="164" customFormat="1" ht="12.75" customHeight="1" x14ac:dyDescent="0.2">
      <c r="B277" s="175"/>
      <c r="C277" s="170"/>
      <c r="D277" s="170"/>
      <c r="E277" s="170"/>
      <c r="F277" s="36" t="s">
        <v>1408</v>
      </c>
      <c r="G277" s="862"/>
      <c r="H277" s="1347" t="s">
        <v>1508</v>
      </c>
      <c r="I277" s="180"/>
      <c r="J277" s="173"/>
      <c r="K277" s="173"/>
      <c r="L277" s="861"/>
      <c r="M277" s="861"/>
      <c r="N277" s="836"/>
      <c r="O277" s="1192"/>
      <c r="P277" s="1294"/>
      <c r="Q277" s="1148"/>
      <c r="R277" s="874"/>
      <c r="S277" s="876"/>
      <c r="T277" s="876"/>
      <c r="U277" s="876"/>
      <c r="V277" s="876"/>
      <c r="W277" s="876"/>
      <c r="X277" s="1026"/>
      <c r="Y277" s="1512"/>
      <c r="Z277" s="1741"/>
      <c r="AA277" s="1775"/>
      <c r="AB277" s="1812"/>
      <c r="AC277" s="876"/>
      <c r="AD277" s="1295"/>
      <c r="AE277" s="1525"/>
      <c r="AF277" s="1525"/>
      <c r="AG277" s="1525"/>
      <c r="AH277" s="1525"/>
      <c r="AI277" s="1525"/>
      <c r="AJ277" s="1525"/>
      <c r="AK277" s="1525"/>
      <c r="AL277" s="1525"/>
      <c r="AM277" s="1525"/>
      <c r="AN277" s="1525"/>
      <c r="AO277" s="1525"/>
      <c r="AP277" s="1525"/>
      <c r="AQ277" s="1525"/>
      <c r="AR277" s="1525"/>
      <c r="AS277" s="1525"/>
      <c r="AU277" s="1525"/>
      <c r="AV277" s="1295"/>
      <c r="AW277" s="1525"/>
      <c r="AX277" s="1525"/>
      <c r="AY277" s="1525"/>
      <c r="AZ277" s="1525"/>
      <c r="BA277" s="1525"/>
      <c r="BB277" s="1525"/>
      <c r="BC277" s="1525"/>
      <c r="BD277" s="1525"/>
      <c r="BE277" s="1525"/>
      <c r="BF277" s="1525"/>
      <c r="BG277" s="1525"/>
      <c r="BH277" s="1525"/>
      <c r="BI277" s="1525"/>
      <c r="BJ277" s="1525"/>
      <c r="BK277" s="1525"/>
      <c r="BL277" s="1525"/>
      <c r="BM277" s="1525"/>
      <c r="BN277" s="1525"/>
      <c r="BO277" s="1525"/>
      <c r="BP277" s="1525"/>
      <c r="BQ277" s="1525"/>
      <c r="BR277" s="1525"/>
      <c r="BS277" s="1525"/>
      <c r="BT277" s="1670"/>
      <c r="BV277"/>
      <c r="BW277" s="862"/>
    </row>
    <row r="278" spans="1:75" s="164" customFormat="1" ht="12.75" customHeight="1" x14ac:dyDescent="0.2">
      <c r="B278" s="175"/>
      <c r="C278" s="170"/>
      <c r="D278" s="170"/>
      <c r="E278" s="170"/>
      <c r="F278" s="36"/>
      <c r="G278" s="862"/>
      <c r="H278" s="1347" t="s">
        <v>1508</v>
      </c>
      <c r="I278" s="180"/>
      <c r="J278" s="173"/>
      <c r="K278" s="173"/>
      <c r="L278" s="861"/>
      <c r="M278" s="861"/>
      <c r="N278" s="836"/>
      <c r="O278" s="1192"/>
      <c r="P278" s="1294"/>
      <c r="Q278" s="1148"/>
      <c r="R278" s="874"/>
      <c r="S278" s="876"/>
      <c r="T278" s="876"/>
      <c r="U278" s="876"/>
      <c r="V278" s="876"/>
      <c r="W278" s="876"/>
      <c r="X278" s="1026"/>
      <c r="Y278" s="1512"/>
      <c r="Z278" s="1741"/>
      <c r="AA278" s="1775"/>
      <c r="AB278" s="1812"/>
      <c r="AC278" s="876"/>
      <c r="AD278" s="1295"/>
      <c r="AE278" s="1525"/>
      <c r="AF278" s="1525"/>
      <c r="AG278" s="1525"/>
      <c r="AH278" s="1525"/>
      <c r="AI278" s="1525"/>
      <c r="AJ278" s="1525"/>
      <c r="AK278" s="1525"/>
      <c r="AL278" s="1525"/>
      <c r="AM278" s="1525"/>
      <c r="AN278" s="1525"/>
      <c r="AO278" s="1525"/>
      <c r="AP278" s="1525"/>
      <c r="AQ278" s="1525"/>
      <c r="AR278" s="1525"/>
      <c r="AS278" s="1525"/>
      <c r="AU278" s="1525"/>
      <c r="AV278" s="1295"/>
      <c r="AW278" s="1525"/>
      <c r="AX278" s="1525"/>
      <c r="AY278" s="1525"/>
      <c r="AZ278" s="1525"/>
      <c r="BA278" s="1525"/>
      <c r="BB278" s="1525"/>
      <c r="BC278" s="1525"/>
      <c r="BD278" s="1525"/>
      <c r="BE278" s="1525"/>
      <c r="BF278" s="1525"/>
      <c r="BG278" s="1525"/>
      <c r="BH278" s="1525"/>
      <c r="BI278" s="1525"/>
      <c r="BJ278" s="1525"/>
      <c r="BK278" s="1525"/>
      <c r="BL278" s="1525"/>
      <c r="BM278" s="1525"/>
      <c r="BN278" s="1525"/>
      <c r="BO278" s="1525"/>
      <c r="BP278" s="1525"/>
      <c r="BQ278" s="1525"/>
      <c r="BR278" s="1525"/>
      <c r="BS278" s="1525"/>
      <c r="BT278" s="1670"/>
      <c r="BV278"/>
      <c r="BW278" s="862"/>
    </row>
    <row r="279" spans="1:75" ht="12.75" customHeight="1" x14ac:dyDescent="0.2">
      <c r="B279" s="175">
        <f>B278+1</f>
        <v>1</v>
      </c>
      <c r="C279" s="573">
        <v>5</v>
      </c>
      <c r="D279" s="574"/>
      <c r="E279" s="572" t="s">
        <v>423</v>
      </c>
      <c r="F279" s="467" t="s">
        <v>166</v>
      </c>
      <c r="G279" s="859" t="s">
        <v>1409</v>
      </c>
      <c r="H279" s="858">
        <v>7482</v>
      </c>
      <c r="I279" s="621" t="s">
        <v>351</v>
      </c>
      <c r="J279" s="622"/>
      <c r="K279" s="622"/>
      <c r="L279" s="858">
        <v>1</v>
      </c>
      <c r="M279" s="858">
        <f>K279+L279</f>
        <v>1</v>
      </c>
      <c r="N279" s="857" t="s">
        <v>1326</v>
      </c>
      <c r="O279" s="1196">
        <v>20348</v>
      </c>
      <c r="P279" s="1218">
        <f ca="1">YEARFRAC(TODAY(),O279)</f>
        <v>62.044444444444444</v>
      </c>
      <c r="Q279" s="1148">
        <v>46750</v>
      </c>
      <c r="R279" s="874">
        <f>Q279*0.1</f>
        <v>4675</v>
      </c>
      <c r="S279" s="875"/>
      <c r="T279" s="875">
        <v>35000</v>
      </c>
      <c r="U279" s="875"/>
      <c r="V279" s="875"/>
      <c r="W279" s="875"/>
      <c r="X279" s="1026">
        <f>(Q279+R279+S279+T279+U279+V279+W279)*M279</f>
        <v>86425</v>
      </c>
      <c r="Y279" s="1512">
        <f>(T279+U279)*M279/(X279-M279*(T279+U279))</f>
        <v>0.68060281964025282</v>
      </c>
      <c r="Z279" s="1741">
        <f>M279*(1+Y279)</f>
        <v>1.6806028196402529</v>
      </c>
      <c r="AA279" s="1749">
        <f>SUM(AD279:AS279)</f>
        <v>0</v>
      </c>
      <c r="AB279" s="1810">
        <f t="shared" ref="AB279:AB281" si="168">100*AA279/Z279</f>
        <v>0</v>
      </c>
      <c r="AC279" s="876"/>
      <c r="AD279" s="1525">
        <f t="shared" ref="AD279:AS281" si="169">SUMIF($AV$6:$BS$6,AD$5,$AV279:$BS279)</f>
        <v>0</v>
      </c>
      <c r="AE279" s="1525">
        <f t="shared" si="169"/>
        <v>0</v>
      </c>
      <c r="AF279" s="1525">
        <f t="shared" si="169"/>
        <v>0</v>
      </c>
      <c r="AG279" s="1525">
        <f t="shared" si="169"/>
        <v>0</v>
      </c>
      <c r="AH279" s="1525">
        <f t="shared" si="169"/>
        <v>0</v>
      </c>
      <c r="AI279" s="1525">
        <f t="shared" si="169"/>
        <v>0</v>
      </c>
      <c r="AJ279" s="1525">
        <f t="shared" si="169"/>
        <v>0</v>
      </c>
      <c r="AK279" s="1525">
        <f t="shared" si="169"/>
        <v>0</v>
      </c>
      <c r="AL279" s="1525">
        <f t="shared" si="169"/>
        <v>0</v>
      </c>
      <c r="AM279" s="1525">
        <f t="shared" si="169"/>
        <v>0</v>
      </c>
      <c r="AN279" s="1525">
        <f t="shared" si="169"/>
        <v>0</v>
      </c>
      <c r="AO279" s="1525">
        <f t="shared" si="169"/>
        <v>0</v>
      </c>
      <c r="AP279" s="1525">
        <f t="shared" si="169"/>
        <v>0</v>
      </c>
      <c r="AQ279" s="1525">
        <f t="shared" si="169"/>
        <v>0</v>
      </c>
      <c r="AR279" s="1525">
        <f t="shared" si="169"/>
        <v>0</v>
      </c>
      <c r="AS279" s="1525">
        <f t="shared" si="169"/>
        <v>0</v>
      </c>
      <c r="AU279" s="1525"/>
      <c r="AV279" s="1291"/>
      <c r="AW279" s="1292"/>
      <c r="AX279" s="1292"/>
      <c r="AY279" s="1292"/>
      <c r="AZ279" s="1292"/>
      <c r="BA279" s="1292"/>
      <c r="BB279" s="1292"/>
      <c r="BC279" s="1292"/>
      <c r="BD279" s="1292"/>
      <c r="BE279" s="1292"/>
      <c r="BF279" s="1292"/>
      <c r="BG279" s="1292"/>
      <c r="BH279" s="1292"/>
      <c r="BI279" s="1292"/>
      <c r="BJ279" s="1292"/>
      <c r="BK279" s="1292"/>
      <c r="BL279" s="1292"/>
      <c r="BM279" s="1292"/>
      <c r="BN279" s="1292"/>
      <c r="BO279" s="1292"/>
      <c r="BP279" s="1292"/>
      <c r="BQ279" s="1292"/>
      <c r="BR279" s="1292"/>
      <c r="BS279" s="1292"/>
      <c r="BT279" s="1670">
        <f t="shared" ref="BT279:BT281" si="170">SUM(AV279:BS279)</f>
        <v>0</v>
      </c>
      <c r="BW279" s="859" t="s">
        <v>1409</v>
      </c>
    </row>
    <row r="280" spans="1:75" ht="12.75" customHeight="1" x14ac:dyDescent="0.2">
      <c r="B280" s="175">
        <f>B279+1</f>
        <v>2</v>
      </c>
      <c r="C280" s="219">
        <v>13</v>
      </c>
      <c r="E280" s="12" t="s">
        <v>423</v>
      </c>
      <c r="F280" s="4" t="s">
        <v>1272</v>
      </c>
      <c r="G280" s="862" t="s">
        <v>433</v>
      </c>
      <c r="H280" s="861">
        <v>7947</v>
      </c>
      <c r="I280" s="180" t="s">
        <v>1584</v>
      </c>
      <c r="J280" s="177"/>
      <c r="K280" s="173"/>
      <c r="L280" s="861">
        <v>1</v>
      </c>
      <c r="M280" s="861">
        <f>K280+L280</f>
        <v>1</v>
      </c>
      <c r="N280" s="836" t="s">
        <v>1326</v>
      </c>
      <c r="O280" s="1196">
        <v>14566</v>
      </c>
      <c r="P280" s="1218">
        <f ca="1">YEARFRAC(TODAY(),O280)</f>
        <v>77.875</v>
      </c>
      <c r="Q280" s="1148">
        <v>23000</v>
      </c>
      <c r="R280" s="874">
        <f>Q280*0.1</f>
        <v>2300</v>
      </c>
      <c r="S280" s="875"/>
      <c r="T280" s="875"/>
      <c r="U280" s="875"/>
      <c r="V280" s="875"/>
      <c r="W280" s="875"/>
      <c r="X280" s="1026">
        <f>(Q280+R280+S280+T280+U280+V280+W280)*M280</f>
        <v>25300</v>
      </c>
      <c r="Y280" s="1512">
        <f>(T280+U280)*M280/(X280-M280*(T280+U280))</f>
        <v>0</v>
      </c>
      <c r="Z280" s="1741">
        <f>M280*(1+Y280)</f>
        <v>1</v>
      </c>
      <c r="AA280" s="1749">
        <f>SUM(AD280:AS280)</f>
        <v>0</v>
      </c>
      <c r="AB280" s="1810">
        <f t="shared" si="168"/>
        <v>0</v>
      </c>
      <c r="AC280" s="876"/>
      <c r="AD280" s="1525">
        <f t="shared" si="169"/>
        <v>0</v>
      </c>
      <c r="AE280" s="1525">
        <f t="shared" si="169"/>
        <v>0</v>
      </c>
      <c r="AF280" s="1525">
        <f t="shared" si="169"/>
        <v>0</v>
      </c>
      <c r="AG280" s="1525">
        <f t="shared" si="169"/>
        <v>0</v>
      </c>
      <c r="AH280" s="1525">
        <f t="shared" si="169"/>
        <v>0</v>
      </c>
      <c r="AI280" s="1525">
        <f t="shared" si="169"/>
        <v>0</v>
      </c>
      <c r="AJ280" s="1525">
        <f t="shared" si="169"/>
        <v>0</v>
      </c>
      <c r="AK280" s="1525">
        <f t="shared" si="169"/>
        <v>0</v>
      </c>
      <c r="AL280" s="1525">
        <f t="shared" si="169"/>
        <v>0</v>
      </c>
      <c r="AM280" s="1525">
        <f t="shared" si="169"/>
        <v>0</v>
      </c>
      <c r="AN280" s="1525">
        <f t="shared" si="169"/>
        <v>0</v>
      </c>
      <c r="AO280" s="1525">
        <f t="shared" si="169"/>
        <v>0</v>
      </c>
      <c r="AP280" s="1525">
        <f t="shared" si="169"/>
        <v>0</v>
      </c>
      <c r="AQ280" s="1525">
        <f t="shared" si="169"/>
        <v>0</v>
      </c>
      <c r="AR280" s="1525">
        <f t="shared" si="169"/>
        <v>0</v>
      </c>
      <c r="AS280" s="1525">
        <f t="shared" si="169"/>
        <v>0</v>
      </c>
      <c r="AU280" s="1525"/>
      <c r="AV280" s="1291"/>
      <c r="AW280" s="1292"/>
      <c r="AX280" s="1292"/>
      <c r="AY280" s="1292"/>
      <c r="AZ280" s="1292"/>
      <c r="BA280" s="1292"/>
      <c r="BB280" s="1292"/>
      <c r="BC280" s="1292"/>
      <c r="BD280" s="1292"/>
      <c r="BE280" s="1292"/>
      <c r="BF280" s="1292"/>
      <c r="BG280" s="1292"/>
      <c r="BH280" s="1292"/>
      <c r="BI280" s="1292"/>
      <c r="BJ280" s="1292"/>
      <c r="BK280" s="1292"/>
      <c r="BL280" s="1292"/>
      <c r="BM280" s="1292"/>
      <c r="BN280" s="1292"/>
      <c r="BO280" s="1292"/>
      <c r="BP280" s="1292"/>
      <c r="BQ280" s="1292"/>
      <c r="BR280" s="1292"/>
      <c r="BS280" s="1292"/>
      <c r="BT280" s="1670">
        <f t="shared" si="170"/>
        <v>0</v>
      </c>
      <c r="BW280" s="862" t="s">
        <v>433</v>
      </c>
    </row>
    <row r="281" spans="1:75" ht="12.75" customHeight="1" x14ac:dyDescent="0.2">
      <c r="B281" s="175">
        <f>B280+1</f>
        <v>3</v>
      </c>
      <c r="C281" s="219">
        <v>14</v>
      </c>
      <c r="E281" s="12" t="s">
        <v>423</v>
      </c>
      <c r="F281" s="26" t="s">
        <v>626</v>
      </c>
      <c r="G281" s="910" t="s">
        <v>404</v>
      </c>
      <c r="H281" s="873">
        <v>133883</v>
      </c>
      <c r="I281" s="1090" t="s">
        <v>1584</v>
      </c>
      <c r="J281" s="173"/>
      <c r="K281" s="177"/>
      <c r="L281" s="873">
        <v>1</v>
      </c>
      <c r="M281" s="873">
        <v>1</v>
      </c>
      <c r="N281" s="872" t="s">
        <v>1326</v>
      </c>
      <c r="O281" s="1193"/>
      <c r="P281" s="1218"/>
      <c r="Q281" s="1148">
        <v>29500</v>
      </c>
      <c r="R281" s="874">
        <f>Q281*0.1</f>
        <v>2950</v>
      </c>
      <c r="S281" s="875"/>
      <c r="T281" s="875"/>
      <c r="U281" s="875"/>
      <c r="V281" s="875"/>
      <c r="W281" s="875"/>
      <c r="X281" s="1026">
        <f>(Q281+R281+S281+T281+U281+V281+W281)*M281</f>
        <v>32450</v>
      </c>
      <c r="Y281" s="1512">
        <f>(T281+U281)*M281/(X281-M281*(T281+U281))</f>
        <v>0</v>
      </c>
      <c r="Z281" s="1741">
        <f>M281*(1+Y281)</f>
        <v>1</v>
      </c>
      <c r="AA281" s="1749">
        <f>SUM(AD281:AS281)</f>
        <v>0</v>
      </c>
      <c r="AB281" s="1810">
        <f t="shared" si="168"/>
        <v>0</v>
      </c>
      <c r="AC281" s="876"/>
      <c r="AD281" s="1525">
        <f t="shared" si="169"/>
        <v>0</v>
      </c>
      <c r="AE281" s="1525">
        <f t="shared" si="169"/>
        <v>0</v>
      </c>
      <c r="AF281" s="1525">
        <f t="shared" si="169"/>
        <v>0</v>
      </c>
      <c r="AG281" s="1525">
        <f t="shared" si="169"/>
        <v>0</v>
      </c>
      <c r="AH281" s="1525">
        <f t="shared" si="169"/>
        <v>0</v>
      </c>
      <c r="AI281" s="1525">
        <f t="shared" si="169"/>
        <v>0</v>
      </c>
      <c r="AJ281" s="1525">
        <f t="shared" si="169"/>
        <v>0</v>
      </c>
      <c r="AK281" s="1525">
        <f t="shared" si="169"/>
        <v>0</v>
      </c>
      <c r="AL281" s="1525">
        <f t="shared" si="169"/>
        <v>0</v>
      </c>
      <c r="AM281" s="1525">
        <f t="shared" si="169"/>
        <v>0</v>
      </c>
      <c r="AN281" s="1525">
        <f t="shared" si="169"/>
        <v>0</v>
      </c>
      <c r="AO281" s="1525">
        <f t="shared" si="169"/>
        <v>0</v>
      </c>
      <c r="AP281" s="1525">
        <f t="shared" si="169"/>
        <v>0</v>
      </c>
      <c r="AQ281" s="1525">
        <f t="shared" si="169"/>
        <v>0</v>
      </c>
      <c r="AR281" s="1525">
        <f t="shared" si="169"/>
        <v>0</v>
      </c>
      <c r="AS281" s="1525">
        <f t="shared" si="169"/>
        <v>0</v>
      </c>
      <c r="AU281" s="1525"/>
      <c r="AV281" s="1291"/>
      <c r="AW281" s="1292"/>
      <c r="AX281" s="1292"/>
      <c r="AY281" s="1292"/>
      <c r="AZ281" s="1292"/>
      <c r="BA281" s="1292"/>
      <c r="BB281" s="1292"/>
      <c r="BC281" s="1292"/>
      <c r="BD281" s="1292"/>
      <c r="BE281" s="1292"/>
      <c r="BF281" s="1292"/>
      <c r="BG281" s="1292"/>
      <c r="BH281" s="1292"/>
      <c r="BI281" s="1292"/>
      <c r="BJ281" s="1292"/>
      <c r="BK281" s="1292"/>
      <c r="BL281" s="1292"/>
      <c r="BM281" s="1292"/>
      <c r="BN281" s="1292"/>
      <c r="BO281" s="1292"/>
      <c r="BP281" s="1292"/>
      <c r="BQ281" s="1292"/>
      <c r="BR281" s="1292"/>
      <c r="BS281" s="1292"/>
      <c r="BT281" s="1670">
        <f t="shared" si="170"/>
        <v>0</v>
      </c>
      <c r="BW281" s="910" t="s">
        <v>404</v>
      </c>
    </row>
    <row r="282" spans="1:75" s="164" customFormat="1" ht="12.75" customHeight="1" x14ac:dyDescent="0.2">
      <c r="B282" s="175"/>
      <c r="C282" s="219" t="s">
        <v>1120</v>
      </c>
      <c r="F282" s="24" t="s">
        <v>1239</v>
      </c>
      <c r="G282" s="859"/>
      <c r="H282" s="1361" t="s">
        <v>1508</v>
      </c>
      <c r="I282" s="172"/>
      <c r="J282" s="168"/>
      <c r="K282" s="448">
        <f>SUM(K279:K280)</f>
        <v>0</v>
      </c>
      <c r="L282" s="902">
        <f>SUM(L279:L281)</f>
        <v>3</v>
      </c>
      <c r="M282" s="902">
        <f>SUM(M279:M281)</f>
        <v>3</v>
      </c>
      <c r="N282" s="857"/>
      <c r="O282" s="1192"/>
      <c r="P282" s="550"/>
      <c r="Q282" s="1148"/>
      <c r="R282" s="874"/>
      <c r="S282" s="875"/>
      <c r="T282" s="875"/>
      <c r="U282" s="875"/>
      <c r="V282" s="875"/>
      <c r="W282" s="875"/>
      <c r="X282" s="1026"/>
      <c r="Y282" s="1335"/>
      <c r="Z282" s="1335"/>
      <c r="AA282" s="1775"/>
      <c r="AB282" s="1814"/>
      <c r="AC282" s="876"/>
      <c r="AD282" s="1295"/>
      <c r="AE282" s="1525"/>
      <c r="AF282" s="1525"/>
      <c r="AG282" s="1525"/>
      <c r="AH282" s="1525"/>
      <c r="AI282" s="1525"/>
      <c r="AJ282" s="1525"/>
      <c r="AK282" s="1525"/>
      <c r="AL282" s="1525"/>
      <c r="AM282" s="1525"/>
      <c r="AN282" s="1525"/>
      <c r="AO282" s="1525"/>
      <c r="AP282" s="1525"/>
      <c r="AQ282" s="1525"/>
      <c r="AR282" s="1525"/>
      <c r="AS282" s="1525"/>
      <c r="AU282" s="1525"/>
      <c r="AV282" s="1295"/>
      <c r="AW282" s="1525"/>
      <c r="AX282" s="1525"/>
      <c r="AY282" s="1525"/>
      <c r="AZ282" s="1525"/>
      <c r="BA282" s="1525"/>
      <c r="BB282" s="1525"/>
      <c r="BC282" s="1525"/>
      <c r="BD282" s="1525"/>
      <c r="BE282" s="1525"/>
      <c r="BF282" s="1525"/>
      <c r="BG282" s="1525"/>
      <c r="BH282" s="1525"/>
      <c r="BI282" s="1525"/>
      <c r="BJ282" s="1525"/>
      <c r="BK282" s="1525"/>
      <c r="BL282" s="1525"/>
      <c r="BM282" s="1525"/>
      <c r="BN282" s="1525"/>
      <c r="BO282" s="1525"/>
      <c r="BP282" s="1525"/>
      <c r="BQ282" s="1525"/>
      <c r="BR282" s="1525"/>
      <c r="BS282" s="1525"/>
      <c r="BT282" s="1670"/>
      <c r="BV282"/>
      <c r="BW282" s="859"/>
    </row>
    <row r="283" spans="1:75" s="164" customFormat="1" ht="12.75" customHeight="1" x14ac:dyDescent="0.15">
      <c r="B283" s="175"/>
      <c r="F283" s="2"/>
      <c r="G283" s="859"/>
      <c r="H283" s="1346" t="s">
        <v>1508</v>
      </c>
      <c r="I283" s="172"/>
      <c r="J283" s="168"/>
      <c r="K283" s="168"/>
      <c r="L283" s="858"/>
      <c r="M283" s="858"/>
      <c r="N283" s="857"/>
      <c r="O283" s="1195"/>
      <c r="P283" s="550"/>
      <c r="Q283" s="1148"/>
      <c r="R283" s="874"/>
      <c r="S283" s="875"/>
      <c r="T283" s="875"/>
      <c r="U283" s="875"/>
      <c r="V283" s="875"/>
      <c r="W283" s="875"/>
      <c r="X283" s="1026"/>
      <c r="Y283" s="1754"/>
      <c r="Z283" s="1755"/>
      <c r="AA283" s="1775"/>
      <c r="AB283" s="1814"/>
      <c r="AC283" s="876"/>
      <c r="AD283" s="1295"/>
      <c r="AE283" s="1525"/>
      <c r="AF283" s="1525"/>
      <c r="AG283" s="1525"/>
      <c r="AH283" s="1525"/>
      <c r="AI283" s="1525"/>
      <c r="AJ283" s="1525"/>
      <c r="AK283" s="1525"/>
      <c r="AL283" s="1525"/>
      <c r="AM283" s="1525"/>
      <c r="AN283" s="1525"/>
      <c r="AO283" s="1525"/>
      <c r="AP283" s="1525"/>
      <c r="AQ283" s="1525"/>
      <c r="AR283" s="1525"/>
      <c r="AS283" s="1525"/>
      <c r="AU283" s="1525"/>
      <c r="AV283" s="1295"/>
      <c r="AW283" s="1525"/>
      <c r="AX283" s="1525"/>
      <c r="AY283" s="1525"/>
      <c r="AZ283" s="1525"/>
      <c r="BA283" s="1525"/>
      <c r="BB283" s="1525"/>
      <c r="BC283" s="1525"/>
      <c r="BD283" s="1525"/>
      <c r="BE283" s="1525"/>
      <c r="BF283" s="1525"/>
      <c r="BG283" s="1525"/>
      <c r="BH283" s="1525"/>
      <c r="BI283" s="1525"/>
      <c r="BJ283" s="1525"/>
      <c r="BK283" s="1525"/>
      <c r="BL283" s="1525"/>
      <c r="BM283" s="1525"/>
      <c r="BN283" s="1525"/>
      <c r="BO283" s="1525"/>
      <c r="BP283" s="1525"/>
      <c r="BQ283" s="1525"/>
      <c r="BR283" s="1525"/>
      <c r="BS283" s="1525"/>
      <c r="BT283" s="1670"/>
      <c r="BV283"/>
      <c r="BW283" s="859"/>
    </row>
    <row r="284" spans="1:75" s="164" customFormat="1" ht="12.75" customHeight="1" x14ac:dyDescent="0.2">
      <c r="B284" s="175"/>
      <c r="F284" s="2"/>
      <c r="G284" s="859"/>
      <c r="H284" s="1346" t="s">
        <v>1508</v>
      </c>
      <c r="I284" s="172"/>
      <c r="J284" s="168"/>
      <c r="K284" s="168"/>
      <c r="L284" s="858"/>
      <c r="M284" s="858"/>
      <c r="N284" s="857"/>
      <c r="O284" s="1192"/>
      <c r="P284" s="550"/>
      <c r="Q284" s="1148"/>
      <c r="R284" s="874"/>
      <c r="S284" s="875"/>
      <c r="T284" s="875"/>
      <c r="U284" s="875"/>
      <c r="V284" s="875"/>
      <c r="W284" s="875"/>
      <c r="X284" s="1026"/>
      <c r="Y284" s="1754"/>
      <c r="Z284" s="1755"/>
      <c r="AA284" s="1775"/>
      <c r="AB284" s="1814"/>
      <c r="AC284" s="876"/>
      <c r="AD284" s="1295"/>
      <c r="AE284" s="1525"/>
      <c r="AF284" s="1525"/>
      <c r="AG284" s="1525"/>
      <c r="AH284" s="1525"/>
      <c r="AI284" s="1525"/>
      <c r="AJ284" s="1525"/>
      <c r="AK284" s="1525"/>
      <c r="AL284" s="1525"/>
      <c r="AM284" s="1525"/>
      <c r="AN284" s="1525"/>
      <c r="AO284" s="1525"/>
      <c r="AP284" s="1525"/>
      <c r="AQ284" s="1525"/>
      <c r="AR284" s="1525"/>
      <c r="AS284" s="1525"/>
      <c r="AU284" s="1525"/>
      <c r="AV284" s="1295"/>
      <c r="AW284" s="1525"/>
      <c r="AX284" s="1525"/>
      <c r="AY284" s="1525"/>
      <c r="AZ284" s="1525"/>
      <c r="BA284" s="1525"/>
      <c r="BB284" s="1525"/>
      <c r="BC284" s="1525"/>
      <c r="BD284" s="1525"/>
      <c r="BE284" s="1525"/>
      <c r="BF284" s="1525"/>
      <c r="BG284" s="1525"/>
      <c r="BH284" s="1525"/>
      <c r="BI284" s="1525"/>
      <c r="BJ284" s="1525"/>
      <c r="BK284" s="1525"/>
      <c r="BL284" s="1525"/>
      <c r="BM284" s="1525"/>
      <c r="BN284" s="1525"/>
      <c r="BO284" s="1525"/>
      <c r="BP284" s="1525"/>
      <c r="BQ284" s="1525"/>
      <c r="BR284" s="1525"/>
      <c r="BS284" s="1525"/>
      <c r="BT284" s="1670"/>
      <c r="BV284"/>
      <c r="BW284" s="859"/>
    </row>
    <row r="285" spans="1:75" s="164" customFormat="1" ht="12.75" customHeight="1" x14ac:dyDescent="0.2">
      <c r="B285" s="175"/>
      <c r="F285" s="2" t="s">
        <v>1530</v>
      </c>
      <c r="G285" s="859"/>
      <c r="H285" s="1346" t="s">
        <v>1508</v>
      </c>
      <c r="I285" s="172"/>
      <c r="J285" s="168"/>
      <c r="K285" s="168"/>
      <c r="L285" s="858"/>
      <c r="M285" s="858"/>
      <c r="N285" s="857"/>
      <c r="O285" s="1192"/>
      <c r="P285" s="550"/>
      <c r="Q285" s="1148"/>
      <c r="R285" s="874"/>
      <c r="S285" s="875"/>
      <c r="T285" s="875"/>
      <c r="U285" s="875"/>
      <c r="V285" s="875"/>
      <c r="W285" s="875"/>
      <c r="X285" s="1026"/>
      <c r="Y285" s="1754"/>
      <c r="Z285" s="1755"/>
      <c r="AA285" s="1775"/>
      <c r="AB285" s="1814"/>
      <c r="AC285" s="876"/>
      <c r="AD285" s="1295"/>
      <c r="AE285" s="1525"/>
      <c r="AF285" s="1525"/>
      <c r="AG285" s="1525"/>
      <c r="AH285" s="1525"/>
      <c r="AI285" s="1525"/>
      <c r="AJ285" s="1525"/>
      <c r="AK285" s="1525"/>
      <c r="AL285" s="1525"/>
      <c r="AM285" s="1525"/>
      <c r="AN285" s="1525"/>
      <c r="AO285" s="1525"/>
      <c r="AP285" s="1525"/>
      <c r="AQ285" s="1525"/>
      <c r="AR285" s="1525"/>
      <c r="AS285" s="1525"/>
      <c r="AU285" s="1525"/>
      <c r="AV285" s="1295"/>
      <c r="AW285" s="1525"/>
      <c r="AX285" s="1525"/>
      <c r="AY285" s="1525"/>
      <c r="AZ285" s="1525"/>
      <c r="BA285" s="1525"/>
      <c r="BB285" s="1525"/>
      <c r="BC285" s="1525"/>
      <c r="BD285" s="1525"/>
      <c r="BE285" s="1525"/>
      <c r="BF285" s="1525"/>
      <c r="BG285" s="1525"/>
      <c r="BH285" s="1525"/>
      <c r="BI285" s="1525"/>
      <c r="BJ285" s="1525"/>
      <c r="BK285" s="1525"/>
      <c r="BL285" s="1525"/>
      <c r="BM285" s="1525"/>
      <c r="BN285" s="1525"/>
      <c r="BO285" s="1525"/>
      <c r="BP285" s="1525"/>
      <c r="BQ285" s="1525"/>
      <c r="BR285" s="1525"/>
      <c r="BS285" s="1525"/>
      <c r="BT285" s="1670"/>
      <c r="BV285"/>
      <c r="BW285" s="859"/>
    </row>
    <row r="286" spans="1:75" s="164" customFormat="1" ht="12.75" customHeight="1" x14ac:dyDescent="0.2">
      <c r="B286" s="175"/>
      <c r="F286" s="21"/>
      <c r="G286" s="825"/>
      <c r="H286" s="1347" t="s">
        <v>1508</v>
      </c>
      <c r="I286" s="244"/>
      <c r="J286" s="233"/>
      <c r="K286" s="233"/>
      <c r="L286" s="861"/>
      <c r="M286" s="861"/>
      <c r="N286" s="857"/>
      <c r="O286" s="1192"/>
      <c r="P286" s="550"/>
      <c r="Q286" s="1148"/>
      <c r="R286" s="874"/>
      <c r="S286" s="875"/>
      <c r="T286" s="875"/>
      <c r="U286" s="875"/>
      <c r="V286" s="875"/>
      <c r="W286" s="875"/>
      <c r="X286" s="1026"/>
      <c r="Y286" s="1754"/>
      <c r="Z286" s="1755"/>
      <c r="AA286" s="1775"/>
      <c r="AB286" s="1814"/>
      <c r="AC286" s="876"/>
      <c r="AD286" s="1295"/>
      <c r="AE286" s="1525"/>
      <c r="AF286" s="1525"/>
      <c r="AG286" s="1525"/>
      <c r="AH286" s="1525"/>
      <c r="AI286" s="1525"/>
      <c r="AJ286" s="1525"/>
      <c r="AK286" s="1525"/>
      <c r="AL286" s="1525"/>
      <c r="AM286" s="1525"/>
      <c r="AN286" s="1525"/>
      <c r="AO286" s="1525"/>
      <c r="AP286" s="1525"/>
      <c r="AQ286" s="1525"/>
      <c r="AR286" s="1525"/>
      <c r="AS286" s="1525"/>
      <c r="AU286" s="1525"/>
      <c r="AV286" s="1295"/>
      <c r="AW286" s="1525"/>
      <c r="AX286" s="1525"/>
      <c r="AY286" s="1525"/>
      <c r="AZ286" s="1525"/>
      <c r="BA286" s="1525"/>
      <c r="BB286" s="1525"/>
      <c r="BC286" s="1525"/>
      <c r="BD286" s="1525"/>
      <c r="BE286" s="1525"/>
      <c r="BF286" s="1525"/>
      <c r="BG286" s="1525"/>
      <c r="BH286" s="1525"/>
      <c r="BI286" s="1525"/>
      <c r="BJ286" s="1525"/>
      <c r="BK286" s="1525"/>
      <c r="BL286" s="1525"/>
      <c r="BM286" s="1525"/>
      <c r="BN286" s="1525">
        <v>0</v>
      </c>
      <c r="BO286" s="1525"/>
      <c r="BP286" s="1525"/>
      <c r="BQ286" s="1525"/>
      <c r="BR286" s="1525"/>
      <c r="BS286" s="1525"/>
      <c r="BT286" s="1670"/>
      <c r="BV286"/>
      <c r="BW286" s="825"/>
    </row>
    <row r="287" spans="1:75" s="1515" customFormat="1" ht="12.75" customHeight="1" x14ac:dyDescent="0.2">
      <c r="A287" s="1546"/>
      <c r="B287" s="1547">
        <f>B286+1</f>
        <v>1</v>
      </c>
      <c r="C287" s="1548">
        <v>5</v>
      </c>
      <c r="D287" s="1549"/>
      <c r="E287" s="1550" t="s">
        <v>423</v>
      </c>
      <c r="F287" s="1551" t="s">
        <v>1531</v>
      </c>
      <c r="G287" s="1552" t="s">
        <v>1856</v>
      </c>
      <c r="H287" s="1553">
        <v>3116</v>
      </c>
      <c r="I287" s="1554" t="s">
        <v>351</v>
      </c>
      <c r="J287" s="1555"/>
      <c r="K287" s="1555"/>
      <c r="L287" s="1553">
        <v>1</v>
      </c>
      <c r="M287" s="1553">
        <f>K287+L287</f>
        <v>1</v>
      </c>
      <c r="N287" s="1556" t="s">
        <v>1326</v>
      </c>
      <c r="O287" s="1557">
        <v>18336</v>
      </c>
      <c r="P287" s="1558">
        <f ca="1">YEARFRAC(TODAY(),O287)</f>
        <v>67.55</v>
      </c>
      <c r="Q287" s="1559">
        <v>46750</v>
      </c>
      <c r="R287" s="1560">
        <f>Q287*0.1</f>
        <v>4675</v>
      </c>
      <c r="S287" s="1561"/>
      <c r="T287" s="1561">
        <v>3000</v>
      </c>
      <c r="U287" s="1561"/>
      <c r="V287" s="1561"/>
      <c r="W287" s="1561"/>
      <c r="X287" s="1700">
        <f>(Q287+R287+S287+T287+U287+V287+W287)*M287</f>
        <v>54425</v>
      </c>
      <c r="Y287" s="1512">
        <f>(T287+U287)*M287/(X287-M287*(T287+U287))</f>
        <v>5.8337384540593097E-2</v>
      </c>
      <c r="Z287" s="1741">
        <f>M287*(1+Y287)</f>
        <v>1.058337384540593</v>
      </c>
      <c r="AA287" s="1749">
        <f t="shared" ref="AA287:AA299" si="171">SUM(AD287:AS287)</f>
        <v>0</v>
      </c>
      <c r="AB287" s="1810">
        <f t="shared" ref="AB287:AB291" si="172">100*AA287/Z287</f>
        <v>0</v>
      </c>
      <c r="AC287" s="876"/>
      <c r="AD287" s="1540">
        <f t="shared" ref="AD287:AH291" si="173">SUMIF($AV$6:$BS$6,AD$5,$AV287:$BS287)</f>
        <v>0</v>
      </c>
      <c r="AE287" s="1540">
        <f t="shared" si="173"/>
        <v>0</v>
      </c>
      <c r="AF287" s="1540">
        <f t="shared" si="173"/>
        <v>0</v>
      </c>
      <c r="AG287" s="1540">
        <f t="shared" si="173"/>
        <v>0</v>
      </c>
      <c r="AH287" s="1540">
        <f t="shared" si="173"/>
        <v>0</v>
      </c>
      <c r="AI287" s="1540">
        <f t="shared" ref="AI287:AS291" si="174">SUMIF($AV$6:$BS$6,AI$5,$AV287:$BS287)</f>
        <v>0</v>
      </c>
      <c r="AJ287" s="1540">
        <f t="shared" si="174"/>
        <v>0</v>
      </c>
      <c r="AK287" s="1540">
        <f t="shared" si="174"/>
        <v>0</v>
      </c>
      <c r="AL287" s="1540">
        <f t="shared" si="174"/>
        <v>0</v>
      </c>
      <c r="AM287" s="1540">
        <f t="shared" si="174"/>
        <v>0</v>
      </c>
      <c r="AN287" s="1540">
        <f t="shared" si="174"/>
        <v>0</v>
      </c>
      <c r="AO287" s="1540">
        <f t="shared" si="174"/>
        <v>0</v>
      </c>
      <c r="AP287" s="1540">
        <f t="shared" si="174"/>
        <v>0</v>
      </c>
      <c r="AQ287" s="1540">
        <f t="shared" si="174"/>
        <v>0</v>
      </c>
      <c r="AR287" s="1540">
        <f t="shared" si="174"/>
        <v>0</v>
      </c>
      <c r="AS287" s="1540">
        <f t="shared" si="174"/>
        <v>0</v>
      </c>
      <c r="AU287" s="1540"/>
      <c r="AV287" s="1538"/>
      <c r="AW287" s="1540"/>
      <c r="AX287" s="1540"/>
      <c r="AY287" s="1540"/>
      <c r="AZ287" s="1540"/>
      <c r="BA287" s="1540"/>
      <c r="BB287" s="1540"/>
      <c r="BC287" s="1540"/>
      <c r="BD287" s="1540"/>
      <c r="BE287" s="1540"/>
      <c r="BF287" s="1540"/>
      <c r="BG287" s="1540"/>
      <c r="BH287" s="1540"/>
      <c r="BI287" s="1540"/>
      <c r="BJ287" s="1540"/>
      <c r="BK287" s="1540"/>
      <c r="BL287" s="1540"/>
      <c r="BM287" s="1540"/>
      <c r="BN287" s="1540">
        <v>0</v>
      </c>
      <c r="BO287" s="1540"/>
      <c r="BP287" s="1540"/>
      <c r="BQ287" s="1540"/>
      <c r="BR287" s="1540"/>
      <c r="BS287" s="1540"/>
      <c r="BT287" s="1670">
        <f t="shared" ref="BT287:BT291" si="175">SUM(AV287:BS287)</f>
        <v>0</v>
      </c>
      <c r="BV287" s="1563"/>
      <c r="BW287" s="1552" t="s">
        <v>1856</v>
      </c>
    </row>
    <row r="288" spans="1:75" ht="12.75" customHeight="1" x14ac:dyDescent="0.2">
      <c r="B288" s="175">
        <f>B287+1</f>
        <v>2</v>
      </c>
      <c r="C288" s="219">
        <v>12</v>
      </c>
      <c r="E288" s="12" t="s">
        <v>423</v>
      </c>
      <c r="F288" s="4" t="s">
        <v>1107</v>
      </c>
      <c r="G288" s="834" t="s">
        <v>1192</v>
      </c>
      <c r="H288" s="858">
        <v>3071</v>
      </c>
      <c r="I288" s="200" t="s">
        <v>1584</v>
      </c>
      <c r="J288" s="189"/>
      <c r="K288" s="189"/>
      <c r="L288" s="858">
        <v>1</v>
      </c>
      <c r="M288" s="858">
        <f>K288+L288</f>
        <v>1</v>
      </c>
      <c r="N288" s="855" t="s">
        <v>1326</v>
      </c>
      <c r="O288" s="1196">
        <v>18750</v>
      </c>
      <c r="P288" s="1218">
        <f ca="1">YEARFRAC(TODAY(),O288)</f>
        <v>66.416666666666671</v>
      </c>
      <c r="Q288" s="1148">
        <v>33500</v>
      </c>
      <c r="R288" s="874">
        <f>Q288*0.1</f>
        <v>3350</v>
      </c>
      <c r="S288" s="875"/>
      <c r="T288" s="875"/>
      <c r="U288" s="875"/>
      <c r="V288" s="875"/>
      <c r="W288" s="875"/>
      <c r="X288" s="1026">
        <f>(Q288+R288+S288+T288+U288+V288+W288)*M288</f>
        <v>36850</v>
      </c>
      <c r="Y288" s="1512">
        <f>(T288+U288)*M288/(X288-M288*(T288+U288))</f>
        <v>0</v>
      </c>
      <c r="Z288" s="1741">
        <f>M288*(1+Y288)</f>
        <v>1</v>
      </c>
      <c r="AA288" s="1749">
        <f t="shared" si="171"/>
        <v>0</v>
      </c>
      <c r="AB288" s="1810">
        <f t="shared" si="172"/>
        <v>0</v>
      </c>
      <c r="AC288" s="876"/>
      <c r="AD288" s="1525">
        <f t="shared" si="173"/>
        <v>0</v>
      </c>
      <c r="AE288" s="1525">
        <f t="shared" si="173"/>
        <v>0</v>
      </c>
      <c r="AF288" s="1525">
        <f t="shared" si="173"/>
        <v>0</v>
      </c>
      <c r="AG288" s="1525">
        <f t="shared" si="173"/>
        <v>0</v>
      </c>
      <c r="AH288" s="1845">
        <f>SUMIF($AV$6:$BS$6,AH$5,$AV288:$BS288)</f>
        <v>0</v>
      </c>
      <c r="AI288" s="1525">
        <f t="shared" si="174"/>
        <v>0</v>
      </c>
      <c r="AJ288" s="1525">
        <f t="shared" si="174"/>
        <v>0</v>
      </c>
      <c r="AK288" s="1525">
        <f t="shared" si="174"/>
        <v>0</v>
      </c>
      <c r="AL288" s="1525">
        <f t="shared" si="174"/>
        <v>0</v>
      </c>
      <c r="AM288" s="1525">
        <f t="shared" si="174"/>
        <v>0</v>
      </c>
      <c r="AN288" s="1525">
        <f t="shared" si="174"/>
        <v>0</v>
      </c>
      <c r="AO288" s="1525">
        <f t="shared" si="174"/>
        <v>0</v>
      </c>
      <c r="AP288" s="1525">
        <f t="shared" si="174"/>
        <v>0</v>
      </c>
      <c r="AQ288" s="1525">
        <f t="shared" si="174"/>
        <v>0</v>
      </c>
      <c r="AR288" s="1525">
        <f t="shared" si="174"/>
        <v>0</v>
      </c>
      <c r="AS288" s="1525">
        <f t="shared" si="174"/>
        <v>0</v>
      </c>
      <c r="AU288" s="1525"/>
      <c r="AV288" s="1291"/>
      <c r="AW288" s="1292"/>
      <c r="AX288" s="1292"/>
      <c r="AY288" s="1292"/>
      <c r="AZ288" s="1292"/>
      <c r="BA288" s="1292"/>
      <c r="BB288" s="1292"/>
      <c r="BC288" s="1292"/>
      <c r="BD288" s="1292"/>
      <c r="BE288" s="1292"/>
      <c r="BF288" s="1292"/>
      <c r="BG288" s="1292"/>
      <c r="BH288" s="1292"/>
      <c r="BI288" s="1292"/>
      <c r="BJ288" s="1292"/>
      <c r="BK288" s="1292"/>
      <c r="BL288" s="1292"/>
      <c r="BM288" s="1292"/>
      <c r="BN288" s="1292">
        <v>0</v>
      </c>
      <c r="BO288" s="1292"/>
      <c r="BP288" s="1292"/>
      <c r="BQ288" s="1292"/>
      <c r="BR288" s="1292"/>
      <c r="BS288" s="1292"/>
      <c r="BT288" s="1670">
        <f t="shared" si="175"/>
        <v>0</v>
      </c>
      <c r="BW288" s="834" t="s">
        <v>1192</v>
      </c>
    </row>
    <row r="289" spans="2:75" ht="12.75" customHeight="1" x14ac:dyDescent="0.2">
      <c r="B289" s="175">
        <f>B288+1</f>
        <v>3</v>
      </c>
      <c r="C289" s="219">
        <v>13</v>
      </c>
      <c r="E289" s="12" t="s">
        <v>423</v>
      </c>
      <c r="F289" s="4" t="s">
        <v>1272</v>
      </c>
      <c r="G289" s="821" t="s">
        <v>1859</v>
      </c>
      <c r="H289" s="858">
        <v>263013</v>
      </c>
      <c r="I289" s="200" t="s">
        <v>1584</v>
      </c>
      <c r="J289" s="189"/>
      <c r="K289" s="189"/>
      <c r="L289" s="858">
        <v>1</v>
      </c>
      <c r="M289" s="858">
        <v>1</v>
      </c>
      <c r="N289" s="857" t="s">
        <v>1326</v>
      </c>
      <c r="O289" s="1196">
        <v>31175</v>
      </c>
      <c r="P289" s="1218">
        <f ca="1">YEARFRAC(TODAY(),O289)</f>
        <v>32.4</v>
      </c>
      <c r="Q289" s="1148">
        <v>35000</v>
      </c>
      <c r="R289" s="874">
        <f>Q289*0.1</f>
        <v>3500</v>
      </c>
      <c r="S289" s="875"/>
      <c r="T289" s="875"/>
      <c r="U289" s="875"/>
      <c r="V289" s="875"/>
      <c r="W289" s="875"/>
      <c r="X289" s="1026">
        <f>(Q289+R289+S289+T289+U289+V289+W289)*M289</f>
        <v>38500</v>
      </c>
      <c r="Y289" s="1512">
        <f>(T289+U289)*M289/(X289-M289*(T289+U289))</f>
        <v>0</v>
      </c>
      <c r="Z289" s="1741">
        <f>M289*(1+Y289)</f>
        <v>1</v>
      </c>
      <c r="AA289" s="1749">
        <f t="shared" si="171"/>
        <v>0</v>
      </c>
      <c r="AB289" s="1810">
        <f t="shared" si="172"/>
        <v>0</v>
      </c>
      <c r="AC289" s="876"/>
      <c r="AD289" s="1525">
        <f t="shared" si="173"/>
        <v>0</v>
      </c>
      <c r="AE289" s="1525">
        <f t="shared" si="173"/>
        <v>0</v>
      </c>
      <c r="AF289" s="1525">
        <f t="shared" si="173"/>
        <v>0</v>
      </c>
      <c r="AG289" s="1525">
        <f t="shared" si="173"/>
        <v>0</v>
      </c>
      <c r="AH289" s="1525">
        <f>SUMIF($AV$6:$BS$6,AH$5,$AV289:$BS289)</f>
        <v>0</v>
      </c>
      <c r="AI289" s="1525">
        <f t="shared" si="174"/>
        <v>0</v>
      </c>
      <c r="AJ289" s="1525">
        <f t="shared" si="174"/>
        <v>0</v>
      </c>
      <c r="AK289" s="1525">
        <f t="shared" si="174"/>
        <v>0</v>
      </c>
      <c r="AL289" s="1525">
        <f t="shared" si="174"/>
        <v>0</v>
      </c>
      <c r="AM289" s="1525">
        <f t="shared" si="174"/>
        <v>0</v>
      </c>
      <c r="AN289" s="1525">
        <f t="shared" si="174"/>
        <v>0</v>
      </c>
      <c r="AO289" s="1525">
        <f t="shared" si="174"/>
        <v>0</v>
      </c>
      <c r="AP289" s="1525">
        <f t="shared" si="174"/>
        <v>0</v>
      </c>
      <c r="AQ289" s="1525">
        <f t="shared" si="174"/>
        <v>0</v>
      </c>
      <c r="AR289" s="1525">
        <f t="shared" si="174"/>
        <v>0</v>
      </c>
      <c r="AS289" s="1525">
        <f t="shared" si="174"/>
        <v>0</v>
      </c>
      <c r="AU289" s="1525"/>
      <c r="AV289" s="1291"/>
      <c r="AW289" s="1292"/>
      <c r="AX289" s="1292"/>
      <c r="AY289" s="1292"/>
      <c r="AZ289" s="1292"/>
      <c r="BA289" s="1292"/>
      <c r="BB289" s="1292"/>
      <c r="BC289" s="1292"/>
      <c r="BD289" s="1292"/>
      <c r="BE289" s="1292"/>
      <c r="BF289" s="1292"/>
      <c r="BG289" s="1292"/>
      <c r="BH289" s="1292"/>
      <c r="BI289" s="1292"/>
      <c r="BJ289" s="1292"/>
      <c r="BK289" s="1292"/>
      <c r="BL289" s="1292"/>
      <c r="BM289" s="1292"/>
      <c r="BN289" s="1292"/>
      <c r="BO289" s="1292"/>
      <c r="BP289" s="1292"/>
      <c r="BQ289" s="1292"/>
      <c r="BR289" s="1292"/>
      <c r="BS289" s="1292"/>
      <c r="BT289" s="1670">
        <f t="shared" si="175"/>
        <v>0</v>
      </c>
      <c r="BW289" s="821" t="s">
        <v>1859</v>
      </c>
    </row>
    <row r="290" spans="2:75" ht="12.75" customHeight="1" x14ac:dyDescent="0.2">
      <c r="B290" s="175">
        <f>B289+1</f>
        <v>4</v>
      </c>
      <c r="C290" s="219">
        <v>14</v>
      </c>
      <c r="E290" s="12" t="s">
        <v>423</v>
      </c>
      <c r="F290" s="4" t="s">
        <v>626</v>
      </c>
      <c r="G290" s="834" t="s">
        <v>1193</v>
      </c>
      <c r="H290" s="861">
        <v>3102</v>
      </c>
      <c r="I290" s="197" t="s">
        <v>1584</v>
      </c>
      <c r="J290" s="174"/>
      <c r="K290" s="174"/>
      <c r="L290" s="861">
        <v>1</v>
      </c>
      <c r="M290" s="861">
        <f>K290+L290</f>
        <v>1</v>
      </c>
      <c r="N290" s="832" t="s">
        <v>892</v>
      </c>
      <c r="O290" s="1196">
        <v>16596</v>
      </c>
      <c r="P290" s="1218">
        <f ca="1">YEARFRAC(TODAY(),O290)</f>
        <v>72.316666666666663</v>
      </c>
      <c r="Q290" s="1148">
        <v>16000</v>
      </c>
      <c r="R290" s="874"/>
      <c r="S290" s="875"/>
      <c r="T290" s="875"/>
      <c r="U290" s="875"/>
      <c r="V290" s="875"/>
      <c r="W290" s="875"/>
      <c r="X290" s="1026">
        <f>(Q290+R290+S290+T290+U290+V290+W290)*M290</f>
        <v>16000</v>
      </c>
      <c r="Y290" s="1512">
        <f>(T290+U290)*M290/(X290-M290*(T290+U290))</f>
        <v>0</v>
      </c>
      <c r="Z290" s="1741">
        <f>M290*(1+Y290)</f>
        <v>1</v>
      </c>
      <c r="AA290" s="1749">
        <f t="shared" si="171"/>
        <v>0</v>
      </c>
      <c r="AB290" s="1810">
        <f t="shared" si="172"/>
        <v>0</v>
      </c>
      <c r="AC290" s="876"/>
      <c r="AD290" s="1525">
        <f t="shared" si="173"/>
        <v>0</v>
      </c>
      <c r="AE290" s="1525">
        <f t="shared" si="173"/>
        <v>0</v>
      </c>
      <c r="AF290" s="1525">
        <f t="shared" si="173"/>
        <v>0</v>
      </c>
      <c r="AG290" s="1525">
        <f t="shared" si="173"/>
        <v>0</v>
      </c>
      <c r="AH290" s="1525">
        <f>SUMIF($AV$6:$BS$6,AH$5,$AV290:$BS290)</f>
        <v>0</v>
      </c>
      <c r="AI290" s="1525">
        <f t="shared" si="174"/>
        <v>0</v>
      </c>
      <c r="AJ290" s="1525">
        <f t="shared" si="174"/>
        <v>0</v>
      </c>
      <c r="AK290" s="1525">
        <f t="shared" si="174"/>
        <v>0</v>
      </c>
      <c r="AL290" s="1525">
        <f t="shared" si="174"/>
        <v>0</v>
      </c>
      <c r="AM290" s="1525">
        <f t="shared" si="174"/>
        <v>0</v>
      </c>
      <c r="AN290" s="1525">
        <f t="shared" si="174"/>
        <v>0</v>
      </c>
      <c r="AO290" s="1525">
        <f t="shared" si="174"/>
        <v>0</v>
      </c>
      <c r="AP290" s="1525">
        <f t="shared" si="174"/>
        <v>0</v>
      </c>
      <c r="AQ290" s="1525">
        <f t="shared" si="174"/>
        <v>0</v>
      </c>
      <c r="AR290" s="1525">
        <f t="shared" si="174"/>
        <v>0</v>
      </c>
      <c r="AS290" s="1525">
        <f t="shared" si="174"/>
        <v>0</v>
      </c>
      <c r="AU290" s="1525"/>
      <c r="AV290" s="1291"/>
      <c r="AW290" s="1292"/>
      <c r="AX290" s="1292"/>
      <c r="AY290" s="1292"/>
      <c r="AZ290" s="1292"/>
      <c r="BA290" s="1292"/>
      <c r="BB290" s="1292"/>
      <c r="BC290" s="1292"/>
      <c r="BD290" s="1292"/>
      <c r="BE290" s="1292"/>
      <c r="BF290" s="1292"/>
      <c r="BG290" s="1292"/>
      <c r="BH290" s="1292"/>
      <c r="BI290" s="1292"/>
      <c r="BJ290" s="1292"/>
      <c r="BK290" s="1292"/>
      <c r="BL290" s="1292"/>
      <c r="BM290" s="1292"/>
      <c r="BN290" s="1292"/>
      <c r="BO290" s="1292"/>
      <c r="BP290" s="1292"/>
      <c r="BQ290" s="1292"/>
      <c r="BR290" s="1292"/>
      <c r="BS290" s="1292"/>
      <c r="BT290" s="1670">
        <f t="shared" si="175"/>
        <v>0</v>
      </c>
      <c r="BW290" s="834" t="s">
        <v>1193</v>
      </c>
    </row>
    <row r="291" spans="2:75" ht="12.75" customHeight="1" x14ac:dyDescent="0.2">
      <c r="B291" s="175">
        <f>B290+1</f>
        <v>5</v>
      </c>
      <c r="C291" s="219">
        <v>18</v>
      </c>
      <c r="E291" s="12" t="s">
        <v>423</v>
      </c>
      <c r="F291" s="26" t="s">
        <v>1036</v>
      </c>
      <c r="G291" s="912" t="s">
        <v>1037</v>
      </c>
      <c r="H291" s="873">
        <v>3109</v>
      </c>
      <c r="I291" s="176" t="s">
        <v>1442</v>
      </c>
      <c r="J291" s="177"/>
      <c r="K291" s="177"/>
      <c r="L291" s="873">
        <v>1</v>
      </c>
      <c r="M291" s="873">
        <f>K291+L291</f>
        <v>1</v>
      </c>
      <c r="N291" s="855" t="s">
        <v>1326</v>
      </c>
      <c r="O291" s="1196">
        <v>18117</v>
      </c>
      <c r="P291" s="1218">
        <f ca="1">YEARFRAC(TODAY(),O291)</f>
        <v>68.152777777777771</v>
      </c>
      <c r="Q291" s="1148">
        <v>22000</v>
      </c>
      <c r="R291" s="874">
        <f>Q291*0.1</f>
        <v>2200</v>
      </c>
      <c r="S291" s="876"/>
      <c r="T291" s="876"/>
      <c r="U291" s="876"/>
      <c r="V291" s="876"/>
      <c r="W291" s="876"/>
      <c r="X291" s="1026">
        <f>(Q291+R291+S291+T291+U291+V291+W291)*M291</f>
        <v>24200</v>
      </c>
      <c r="Y291" s="1512">
        <f>(T291+U291)*M291/(X291-M291*(T291+U291))</f>
        <v>0</v>
      </c>
      <c r="Z291" s="1741">
        <f>M291*(1+Y291)</f>
        <v>1</v>
      </c>
      <c r="AA291" s="1749">
        <f t="shared" si="171"/>
        <v>0</v>
      </c>
      <c r="AB291" s="1810">
        <f t="shared" si="172"/>
        <v>0</v>
      </c>
      <c r="AC291" s="876"/>
      <c r="AD291" s="1525">
        <f t="shared" si="173"/>
        <v>0</v>
      </c>
      <c r="AE291" s="1525">
        <f t="shared" si="173"/>
        <v>0</v>
      </c>
      <c r="AF291" s="1525">
        <f t="shared" si="173"/>
        <v>0</v>
      </c>
      <c r="AG291" s="1525">
        <f t="shared" si="173"/>
        <v>0</v>
      </c>
      <c r="AH291" s="1525">
        <f>SUMIF($AV$6:$BS$6,AH$5,$AV291:$BS291)</f>
        <v>0</v>
      </c>
      <c r="AI291" s="1525">
        <f t="shared" si="174"/>
        <v>0</v>
      </c>
      <c r="AJ291" s="1525">
        <f t="shared" si="174"/>
        <v>0</v>
      </c>
      <c r="AK291" s="1525">
        <f t="shared" si="174"/>
        <v>0</v>
      </c>
      <c r="AL291" s="1525">
        <f t="shared" si="174"/>
        <v>0</v>
      </c>
      <c r="AM291" s="1525">
        <f t="shared" si="174"/>
        <v>0</v>
      </c>
      <c r="AN291" s="1525">
        <f t="shared" si="174"/>
        <v>0</v>
      </c>
      <c r="AO291" s="1525">
        <f t="shared" si="174"/>
        <v>0</v>
      </c>
      <c r="AP291" s="1525">
        <f t="shared" si="174"/>
        <v>0</v>
      </c>
      <c r="AQ291" s="1525">
        <f t="shared" si="174"/>
        <v>0</v>
      </c>
      <c r="AR291" s="1525">
        <f t="shared" si="174"/>
        <v>0</v>
      </c>
      <c r="AS291" s="1525">
        <f t="shared" si="174"/>
        <v>0</v>
      </c>
      <c r="AU291" s="1525"/>
      <c r="AV291" s="1291"/>
      <c r="AW291" s="1292"/>
      <c r="AX291" s="1292"/>
      <c r="AY291" s="1292"/>
      <c r="AZ291" s="1292"/>
      <c r="BA291" s="1292"/>
      <c r="BB291" s="1292"/>
      <c r="BC291" s="1292"/>
      <c r="BD291" s="1292"/>
      <c r="BE291" s="1292"/>
      <c r="BF291" s="1292"/>
      <c r="BG291" s="1292"/>
      <c r="BH291" s="1292"/>
      <c r="BI291" s="1292"/>
      <c r="BJ291" s="1292"/>
      <c r="BK291" s="1292"/>
      <c r="BL291" s="1292"/>
      <c r="BM291" s="1292"/>
      <c r="BN291" s="1292"/>
      <c r="BO291" s="1292"/>
      <c r="BP291" s="1292"/>
      <c r="BQ291" s="1292"/>
      <c r="BR291" s="1292"/>
      <c r="BS291" s="1292"/>
      <c r="BT291" s="1670">
        <f t="shared" si="175"/>
        <v>0</v>
      </c>
      <c r="BW291" s="912" t="s">
        <v>1037</v>
      </c>
    </row>
    <row r="292" spans="2:75" s="164" customFormat="1" ht="12.75" customHeight="1" x14ac:dyDescent="0.2">
      <c r="B292" s="175"/>
      <c r="C292" s="219" t="s">
        <v>1120</v>
      </c>
      <c r="F292" s="24" t="s">
        <v>1038</v>
      </c>
      <c r="G292" s="823"/>
      <c r="H292" s="1361" t="s">
        <v>1508</v>
      </c>
      <c r="I292" s="172"/>
      <c r="J292" s="168"/>
      <c r="K292" s="448">
        <f>SUM(K287:K291)</f>
        <v>0</v>
      </c>
      <c r="L292" s="902">
        <f>SUM(L287:L291)</f>
        <v>5</v>
      </c>
      <c r="M292" s="902">
        <f>SUM(M287:M291)</f>
        <v>5</v>
      </c>
      <c r="N292" s="855"/>
      <c r="O292" s="1192"/>
      <c r="P292" s="550"/>
      <c r="Q292" s="1148"/>
      <c r="R292" s="874"/>
      <c r="S292" s="875"/>
      <c r="T292" s="875"/>
      <c r="U292" s="875"/>
      <c r="V292" s="875"/>
      <c r="W292" s="875"/>
      <c r="X292" s="1026"/>
      <c r="Y292" s="1335"/>
      <c r="Z292" s="1335"/>
      <c r="AA292" s="1775"/>
      <c r="AB292" s="1814"/>
      <c r="AC292" s="876"/>
      <c r="AD292" s="1295"/>
      <c r="AE292" s="1525"/>
      <c r="AF292" s="1525"/>
      <c r="AG292" s="1525"/>
      <c r="AH292" s="1525"/>
      <c r="AI292" s="1525"/>
      <c r="AJ292" s="1525"/>
      <c r="AK292" s="1525"/>
      <c r="AL292" s="1525"/>
      <c r="AM292" s="1525"/>
      <c r="AN292" s="1525"/>
      <c r="AO292" s="1525"/>
      <c r="AP292" s="1525"/>
      <c r="AQ292" s="1525"/>
      <c r="AR292" s="1525"/>
      <c r="AS292" s="1525"/>
      <c r="AU292" s="1525"/>
      <c r="AV292" s="1295"/>
      <c r="AW292" s="1525"/>
      <c r="AX292" s="1525"/>
      <c r="AY292" s="1525"/>
      <c r="AZ292" s="1525"/>
      <c r="BA292" s="1525"/>
      <c r="BB292" s="1525"/>
      <c r="BC292" s="1525"/>
      <c r="BD292" s="1525"/>
      <c r="BE292" s="1525"/>
      <c r="BF292" s="1525"/>
      <c r="BG292" s="1525"/>
      <c r="BH292" s="1525"/>
      <c r="BI292" s="1525"/>
      <c r="BJ292" s="1525"/>
      <c r="BK292" s="1525"/>
      <c r="BL292" s="1525"/>
      <c r="BM292" s="1525"/>
      <c r="BN292" s="1525"/>
      <c r="BO292" s="1525"/>
      <c r="BP292" s="1525"/>
      <c r="BQ292" s="1525"/>
      <c r="BR292" s="1525"/>
      <c r="BS292" s="1525"/>
      <c r="BT292" s="1670"/>
      <c r="BV292"/>
      <c r="BW292" s="823"/>
    </row>
    <row r="293" spans="2:75" s="164" customFormat="1" ht="12.75" customHeight="1" x14ac:dyDescent="0.15">
      <c r="B293" s="175"/>
      <c r="F293" s="24"/>
      <c r="G293" s="823"/>
      <c r="H293" s="1364" t="s">
        <v>1508</v>
      </c>
      <c r="I293" s="172"/>
      <c r="J293" s="168"/>
      <c r="K293" s="168"/>
      <c r="L293" s="841"/>
      <c r="M293" s="841"/>
      <c r="N293" s="855"/>
      <c r="O293" s="1195"/>
      <c r="P293" s="550"/>
      <c r="Q293" s="1148"/>
      <c r="R293" s="874"/>
      <c r="S293" s="875"/>
      <c r="T293" s="875"/>
      <c r="U293" s="875"/>
      <c r="V293" s="875"/>
      <c r="W293" s="875"/>
      <c r="X293" s="1026"/>
      <c r="Y293" s="1754"/>
      <c r="Z293" s="1755"/>
      <c r="AA293" s="1775"/>
      <c r="AB293" s="1814"/>
      <c r="AC293" s="876"/>
      <c r="AD293" s="1295"/>
      <c r="AE293" s="1525"/>
      <c r="AF293" s="1525"/>
      <c r="AG293" s="1525"/>
      <c r="AH293" s="1525"/>
      <c r="AI293" s="1525"/>
      <c r="AJ293" s="1525"/>
      <c r="AK293" s="1525"/>
      <c r="AL293" s="1525"/>
      <c r="AM293" s="1525"/>
      <c r="AN293" s="1525"/>
      <c r="AO293" s="1525"/>
      <c r="AP293" s="1525"/>
      <c r="AQ293" s="1525"/>
      <c r="AR293" s="1525"/>
      <c r="AS293" s="1525"/>
      <c r="AU293" s="1525"/>
      <c r="AV293" s="1295"/>
      <c r="AW293" s="1525"/>
      <c r="AX293" s="1525"/>
      <c r="AY293" s="1525"/>
      <c r="AZ293" s="1525"/>
      <c r="BA293" s="1525"/>
      <c r="BB293" s="1525"/>
      <c r="BC293" s="1525"/>
      <c r="BD293" s="1525"/>
      <c r="BE293" s="1525"/>
      <c r="BF293" s="1525"/>
      <c r="BG293" s="1525"/>
      <c r="BH293" s="1525"/>
      <c r="BI293" s="1525"/>
      <c r="BJ293" s="1525"/>
      <c r="BK293" s="1525"/>
      <c r="BL293" s="1525"/>
      <c r="BM293" s="1525"/>
      <c r="BN293" s="1525"/>
      <c r="BO293" s="1525"/>
      <c r="BP293" s="1525"/>
      <c r="BQ293" s="1525"/>
      <c r="BR293" s="1525"/>
      <c r="BS293" s="1525"/>
      <c r="BT293" s="1670"/>
      <c r="BV293"/>
      <c r="BW293" s="823"/>
    </row>
    <row r="294" spans="2:75" s="164" customFormat="1" ht="12.75" customHeight="1" x14ac:dyDescent="0.2">
      <c r="B294" s="175"/>
      <c r="F294" s="24" t="s">
        <v>494</v>
      </c>
      <c r="G294" s="842"/>
      <c r="H294" s="1346" t="s">
        <v>1508</v>
      </c>
      <c r="I294" s="200"/>
      <c r="J294" s="189"/>
      <c r="K294" s="189"/>
      <c r="L294" s="858"/>
      <c r="M294" s="858"/>
      <c r="N294" s="855"/>
      <c r="O294" s="1192"/>
      <c r="P294" s="550"/>
      <c r="Q294" s="1148"/>
      <c r="R294" s="874"/>
      <c r="S294" s="875"/>
      <c r="T294" s="875"/>
      <c r="U294" s="875"/>
      <c r="V294" s="875"/>
      <c r="W294" s="875"/>
      <c r="X294" s="1026"/>
      <c r="Y294" s="1754"/>
      <c r="Z294" s="1755"/>
      <c r="AA294" s="1775"/>
      <c r="AB294" s="1814"/>
      <c r="AC294" s="876"/>
      <c r="AD294" s="1295"/>
      <c r="AE294" s="1525"/>
      <c r="AF294" s="1525"/>
      <c r="AG294" s="1525"/>
      <c r="AH294" s="1525"/>
      <c r="AI294" s="1525"/>
      <c r="AJ294" s="1525"/>
      <c r="AK294" s="1525"/>
      <c r="AL294" s="1525"/>
      <c r="AM294" s="1525"/>
      <c r="AN294" s="1525"/>
      <c r="AO294" s="1525"/>
      <c r="AP294" s="1525"/>
      <c r="AQ294" s="1525"/>
      <c r="AR294" s="1525"/>
      <c r="AS294" s="1525"/>
      <c r="AU294" s="1525"/>
      <c r="AV294" s="1295"/>
      <c r="AW294" s="1525"/>
      <c r="AX294" s="1525"/>
      <c r="AY294" s="1525"/>
      <c r="AZ294" s="1525"/>
      <c r="BA294" s="1525"/>
      <c r="BB294" s="1525"/>
      <c r="BC294" s="1525"/>
      <c r="BD294" s="1525"/>
      <c r="BE294" s="1525"/>
      <c r="BF294" s="1525"/>
      <c r="BG294" s="1525"/>
      <c r="BH294" s="1525"/>
      <c r="BI294" s="1525"/>
      <c r="BJ294" s="1525"/>
      <c r="BK294" s="1525"/>
      <c r="BL294" s="1525"/>
      <c r="BM294" s="1525"/>
      <c r="BN294" s="1525"/>
      <c r="BO294" s="1525"/>
      <c r="BP294" s="1525"/>
      <c r="BQ294" s="1525"/>
      <c r="BR294" s="1525"/>
      <c r="BS294" s="1525"/>
      <c r="BT294" s="1670"/>
      <c r="BV294"/>
      <c r="BW294" s="842"/>
    </row>
    <row r="295" spans="2:75" s="164" customFormat="1" ht="12.75" customHeight="1" x14ac:dyDescent="0.2">
      <c r="B295" s="175"/>
      <c r="F295" s="24"/>
      <c r="G295" s="856"/>
      <c r="H295" s="1346" t="s">
        <v>1508</v>
      </c>
      <c r="I295" s="200"/>
      <c r="J295" s="189"/>
      <c r="K295" s="189"/>
      <c r="L295" s="858"/>
      <c r="M295" s="858"/>
      <c r="N295" s="855"/>
      <c r="O295" s="1192"/>
      <c r="P295" s="550"/>
      <c r="Q295" s="1148"/>
      <c r="R295" s="874"/>
      <c r="S295" s="875"/>
      <c r="T295" s="875"/>
      <c r="U295" s="875"/>
      <c r="V295" s="875"/>
      <c r="W295" s="875"/>
      <c r="X295" s="1026"/>
      <c r="Y295" s="1754"/>
      <c r="Z295" s="1755"/>
      <c r="AA295" s="1775"/>
      <c r="AB295" s="1814"/>
      <c r="AC295" s="876"/>
      <c r="AD295" s="1295"/>
      <c r="AE295" s="1525"/>
      <c r="AF295" s="1525"/>
      <c r="AG295" s="1525"/>
      <c r="AH295" s="1525"/>
      <c r="AI295" s="1525"/>
      <c r="AJ295" s="1525"/>
      <c r="AK295" s="1525"/>
      <c r="AL295" s="1525"/>
      <c r="AM295" s="1525"/>
      <c r="AN295" s="1525"/>
      <c r="AO295" s="1525"/>
      <c r="AP295" s="1525"/>
      <c r="AQ295" s="1525"/>
      <c r="AR295" s="1525"/>
      <c r="AS295" s="1525"/>
      <c r="AU295" s="1525"/>
      <c r="AV295" s="1295"/>
      <c r="AW295" s="1525"/>
      <c r="AX295" s="1525"/>
      <c r="AY295" s="1525"/>
      <c r="AZ295" s="1525"/>
      <c r="BA295" s="1525"/>
      <c r="BB295" s="1525"/>
      <c r="BC295" s="1525"/>
      <c r="BD295" s="1525"/>
      <c r="BE295" s="1525"/>
      <c r="BF295" s="1525"/>
      <c r="BG295" s="1525"/>
      <c r="BH295" s="1525"/>
      <c r="BI295" s="1525"/>
      <c r="BJ295" s="1525"/>
      <c r="BK295" s="1525"/>
      <c r="BL295" s="1525"/>
      <c r="BM295" s="1525"/>
      <c r="BN295" s="1525"/>
      <c r="BO295" s="1525"/>
      <c r="BP295" s="1525"/>
      <c r="BQ295" s="1525"/>
      <c r="BR295" s="1525"/>
      <c r="BS295" s="1525"/>
      <c r="BT295" s="1670"/>
      <c r="BV295"/>
      <c r="BW295" s="856"/>
    </row>
    <row r="296" spans="2:75" ht="12.75" customHeight="1" x14ac:dyDescent="0.2">
      <c r="B296" s="175">
        <f>B293+1</f>
        <v>1</v>
      </c>
      <c r="C296" s="219">
        <v>11</v>
      </c>
      <c r="E296" s="12" t="s">
        <v>423</v>
      </c>
      <c r="F296" s="24" t="s">
        <v>824</v>
      </c>
      <c r="G296" s="913" t="s">
        <v>495</v>
      </c>
      <c r="H296" s="858">
        <v>3131</v>
      </c>
      <c r="I296" s="172" t="s">
        <v>161</v>
      </c>
      <c r="J296" s="168"/>
      <c r="K296" s="189"/>
      <c r="L296" s="858">
        <v>1</v>
      </c>
      <c r="M296" s="858">
        <f>K296+L296</f>
        <v>1</v>
      </c>
      <c r="N296" s="855" t="s">
        <v>1326</v>
      </c>
      <c r="O296" s="1196">
        <v>18542</v>
      </c>
      <c r="P296" s="1218">
        <f ca="1">YEARFRAC(TODAY(),O296)</f>
        <v>66.988888888888894</v>
      </c>
      <c r="Q296" s="1148">
        <v>36000</v>
      </c>
      <c r="R296" s="874">
        <f>Q296*0.1</f>
        <v>3600</v>
      </c>
      <c r="S296" s="875"/>
      <c r="T296" s="875"/>
      <c r="U296" s="875"/>
      <c r="V296" s="875"/>
      <c r="W296" s="875"/>
      <c r="X296" s="1026">
        <f>(Q296+R296+S296+T296+U296+V296+W296)*M296</f>
        <v>39600</v>
      </c>
      <c r="Y296" s="1512">
        <f>(T296+U296)*M296/(X296-M296*(T296+U296))</f>
        <v>0</v>
      </c>
      <c r="Z296" s="1741">
        <f>M296*(1+Y296)</f>
        <v>1</v>
      </c>
      <c r="AA296" s="1749">
        <f t="shared" si="171"/>
        <v>0</v>
      </c>
      <c r="AB296" s="1810">
        <f t="shared" ref="AB296:AB299" si="176">100*AA296/Z296</f>
        <v>0</v>
      </c>
      <c r="AC296" s="876"/>
      <c r="AD296" s="1525">
        <f t="shared" ref="AD296:AS299" si="177">SUMIF($AV$6:$BS$6,AD$5,$AV296:$BS296)</f>
        <v>0</v>
      </c>
      <c r="AE296" s="1525">
        <f t="shared" si="177"/>
        <v>0</v>
      </c>
      <c r="AF296" s="1525">
        <f t="shared" si="177"/>
        <v>0</v>
      </c>
      <c r="AG296" s="1525">
        <f t="shared" si="177"/>
        <v>0</v>
      </c>
      <c r="AH296" s="1525">
        <f t="shared" si="177"/>
        <v>0</v>
      </c>
      <c r="AI296" s="1525">
        <f t="shared" si="177"/>
        <v>0</v>
      </c>
      <c r="AJ296" s="1525">
        <f t="shared" si="177"/>
        <v>0</v>
      </c>
      <c r="AK296" s="1525">
        <f t="shared" si="177"/>
        <v>0</v>
      </c>
      <c r="AL296" s="1525">
        <f t="shared" si="177"/>
        <v>0</v>
      </c>
      <c r="AM296" s="1525">
        <f t="shared" si="177"/>
        <v>0</v>
      </c>
      <c r="AN296" s="1525">
        <f t="shared" si="177"/>
        <v>0</v>
      </c>
      <c r="AO296" s="1525">
        <f t="shared" si="177"/>
        <v>0</v>
      </c>
      <c r="AP296" s="1525">
        <f t="shared" si="177"/>
        <v>0</v>
      </c>
      <c r="AQ296" s="1525">
        <f t="shared" si="177"/>
        <v>0</v>
      </c>
      <c r="AR296" s="1525">
        <f t="shared" si="177"/>
        <v>0</v>
      </c>
      <c r="AS296" s="1525">
        <f t="shared" si="177"/>
        <v>0</v>
      </c>
      <c r="AU296" s="1525"/>
      <c r="AV296" s="1291"/>
      <c r="AW296" s="1292"/>
      <c r="AX296" s="1292"/>
      <c r="AY296" s="1292"/>
      <c r="AZ296" s="1292"/>
      <c r="BA296" s="1292"/>
      <c r="BB296" s="1292"/>
      <c r="BC296" s="1292"/>
      <c r="BD296" s="1292"/>
      <c r="BE296" s="1292"/>
      <c r="BF296" s="1292"/>
      <c r="BG296" s="1292"/>
      <c r="BH296" s="1292"/>
      <c r="BI296" s="1292"/>
      <c r="BJ296" s="1292"/>
      <c r="BK296" s="1292"/>
      <c r="BL296" s="1292"/>
      <c r="BM296" s="1292"/>
      <c r="BN296" s="1292"/>
      <c r="BO296" s="1292"/>
      <c r="BP296" s="1292"/>
      <c r="BQ296" s="1292"/>
      <c r="BR296" s="1292"/>
      <c r="BS296" s="1292"/>
      <c r="BT296" s="1670">
        <f t="shared" ref="BT296:BT299" si="178">SUM(AV296:BS296)</f>
        <v>0</v>
      </c>
      <c r="BW296" s="913" t="s">
        <v>495</v>
      </c>
    </row>
    <row r="297" spans="2:75" ht="12.75" customHeight="1" x14ac:dyDescent="0.2">
      <c r="B297" s="175">
        <f t="shared" ref="B297:B303" si="179">B296+1</f>
        <v>2</v>
      </c>
      <c r="C297" s="219">
        <v>13</v>
      </c>
      <c r="E297" s="12" t="s">
        <v>423</v>
      </c>
      <c r="F297" s="4" t="s">
        <v>792</v>
      </c>
      <c r="G297" s="862" t="s">
        <v>496</v>
      </c>
      <c r="H297" s="858">
        <v>11690</v>
      </c>
      <c r="I297" s="200" t="s">
        <v>1584</v>
      </c>
      <c r="J297" s="189"/>
      <c r="K297" s="189"/>
      <c r="L297" s="858">
        <v>1</v>
      </c>
      <c r="M297" s="858">
        <f>K297+L297</f>
        <v>1</v>
      </c>
      <c r="N297" s="857" t="s">
        <v>892</v>
      </c>
      <c r="O297" s="1196">
        <v>20540</v>
      </c>
      <c r="P297" s="1218">
        <f ca="1">YEARFRAC(TODAY(),O297)</f>
        <v>61.516666666666666</v>
      </c>
      <c r="Q297" s="1148">
        <v>28500</v>
      </c>
      <c r="R297" s="874"/>
      <c r="S297" s="875"/>
      <c r="T297" s="875"/>
      <c r="U297" s="875"/>
      <c r="V297" s="875"/>
      <c r="W297" s="875"/>
      <c r="X297" s="1026">
        <f>(Q297+R297+S297+T297+U297+V297+W297)*M297</f>
        <v>28500</v>
      </c>
      <c r="Y297" s="1512">
        <f>(T297+U297)*M297/(X297-M297*(T297+U297))</f>
        <v>0</v>
      </c>
      <c r="Z297" s="1741">
        <f>M297*(1+Y297)</f>
        <v>1</v>
      </c>
      <c r="AA297" s="1749">
        <f t="shared" si="171"/>
        <v>0</v>
      </c>
      <c r="AB297" s="1810">
        <f t="shared" si="176"/>
        <v>0</v>
      </c>
      <c r="AC297" s="876"/>
      <c r="AD297" s="1525">
        <f t="shared" si="177"/>
        <v>0</v>
      </c>
      <c r="AE297" s="1525">
        <f t="shared" si="177"/>
        <v>0</v>
      </c>
      <c r="AF297" s="1525">
        <f t="shared" si="177"/>
        <v>0</v>
      </c>
      <c r="AG297" s="1525">
        <f t="shared" si="177"/>
        <v>0</v>
      </c>
      <c r="AH297" s="1525">
        <f t="shared" si="177"/>
        <v>0</v>
      </c>
      <c r="AI297" s="1525">
        <f t="shared" si="177"/>
        <v>0</v>
      </c>
      <c r="AJ297" s="1525">
        <f t="shared" si="177"/>
        <v>0</v>
      </c>
      <c r="AK297" s="1525">
        <f t="shared" si="177"/>
        <v>0</v>
      </c>
      <c r="AL297" s="1525">
        <f t="shared" si="177"/>
        <v>0</v>
      </c>
      <c r="AM297" s="1525">
        <f t="shared" si="177"/>
        <v>0</v>
      </c>
      <c r="AN297" s="1525">
        <f t="shared" si="177"/>
        <v>0</v>
      </c>
      <c r="AO297" s="1525">
        <f t="shared" si="177"/>
        <v>0</v>
      </c>
      <c r="AP297" s="1525">
        <f t="shared" si="177"/>
        <v>0</v>
      </c>
      <c r="AQ297" s="1525">
        <f t="shared" si="177"/>
        <v>0</v>
      </c>
      <c r="AR297" s="1525">
        <f t="shared" si="177"/>
        <v>0</v>
      </c>
      <c r="AS297" s="1525">
        <f t="shared" si="177"/>
        <v>0</v>
      </c>
      <c r="AU297" s="1525"/>
      <c r="AV297" s="1291"/>
      <c r="AW297" s="1292"/>
      <c r="AX297" s="1292"/>
      <c r="AY297" s="1292"/>
      <c r="AZ297" s="1292"/>
      <c r="BA297" s="1292"/>
      <c r="BB297" s="1292"/>
      <c r="BC297" s="1292"/>
      <c r="BD297" s="1292"/>
      <c r="BE297" s="1292"/>
      <c r="BF297" s="1292"/>
      <c r="BG297" s="1292"/>
      <c r="BH297" s="1292"/>
      <c r="BI297" s="1292"/>
      <c r="BJ297" s="1292"/>
      <c r="BK297" s="1292"/>
      <c r="BL297" s="1292"/>
      <c r="BM297" s="1292"/>
      <c r="BN297" s="1292"/>
      <c r="BO297" s="1292"/>
      <c r="BP297" s="1292"/>
      <c r="BQ297" s="1292"/>
      <c r="BR297" s="1292"/>
      <c r="BS297" s="1292"/>
      <c r="BT297" s="1670">
        <f t="shared" si="178"/>
        <v>0</v>
      </c>
      <c r="BW297" s="862" t="s">
        <v>496</v>
      </c>
    </row>
    <row r="298" spans="2:75" ht="12.75" customHeight="1" x14ac:dyDescent="0.2">
      <c r="B298" s="175">
        <f t="shared" si="179"/>
        <v>3</v>
      </c>
      <c r="C298" s="219">
        <v>14</v>
      </c>
      <c r="E298" s="12" t="s">
        <v>423</v>
      </c>
      <c r="F298" s="4" t="s">
        <v>626</v>
      </c>
      <c r="G298" s="862" t="s">
        <v>1855</v>
      </c>
      <c r="H298" s="858">
        <v>20557</v>
      </c>
      <c r="I298" s="197" t="s">
        <v>1584</v>
      </c>
      <c r="J298" s="174"/>
      <c r="K298" s="174"/>
      <c r="L298" s="861">
        <v>1</v>
      </c>
      <c r="M298" s="861">
        <f>K298+L298</f>
        <v>1</v>
      </c>
      <c r="N298" s="857" t="s">
        <v>892</v>
      </c>
      <c r="O298" s="1196">
        <v>20005</v>
      </c>
      <c r="P298" s="1218">
        <f ca="1">YEARFRAC(TODAY(),O298)</f>
        <v>62.983333333333334</v>
      </c>
      <c r="Q298" s="1148">
        <v>21000</v>
      </c>
      <c r="R298" s="874"/>
      <c r="S298" s="875"/>
      <c r="T298" s="875"/>
      <c r="U298" s="875"/>
      <c r="V298" s="875"/>
      <c r="W298" s="875"/>
      <c r="X298" s="1026">
        <f>(Q298+R298+S298+T298+U298+V298+W298)*M298</f>
        <v>21000</v>
      </c>
      <c r="Y298" s="1512">
        <f>(T298+U298)*M298/(X298-M298*(T298+U298))</f>
        <v>0</v>
      </c>
      <c r="Z298" s="1741">
        <f>M298*(1+Y298)</f>
        <v>1</v>
      </c>
      <c r="AA298" s="1749">
        <f t="shared" si="171"/>
        <v>0</v>
      </c>
      <c r="AB298" s="1810">
        <f t="shared" si="176"/>
        <v>0</v>
      </c>
      <c r="AC298" s="876"/>
      <c r="AD298" s="1525">
        <f t="shared" si="177"/>
        <v>0</v>
      </c>
      <c r="AE298" s="1525">
        <f t="shared" si="177"/>
        <v>0</v>
      </c>
      <c r="AF298" s="1525">
        <f t="shared" si="177"/>
        <v>0</v>
      </c>
      <c r="AG298" s="1525">
        <f t="shared" si="177"/>
        <v>0</v>
      </c>
      <c r="AH298" s="1525">
        <f t="shared" si="177"/>
        <v>0</v>
      </c>
      <c r="AI298" s="1525">
        <f t="shared" si="177"/>
        <v>0</v>
      </c>
      <c r="AJ298" s="1525">
        <f t="shared" si="177"/>
        <v>0</v>
      </c>
      <c r="AK298" s="1525">
        <f t="shared" si="177"/>
        <v>0</v>
      </c>
      <c r="AL298" s="1525">
        <f t="shared" si="177"/>
        <v>0</v>
      </c>
      <c r="AM298" s="1525">
        <f t="shared" si="177"/>
        <v>0</v>
      </c>
      <c r="AN298" s="1525">
        <f t="shared" si="177"/>
        <v>0</v>
      </c>
      <c r="AO298" s="1525">
        <f t="shared" si="177"/>
        <v>0</v>
      </c>
      <c r="AP298" s="1525">
        <f t="shared" si="177"/>
        <v>0</v>
      </c>
      <c r="AQ298" s="1525">
        <f t="shared" si="177"/>
        <v>0</v>
      </c>
      <c r="AR298" s="1525">
        <f t="shared" si="177"/>
        <v>0</v>
      </c>
      <c r="AS298" s="1525">
        <f t="shared" si="177"/>
        <v>0</v>
      </c>
      <c r="AU298" s="1525"/>
      <c r="AV298" s="1291"/>
      <c r="AW298" s="1292"/>
      <c r="AX298" s="1292"/>
      <c r="AY298" s="1292"/>
      <c r="AZ298" s="1292"/>
      <c r="BA298" s="1292"/>
      <c r="BB298" s="1292"/>
      <c r="BC298" s="1292"/>
      <c r="BD298" s="1292"/>
      <c r="BE298" s="1292"/>
      <c r="BF298" s="1292"/>
      <c r="BG298" s="1292"/>
      <c r="BH298" s="1292"/>
      <c r="BI298" s="1292"/>
      <c r="BJ298" s="1292"/>
      <c r="BK298" s="1292"/>
      <c r="BL298" s="1292"/>
      <c r="BM298" s="1292"/>
      <c r="BN298" s="1292"/>
      <c r="BO298" s="1292"/>
      <c r="BP298" s="1292"/>
      <c r="BQ298" s="1292"/>
      <c r="BR298" s="1292"/>
      <c r="BS298" s="1292"/>
      <c r="BT298" s="1670">
        <f t="shared" si="178"/>
        <v>0</v>
      </c>
      <c r="BW298" s="862" t="s">
        <v>1855</v>
      </c>
    </row>
    <row r="299" spans="2:75" ht="12.75" customHeight="1" x14ac:dyDescent="0.2">
      <c r="B299" s="175">
        <f t="shared" si="179"/>
        <v>4</v>
      </c>
      <c r="C299" s="219">
        <v>14</v>
      </c>
      <c r="E299" s="12" t="s">
        <v>423</v>
      </c>
      <c r="F299" s="26" t="s">
        <v>626</v>
      </c>
      <c r="G299" s="830" t="s">
        <v>1858</v>
      </c>
      <c r="H299" s="873">
        <v>31428</v>
      </c>
      <c r="I299" s="196" t="s">
        <v>1584</v>
      </c>
      <c r="J299" s="195"/>
      <c r="K299" s="195"/>
      <c r="L299" s="873">
        <v>1</v>
      </c>
      <c r="M299" s="873">
        <f>K299+L299</f>
        <v>1</v>
      </c>
      <c r="N299" s="872" t="s">
        <v>892</v>
      </c>
      <c r="O299" s="1196">
        <v>23945</v>
      </c>
      <c r="P299" s="1218">
        <f ca="1">YEARFRAC(TODAY(),O299)</f>
        <v>52.194444444444443</v>
      </c>
      <c r="Q299" s="1148">
        <v>21500</v>
      </c>
      <c r="R299" s="874"/>
      <c r="S299" s="875"/>
      <c r="T299" s="875"/>
      <c r="U299" s="875"/>
      <c r="V299" s="875"/>
      <c r="W299" s="875"/>
      <c r="X299" s="1026">
        <f>(Q299+R299+S299+T299+U299+V299+W299)*M299</f>
        <v>21500</v>
      </c>
      <c r="Y299" s="1512">
        <f>(T299+U299)*M299/(X299-M299*(T299+U299))</f>
        <v>0</v>
      </c>
      <c r="Z299" s="1741">
        <f>M299*(1+Y299)</f>
        <v>1</v>
      </c>
      <c r="AA299" s="1749">
        <f t="shared" si="171"/>
        <v>0</v>
      </c>
      <c r="AB299" s="1810">
        <f t="shared" si="176"/>
        <v>0</v>
      </c>
      <c r="AC299" s="876"/>
      <c r="AD299" s="1525">
        <f t="shared" si="177"/>
        <v>0</v>
      </c>
      <c r="AE299" s="1525">
        <f t="shared" si="177"/>
        <v>0</v>
      </c>
      <c r="AF299" s="1525">
        <f t="shared" si="177"/>
        <v>0</v>
      </c>
      <c r="AG299" s="1525">
        <f t="shared" si="177"/>
        <v>0</v>
      </c>
      <c r="AH299" s="1525">
        <f t="shared" si="177"/>
        <v>0</v>
      </c>
      <c r="AI299" s="1525">
        <f t="shared" si="177"/>
        <v>0</v>
      </c>
      <c r="AJ299" s="1525">
        <f t="shared" si="177"/>
        <v>0</v>
      </c>
      <c r="AK299" s="1525">
        <f t="shared" si="177"/>
        <v>0</v>
      </c>
      <c r="AL299" s="1525">
        <f t="shared" si="177"/>
        <v>0</v>
      </c>
      <c r="AM299" s="1525">
        <f t="shared" si="177"/>
        <v>0</v>
      </c>
      <c r="AN299" s="1525">
        <f t="shared" si="177"/>
        <v>0</v>
      </c>
      <c r="AO299" s="1525">
        <f t="shared" si="177"/>
        <v>0</v>
      </c>
      <c r="AP299" s="1525">
        <f t="shared" si="177"/>
        <v>0</v>
      </c>
      <c r="AQ299" s="1525">
        <f t="shared" si="177"/>
        <v>0</v>
      </c>
      <c r="AR299" s="1525">
        <f t="shared" si="177"/>
        <v>0</v>
      </c>
      <c r="AS299" s="1525">
        <f t="shared" si="177"/>
        <v>0</v>
      </c>
      <c r="AU299" s="1525"/>
      <c r="AV299" s="1291"/>
      <c r="AW299" s="1292"/>
      <c r="AX299" s="1292"/>
      <c r="AY299" s="1292"/>
      <c r="AZ299" s="1292"/>
      <c r="BA299" s="1292"/>
      <c r="BB299" s="1292"/>
      <c r="BC299" s="1292"/>
      <c r="BD299" s="1292"/>
      <c r="BE299" s="1292"/>
      <c r="BF299" s="1292"/>
      <c r="BG299" s="1292"/>
      <c r="BH299" s="1292"/>
      <c r="BI299" s="1292"/>
      <c r="BJ299" s="1292"/>
      <c r="BK299" s="1292"/>
      <c r="BL299" s="1292"/>
      <c r="BM299" s="1292"/>
      <c r="BN299" s="1292"/>
      <c r="BO299" s="1292"/>
      <c r="BP299" s="1292"/>
      <c r="BQ299" s="1292"/>
      <c r="BR299" s="1292"/>
      <c r="BS299" s="1292"/>
      <c r="BT299" s="1670">
        <f t="shared" si="178"/>
        <v>0</v>
      </c>
      <c r="BW299" s="830" t="s">
        <v>1858</v>
      </c>
    </row>
    <row r="300" spans="2:75" s="164" customFormat="1" ht="12.75" customHeight="1" x14ac:dyDescent="0.15">
      <c r="B300" s="175"/>
      <c r="C300" s="219" t="s">
        <v>1120</v>
      </c>
      <c r="F300" s="4" t="s">
        <v>1238</v>
      </c>
      <c r="G300" s="913"/>
      <c r="H300" s="1351" t="s">
        <v>1508</v>
      </c>
      <c r="I300" s="197"/>
      <c r="J300" s="174"/>
      <c r="K300" s="446">
        <f>SUM(K296:K299)</f>
        <v>0</v>
      </c>
      <c r="L300" s="892">
        <f>SUM(L296:L299)</f>
        <v>4</v>
      </c>
      <c r="M300" s="892">
        <f>SUM(M296:M299)</f>
        <v>4</v>
      </c>
      <c r="N300" s="836"/>
      <c r="O300" s="1195"/>
      <c r="P300" s="550"/>
      <c r="Q300" s="1148"/>
      <c r="R300" s="874"/>
      <c r="S300" s="875"/>
      <c r="T300" s="875"/>
      <c r="U300" s="875"/>
      <c r="V300" s="875"/>
      <c r="W300" s="875"/>
      <c r="X300" s="1026"/>
      <c r="Y300" s="1335"/>
      <c r="Z300" s="1335"/>
      <c r="AA300" s="1749"/>
      <c r="AB300" s="1812"/>
      <c r="AC300" s="876"/>
      <c r="AD300" s="1295"/>
      <c r="AE300" s="1525"/>
      <c r="AF300" s="1525"/>
      <c r="AG300" s="1525"/>
      <c r="AH300" s="1525"/>
      <c r="AI300" s="1525"/>
      <c r="AJ300" s="1525"/>
      <c r="AK300" s="1525"/>
      <c r="AL300" s="1525"/>
      <c r="AM300" s="1525"/>
      <c r="AN300" s="1525"/>
      <c r="AO300" s="1525"/>
      <c r="AP300" s="1525"/>
      <c r="AQ300" s="1525"/>
      <c r="AR300" s="1525"/>
      <c r="AS300" s="1525"/>
      <c r="AU300" s="1525"/>
      <c r="AV300" s="1295"/>
      <c r="AW300" s="1525"/>
      <c r="AX300" s="1525"/>
      <c r="AY300" s="1525"/>
      <c r="AZ300" s="1525"/>
      <c r="BA300" s="1525"/>
      <c r="BB300" s="1525"/>
      <c r="BC300" s="1525"/>
      <c r="BD300" s="1525"/>
      <c r="BE300" s="1525"/>
      <c r="BF300" s="1525"/>
      <c r="BG300" s="1525"/>
      <c r="BH300" s="1525"/>
      <c r="BI300" s="1525"/>
      <c r="BJ300" s="1525"/>
      <c r="BK300" s="1525"/>
      <c r="BL300" s="1525"/>
      <c r="BM300" s="1525"/>
      <c r="BN300" s="1525"/>
      <c r="BO300" s="1525"/>
      <c r="BP300" s="1525"/>
      <c r="BQ300" s="1525"/>
      <c r="BR300" s="1525"/>
      <c r="BS300" s="1525"/>
      <c r="BT300" s="1670"/>
      <c r="BV300"/>
      <c r="BW300" s="913"/>
    </row>
    <row r="301" spans="2:75" s="164" customFormat="1" ht="12.75" customHeight="1" x14ac:dyDescent="0.2">
      <c r="B301" s="175"/>
      <c r="F301" s="24"/>
      <c r="G301" s="836"/>
      <c r="H301" s="1364" t="s">
        <v>1508</v>
      </c>
      <c r="I301" s="172"/>
      <c r="J301" s="168"/>
      <c r="K301" s="168"/>
      <c r="L301" s="841"/>
      <c r="M301" s="841"/>
      <c r="N301" s="857"/>
      <c r="O301" s="1192"/>
      <c r="P301" s="550"/>
      <c r="Q301" s="1148"/>
      <c r="R301" s="874"/>
      <c r="S301" s="875"/>
      <c r="T301" s="875"/>
      <c r="U301" s="875"/>
      <c r="V301" s="875"/>
      <c r="W301" s="875"/>
      <c r="X301" s="1026"/>
      <c r="Y301" s="1512"/>
      <c r="Z301" s="1741"/>
      <c r="AA301" s="1749"/>
      <c r="AB301" s="1812"/>
      <c r="AC301" s="876"/>
      <c r="AD301" s="1295"/>
      <c r="AE301" s="1525"/>
      <c r="AF301" s="1525"/>
      <c r="AG301" s="1525"/>
      <c r="AH301" s="1525"/>
      <c r="AI301" s="1525"/>
      <c r="AJ301" s="1525"/>
      <c r="AK301" s="1525"/>
      <c r="AL301" s="1525"/>
      <c r="AM301" s="1525"/>
      <c r="AN301" s="1525"/>
      <c r="AO301" s="1525"/>
      <c r="AP301" s="1525"/>
      <c r="AQ301" s="1525"/>
      <c r="AR301" s="1525"/>
      <c r="AS301" s="1525"/>
      <c r="AU301" s="1525"/>
      <c r="AV301" s="1295"/>
      <c r="AW301" s="1525"/>
      <c r="AX301" s="1525"/>
      <c r="AY301" s="1525"/>
      <c r="AZ301" s="1525"/>
      <c r="BA301" s="1525"/>
      <c r="BB301" s="1525"/>
      <c r="BC301" s="1525"/>
      <c r="BD301" s="1525"/>
      <c r="BE301" s="1525"/>
      <c r="BF301" s="1525"/>
      <c r="BG301" s="1525"/>
      <c r="BH301" s="1525"/>
      <c r="BI301" s="1525"/>
      <c r="BJ301" s="1525"/>
      <c r="BK301" s="1525"/>
      <c r="BL301" s="1525"/>
      <c r="BM301" s="1525"/>
      <c r="BN301" s="1525"/>
      <c r="BO301" s="1525"/>
      <c r="BP301" s="1525"/>
      <c r="BQ301" s="1525"/>
      <c r="BR301" s="1525"/>
      <c r="BS301" s="1525"/>
      <c r="BT301" s="1670"/>
      <c r="BV301"/>
      <c r="BW301" s="836"/>
    </row>
    <row r="302" spans="2:75" s="164" customFormat="1" ht="12.75" customHeight="1" x14ac:dyDescent="0.2">
      <c r="B302" s="175"/>
      <c r="F302" s="1115" t="s">
        <v>436</v>
      </c>
      <c r="G302" s="836"/>
      <c r="H302" s="1364" t="s">
        <v>1508</v>
      </c>
      <c r="I302" s="172"/>
      <c r="J302" s="168"/>
      <c r="K302" s="168"/>
      <c r="L302" s="841"/>
      <c r="M302" s="841"/>
      <c r="N302" s="857"/>
      <c r="O302" s="1192"/>
      <c r="P302" s="550"/>
      <c r="Q302" s="1148"/>
      <c r="R302" s="874"/>
      <c r="S302" s="875"/>
      <c r="T302" s="875"/>
      <c r="U302" s="875"/>
      <c r="V302" s="875"/>
      <c r="W302" s="875"/>
      <c r="X302" s="1026"/>
      <c r="Y302" s="1512"/>
      <c r="Z302" s="1741"/>
      <c r="AA302" s="1749"/>
      <c r="AB302" s="1812"/>
      <c r="AC302" s="876"/>
      <c r="AD302" s="1295"/>
      <c r="AE302" s="1525"/>
      <c r="AF302" s="1525"/>
      <c r="AG302" s="1525"/>
      <c r="AH302" s="1525"/>
      <c r="AI302" s="1525"/>
      <c r="AJ302" s="1525"/>
      <c r="AK302" s="1525"/>
      <c r="AL302" s="1525"/>
      <c r="AM302" s="1525"/>
      <c r="AN302" s="1525"/>
      <c r="AO302" s="1525"/>
      <c r="AP302" s="1525"/>
      <c r="AQ302" s="1525"/>
      <c r="AR302" s="1525"/>
      <c r="AS302" s="1525"/>
      <c r="AU302" s="1525"/>
      <c r="AV302" s="1295"/>
      <c r="AW302" s="1525"/>
      <c r="AX302" s="1525"/>
      <c r="AY302" s="1525"/>
      <c r="AZ302" s="1525"/>
      <c r="BA302" s="1525"/>
      <c r="BB302" s="1525"/>
      <c r="BC302" s="1525"/>
      <c r="BD302" s="1525"/>
      <c r="BE302" s="1525"/>
      <c r="BF302" s="1525"/>
      <c r="BG302" s="1525"/>
      <c r="BH302" s="1525"/>
      <c r="BI302" s="1525"/>
      <c r="BJ302" s="1525"/>
      <c r="BK302" s="1525"/>
      <c r="BL302" s="1525"/>
      <c r="BM302" s="1525"/>
      <c r="BN302" s="1525"/>
      <c r="BO302" s="1525"/>
      <c r="BP302" s="1525"/>
      <c r="BQ302" s="1525"/>
      <c r="BR302" s="1525"/>
      <c r="BS302" s="1525"/>
      <c r="BT302" s="1670"/>
      <c r="BV302"/>
      <c r="BW302" s="836"/>
    </row>
    <row r="303" spans="2:75" s="164" customFormat="1" ht="12.75" customHeight="1" x14ac:dyDescent="0.2">
      <c r="B303" s="175">
        <f t="shared" si="179"/>
        <v>1</v>
      </c>
      <c r="C303" s="164">
        <v>14</v>
      </c>
      <c r="E303" s="164" t="s">
        <v>423</v>
      </c>
      <c r="F303" s="24" t="s">
        <v>626</v>
      </c>
      <c r="G303" s="825" t="s">
        <v>1677</v>
      </c>
      <c r="H303" s="1123">
        <v>141112</v>
      </c>
      <c r="I303" s="172" t="s">
        <v>583</v>
      </c>
      <c r="J303" s="168"/>
      <c r="K303" s="1122">
        <v>1</v>
      </c>
      <c r="L303" s="1123"/>
      <c r="M303" s="1123">
        <v>1</v>
      </c>
      <c r="N303" s="857"/>
      <c r="O303" s="1192"/>
      <c r="P303" s="550"/>
      <c r="Q303" s="1148">
        <v>31500</v>
      </c>
      <c r="R303" s="874"/>
      <c r="S303" s="875"/>
      <c r="T303" s="875"/>
      <c r="U303" s="875"/>
      <c r="V303" s="875"/>
      <c r="W303" s="875"/>
      <c r="X303" s="1026">
        <f>(Q303+R303+S303+T303+U303+V303+W303)*M303</f>
        <v>31500</v>
      </c>
      <c r="Y303" s="1512">
        <f>(T303+U303)*M303/(X303-M303*(T303+U303))</f>
        <v>0</v>
      </c>
      <c r="Z303" s="1741">
        <f>M303*(1+Y303)</f>
        <v>1</v>
      </c>
      <c r="AA303" s="1749">
        <f>SUM(AD303:AS303)</f>
        <v>0</v>
      </c>
      <c r="AB303" s="1810">
        <f t="shared" ref="AB303" si="180">100*AA303/Z303</f>
        <v>0</v>
      </c>
      <c r="AC303" s="876"/>
      <c r="AD303" s="1525">
        <f t="shared" ref="AD303:AS303" si="181">SUMIF($AV$6:$BS$6,AD$5,$AV303:$BS303)</f>
        <v>0</v>
      </c>
      <c r="AE303" s="1525">
        <f t="shared" si="181"/>
        <v>0</v>
      </c>
      <c r="AF303" s="1525">
        <f t="shared" si="181"/>
        <v>0</v>
      </c>
      <c r="AG303" s="1525">
        <f t="shared" si="181"/>
        <v>0</v>
      </c>
      <c r="AH303" s="1525">
        <f t="shared" si="181"/>
        <v>0</v>
      </c>
      <c r="AI303" s="1525">
        <f t="shared" si="181"/>
        <v>0</v>
      </c>
      <c r="AJ303" s="1525">
        <f t="shared" si="181"/>
        <v>0</v>
      </c>
      <c r="AK303" s="1525">
        <f t="shared" si="181"/>
        <v>0</v>
      </c>
      <c r="AL303" s="1525">
        <f t="shared" si="181"/>
        <v>0</v>
      </c>
      <c r="AM303" s="1525">
        <f t="shared" si="181"/>
        <v>0</v>
      </c>
      <c r="AN303" s="1525">
        <f t="shared" si="181"/>
        <v>0</v>
      </c>
      <c r="AO303" s="1525">
        <f t="shared" si="181"/>
        <v>0</v>
      </c>
      <c r="AP303" s="1525">
        <f t="shared" si="181"/>
        <v>0</v>
      </c>
      <c r="AQ303" s="1525">
        <f t="shared" si="181"/>
        <v>0</v>
      </c>
      <c r="AR303" s="1525">
        <f t="shared" si="181"/>
        <v>0</v>
      </c>
      <c r="AS303" s="1525">
        <f t="shared" si="181"/>
        <v>0</v>
      </c>
      <c r="AU303" s="1525"/>
      <c r="AV303" s="1295"/>
      <c r="AW303" s="1525"/>
      <c r="AX303" s="1525"/>
      <c r="AY303" s="1525"/>
      <c r="AZ303" s="1525"/>
      <c r="BA303" s="1525"/>
      <c r="BB303" s="1525"/>
      <c r="BC303" s="1525"/>
      <c r="BD303" s="1525"/>
      <c r="BE303" s="1525"/>
      <c r="BF303" s="1525"/>
      <c r="BG303" s="1525"/>
      <c r="BH303" s="1525"/>
      <c r="BI303" s="1525"/>
      <c r="BJ303" s="1525"/>
      <c r="BK303" s="1525"/>
      <c r="BL303" s="1525"/>
      <c r="BM303" s="1525"/>
      <c r="BN303" s="1525"/>
      <c r="BO303" s="1525"/>
      <c r="BP303" s="1525"/>
      <c r="BQ303" s="1525"/>
      <c r="BR303" s="1525"/>
      <c r="BS303" s="1525"/>
      <c r="BT303" s="1670">
        <f>SUM(AV303:BS303)</f>
        <v>0</v>
      </c>
      <c r="BV303"/>
      <c r="BW303" s="825" t="s">
        <v>1677</v>
      </c>
    </row>
    <row r="304" spans="2:75" s="164" customFormat="1" ht="12.75" customHeight="1" x14ac:dyDescent="0.2">
      <c r="B304" s="175"/>
      <c r="F304" s="24"/>
      <c r="G304" s="836"/>
      <c r="H304" s="1364" t="s">
        <v>1508</v>
      </c>
      <c r="I304" s="172"/>
      <c r="J304" s="168"/>
      <c r="K304" s="168"/>
      <c r="L304" s="841"/>
      <c r="M304" s="841"/>
      <c r="N304" s="857"/>
      <c r="O304" s="1192"/>
      <c r="P304" s="550"/>
      <c r="Q304" s="1148"/>
      <c r="R304" s="874"/>
      <c r="S304" s="875"/>
      <c r="T304" s="875"/>
      <c r="U304" s="875"/>
      <c r="V304" s="875"/>
      <c r="W304" s="875"/>
      <c r="X304" s="1026"/>
      <c r="Y304" s="1512"/>
      <c r="Z304" s="1741"/>
      <c r="AA304" s="1749"/>
      <c r="AB304" s="1812"/>
      <c r="AC304" s="876"/>
      <c r="AD304" s="1295"/>
      <c r="AE304" s="1525"/>
      <c r="AF304" s="1525"/>
      <c r="AG304" s="1525"/>
      <c r="AH304" s="1525"/>
      <c r="AI304" s="1525"/>
      <c r="AJ304" s="1525"/>
      <c r="AK304" s="1525"/>
      <c r="AL304" s="1525"/>
      <c r="AM304" s="1525"/>
      <c r="AN304" s="1525"/>
      <c r="AO304" s="1525"/>
      <c r="AP304" s="1525"/>
      <c r="AQ304" s="1525"/>
      <c r="AR304" s="1525"/>
      <c r="AS304" s="1525"/>
      <c r="AU304" s="1525"/>
      <c r="AV304" s="1295"/>
      <c r="AW304" s="1525"/>
      <c r="AX304" s="1525"/>
      <c r="AY304" s="1525"/>
      <c r="AZ304" s="1525"/>
      <c r="BA304" s="1525"/>
      <c r="BB304" s="1525"/>
      <c r="BC304" s="1525"/>
      <c r="BD304" s="1525"/>
      <c r="BE304" s="1525"/>
      <c r="BF304" s="1525"/>
      <c r="BG304" s="1525"/>
      <c r="BH304" s="1525"/>
      <c r="BI304" s="1525"/>
      <c r="BJ304" s="1525"/>
      <c r="BK304" s="1525"/>
      <c r="BL304" s="1525"/>
      <c r="BM304" s="1525"/>
      <c r="BN304" s="1525"/>
      <c r="BO304" s="1525"/>
      <c r="BP304" s="1525"/>
      <c r="BQ304" s="1525"/>
      <c r="BR304" s="1525"/>
      <c r="BS304" s="1525"/>
      <c r="BT304" s="1670"/>
      <c r="BV304"/>
      <c r="BW304" s="836"/>
    </row>
    <row r="305" spans="2:75" s="164" customFormat="1" ht="12.75" customHeight="1" x14ac:dyDescent="0.2">
      <c r="B305" s="175"/>
      <c r="F305" s="24" t="s">
        <v>34</v>
      </c>
      <c r="G305" s="842"/>
      <c r="H305" s="1346" t="s">
        <v>1508</v>
      </c>
      <c r="I305" s="200"/>
      <c r="J305" s="189"/>
      <c r="K305" s="189"/>
      <c r="L305" s="858"/>
      <c r="M305" s="858"/>
      <c r="N305" s="857"/>
      <c r="O305" s="1192"/>
      <c r="P305" s="550"/>
      <c r="Q305" s="1148"/>
      <c r="R305" s="874"/>
      <c r="S305" s="875"/>
      <c r="T305" s="875"/>
      <c r="U305" s="875"/>
      <c r="V305" s="875"/>
      <c r="W305" s="875"/>
      <c r="X305" s="1026"/>
      <c r="Y305" s="1512"/>
      <c r="Z305" s="1741"/>
      <c r="AA305" s="1749"/>
      <c r="AB305" s="1812"/>
      <c r="AC305" s="876"/>
      <c r="AD305" s="1295"/>
      <c r="AE305" s="1525"/>
      <c r="AF305" s="1525"/>
      <c r="AG305" s="1525"/>
      <c r="AH305" s="1525"/>
      <c r="AI305" s="1525"/>
      <c r="AJ305" s="1525"/>
      <c r="AK305" s="1525"/>
      <c r="AL305" s="1525"/>
      <c r="AM305" s="1525"/>
      <c r="AN305" s="1525"/>
      <c r="AO305" s="1525"/>
      <c r="AP305" s="1525"/>
      <c r="AQ305" s="1525"/>
      <c r="AR305" s="1525"/>
      <c r="AS305" s="1525"/>
      <c r="AU305" s="1525"/>
      <c r="AV305" s="1295"/>
      <c r="AW305" s="1525"/>
      <c r="AX305" s="1525"/>
      <c r="AY305" s="1525"/>
      <c r="AZ305" s="1525"/>
      <c r="BA305" s="1525"/>
      <c r="BB305" s="1525"/>
      <c r="BC305" s="1525"/>
      <c r="BD305" s="1525"/>
      <c r="BE305" s="1525"/>
      <c r="BF305" s="1525"/>
      <c r="BG305" s="1525"/>
      <c r="BH305" s="1525"/>
      <c r="BI305" s="1525"/>
      <c r="BJ305" s="1525"/>
      <c r="BK305" s="1525"/>
      <c r="BL305" s="1525"/>
      <c r="BM305" s="1525"/>
      <c r="BN305" s="1525"/>
      <c r="BO305" s="1525"/>
      <c r="BP305" s="1525"/>
      <c r="BQ305" s="1525"/>
      <c r="BR305" s="1525"/>
      <c r="BS305" s="1525"/>
      <c r="BT305" s="1670"/>
      <c r="BV305"/>
      <c r="BW305" s="842"/>
    </row>
    <row r="306" spans="2:75" s="164" customFormat="1" ht="12.75" customHeight="1" x14ac:dyDescent="0.2">
      <c r="B306" s="175"/>
      <c r="F306" s="24"/>
      <c r="G306" s="836"/>
      <c r="H306" s="1346" t="s">
        <v>1508</v>
      </c>
      <c r="I306" s="200"/>
      <c r="J306" s="189"/>
      <c r="K306" s="189"/>
      <c r="L306" s="858"/>
      <c r="M306" s="858"/>
      <c r="N306" s="836"/>
      <c r="O306" s="1192"/>
      <c r="P306" s="550"/>
      <c r="Q306" s="1148"/>
      <c r="R306" s="874"/>
      <c r="S306" s="875"/>
      <c r="T306" s="875"/>
      <c r="U306" s="875"/>
      <c r="V306" s="875"/>
      <c r="W306" s="875"/>
      <c r="X306" s="1026"/>
      <c r="Y306" s="1512"/>
      <c r="Z306" s="1741"/>
      <c r="AA306" s="1749"/>
      <c r="AB306" s="1812"/>
      <c r="AC306" s="876"/>
      <c r="AD306" s="1295"/>
      <c r="AE306" s="1525"/>
      <c r="AF306" s="1525"/>
      <c r="AG306" s="1525"/>
      <c r="AH306" s="1525"/>
      <c r="AI306" s="1525"/>
      <c r="AJ306" s="1525"/>
      <c r="AK306" s="1525"/>
      <c r="AL306" s="1525"/>
      <c r="AM306" s="1525"/>
      <c r="AN306" s="1525"/>
      <c r="AO306" s="1525"/>
      <c r="AP306" s="1525"/>
      <c r="AQ306" s="1525"/>
      <c r="AR306" s="1525"/>
      <c r="AS306" s="1525"/>
      <c r="AU306" s="1525"/>
      <c r="AV306" s="1295"/>
      <c r="AW306" s="1525"/>
      <c r="AX306" s="1525"/>
      <c r="AY306" s="1525"/>
      <c r="AZ306" s="1525"/>
      <c r="BA306" s="1525"/>
      <c r="BB306" s="1525"/>
      <c r="BC306" s="1525"/>
      <c r="BD306" s="1525"/>
      <c r="BE306" s="1525"/>
      <c r="BF306" s="1525"/>
      <c r="BG306" s="1525"/>
      <c r="BH306" s="1525"/>
      <c r="BI306" s="1525"/>
      <c r="BJ306" s="1525"/>
      <c r="BK306" s="1525"/>
      <c r="BL306" s="1525"/>
      <c r="BM306" s="1525"/>
      <c r="BN306" s="1525"/>
      <c r="BO306" s="1525"/>
      <c r="BP306" s="1525"/>
      <c r="BQ306" s="1525"/>
      <c r="BR306" s="1525"/>
      <c r="BS306" s="1525"/>
      <c r="BT306" s="1670"/>
      <c r="BV306"/>
      <c r="BW306" s="836"/>
    </row>
    <row r="307" spans="2:75" ht="12.75" customHeight="1" x14ac:dyDescent="0.2">
      <c r="B307" s="175">
        <f>B306+1</f>
        <v>1</v>
      </c>
      <c r="C307" s="219">
        <v>11</v>
      </c>
      <c r="E307" s="12" t="s">
        <v>423</v>
      </c>
      <c r="F307" s="24" t="s">
        <v>1146</v>
      </c>
      <c r="G307" s="862" t="s">
        <v>1147</v>
      </c>
      <c r="H307" s="858">
        <v>47499</v>
      </c>
      <c r="I307" s="200" t="s">
        <v>161</v>
      </c>
      <c r="J307" s="189"/>
      <c r="K307" s="189"/>
      <c r="L307" s="858">
        <v>1</v>
      </c>
      <c r="M307" s="858">
        <f>K307+L307</f>
        <v>1</v>
      </c>
      <c r="N307" s="857" t="s">
        <v>1326</v>
      </c>
      <c r="O307" s="1196">
        <v>26347</v>
      </c>
      <c r="P307" s="1218">
        <f ca="1">YEARFRAC(TODAY(),O307)</f>
        <v>45.62222222222222</v>
      </c>
      <c r="Q307" s="1148">
        <v>61900</v>
      </c>
      <c r="R307" s="874">
        <f>Q307*0.1</f>
        <v>6190</v>
      </c>
      <c r="S307" s="875"/>
      <c r="T307" s="875">
        <v>32000</v>
      </c>
      <c r="U307" s="875"/>
      <c r="V307" s="875"/>
      <c r="W307" s="875"/>
      <c r="X307" s="1026">
        <f>(Q307+R307+S307+T307+U307+V307+W307)*M307</f>
        <v>100090</v>
      </c>
      <c r="Y307" s="1512">
        <f>(T307+U307)*M307/(X307-M307*(T307+U307))</f>
        <v>0.46996622117785286</v>
      </c>
      <c r="Z307" s="1741">
        <f>M307*(1+Y307)</f>
        <v>1.4699662211778528</v>
      </c>
      <c r="AA307" s="1749">
        <f>SUM(AD307:AS307)</f>
        <v>0</v>
      </c>
      <c r="AB307" s="1810">
        <f t="shared" ref="AB307:AB309" si="182">100*AA307/Z307</f>
        <v>0</v>
      </c>
      <c r="AC307" s="876"/>
      <c r="AD307" s="1525">
        <f t="shared" ref="AD307:AS309" si="183">SUMIF($AV$6:$BS$6,AD$5,$AV307:$BS307)</f>
        <v>0</v>
      </c>
      <c r="AE307" s="1525">
        <f t="shared" si="183"/>
        <v>0</v>
      </c>
      <c r="AF307" s="1525">
        <f t="shared" si="183"/>
        <v>0</v>
      </c>
      <c r="AG307" s="1525">
        <f t="shared" si="183"/>
        <v>0</v>
      </c>
      <c r="AH307" s="1525">
        <f t="shared" si="183"/>
        <v>0</v>
      </c>
      <c r="AI307" s="1525">
        <f t="shared" si="183"/>
        <v>0</v>
      </c>
      <c r="AJ307" s="1525">
        <f t="shared" si="183"/>
        <v>0</v>
      </c>
      <c r="AK307" s="1525">
        <f t="shared" si="183"/>
        <v>0</v>
      </c>
      <c r="AL307" s="1525">
        <f t="shared" si="183"/>
        <v>0</v>
      </c>
      <c r="AM307" s="1525">
        <f t="shared" si="183"/>
        <v>0</v>
      </c>
      <c r="AN307" s="1525">
        <f t="shared" si="183"/>
        <v>0</v>
      </c>
      <c r="AO307" s="1525">
        <f t="shared" si="183"/>
        <v>0</v>
      </c>
      <c r="AP307" s="1525">
        <f t="shared" si="183"/>
        <v>0</v>
      </c>
      <c r="AQ307" s="1525">
        <f t="shared" si="183"/>
        <v>0</v>
      </c>
      <c r="AR307" s="1525">
        <f t="shared" si="183"/>
        <v>0</v>
      </c>
      <c r="AS307" s="1525">
        <f t="shared" si="183"/>
        <v>0</v>
      </c>
      <c r="AU307" s="1540"/>
      <c r="AV307" s="1291"/>
      <c r="AW307" s="1292"/>
      <c r="AX307" s="1292"/>
      <c r="AY307" s="1292"/>
      <c r="AZ307" s="1292"/>
      <c r="BA307" s="1292"/>
      <c r="BB307" s="1292"/>
      <c r="BC307" s="1292"/>
      <c r="BD307" s="1292"/>
      <c r="BE307" s="1292"/>
      <c r="BF307" s="1292"/>
      <c r="BG307" s="1292"/>
      <c r="BH307" s="1292"/>
      <c r="BI307" s="1292"/>
      <c r="BJ307" s="1292"/>
      <c r="BK307" s="1292"/>
      <c r="BL307" s="1292"/>
      <c r="BM307" s="1292"/>
      <c r="BN307" s="1292"/>
      <c r="BO307" s="1292"/>
      <c r="BP307" s="1292"/>
      <c r="BQ307" s="1292"/>
      <c r="BR307" s="1292"/>
      <c r="BS307" s="1292"/>
      <c r="BT307" s="1670">
        <f t="shared" ref="BT307:BT309" si="184">SUM(AV307:BS307)</f>
        <v>0</v>
      </c>
      <c r="BW307" s="862" t="s">
        <v>1147</v>
      </c>
    </row>
    <row r="308" spans="2:75" ht="12.75" customHeight="1" x14ac:dyDescent="0.2">
      <c r="B308" s="175">
        <f>B307+1</f>
        <v>2</v>
      </c>
      <c r="C308" s="220">
        <v>12</v>
      </c>
      <c r="D308" s="170"/>
      <c r="E308" s="447" t="s">
        <v>423</v>
      </c>
      <c r="F308" s="4" t="s">
        <v>1107</v>
      </c>
      <c r="G308" s="862" t="s">
        <v>405</v>
      </c>
      <c r="H308" s="861">
        <v>132828</v>
      </c>
      <c r="I308" s="197" t="s">
        <v>583</v>
      </c>
      <c r="J308" s="174"/>
      <c r="K308" s="174"/>
      <c r="L308" s="861">
        <v>1</v>
      </c>
      <c r="M308" s="861">
        <f>K308+L308</f>
        <v>1</v>
      </c>
      <c r="N308" s="836" t="s">
        <v>1326</v>
      </c>
      <c r="O308" s="1196">
        <v>30099</v>
      </c>
      <c r="P308" s="1262">
        <f ca="1">YEARFRAC(TODAY(),O308)</f>
        <v>35.344444444444441</v>
      </c>
      <c r="Q308" s="1148">
        <v>47000</v>
      </c>
      <c r="R308" s="874">
        <f>Q308*0.1</f>
        <v>4700</v>
      </c>
      <c r="S308" s="876"/>
      <c r="T308" s="876">
        <v>21600</v>
      </c>
      <c r="U308" s="876"/>
      <c r="V308" s="876"/>
      <c r="W308" s="876"/>
      <c r="X308" s="1026">
        <f>(Q308+R308+S308+T308+U308+V308+W308)*M308</f>
        <v>73300</v>
      </c>
      <c r="Y308" s="1512">
        <f>(T308+U308)*M308/(X308-M308*(T308+U308))</f>
        <v>0.41779497098646035</v>
      </c>
      <c r="Z308" s="1741">
        <f>M308*(1+Y308)</f>
        <v>1.4177949709864603</v>
      </c>
      <c r="AA308" s="1749">
        <f>SUM(AD308:AS308)</f>
        <v>0</v>
      </c>
      <c r="AB308" s="1810">
        <f t="shared" si="182"/>
        <v>0</v>
      </c>
      <c r="AC308" s="876"/>
      <c r="AD308" s="1525">
        <f t="shared" si="183"/>
        <v>0</v>
      </c>
      <c r="AE308" s="1525">
        <f t="shared" si="183"/>
        <v>0</v>
      </c>
      <c r="AF308" s="1525">
        <f t="shared" si="183"/>
        <v>0</v>
      </c>
      <c r="AG308" s="1525">
        <f t="shared" si="183"/>
        <v>0</v>
      </c>
      <c r="AH308" s="1525">
        <f t="shared" si="183"/>
        <v>0</v>
      </c>
      <c r="AI308" s="1525">
        <f t="shared" si="183"/>
        <v>0</v>
      </c>
      <c r="AJ308" s="1525">
        <f t="shared" si="183"/>
        <v>0</v>
      </c>
      <c r="AK308" s="1525">
        <f t="shared" si="183"/>
        <v>0</v>
      </c>
      <c r="AL308" s="1525">
        <f t="shared" si="183"/>
        <v>0</v>
      </c>
      <c r="AM308" s="1525">
        <f t="shared" si="183"/>
        <v>0</v>
      </c>
      <c r="AN308" s="1525">
        <f t="shared" si="183"/>
        <v>0</v>
      </c>
      <c r="AO308" s="1525">
        <f t="shared" si="183"/>
        <v>0</v>
      </c>
      <c r="AP308" s="1525">
        <f t="shared" si="183"/>
        <v>0</v>
      </c>
      <c r="AQ308" s="1525">
        <f t="shared" si="183"/>
        <v>0</v>
      </c>
      <c r="AR308" s="1525">
        <f t="shared" si="183"/>
        <v>0</v>
      </c>
      <c r="AS308" s="1525">
        <f t="shared" si="183"/>
        <v>0</v>
      </c>
      <c r="AU308" s="1525"/>
      <c r="AV308" s="1291"/>
      <c r="AW308" s="1292"/>
      <c r="AX308" s="1292"/>
      <c r="AY308" s="1292"/>
      <c r="AZ308" s="1292"/>
      <c r="BA308" s="1292"/>
      <c r="BB308" s="1292"/>
      <c r="BC308" s="1292"/>
      <c r="BD308" s="1292"/>
      <c r="BE308" s="1292"/>
      <c r="BF308" s="1292"/>
      <c r="BG308" s="1292"/>
      <c r="BH308" s="1292"/>
      <c r="BI308" s="1292"/>
      <c r="BJ308" s="1292"/>
      <c r="BK308" s="1292"/>
      <c r="BL308" s="1292"/>
      <c r="BM308" s="1292"/>
      <c r="BN308" s="1292"/>
      <c r="BO308" s="1292"/>
      <c r="BP308" s="1292"/>
      <c r="BQ308" s="1292"/>
      <c r="BR308" s="1292"/>
      <c r="BS308" s="1292"/>
      <c r="BT308" s="1670">
        <f t="shared" si="184"/>
        <v>0</v>
      </c>
      <c r="BW308" s="862" t="s">
        <v>405</v>
      </c>
    </row>
    <row r="309" spans="2:75" s="164" customFormat="1" ht="12.75" customHeight="1" x14ac:dyDescent="0.2">
      <c r="B309" s="175">
        <f>B308+1</f>
        <v>3</v>
      </c>
      <c r="C309" s="219">
        <v>14</v>
      </c>
      <c r="E309" s="12" t="s">
        <v>423</v>
      </c>
      <c r="F309" s="4" t="s">
        <v>626</v>
      </c>
      <c r="G309" s="862" t="s">
        <v>1148</v>
      </c>
      <c r="H309" s="858">
        <v>233249</v>
      </c>
      <c r="I309" s="197" t="s">
        <v>583</v>
      </c>
      <c r="J309" s="174"/>
      <c r="K309" s="174"/>
      <c r="L309" s="858">
        <v>1</v>
      </c>
      <c r="M309" s="858">
        <f>K309+L309</f>
        <v>1</v>
      </c>
      <c r="N309" s="857" t="s">
        <v>1326</v>
      </c>
      <c r="O309" s="1192"/>
      <c r="P309" s="550"/>
      <c r="Q309" s="1148">
        <v>26000</v>
      </c>
      <c r="R309" s="874">
        <f>Q309*0.1</f>
        <v>2600</v>
      </c>
      <c r="S309" s="875"/>
      <c r="T309" s="875"/>
      <c r="U309" s="875"/>
      <c r="V309" s="875"/>
      <c r="W309" s="875"/>
      <c r="X309" s="1026">
        <f>(Q309+R309+S309+T309+U309+V309+W309)*M309</f>
        <v>28600</v>
      </c>
      <c r="Y309" s="1512">
        <f>(T309+U309)*M309/(X309-M309*(T309+U309))</f>
        <v>0</v>
      </c>
      <c r="Z309" s="1741">
        <f>M309*(1+Y309)</f>
        <v>1</v>
      </c>
      <c r="AA309" s="1749">
        <f>SUM(AD309:AS309)</f>
        <v>0</v>
      </c>
      <c r="AB309" s="1810">
        <f t="shared" si="182"/>
        <v>0</v>
      </c>
      <c r="AC309" s="876"/>
      <c r="AD309" s="1525">
        <f t="shared" si="183"/>
        <v>0</v>
      </c>
      <c r="AE309" s="1525">
        <f t="shared" si="183"/>
        <v>0</v>
      </c>
      <c r="AF309" s="1525">
        <f t="shared" si="183"/>
        <v>0</v>
      </c>
      <c r="AG309" s="1525">
        <f t="shared" si="183"/>
        <v>0</v>
      </c>
      <c r="AH309" s="1525">
        <f t="shared" si="183"/>
        <v>0</v>
      </c>
      <c r="AI309" s="1525">
        <f t="shared" si="183"/>
        <v>0</v>
      </c>
      <c r="AJ309" s="1525">
        <f t="shared" si="183"/>
        <v>0</v>
      </c>
      <c r="AK309" s="1525">
        <f t="shared" si="183"/>
        <v>0</v>
      </c>
      <c r="AL309" s="1525">
        <f t="shared" si="183"/>
        <v>0</v>
      </c>
      <c r="AM309" s="1525">
        <f t="shared" si="183"/>
        <v>0</v>
      </c>
      <c r="AN309" s="1525">
        <f t="shared" si="183"/>
        <v>0</v>
      </c>
      <c r="AO309" s="1525">
        <f t="shared" si="183"/>
        <v>0</v>
      </c>
      <c r="AP309" s="1525">
        <f t="shared" si="183"/>
        <v>0</v>
      </c>
      <c r="AQ309" s="1525">
        <f t="shared" si="183"/>
        <v>0</v>
      </c>
      <c r="AR309" s="1525">
        <f t="shared" si="183"/>
        <v>0</v>
      </c>
      <c r="AS309" s="1525">
        <f t="shared" si="183"/>
        <v>0</v>
      </c>
      <c r="AU309" s="1525"/>
      <c r="AV309" s="1295"/>
      <c r="AW309" s="1525"/>
      <c r="AX309" s="1525"/>
      <c r="AY309" s="1525"/>
      <c r="AZ309" s="1525"/>
      <c r="BA309" s="1525"/>
      <c r="BB309" s="1525"/>
      <c r="BC309" s="1525"/>
      <c r="BD309" s="1525"/>
      <c r="BE309" s="1525"/>
      <c r="BF309" s="1525"/>
      <c r="BG309" s="1525"/>
      <c r="BH309" s="1525"/>
      <c r="BI309" s="1525"/>
      <c r="BJ309" s="1525"/>
      <c r="BK309" s="1525"/>
      <c r="BL309" s="1525"/>
      <c r="BM309" s="1525"/>
      <c r="BN309" s="1525"/>
      <c r="BO309" s="1525"/>
      <c r="BP309" s="1525"/>
      <c r="BQ309" s="1525"/>
      <c r="BR309" s="1525"/>
      <c r="BS309" s="1525"/>
      <c r="BT309" s="1670">
        <f t="shared" si="184"/>
        <v>0</v>
      </c>
      <c r="BV309"/>
      <c r="BW309" s="862" t="s">
        <v>1148</v>
      </c>
    </row>
    <row r="310" spans="2:75" s="164" customFormat="1" ht="12.75" customHeight="1" x14ac:dyDescent="0.2">
      <c r="B310" s="175"/>
      <c r="C310" s="219" t="s">
        <v>1120</v>
      </c>
      <c r="F310" s="33" t="s">
        <v>552</v>
      </c>
      <c r="G310" s="915"/>
      <c r="H310" s="1366" t="s">
        <v>1508</v>
      </c>
      <c r="I310" s="229"/>
      <c r="J310" s="206"/>
      <c r="K310" s="205">
        <f>SUM(K307:K308)</f>
        <v>0</v>
      </c>
      <c r="L310" s="914">
        <f>SUM(L307:L309)</f>
        <v>3</v>
      </c>
      <c r="M310" s="914">
        <f>SUM(M307:M309)</f>
        <v>3</v>
      </c>
      <c r="N310" s="916"/>
      <c r="O310" s="1192"/>
      <c r="P310" s="1227"/>
      <c r="Q310" s="1148"/>
      <c r="R310" s="874"/>
      <c r="S310" s="875"/>
      <c r="T310" s="875"/>
      <c r="U310" s="875"/>
      <c r="V310" s="875"/>
      <c r="W310" s="875"/>
      <c r="X310" s="1026"/>
      <c r="Y310" s="1335"/>
      <c r="Z310" s="1335"/>
      <c r="AA310" s="1749"/>
      <c r="AB310" s="1812"/>
      <c r="AC310" s="876"/>
      <c r="AD310" s="1295"/>
      <c r="AE310" s="1525"/>
      <c r="AF310" s="1525"/>
      <c r="AG310" s="1525"/>
      <c r="AH310" s="1525"/>
      <c r="AI310" s="1525"/>
      <c r="AJ310" s="1525"/>
      <c r="AK310" s="1525"/>
      <c r="AL310" s="1525"/>
      <c r="AM310" s="1525"/>
      <c r="AN310" s="1525"/>
      <c r="AO310" s="1525"/>
      <c r="AP310" s="1525"/>
      <c r="AQ310" s="1525"/>
      <c r="AR310" s="1525"/>
      <c r="AS310" s="1525"/>
      <c r="AU310" s="1525"/>
      <c r="AV310" s="1295"/>
      <c r="AW310" s="1525"/>
      <c r="AX310" s="1525"/>
      <c r="AY310" s="1525"/>
      <c r="AZ310" s="1525"/>
      <c r="BA310" s="1525"/>
      <c r="BB310" s="1525"/>
      <c r="BC310" s="1525"/>
      <c r="BD310" s="1525"/>
      <c r="BE310" s="1525"/>
      <c r="BF310" s="1525"/>
      <c r="BG310" s="1525"/>
      <c r="BH310" s="1525"/>
      <c r="BI310" s="1525"/>
      <c r="BJ310" s="1525"/>
      <c r="BK310" s="1525"/>
      <c r="BL310" s="1525"/>
      <c r="BM310" s="1525"/>
      <c r="BN310" s="1525"/>
      <c r="BO310" s="1525"/>
      <c r="BP310" s="1525"/>
      <c r="BQ310" s="1525"/>
      <c r="BR310" s="1525"/>
      <c r="BS310" s="1525"/>
      <c r="BT310" s="1670"/>
      <c r="BV310"/>
      <c r="BW310" s="915"/>
    </row>
    <row r="311" spans="2:75" s="164" customFormat="1" ht="12.75" customHeight="1" x14ac:dyDescent="0.2">
      <c r="B311" s="175"/>
      <c r="C311" s="219" t="s">
        <v>1120</v>
      </c>
      <c r="F311" s="4" t="s">
        <v>553</v>
      </c>
      <c r="G311" s="832"/>
      <c r="H311" s="1367" t="s">
        <v>1508</v>
      </c>
      <c r="I311" s="180"/>
      <c r="J311" s="173"/>
      <c r="K311" s="446">
        <f>K292+K300+K310+K303+K314</f>
        <v>2</v>
      </c>
      <c r="L311" s="446">
        <f>L292+L300+L310+L303+L314</f>
        <v>12</v>
      </c>
      <c r="M311" s="446">
        <f>M292+M300+M310+M303+M314</f>
        <v>14</v>
      </c>
      <c r="N311" s="855"/>
      <c r="O311" s="1192"/>
      <c r="P311" s="550"/>
      <c r="Q311" s="1148"/>
      <c r="R311" s="874"/>
      <c r="S311" s="875"/>
      <c r="T311" s="875"/>
      <c r="U311" s="875"/>
      <c r="V311" s="875"/>
      <c r="W311" s="875"/>
      <c r="X311" s="1026"/>
      <c r="Y311" s="1335"/>
      <c r="Z311" s="1335"/>
      <c r="AA311" s="1749"/>
      <c r="AB311" s="1812"/>
      <c r="AC311" s="876"/>
      <c r="AD311" s="1295"/>
      <c r="AE311" s="1525"/>
      <c r="AF311" s="1525"/>
      <c r="AG311" s="1525"/>
      <c r="AH311" s="1525"/>
      <c r="AI311" s="1525"/>
      <c r="AJ311" s="1525"/>
      <c r="AK311" s="1525"/>
      <c r="AL311" s="1525"/>
      <c r="AM311" s="1525"/>
      <c r="AN311" s="1525"/>
      <c r="AO311" s="1525"/>
      <c r="AP311" s="1525"/>
      <c r="AQ311" s="1525"/>
      <c r="AR311" s="1525"/>
      <c r="AS311" s="1525"/>
      <c r="AU311" s="1525"/>
      <c r="AV311" s="1295"/>
      <c r="AW311" s="1525"/>
      <c r="AX311" s="1525"/>
      <c r="AY311" s="1525"/>
      <c r="AZ311" s="1525"/>
      <c r="BA311" s="1525"/>
      <c r="BB311" s="1525"/>
      <c r="BC311" s="1525"/>
      <c r="BD311" s="1525"/>
      <c r="BE311" s="1525"/>
      <c r="BF311" s="1525"/>
      <c r="BG311" s="1525"/>
      <c r="BH311" s="1525"/>
      <c r="BI311" s="1525"/>
      <c r="BJ311" s="1525"/>
      <c r="BK311" s="1525"/>
      <c r="BL311" s="1525"/>
      <c r="BM311" s="1525"/>
      <c r="BN311" s="1525"/>
      <c r="BO311" s="1525"/>
      <c r="BP311" s="1525"/>
      <c r="BQ311" s="1525"/>
      <c r="BR311" s="1525"/>
      <c r="BS311" s="1525"/>
      <c r="BT311" s="1670"/>
      <c r="BV311"/>
      <c r="BW311" s="832"/>
    </row>
    <row r="312" spans="2:75" s="164" customFormat="1" ht="12.75" customHeight="1" x14ac:dyDescent="0.15">
      <c r="B312" s="175"/>
      <c r="F312" s="4"/>
      <c r="G312" s="832"/>
      <c r="H312" s="1358" t="s">
        <v>1508</v>
      </c>
      <c r="I312" s="180"/>
      <c r="J312" s="173"/>
      <c r="K312" s="173"/>
      <c r="L312" s="893"/>
      <c r="M312" s="893"/>
      <c r="N312" s="855"/>
      <c r="O312" s="1195"/>
      <c r="P312" s="550"/>
      <c r="Q312" s="1148"/>
      <c r="R312" s="874"/>
      <c r="S312" s="875"/>
      <c r="T312" s="875"/>
      <c r="U312" s="875"/>
      <c r="V312" s="875"/>
      <c r="W312" s="875"/>
      <c r="X312" s="1026"/>
      <c r="Y312" s="1512"/>
      <c r="Z312" s="1741"/>
      <c r="AA312" s="1749"/>
      <c r="AB312" s="1812"/>
      <c r="AC312" s="876"/>
      <c r="AD312" s="1295"/>
      <c r="AE312" s="1525"/>
      <c r="AF312" s="1525"/>
      <c r="AG312" s="1525"/>
      <c r="AH312" s="1525"/>
      <c r="AI312" s="1525"/>
      <c r="AJ312" s="1525"/>
      <c r="AK312" s="1525"/>
      <c r="AL312" s="1525"/>
      <c r="AM312" s="1525"/>
      <c r="AN312" s="1525"/>
      <c r="AO312" s="1525"/>
      <c r="AP312" s="1525"/>
      <c r="AQ312" s="1525"/>
      <c r="AR312" s="1525"/>
      <c r="AS312" s="1525"/>
      <c r="AU312" s="1525"/>
      <c r="AV312" s="1295"/>
      <c r="AW312" s="1525"/>
      <c r="AX312" s="1525"/>
      <c r="AY312" s="1525"/>
      <c r="AZ312" s="1525"/>
      <c r="BA312" s="1525"/>
      <c r="BB312" s="1525"/>
      <c r="BC312" s="1525"/>
      <c r="BD312" s="1525"/>
      <c r="BE312" s="1525"/>
      <c r="BF312" s="1525"/>
      <c r="BG312" s="1525"/>
      <c r="BH312" s="1525"/>
      <c r="BI312" s="1525"/>
      <c r="BJ312" s="1525"/>
      <c r="BK312" s="1525"/>
      <c r="BL312" s="1525"/>
      <c r="BM312" s="1525"/>
      <c r="BN312" s="1525"/>
      <c r="BO312" s="1525"/>
      <c r="BP312" s="1525"/>
      <c r="BQ312" s="1525"/>
      <c r="BR312" s="1525"/>
      <c r="BS312" s="1525"/>
      <c r="BT312" s="1670"/>
      <c r="BV312"/>
      <c r="BW312" s="832"/>
    </row>
    <row r="313" spans="2:75" s="164" customFormat="1" ht="12.75" customHeight="1" x14ac:dyDescent="0.15">
      <c r="B313" s="175"/>
      <c r="F313" s="1115" t="s">
        <v>436</v>
      </c>
      <c r="G313" s="832"/>
      <c r="H313" s="1358" t="s">
        <v>1508</v>
      </c>
      <c r="I313" s="180"/>
      <c r="J313" s="173"/>
      <c r="K313" s="173"/>
      <c r="L313" s="893"/>
      <c r="M313" s="893"/>
      <c r="N313" s="855"/>
      <c r="O313" s="1195"/>
      <c r="P313" s="550"/>
      <c r="Q313" s="1148"/>
      <c r="R313" s="874"/>
      <c r="S313" s="875"/>
      <c r="T313" s="875"/>
      <c r="U313" s="875"/>
      <c r="V313" s="875"/>
      <c r="W313" s="875"/>
      <c r="X313" s="1026"/>
      <c r="Y313" s="1512"/>
      <c r="Z313" s="1741"/>
      <c r="AA313" s="1749"/>
      <c r="AB313" s="1812"/>
      <c r="AC313" s="876"/>
      <c r="AD313" s="1295"/>
      <c r="AE313" s="1525"/>
      <c r="AF313" s="1525"/>
      <c r="AG313" s="1525"/>
      <c r="AH313" s="1525"/>
      <c r="AI313" s="1525"/>
      <c r="AJ313" s="1525"/>
      <c r="AK313" s="1525"/>
      <c r="AL313" s="1525"/>
      <c r="AM313" s="1525"/>
      <c r="AN313" s="1525"/>
      <c r="AO313" s="1525"/>
      <c r="AP313" s="1525"/>
      <c r="AQ313" s="1525"/>
      <c r="AR313" s="1525"/>
      <c r="AS313" s="1525"/>
      <c r="AU313" s="1525"/>
      <c r="AV313" s="1295"/>
      <c r="AW313" s="1525"/>
      <c r="AX313" s="1525"/>
      <c r="AY313" s="1525"/>
      <c r="AZ313" s="1525"/>
      <c r="BA313" s="1525"/>
      <c r="BB313" s="1525"/>
      <c r="BC313" s="1525"/>
      <c r="BD313" s="1525"/>
      <c r="BE313" s="1525"/>
      <c r="BF313" s="1525"/>
      <c r="BG313" s="1525"/>
      <c r="BH313" s="1525"/>
      <c r="BI313" s="1525"/>
      <c r="BJ313" s="1525"/>
      <c r="BK313" s="1525"/>
      <c r="BL313" s="1525"/>
      <c r="BM313" s="1525"/>
      <c r="BN313" s="1525"/>
      <c r="BO313" s="1525"/>
      <c r="BP313" s="1525"/>
      <c r="BQ313" s="1525"/>
      <c r="BR313" s="1525"/>
      <c r="BS313" s="1525"/>
      <c r="BT313" s="1670"/>
      <c r="BV313"/>
      <c r="BW313" s="832"/>
    </row>
    <row r="314" spans="2:75" s="164" customFormat="1" ht="12.75" customHeight="1" x14ac:dyDescent="0.15">
      <c r="B314" s="175">
        <f>B312+1</f>
        <v>1</v>
      </c>
      <c r="C314" s="219">
        <v>14</v>
      </c>
      <c r="E314" s="164" t="s">
        <v>423</v>
      </c>
      <c r="F314" s="24" t="s">
        <v>626</v>
      </c>
      <c r="G314" s="834" t="s">
        <v>1794</v>
      </c>
      <c r="H314" s="893">
        <v>161456</v>
      </c>
      <c r="I314" s="180" t="s">
        <v>583</v>
      </c>
      <c r="J314" s="173"/>
      <c r="K314" s="173">
        <v>1</v>
      </c>
      <c r="L314" s="893"/>
      <c r="M314" s="893">
        <v>1</v>
      </c>
      <c r="N314" s="855" t="s">
        <v>892</v>
      </c>
      <c r="O314" s="1195"/>
      <c r="P314" s="550"/>
      <c r="Q314" s="1148">
        <v>25000</v>
      </c>
      <c r="R314" s="874"/>
      <c r="S314" s="875"/>
      <c r="T314" s="875"/>
      <c r="U314" s="875"/>
      <c r="V314" s="875"/>
      <c r="W314" s="875"/>
      <c r="X314" s="1026">
        <f>(Q314+R314+S314+T314+U314+V314+W314)*M314</f>
        <v>25000</v>
      </c>
      <c r="Y314" s="1512">
        <f>(T314+U314)*M314/(X314-M314*(T314+U314))</f>
        <v>0</v>
      </c>
      <c r="Z314" s="1741">
        <f>M314*(1+Y314)</f>
        <v>1</v>
      </c>
      <c r="AA314" s="1749">
        <f>SUM(AD314:AS314)</f>
        <v>0</v>
      </c>
      <c r="AB314" s="1810">
        <f t="shared" ref="AB314" si="185">100*AA314/Z314</f>
        <v>0</v>
      </c>
      <c r="AC314" s="876"/>
      <c r="AD314" s="1525">
        <f t="shared" ref="AD314:AS314" si="186">SUMIF($AV$6:$BS$6,AD$5,$AV314:$BS314)</f>
        <v>0</v>
      </c>
      <c r="AE314" s="1525">
        <f t="shared" si="186"/>
        <v>0</v>
      </c>
      <c r="AF314" s="1525">
        <f t="shared" si="186"/>
        <v>0</v>
      </c>
      <c r="AG314" s="1525">
        <f t="shared" si="186"/>
        <v>0</v>
      </c>
      <c r="AH314" s="1525">
        <f t="shared" si="186"/>
        <v>0</v>
      </c>
      <c r="AI314" s="1525">
        <f t="shared" si="186"/>
        <v>0</v>
      </c>
      <c r="AJ314" s="1525">
        <f t="shared" si="186"/>
        <v>0</v>
      </c>
      <c r="AK314" s="1525">
        <f t="shared" si="186"/>
        <v>0</v>
      </c>
      <c r="AL314" s="1525">
        <f t="shared" si="186"/>
        <v>0</v>
      </c>
      <c r="AM314" s="1525">
        <f t="shared" si="186"/>
        <v>0</v>
      </c>
      <c r="AN314" s="1525">
        <f t="shared" si="186"/>
        <v>0</v>
      </c>
      <c r="AO314" s="1525">
        <f t="shared" si="186"/>
        <v>0</v>
      </c>
      <c r="AP314" s="1525">
        <f t="shared" si="186"/>
        <v>0</v>
      </c>
      <c r="AQ314" s="1525">
        <f t="shared" si="186"/>
        <v>0</v>
      </c>
      <c r="AR314" s="1525">
        <f t="shared" si="186"/>
        <v>0</v>
      </c>
      <c r="AS314" s="1525">
        <f t="shared" si="186"/>
        <v>0</v>
      </c>
      <c r="AU314" s="1525"/>
      <c r="AV314" s="1295"/>
      <c r="AW314" s="1525"/>
      <c r="AX314" s="1525"/>
      <c r="AY314" s="1525"/>
      <c r="AZ314" s="1525"/>
      <c r="BA314" s="1525"/>
      <c r="BB314" s="1525"/>
      <c r="BC314" s="1525"/>
      <c r="BD314" s="1525"/>
      <c r="BE314" s="1525"/>
      <c r="BF314" s="1525"/>
      <c r="BG314" s="1525"/>
      <c r="BH314" s="1525"/>
      <c r="BI314" s="1525"/>
      <c r="BJ314" s="1525"/>
      <c r="BK314" s="1525"/>
      <c r="BL314" s="1525"/>
      <c r="BM314" s="1525"/>
      <c r="BN314" s="1525"/>
      <c r="BO314" s="1525"/>
      <c r="BP314" s="1525"/>
      <c r="BQ314" s="1525"/>
      <c r="BR314" s="1525"/>
      <c r="BS314" s="1525"/>
      <c r="BT314" s="1670">
        <f>SUM(AV314:BS314)</f>
        <v>0</v>
      </c>
      <c r="BV314"/>
      <c r="BW314" s="834" t="s">
        <v>1794</v>
      </c>
    </row>
    <row r="315" spans="2:75" s="164" customFormat="1" ht="12.75" customHeight="1" x14ac:dyDescent="0.15">
      <c r="B315" s="175"/>
      <c r="F315" s="24"/>
      <c r="G315" s="856"/>
      <c r="H315" s="1364" t="s">
        <v>1508</v>
      </c>
      <c r="I315" s="172"/>
      <c r="J315" s="168"/>
      <c r="K315" s="168"/>
      <c r="L315" s="841"/>
      <c r="M315" s="841"/>
      <c r="N315" s="855"/>
      <c r="O315" s="1200"/>
      <c r="P315" s="550"/>
      <c r="Q315" s="1148"/>
      <c r="R315" s="874"/>
      <c r="S315" s="875"/>
      <c r="T315" s="875"/>
      <c r="U315" s="875"/>
      <c r="V315" s="875"/>
      <c r="W315" s="875"/>
      <c r="X315" s="1026"/>
      <c r="Y315" s="1512"/>
      <c r="Z315" s="1741"/>
      <c r="AA315" s="1749"/>
      <c r="AB315" s="1812"/>
      <c r="AC315" s="876"/>
      <c r="AD315" s="1295"/>
      <c r="AE315" s="1525"/>
      <c r="AF315" s="1525"/>
      <c r="AG315" s="1525"/>
      <c r="AH315" s="1525"/>
      <c r="AI315" s="1525"/>
      <c r="AJ315" s="1525"/>
      <c r="AK315" s="1525"/>
      <c r="AL315" s="1525"/>
      <c r="AM315" s="1525"/>
      <c r="AN315" s="1525"/>
      <c r="AO315" s="1525"/>
      <c r="AP315" s="1525"/>
      <c r="AQ315" s="1525"/>
      <c r="AR315" s="1525"/>
      <c r="AS315" s="1525"/>
      <c r="AU315" s="1525"/>
      <c r="AV315" s="1295"/>
      <c r="AW315" s="1525"/>
      <c r="AX315" s="1525"/>
      <c r="AY315" s="1525"/>
      <c r="AZ315" s="1525"/>
      <c r="BA315" s="1525"/>
      <c r="BB315" s="1525"/>
      <c r="BC315" s="1525"/>
      <c r="BD315" s="1525"/>
      <c r="BE315" s="1525"/>
      <c r="BF315" s="1525"/>
      <c r="BG315" s="1525"/>
      <c r="BH315" s="1525"/>
      <c r="BI315" s="1525"/>
      <c r="BJ315" s="1525"/>
      <c r="BK315" s="1525"/>
      <c r="BL315" s="1525"/>
      <c r="BM315" s="1525"/>
      <c r="BN315" s="1525"/>
      <c r="BO315" s="1525"/>
      <c r="BP315" s="1525"/>
      <c r="BQ315" s="1525"/>
      <c r="BR315" s="1525"/>
      <c r="BS315" s="1525"/>
      <c r="BT315" s="1670"/>
      <c r="BV315"/>
      <c r="BW315" s="856"/>
    </row>
    <row r="316" spans="2:75" s="164" customFormat="1" ht="12.75" customHeight="1" x14ac:dyDescent="0.15">
      <c r="B316" s="175"/>
      <c r="F316" s="21" t="s">
        <v>554</v>
      </c>
      <c r="G316" s="871"/>
      <c r="H316" s="1364" t="s">
        <v>1508</v>
      </c>
      <c r="I316" s="172"/>
      <c r="J316" s="168"/>
      <c r="K316" s="168"/>
      <c r="L316" s="841"/>
      <c r="M316" s="841"/>
      <c r="N316" s="855"/>
      <c r="O316" s="1200"/>
      <c r="P316" s="550"/>
      <c r="Q316" s="1148"/>
      <c r="R316" s="874"/>
      <c r="S316" s="875"/>
      <c r="T316" s="875"/>
      <c r="U316" s="875"/>
      <c r="V316" s="875"/>
      <c r="W316" s="875"/>
      <c r="X316" s="1026"/>
      <c r="Y316" s="1512"/>
      <c r="Z316" s="1741"/>
      <c r="AA316" s="1749"/>
      <c r="AB316" s="1812"/>
      <c r="AC316" s="876"/>
      <c r="AD316" s="1295"/>
      <c r="AE316" s="1525"/>
      <c r="AF316" s="1525"/>
      <c r="AG316" s="1525"/>
      <c r="AH316" s="1525"/>
      <c r="AI316" s="1525"/>
      <c r="AJ316" s="1525"/>
      <c r="AK316" s="1525"/>
      <c r="AL316" s="1525"/>
      <c r="AM316" s="1525"/>
      <c r="AN316" s="1525"/>
      <c r="AO316" s="1525"/>
      <c r="AP316" s="1525"/>
      <c r="AQ316" s="1525"/>
      <c r="AR316" s="1525"/>
      <c r="AS316" s="1525"/>
      <c r="AU316" s="1525"/>
      <c r="AV316" s="1295"/>
      <c r="AW316" s="1525"/>
      <c r="AX316" s="1525"/>
      <c r="AY316" s="1525"/>
      <c r="AZ316" s="1525"/>
      <c r="BA316" s="1525"/>
      <c r="BB316" s="1525"/>
      <c r="BC316" s="1525"/>
      <c r="BD316" s="1525"/>
      <c r="BE316" s="1525"/>
      <c r="BF316" s="1525"/>
      <c r="BG316" s="1525"/>
      <c r="BH316" s="1525"/>
      <c r="BI316" s="1525"/>
      <c r="BJ316" s="1525"/>
      <c r="BK316" s="1525"/>
      <c r="BL316" s="1525"/>
      <c r="BM316" s="1525"/>
      <c r="BN316" s="1525"/>
      <c r="BO316" s="1525"/>
      <c r="BP316" s="1525"/>
      <c r="BQ316" s="1525"/>
      <c r="BR316" s="1525"/>
      <c r="BS316" s="1525"/>
      <c r="BT316" s="1670"/>
      <c r="BV316"/>
      <c r="BW316" s="871"/>
    </row>
    <row r="317" spans="2:75" s="164" customFormat="1" ht="12.75" customHeight="1" x14ac:dyDescent="0.2">
      <c r="B317" s="175"/>
      <c r="F317" s="21"/>
      <c r="G317" s="856"/>
      <c r="H317" s="1364" t="s">
        <v>1508</v>
      </c>
      <c r="I317" s="172"/>
      <c r="J317" s="168"/>
      <c r="K317" s="168"/>
      <c r="L317" s="841"/>
      <c r="M317" s="841"/>
      <c r="N317" s="855"/>
      <c r="O317" s="1192"/>
      <c r="P317" s="550"/>
      <c r="Q317" s="1148"/>
      <c r="R317" s="874"/>
      <c r="S317" s="875"/>
      <c r="T317" s="875"/>
      <c r="U317" s="875"/>
      <c r="V317" s="875"/>
      <c r="W317" s="875"/>
      <c r="X317" s="1026"/>
      <c r="Y317" s="1512"/>
      <c r="Z317" s="1741"/>
      <c r="AA317" s="1749"/>
      <c r="AB317" s="1812"/>
      <c r="AC317" s="876"/>
      <c r="AD317" s="1295"/>
      <c r="AE317" s="1525"/>
      <c r="AF317" s="1525"/>
      <c r="AG317" s="1525"/>
      <c r="AH317" s="1525"/>
      <c r="AI317" s="1525"/>
      <c r="AJ317" s="1525"/>
      <c r="AK317" s="1525"/>
      <c r="AL317" s="1525"/>
      <c r="AM317" s="1525"/>
      <c r="AN317" s="1525"/>
      <c r="AO317" s="1525"/>
      <c r="AP317" s="1525"/>
      <c r="AQ317" s="1525"/>
      <c r="AR317" s="1525"/>
      <c r="AS317" s="1525"/>
      <c r="AU317" s="1525"/>
      <c r="AV317" s="1295"/>
      <c r="AW317" s="1525"/>
      <c r="AX317" s="1525"/>
      <c r="AY317" s="1525"/>
      <c r="AZ317" s="1525"/>
      <c r="BA317" s="1525"/>
      <c r="BB317" s="1525"/>
      <c r="BC317" s="1525"/>
      <c r="BD317" s="1525"/>
      <c r="BE317" s="1525"/>
      <c r="BF317" s="1525"/>
      <c r="BG317" s="1525"/>
      <c r="BH317" s="1525"/>
      <c r="BI317" s="1525"/>
      <c r="BJ317" s="1525"/>
      <c r="BK317" s="1525"/>
      <c r="BL317" s="1525"/>
      <c r="BM317" s="1525"/>
      <c r="BN317" s="1525"/>
      <c r="BO317" s="1525"/>
      <c r="BP317" s="1525"/>
      <c r="BQ317" s="1525"/>
      <c r="BR317" s="1525"/>
      <c r="BS317" s="1525"/>
      <c r="BT317" s="1670"/>
      <c r="BV317"/>
      <c r="BW317" s="856"/>
    </row>
    <row r="318" spans="2:75" ht="12.75" customHeight="1" x14ac:dyDescent="0.2">
      <c r="B318" s="175">
        <f>B317+1</f>
        <v>1</v>
      </c>
      <c r="C318" s="219">
        <v>5</v>
      </c>
      <c r="E318" s="12" t="s">
        <v>423</v>
      </c>
      <c r="F318" s="24" t="s">
        <v>555</v>
      </c>
      <c r="G318" s="825" t="s">
        <v>556</v>
      </c>
      <c r="H318" s="858">
        <v>3084</v>
      </c>
      <c r="I318" s="200" t="s">
        <v>351</v>
      </c>
      <c r="J318" s="189"/>
      <c r="K318" s="189"/>
      <c r="L318" s="858">
        <v>1</v>
      </c>
      <c r="M318" s="858">
        <f>K318+L318</f>
        <v>1</v>
      </c>
      <c r="N318" s="857" t="s">
        <v>892</v>
      </c>
      <c r="O318" s="1196">
        <v>16697</v>
      </c>
      <c r="P318" s="1218">
        <f ca="1">YEARFRAC(TODAY(),O318)</f>
        <v>72.041666666666671</v>
      </c>
      <c r="Q318" s="1148">
        <v>41400</v>
      </c>
      <c r="R318" s="874"/>
      <c r="S318" s="875">
        <v>3000</v>
      </c>
      <c r="T318" s="885"/>
      <c r="U318" s="885"/>
      <c r="V318" s="885"/>
      <c r="W318" s="875"/>
      <c r="X318" s="1026">
        <f>(Q318+R318+S318+T318+U318+V318+W318)*M318</f>
        <v>44400</v>
      </c>
      <c r="Y318" s="1512">
        <f>(T318+U318)*M318/(X318-M318*(T318+U318))</f>
        <v>0</v>
      </c>
      <c r="Z318" s="1741">
        <f>M318*(1+Y318)</f>
        <v>1</v>
      </c>
      <c r="AA318" s="1749">
        <f>SUM(AD318:AS318)</f>
        <v>0</v>
      </c>
      <c r="AB318" s="1810">
        <f t="shared" ref="AB318:AB321" si="187">100*AA318/Z318</f>
        <v>0</v>
      </c>
      <c r="AC318" s="876"/>
      <c r="AD318" s="1525">
        <f t="shared" ref="AD318:AS321" si="188">SUMIF($AV$6:$BS$6,AD$5,$AV318:$BS318)</f>
        <v>0</v>
      </c>
      <c r="AE318" s="1525">
        <f t="shared" si="188"/>
        <v>0</v>
      </c>
      <c r="AF318" s="1525">
        <f t="shared" si="188"/>
        <v>0</v>
      </c>
      <c r="AG318" s="1525">
        <f t="shared" si="188"/>
        <v>0</v>
      </c>
      <c r="AH318" s="1525">
        <f t="shared" si="188"/>
        <v>0</v>
      </c>
      <c r="AI318" s="1525">
        <f t="shared" si="188"/>
        <v>0</v>
      </c>
      <c r="AJ318" s="1525">
        <f t="shared" si="188"/>
        <v>0</v>
      </c>
      <c r="AK318" s="1525">
        <f t="shared" si="188"/>
        <v>0</v>
      </c>
      <c r="AL318" s="1525">
        <f t="shared" si="188"/>
        <v>0</v>
      </c>
      <c r="AM318" s="1525">
        <f t="shared" si="188"/>
        <v>0</v>
      </c>
      <c r="AN318" s="1525">
        <f t="shared" si="188"/>
        <v>0</v>
      </c>
      <c r="AO318" s="1525">
        <f t="shared" si="188"/>
        <v>0</v>
      </c>
      <c r="AP318" s="1525">
        <f t="shared" si="188"/>
        <v>0</v>
      </c>
      <c r="AQ318" s="1525">
        <f t="shared" si="188"/>
        <v>0</v>
      </c>
      <c r="AR318" s="1525">
        <f t="shared" si="188"/>
        <v>0</v>
      </c>
      <c r="AS318" s="1525">
        <f t="shared" si="188"/>
        <v>0</v>
      </c>
      <c r="AU318" s="1525"/>
      <c r="AV318" s="1291"/>
      <c r="AW318" s="1292"/>
      <c r="AX318" s="1292"/>
      <c r="AY318" s="1292"/>
      <c r="AZ318" s="1292"/>
      <c r="BA318" s="1292"/>
      <c r="BB318" s="1292"/>
      <c r="BC318" s="1292"/>
      <c r="BD318" s="1292"/>
      <c r="BE318" s="1292"/>
      <c r="BF318" s="1292"/>
      <c r="BG318" s="1292"/>
      <c r="BH318" s="1292"/>
      <c r="BI318" s="1292"/>
      <c r="BJ318" s="1292"/>
      <c r="BK318" s="1292"/>
      <c r="BL318" s="1292"/>
      <c r="BM318" s="1292"/>
      <c r="BN318" s="1292"/>
      <c r="BO318" s="1292"/>
      <c r="BP318" s="1292"/>
      <c r="BQ318" s="1292"/>
      <c r="BR318" s="1292"/>
      <c r="BS318" s="1292"/>
      <c r="BT318" s="1670">
        <f t="shared" ref="BT318:BT321" si="189">SUM(AV318:BS318)</f>
        <v>0</v>
      </c>
      <c r="BW318" s="825" t="s">
        <v>556</v>
      </c>
    </row>
    <row r="319" spans="2:75" ht="12.75" customHeight="1" x14ac:dyDescent="0.2">
      <c r="B319" s="175">
        <f>B318+1</f>
        <v>2</v>
      </c>
      <c r="C319" s="219">
        <v>8</v>
      </c>
      <c r="E319" s="12" t="s">
        <v>423</v>
      </c>
      <c r="F319" s="24" t="s">
        <v>353</v>
      </c>
      <c r="G319" s="825" t="s">
        <v>557</v>
      </c>
      <c r="H319" s="858">
        <v>243654</v>
      </c>
      <c r="I319" s="200" t="s">
        <v>351</v>
      </c>
      <c r="J319" s="189"/>
      <c r="K319" s="189"/>
      <c r="L319" s="841">
        <v>1</v>
      </c>
      <c r="M319" s="858">
        <f>K319+L319</f>
        <v>1</v>
      </c>
      <c r="N319" s="857" t="s">
        <v>1326</v>
      </c>
      <c r="O319" s="1196">
        <v>28445</v>
      </c>
      <c r="P319" s="1218">
        <f ca="1">YEARFRAC(TODAY(),O319)</f>
        <v>39.87777777777778</v>
      </c>
      <c r="Q319" s="1148">
        <v>41500</v>
      </c>
      <c r="R319" s="874">
        <f>Q319*0.1</f>
        <v>4150</v>
      </c>
      <c r="S319" s="875"/>
      <c r="T319" s="875">
        <v>24300</v>
      </c>
      <c r="U319" s="875"/>
      <c r="V319" s="875"/>
      <c r="W319" s="875"/>
      <c r="X319" s="1026">
        <f>(Q319+R319+S319+T319+U319+V319+W319)*M319</f>
        <v>69950</v>
      </c>
      <c r="Y319" s="1512">
        <f>(T319+U319)*M319/(X319-M319*(T319+U319))</f>
        <v>0.53231106243154436</v>
      </c>
      <c r="Z319" s="1741">
        <f>M319*(1+Y319)</f>
        <v>1.5323110624315444</v>
      </c>
      <c r="AA319" s="1749">
        <f>SUM(AD319:AS319)</f>
        <v>0</v>
      </c>
      <c r="AB319" s="1810">
        <f t="shared" si="187"/>
        <v>0</v>
      </c>
      <c r="AC319" s="876"/>
      <c r="AD319" s="1525">
        <f t="shared" si="188"/>
        <v>0</v>
      </c>
      <c r="AE319" s="1525">
        <f t="shared" si="188"/>
        <v>0</v>
      </c>
      <c r="AF319" s="1525">
        <f t="shared" si="188"/>
        <v>0</v>
      </c>
      <c r="AG319" s="1525">
        <f t="shared" si="188"/>
        <v>0</v>
      </c>
      <c r="AH319" s="1525">
        <f t="shared" si="188"/>
        <v>0</v>
      </c>
      <c r="AI319" s="1525">
        <f t="shared" si="188"/>
        <v>0</v>
      </c>
      <c r="AJ319" s="1525">
        <f t="shared" si="188"/>
        <v>0</v>
      </c>
      <c r="AK319" s="1525">
        <f t="shared" si="188"/>
        <v>0</v>
      </c>
      <c r="AL319" s="1525">
        <f t="shared" si="188"/>
        <v>0</v>
      </c>
      <c r="AM319" s="1525">
        <f t="shared" si="188"/>
        <v>0</v>
      </c>
      <c r="AN319" s="1525">
        <f t="shared" si="188"/>
        <v>0</v>
      </c>
      <c r="AO319" s="1525">
        <f t="shared" si="188"/>
        <v>0</v>
      </c>
      <c r="AP319" s="1525">
        <f t="shared" si="188"/>
        <v>0</v>
      </c>
      <c r="AQ319" s="1525">
        <f t="shared" si="188"/>
        <v>0</v>
      </c>
      <c r="AR319" s="1525">
        <f t="shared" si="188"/>
        <v>0</v>
      </c>
      <c r="AS319" s="1525">
        <f t="shared" si="188"/>
        <v>0</v>
      </c>
      <c r="AU319" s="1525"/>
      <c r="AV319" s="1291"/>
      <c r="AW319" s="1292"/>
      <c r="AX319" s="1292"/>
      <c r="AY319" s="1292"/>
      <c r="AZ319" s="1292"/>
      <c r="BA319" s="1292"/>
      <c r="BB319" s="1292"/>
      <c r="BC319" s="1292"/>
      <c r="BD319" s="1292"/>
      <c r="BE319" s="1292"/>
      <c r="BF319" s="1292"/>
      <c r="BG319" s="1292"/>
      <c r="BH319" s="1292"/>
      <c r="BI319" s="1292"/>
      <c r="BJ319" s="1292"/>
      <c r="BK319" s="1292"/>
      <c r="BL319" s="1292"/>
      <c r="BM319" s="1292"/>
      <c r="BN319" s="1292"/>
      <c r="BO319" s="1292"/>
      <c r="BP319" s="1292"/>
      <c r="BQ319" s="1292"/>
      <c r="BR319" s="1292"/>
      <c r="BS319" s="1292"/>
      <c r="BT319" s="1670">
        <f t="shared" si="189"/>
        <v>0</v>
      </c>
      <c r="BW319" s="825" t="s">
        <v>557</v>
      </c>
    </row>
    <row r="320" spans="2:75" ht="12.75" customHeight="1" x14ac:dyDescent="0.2">
      <c r="B320" s="175">
        <f>B319+1</f>
        <v>3</v>
      </c>
      <c r="C320" s="219">
        <v>8</v>
      </c>
      <c r="E320" s="12" t="s">
        <v>423</v>
      </c>
      <c r="F320" s="4" t="s">
        <v>353</v>
      </c>
      <c r="G320" s="825" t="s">
        <v>559</v>
      </c>
      <c r="H320" s="858">
        <v>201387</v>
      </c>
      <c r="I320" s="200" t="s">
        <v>351</v>
      </c>
      <c r="J320" s="189"/>
      <c r="K320" s="189"/>
      <c r="L320" s="861">
        <v>1</v>
      </c>
      <c r="M320" s="858">
        <f>K320+L320</f>
        <v>1</v>
      </c>
      <c r="N320" s="857" t="s">
        <v>1326</v>
      </c>
      <c r="O320" s="1196">
        <v>27615</v>
      </c>
      <c r="P320" s="1218">
        <f ca="1">YEARFRAC(TODAY(),O320)</f>
        <v>42.147222222222226</v>
      </c>
      <c r="Q320" s="1148">
        <v>41450</v>
      </c>
      <c r="R320" s="874">
        <f>Q320*0.1</f>
        <v>4145</v>
      </c>
      <c r="S320" s="875"/>
      <c r="T320" s="875">
        <v>23000</v>
      </c>
      <c r="U320" s="875"/>
      <c r="V320" s="875"/>
      <c r="W320" s="875"/>
      <c r="X320" s="1026">
        <f>(Q320+R320+S320+T320+U320+V320+W320)*M320</f>
        <v>68595</v>
      </c>
      <c r="Y320" s="1512">
        <f>(T320+U320)*M320/(X320-M320*(T320+U320))</f>
        <v>0.50444127645575176</v>
      </c>
      <c r="Z320" s="1741">
        <f>M320*(1+Y320)</f>
        <v>1.5044412764557518</v>
      </c>
      <c r="AA320" s="1749">
        <f>SUM(AD320:AS320)</f>
        <v>0</v>
      </c>
      <c r="AB320" s="1810">
        <f t="shared" si="187"/>
        <v>0</v>
      </c>
      <c r="AC320" s="876"/>
      <c r="AD320" s="1525">
        <f t="shared" si="188"/>
        <v>0</v>
      </c>
      <c r="AE320" s="1525">
        <f t="shared" si="188"/>
        <v>0</v>
      </c>
      <c r="AF320" s="1525">
        <f t="shared" si="188"/>
        <v>0</v>
      </c>
      <c r="AG320" s="1525">
        <f t="shared" si="188"/>
        <v>0</v>
      </c>
      <c r="AH320" s="1525">
        <f t="shared" si="188"/>
        <v>0</v>
      </c>
      <c r="AI320" s="1525">
        <f t="shared" si="188"/>
        <v>0</v>
      </c>
      <c r="AJ320" s="1525">
        <f t="shared" si="188"/>
        <v>0</v>
      </c>
      <c r="AK320" s="1525">
        <f t="shared" si="188"/>
        <v>0</v>
      </c>
      <c r="AL320" s="1525">
        <f t="shared" si="188"/>
        <v>0</v>
      </c>
      <c r="AM320" s="1525">
        <f t="shared" si="188"/>
        <v>0</v>
      </c>
      <c r="AN320" s="1525">
        <f t="shared" si="188"/>
        <v>0</v>
      </c>
      <c r="AO320" s="1525">
        <f t="shared" si="188"/>
        <v>0</v>
      </c>
      <c r="AP320" s="1525">
        <f t="shared" si="188"/>
        <v>0</v>
      </c>
      <c r="AQ320" s="1525">
        <f t="shared" si="188"/>
        <v>0</v>
      </c>
      <c r="AR320" s="1525">
        <f t="shared" si="188"/>
        <v>0</v>
      </c>
      <c r="AS320" s="1525">
        <f t="shared" si="188"/>
        <v>0</v>
      </c>
      <c r="AU320" s="1525"/>
      <c r="AV320" s="1291"/>
      <c r="AW320" s="1292"/>
      <c r="AX320" s="1292"/>
      <c r="AY320" s="1292"/>
      <c r="AZ320" s="1292"/>
      <c r="BA320" s="1292"/>
      <c r="BB320" s="1292"/>
      <c r="BC320" s="1292"/>
      <c r="BD320" s="1292"/>
      <c r="BE320" s="1292"/>
      <c r="BF320" s="1292"/>
      <c r="BG320" s="1292"/>
      <c r="BH320" s="1292"/>
      <c r="BI320" s="1292"/>
      <c r="BJ320" s="1292"/>
      <c r="BK320" s="1292"/>
      <c r="BL320" s="1292"/>
      <c r="BM320" s="1292"/>
      <c r="BN320" s="1292"/>
      <c r="BO320" s="1292"/>
      <c r="BP320" s="1292"/>
      <c r="BQ320" s="1292"/>
      <c r="BR320" s="1292"/>
      <c r="BS320" s="1292"/>
      <c r="BT320" s="1670">
        <f t="shared" si="189"/>
        <v>0</v>
      </c>
      <c r="BW320" s="825" t="s">
        <v>559</v>
      </c>
    </row>
    <row r="321" spans="2:75" ht="12.75" customHeight="1" x14ac:dyDescent="0.2">
      <c r="B321" s="175">
        <f>B320+1</f>
        <v>4</v>
      </c>
      <c r="C321" s="219">
        <v>13</v>
      </c>
      <c r="E321" s="12" t="s">
        <v>423</v>
      </c>
      <c r="F321" s="4" t="s">
        <v>792</v>
      </c>
      <c r="G321" s="825" t="s">
        <v>560</v>
      </c>
      <c r="H321" s="861">
        <v>16890</v>
      </c>
      <c r="I321" s="197" t="s">
        <v>583</v>
      </c>
      <c r="J321" s="195"/>
      <c r="K321" s="174"/>
      <c r="L321" s="861">
        <v>1</v>
      </c>
      <c r="M321" s="861">
        <f>K321+L321</f>
        <v>1</v>
      </c>
      <c r="N321" s="836" t="s">
        <v>892</v>
      </c>
      <c r="O321" s="1196">
        <v>21910</v>
      </c>
      <c r="P321" s="1218">
        <f ca="1">YEARFRAC(TODAY(),O321)</f>
        <v>57.766666666666666</v>
      </c>
      <c r="Q321" s="1148">
        <v>21000</v>
      </c>
      <c r="R321" s="874"/>
      <c r="S321" s="875"/>
      <c r="T321" s="875"/>
      <c r="U321" s="875"/>
      <c r="V321" s="875"/>
      <c r="W321" s="875"/>
      <c r="X321" s="1026">
        <f>(Q321+R321+S321+T321+U321+V321+W321)*M321</f>
        <v>21000</v>
      </c>
      <c r="Y321" s="1512">
        <f>(T321+U321)*M321/(X321-M321*(T321+U321))</f>
        <v>0</v>
      </c>
      <c r="Z321" s="1741">
        <f>M321*(1+Y321)</f>
        <v>1</v>
      </c>
      <c r="AA321" s="1749">
        <f>SUM(AD321:AS321)</f>
        <v>0</v>
      </c>
      <c r="AB321" s="1810">
        <f t="shared" si="187"/>
        <v>0</v>
      </c>
      <c r="AC321" s="876"/>
      <c r="AD321" s="1525">
        <f t="shared" si="188"/>
        <v>0</v>
      </c>
      <c r="AE321" s="1525">
        <f t="shared" si="188"/>
        <v>0</v>
      </c>
      <c r="AF321" s="1525">
        <f t="shared" si="188"/>
        <v>0</v>
      </c>
      <c r="AG321" s="1525">
        <f t="shared" si="188"/>
        <v>0</v>
      </c>
      <c r="AH321" s="1525">
        <f t="shared" si="188"/>
        <v>0</v>
      </c>
      <c r="AI321" s="1525">
        <f t="shared" si="188"/>
        <v>0</v>
      </c>
      <c r="AJ321" s="1525">
        <f t="shared" si="188"/>
        <v>0</v>
      </c>
      <c r="AK321" s="1525">
        <f t="shared" si="188"/>
        <v>0</v>
      </c>
      <c r="AL321" s="1525">
        <f t="shared" si="188"/>
        <v>0</v>
      </c>
      <c r="AM321" s="1525">
        <f t="shared" si="188"/>
        <v>0</v>
      </c>
      <c r="AN321" s="1525">
        <f t="shared" si="188"/>
        <v>0</v>
      </c>
      <c r="AO321" s="1525">
        <f t="shared" si="188"/>
        <v>0</v>
      </c>
      <c r="AP321" s="1525">
        <f t="shared" si="188"/>
        <v>0</v>
      </c>
      <c r="AQ321" s="1525">
        <f t="shared" si="188"/>
        <v>0</v>
      </c>
      <c r="AR321" s="1525">
        <f t="shared" si="188"/>
        <v>0</v>
      </c>
      <c r="AS321" s="1525">
        <f t="shared" si="188"/>
        <v>0</v>
      </c>
      <c r="AU321" s="1525"/>
      <c r="AV321" s="1291"/>
      <c r="AW321" s="1292"/>
      <c r="AX321" s="1292"/>
      <c r="AY321" s="1292"/>
      <c r="AZ321" s="1292"/>
      <c r="BA321" s="1292"/>
      <c r="BB321" s="1292"/>
      <c r="BC321" s="1292"/>
      <c r="BD321" s="1292"/>
      <c r="BE321" s="1292"/>
      <c r="BF321" s="1292"/>
      <c r="BG321" s="1292"/>
      <c r="BH321" s="1292"/>
      <c r="BI321" s="1292"/>
      <c r="BJ321" s="1292"/>
      <c r="BK321" s="1292"/>
      <c r="BL321" s="1292"/>
      <c r="BM321" s="1292"/>
      <c r="BN321" s="1292"/>
      <c r="BO321" s="1292"/>
      <c r="BP321" s="1292"/>
      <c r="BQ321" s="1292"/>
      <c r="BR321" s="1292"/>
      <c r="BS321" s="1292"/>
      <c r="BT321" s="1670">
        <f t="shared" si="189"/>
        <v>0</v>
      </c>
      <c r="BW321" s="825" t="s">
        <v>560</v>
      </c>
    </row>
    <row r="322" spans="2:75" s="164" customFormat="1" ht="12.75" customHeight="1" x14ac:dyDescent="0.15">
      <c r="B322" s="175"/>
      <c r="C322" s="219" t="s">
        <v>1120</v>
      </c>
      <c r="F322" s="1" t="s">
        <v>446</v>
      </c>
      <c r="G322" s="856"/>
      <c r="H322" s="1361" t="s">
        <v>1508</v>
      </c>
      <c r="I322" s="172"/>
      <c r="J322" s="168"/>
      <c r="K322" s="448">
        <f>SUM(K318:K321)</f>
        <v>0</v>
      </c>
      <c r="L322" s="902">
        <f>SUM(L318:L321)</f>
        <v>4</v>
      </c>
      <c r="M322" s="902">
        <f>SUM(M318:M321)</f>
        <v>4</v>
      </c>
      <c r="N322" s="855"/>
      <c r="O322" s="1195"/>
      <c r="P322" s="550"/>
      <c r="Q322" s="1153"/>
      <c r="R322" s="877"/>
      <c r="S322" s="875"/>
      <c r="T322" s="875"/>
      <c r="U322" s="875"/>
      <c r="V322" s="875"/>
      <c r="W322" s="875"/>
      <c r="X322" s="1026"/>
      <c r="Y322" s="1335"/>
      <c r="Z322" s="1335"/>
      <c r="AA322" s="1775"/>
      <c r="AB322" s="1812"/>
      <c r="AC322" s="876"/>
      <c r="AD322" s="1295"/>
      <c r="AE322" s="1525"/>
      <c r="AF322" s="1525"/>
      <c r="AG322" s="1525"/>
      <c r="AH322" s="1525"/>
      <c r="AI322" s="1525"/>
      <c r="AJ322" s="1525"/>
      <c r="AK322" s="1525"/>
      <c r="AL322" s="1525"/>
      <c r="AM322" s="1525"/>
      <c r="AN322" s="1525"/>
      <c r="AO322" s="1525"/>
      <c r="AP322" s="1525"/>
      <c r="AQ322" s="1525"/>
      <c r="AR322" s="1525"/>
      <c r="AS322" s="1525"/>
      <c r="AU322" s="1525"/>
      <c r="AV322" s="1295"/>
      <c r="AW322" s="1525"/>
      <c r="AX322" s="1525"/>
      <c r="AY322" s="1525"/>
      <c r="AZ322" s="1525"/>
      <c r="BA322" s="1525"/>
      <c r="BB322" s="1525"/>
      <c r="BC322" s="1525"/>
      <c r="BD322" s="1525"/>
      <c r="BE322" s="1525"/>
      <c r="BF322" s="1525"/>
      <c r="BG322" s="1525"/>
      <c r="BH322" s="1525"/>
      <c r="BI322" s="1525"/>
      <c r="BJ322" s="1525"/>
      <c r="BK322" s="1525"/>
      <c r="BL322" s="1525"/>
      <c r="BM322" s="1525"/>
      <c r="BN322" s="1525"/>
      <c r="BO322" s="1525"/>
      <c r="BP322" s="1525"/>
      <c r="BQ322" s="1525"/>
      <c r="BR322" s="1525"/>
      <c r="BS322" s="1525"/>
      <c r="BT322" s="1670"/>
      <c r="BV322"/>
      <c r="BW322" s="856"/>
    </row>
    <row r="323" spans="2:75" s="164" customFormat="1" ht="12.75" customHeight="1" x14ac:dyDescent="0.2">
      <c r="B323" s="175"/>
      <c r="F323" s="47"/>
      <c r="G323" s="913"/>
      <c r="H323" s="1368" t="s">
        <v>1508</v>
      </c>
      <c r="I323" s="180"/>
      <c r="J323" s="173"/>
      <c r="K323" s="173"/>
      <c r="L323" s="917"/>
      <c r="M323" s="917"/>
      <c r="N323" s="832"/>
      <c r="O323" s="1192"/>
      <c r="P323" s="550"/>
      <c r="Q323" s="1153"/>
      <c r="R323" s="877"/>
      <c r="S323" s="875"/>
      <c r="T323" s="875"/>
      <c r="U323" s="875"/>
      <c r="V323" s="875"/>
      <c r="W323" s="875"/>
      <c r="X323" s="1026"/>
      <c r="Y323" s="1754"/>
      <c r="Z323" s="1755"/>
      <c r="AA323" s="1775"/>
      <c r="AB323" s="1812"/>
      <c r="AC323" s="876"/>
      <c r="AD323" s="1295"/>
      <c r="AE323" s="1525"/>
      <c r="AF323" s="1525"/>
      <c r="AG323" s="1525"/>
      <c r="AH323" s="1525"/>
      <c r="AI323" s="1525"/>
      <c r="AJ323" s="1525"/>
      <c r="AK323" s="1525"/>
      <c r="AL323" s="1525"/>
      <c r="AM323" s="1525"/>
      <c r="AN323" s="1525"/>
      <c r="AO323" s="1525"/>
      <c r="AP323" s="1525"/>
      <c r="AQ323" s="1525"/>
      <c r="AR323" s="1525"/>
      <c r="AS323" s="1525"/>
      <c r="AU323" s="1525"/>
      <c r="AV323" s="1295"/>
      <c r="AW323" s="1525"/>
      <c r="AX323" s="1525"/>
      <c r="AY323" s="1525"/>
      <c r="AZ323" s="1525"/>
      <c r="BA323" s="1525"/>
      <c r="BB323" s="1525"/>
      <c r="BC323" s="1525"/>
      <c r="BD323" s="1525"/>
      <c r="BE323" s="1525"/>
      <c r="BF323" s="1525"/>
      <c r="BG323" s="1525"/>
      <c r="BH323" s="1525"/>
      <c r="BI323" s="1525"/>
      <c r="BJ323" s="1525"/>
      <c r="BK323" s="1525"/>
      <c r="BL323" s="1525"/>
      <c r="BM323" s="1525"/>
      <c r="BN323" s="1525"/>
      <c r="BO323" s="1525"/>
      <c r="BP323" s="1525"/>
      <c r="BQ323" s="1525"/>
      <c r="BR323" s="1525"/>
      <c r="BS323" s="1525"/>
      <c r="BT323" s="1670"/>
      <c r="BV323"/>
      <c r="BW323" s="913"/>
    </row>
    <row r="324" spans="2:75" s="164" customFormat="1" ht="12.75" customHeight="1" x14ac:dyDescent="0.2">
      <c r="B324" s="175"/>
      <c r="C324" s="648" t="s">
        <v>344</v>
      </c>
      <c r="D324" s="649" t="s">
        <v>346</v>
      </c>
      <c r="E324" s="650" t="s">
        <v>423</v>
      </c>
      <c r="F324" s="624" t="s">
        <v>212</v>
      </c>
      <c r="G324" s="863">
        <f>COUNTA(G241:G323)</f>
        <v>44</v>
      </c>
      <c r="H324" s="1348" t="s">
        <v>1508</v>
      </c>
      <c r="I324" s="587"/>
      <c r="J324" s="588"/>
      <c r="K324" s="606">
        <f>K268+K311</f>
        <v>2.5</v>
      </c>
      <c r="L324" s="863">
        <f>L243+L275+L282+L311+L322</f>
        <v>39.4</v>
      </c>
      <c r="M324" s="863">
        <f>M243+M275+M282+M311+M322+M268</f>
        <v>41.9</v>
      </c>
      <c r="N324" s="840"/>
      <c r="O324" s="1201"/>
      <c r="P324" s="1222"/>
      <c r="Q324" s="1154"/>
      <c r="R324" s="887"/>
      <c r="S324" s="880"/>
      <c r="T324" s="880"/>
      <c r="U324" s="880"/>
      <c r="V324" s="880"/>
      <c r="W324" s="880"/>
      <c r="X324" s="1276">
        <f>SUM(X241:X323)</f>
        <v>1841185</v>
      </c>
      <c r="Y324" s="1276">
        <f t="shared" ref="Y324:AA324" si="190">SUM(Y241:Y323)</f>
        <v>6.2467608034225703</v>
      </c>
      <c r="Z324" s="1665">
        <f t="shared" si="190"/>
        <v>47.837030931930315</v>
      </c>
      <c r="AA324" s="1777">
        <f t="shared" si="190"/>
        <v>0</v>
      </c>
      <c r="AB324" s="1813">
        <f t="shared" ref="AB324" si="191">100*AA324/Z324</f>
        <v>0</v>
      </c>
      <c r="AC324" s="1721"/>
      <c r="AD324" s="1291"/>
      <c r="AE324" s="1292"/>
      <c r="AF324" s="1525"/>
      <c r="AG324" s="1525"/>
      <c r="AH324" s="1525"/>
      <c r="AI324" s="1525"/>
      <c r="AJ324" s="1525"/>
      <c r="AK324" s="1525"/>
      <c r="AL324" s="1525"/>
      <c r="AM324" s="1525"/>
      <c r="AN324" s="1525"/>
      <c r="AO324" s="1525"/>
      <c r="AP324" s="1525"/>
      <c r="AQ324" s="1525"/>
      <c r="AR324" s="1525"/>
      <c r="AS324" s="1525"/>
      <c r="AU324" s="1525"/>
      <c r="AV324" s="1295"/>
      <c r="AW324" s="1525"/>
      <c r="AX324" s="1525"/>
      <c r="AY324" s="1525"/>
      <c r="AZ324" s="1525"/>
      <c r="BA324" s="1525"/>
      <c r="BB324" s="1525"/>
      <c r="BC324" s="1525"/>
      <c r="BD324" s="1525"/>
      <c r="BE324" s="1525"/>
      <c r="BF324" s="1525"/>
      <c r="BG324" s="1525"/>
      <c r="BH324" s="1525"/>
      <c r="BI324" s="1525"/>
      <c r="BJ324" s="1525"/>
      <c r="BK324" s="1525"/>
      <c r="BL324" s="1525"/>
      <c r="BM324" s="1525"/>
      <c r="BN324" s="1525"/>
      <c r="BO324" s="1525"/>
      <c r="BP324" s="1525"/>
      <c r="BQ324" s="1525"/>
      <c r="BR324" s="1525"/>
      <c r="BS324" s="1525"/>
      <c r="BT324" s="1670"/>
      <c r="BV324"/>
      <c r="BW324" s="864"/>
    </row>
    <row r="325" spans="2:75" s="164" customFormat="1" ht="12.75" customHeight="1" x14ac:dyDescent="0.2">
      <c r="B325" s="175"/>
      <c r="C325" s="657" t="s">
        <v>136</v>
      </c>
      <c r="D325" s="657"/>
      <c r="E325" s="424" t="s">
        <v>423</v>
      </c>
      <c r="F325" s="607" t="s">
        <v>893</v>
      </c>
      <c r="G325" s="867"/>
      <c r="H325" s="1349" t="s">
        <v>1508</v>
      </c>
      <c r="I325" s="608"/>
      <c r="J325" s="609"/>
      <c r="K325" s="609"/>
      <c r="L325" s="866"/>
      <c r="M325" s="866"/>
      <c r="N325" s="865"/>
      <c r="O325" s="1191"/>
      <c r="P325" s="1223"/>
      <c r="Q325" s="1158"/>
      <c r="R325" s="1027"/>
      <c r="S325" s="1028"/>
      <c r="T325" s="1028"/>
      <c r="U325" s="1028"/>
      <c r="V325" s="1028"/>
      <c r="W325" s="1028"/>
      <c r="X325" s="1697">
        <v>41350</v>
      </c>
      <c r="Y325" s="1028"/>
      <c r="Z325" s="1800"/>
      <c r="AA325" s="1775"/>
      <c r="AB325" s="1812"/>
      <c r="AC325" s="876"/>
      <c r="AD325" s="1295"/>
      <c r="AE325" s="1525"/>
      <c r="AF325" s="1525"/>
      <c r="AG325" s="1525"/>
      <c r="AH325" s="1525"/>
      <c r="AI325" s="1525"/>
      <c r="AJ325" s="1525"/>
      <c r="AK325" s="1525"/>
      <c r="AL325" s="1525"/>
      <c r="AM325" s="1525"/>
      <c r="AN325" s="1525"/>
      <c r="AO325" s="1525"/>
      <c r="AP325" s="1525"/>
      <c r="AQ325" s="1525"/>
      <c r="AR325" s="1525"/>
      <c r="AS325" s="1525"/>
      <c r="AU325" s="1525"/>
      <c r="AV325" s="1295"/>
      <c r="AW325" s="1525"/>
      <c r="AX325" s="1525"/>
      <c r="AY325" s="1525"/>
      <c r="AZ325" s="1525"/>
      <c r="BA325" s="1525"/>
      <c r="BB325" s="1525"/>
      <c r="BC325" s="1525"/>
      <c r="BD325" s="1525"/>
      <c r="BE325" s="1525"/>
      <c r="BF325" s="1525"/>
      <c r="BG325" s="1525"/>
      <c r="BH325" s="1525"/>
      <c r="BI325" s="1525"/>
      <c r="BJ325" s="1525"/>
      <c r="BK325" s="1525"/>
      <c r="BL325" s="1525"/>
      <c r="BM325" s="1525"/>
      <c r="BN325" s="1525"/>
      <c r="BO325" s="1525"/>
      <c r="BP325" s="1525"/>
      <c r="BQ325" s="1525"/>
      <c r="BR325" s="1525"/>
      <c r="BS325" s="1525"/>
      <c r="BT325" s="1670"/>
      <c r="BV325"/>
      <c r="BW325" s="867"/>
    </row>
    <row r="326" spans="2:75" s="164" customFormat="1" ht="12.75" customHeight="1" x14ac:dyDescent="0.15">
      <c r="B326" s="175"/>
      <c r="C326" s="503" t="s">
        <v>794</v>
      </c>
      <c r="D326" s="504"/>
      <c r="E326" s="517" t="s">
        <v>423</v>
      </c>
      <c r="F326" s="505" t="s">
        <v>525</v>
      </c>
      <c r="G326" s="919"/>
      <c r="H326" s="1369" t="s">
        <v>1508</v>
      </c>
      <c r="I326" s="506"/>
      <c r="J326" s="507"/>
      <c r="K326" s="507"/>
      <c r="L326" s="918"/>
      <c r="M326" s="918"/>
      <c r="N326" s="920"/>
      <c r="O326" s="1202"/>
      <c r="P326" s="1228"/>
      <c r="Q326" s="1162"/>
      <c r="R326" s="1032"/>
      <c r="S326" s="1033"/>
      <c r="T326" s="1033"/>
      <c r="U326" s="1033"/>
      <c r="V326" s="1033"/>
      <c r="W326" s="1033"/>
      <c r="X326" s="1701"/>
      <c r="Y326" s="1505"/>
      <c r="Z326" s="1801"/>
      <c r="AA326" s="1775"/>
      <c r="AB326" s="1812"/>
      <c r="AC326" s="876"/>
      <c r="AD326" s="1295"/>
      <c r="AE326" s="1525"/>
      <c r="AF326" s="1525"/>
      <c r="AG326" s="1525"/>
      <c r="AH326" s="1525"/>
      <c r="AI326" s="1525"/>
      <c r="AJ326" s="1525"/>
      <c r="AK326" s="1525"/>
      <c r="AL326" s="1525"/>
      <c r="AM326" s="1525"/>
      <c r="AN326" s="1525"/>
      <c r="AO326" s="1525"/>
      <c r="AP326" s="1525"/>
      <c r="AQ326" s="1525"/>
      <c r="AR326" s="1525"/>
      <c r="AS326" s="1525"/>
      <c r="AU326" s="1525"/>
      <c r="AV326" s="1295"/>
      <c r="AW326" s="1525"/>
      <c r="AX326" s="1525"/>
      <c r="AY326" s="1525"/>
      <c r="AZ326" s="1525"/>
      <c r="BA326" s="1525"/>
      <c r="BB326" s="1525"/>
      <c r="BC326" s="1525"/>
      <c r="BD326" s="1525"/>
      <c r="BE326" s="1525"/>
      <c r="BF326" s="1525"/>
      <c r="BG326" s="1525"/>
      <c r="BH326" s="1525"/>
      <c r="BI326" s="1525"/>
      <c r="BJ326" s="1525"/>
      <c r="BK326" s="1525"/>
      <c r="BL326" s="1525"/>
      <c r="BM326" s="1525"/>
      <c r="BN326" s="1525"/>
      <c r="BO326" s="1525"/>
      <c r="BP326" s="1525"/>
      <c r="BQ326" s="1525"/>
      <c r="BR326" s="1525"/>
      <c r="BS326" s="1525"/>
      <c r="BT326" s="1670"/>
      <c r="BV326"/>
      <c r="BW326" s="919"/>
    </row>
    <row r="327" spans="2:75" s="164" customFormat="1" ht="12.75" customHeight="1" x14ac:dyDescent="0.15">
      <c r="B327" s="175"/>
      <c r="F327" s="2"/>
      <c r="G327" s="856"/>
      <c r="H327" s="1345" t="s">
        <v>1508</v>
      </c>
      <c r="I327" s="172"/>
      <c r="J327" s="168"/>
      <c r="K327" s="168"/>
      <c r="L327" s="846"/>
      <c r="M327" s="846"/>
      <c r="N327" s="855"/>
      <c r="O327" s="1200"/>
      <c r="P327" s="550"/>
      <c r="Q327" s="1153"/>
      <c r="R327" s="877"/>
      <c r="S327" s="875"/>
      <c r="T327" s="875"/>
      <c r="U327" s="875"/>
      <c r="V327" s="875"/>
      <c r="W327" s="875"/>
      <c r="X327" s="1026"/>
      <c r="Y327" s="1754"/>
      <c r="Z327" s="1755"/>
      <c r="AA327" s="1775"/>
      <c r="AB327" s="1814"/>
      <c r="AC327" s="876"/>
      <c r="AD327" s="1295"/>
      <c r="AE327" s="1525"/>
      <c r="AF327" s="1525"/>
      <c r="AG327" s="1525"/>
      <c r="AH327" s="1525"/>
      <c r="AI327" s="1525"/>
      <c r="AJ327" s="1525"/>
      <c r="AK327" s="1525"/>
      <c r="AL327" s="1525"/>
      <c r="AM327" s="1525"/>
      <c r="AN327" s="1525"/>
      <c r="AO327" s="1525"/>
      <c r="AP327" s="1525"/>
      <c r="AQ327" s="1525"/>
      <c r="AR327" s="1525"/>
      <c r="AS327" s="1525"/>
      <c r="AU327" s="1525"/>
      <c r="AV327" s="1295"/>
      <c r="AW327" s="1525"/>
      <c r="AX327" s="1525"/>
      <c r="AY327" s="1525"/>
      <c r="AZ327" s="1525"/>
      <c r="BA327" s="1525"/>
      <c r="BB327" s="1525"/>
      <c r="BC327" s="1525"/>
      <c r="BD327" s="1525"/>
      <c r="BE327" s="1525"/>
      <c r="BF327" s="1525"/>
      <c r="BG327" s="1525"/>
      <c r="BH327" s="1525"/>
      <c r="BI327" s="1525"/>
      <c r="BJ327" s="1525"/>
      <c r="BK327" s="1525"/>
      <c r="BL327" s="1525"/>
      <c r="BM327" s="1525"/>
      <c r="BN327" s="1525"/>
      <c r="BO327" s="1525"/>
      <c r="BP327" s="1525"/>
      <c r="BQ327" s="1525"/>
      <c r="BR327" s="1525"/>
      <c r="BS327" s="1525"/>
      <c r="BT327" s="1670"/>
      <c r="BV327"/>
      <c r="BW327" s="856"/>
    </row>
    <row r="328" spans="2:75" s="164" customFormat="1" ht="12.75" customHeight="1" x14ac:dyDescent="0.15">
      <c r="B328" s="175"/>
      <c r="F328" s="2" t="s">
        <v>213</v>
      </c>
      <c r="G328" s="856"/>
      <c r="H328" s="1364" t="s">
        <v>1508</v>
      </c>
      <c r="I328" s="172"/>
      <c r="J328" s="168"/>
      <c r="K328" s="168"/>
      <c r="L328" s="841"/>
      <c r="M328" s="841"/>
      <c r="N328" s="855"/>
      <c r="O328" s="1200"/>
      <c r="P328" s="550"/>
      <c r="Q328" s="1151"/>
      <c r="R328" s="876"/>
      <c r="S328" s="876"/>
      <c r="T328" s="876"/>
      <c r="U328" s="876"/>
      <c r="V328" s="876"/>
      <c r="W328" s="876"/>
      <c r="X328" s="1026"/>
      <c r="Y328" s="1754"/>
      <c r="Z328" s="1755"/>
      <c r="AA328" s="1775"/>
      <c r="AB328" s="1814"/>
      <c r="AC328" s="876"/>
      <c r="AD328" s="1295"/>
      <c r="AE328" s="1525"/>
      <c r="AF328" s="1525"/>
      <c r="AG328" s="1525"/>
      <c r="AH328" s="1525"/>
      <c r="AI328" s="1525"/>
      <c r="AJ328" s="1525"/>
      <c r="AK328" s="1525"/>
      <c r="AL328" s="1525"/>
      <c r="AM328" s="1525"/>
      <c r="AN328" s="1525"/>
      <c r="AO328" s="1525"/>
      <c r="AP328" s="1525"/>
      <c r="AQ328" s="1525"/>
      <c r="AR328" s="1525"/>
      <c r="AS328" s="1525"/>
      <c r="AU328" s="1525"/>
      <c r="AV328" s="1295"/>
      <c r="AW328" s="1525"/>
      <c r="AX328" s="1525"/>
      <c r="AY328" s="1525"/>
      <c r="AZ328" s="1525"/>
      <c r="BA328" s="1525"/>
      <c r="BB328" s="1525"/>
      <c r="BC328" s="1525"/>
      <c r="BD328" s="1525"/>
      <c r="BE328" s="1525"/>
      <c r="BF328" s="1525"/>
      <c r="BG328" s="1525"/>
      <c r="BH328" s="1525"/>
      <c r="BI328" s="1525"/>
      <c r="BJ328" s="1525"/>
      <c r="BK328" s="1525"/>
      <c r="BL328" s="1525"/>
      <c r="BM328" s="1525"/>
      <c r="BN328" s="1525"/>
      <c r="BO328" s="1525"/>
      <c r="BP328" s="1525"/>
      <c r="BQ328" s="1525"/>
      <c r="BR328" s="1525"/>
      <c r="BS328" s="1525"/>
      <c r="BT328" s="1670"/>
      <c r="BV328"/>
      <c r="BW328" s="856"/>
    </row>
    <row r="329" spans="2:75" s="164" customFormat="1" ht="12.75" customHeight="1" x14ac:dyDescent="0.2">
      <c r="B329" s="175"/>
      <c r="F329" s="1" t="s">
        <v>562</v>
      </c>
      <c r="G329" s="859"/>
      <c r="H329" s="1346" t="s">
        <v>1508</v>
      </c>
      <c r="I329" s="247"/>
      <c r="J329" s="294"/>
      <c r="K329" s="294"/>
      <c r="L329" s="858"/>
      <c r="M329" s="858"/>
      <c r="N329" s="857"/>
      <c r="O329" s="1192"/>
      <c r="P329" s="550"/>
      <c r="Q329" s="1151"/>
      <c r="R329" s="876"/>
      <c r="S329" s="876"/>
      <c r="T329" s="876"/>
      <c r="U329" s="876"/>
      <c r="V329" s="876"/>
      <c r="W329" s="876"/>
      <c r="X329" s="1026"/>
      <c r="Y329" s="1754"/>
      <c r="Z329" s="1755"/>
      <c r="AA329" s="1775"/>
      <c r="AB329" s="1814"/>
      <c r="AC329" s="876"/>
      <c r="AD329" s="1295"/>
      <c r="AE329" s="1525"/>
      <c r="AF329" s="1525"/>
      <c r="AG329" s="1525"/>
      <c r="AH329" s="1525"/>
      <c r="AI329" s="1525"/>
      <c r="AJ329" s="1525"/>
      <c r="AK329" s="1525"/>
      <c r="AL329" s="1525"/>
      <c r="AM329" s="1525"/>
      <c r="AN329" s="1525"/>
      <c r="AO329" s="1525"/>
      <c r="AP329" s="1525"/>
      <c r="AQ329" s="1525"/>
      <c r="AR329" s="1525"/>
      <c r="AS329" s="1525"/>
      <c r="AU329" s="1525"/>
      <c r="AV329" s="1295"/>
      <c r="AW329" s="1525"/>
      <c r="AX329" s="1525"/>
      <c r="AY329" s="1525"/>
      <c r="AZ329" s="1525"/>
      <c r="BA329" s="1525"/>
      <c r="BB329" s="1525"/>
      <c r="BC329" s="1525"/>
      <c r="BD329" s="1525"/>
      <c r="BE329" s="1525"/>
      <c r="BF329" s="1525"/>
      <c r="BG329" s="1525"/>
      <c r="BH329" s="1525"/>
      <c r="BI329" s="1525"/>
      <c r="BJ329" s="1525"/>
      <c r="BK329" s="1525"/>
      <c r="BL329" s="1525"/>
      <c r="BM329" s="1525"/>
      <c r="BN329" s="1525"/>
      <c r="BO329" s="1525"/>
      <c r="BP329" s="1525"/>
      <c r="BQ329" s="1525"/>
      <c r="BR329" s="1525"/>
      <c r="BS329" s="1525"/>
      <c r="BT329" s="1670"/>
      <c r="BV329"/>
      <c r="BW329" s="859"/>
    </row>
    <row r="330" spans="2:75" ht="12.75" customHeight="1" x14ac:dyDescent="0.2">
      <c r="B330" s="175">
        <f>B328+1</f>
        <v>1</v>
      </c>
      <c r="C330" s="236">
        <v>4</v>
      </c>
      <c r="D330" s="218"/>
      <c r="E330" s="166" t="s">
        <v>647</v>
      </c>
      <c r="F330" s="4" t="s">
        <v>629</v>
      </c>
      <c r="G330" s="862" t="s">
        <v>1327</v>
      </c>
      <c r="H330" s="861">
        <v>68399</v>
      </c>
      <c r="I330" s="197" t="s">
        <v>351</v>
      </c>
      <c r="J330" s="174"/>
      <c r="K330" s="174"/>
      <c r="L330" s="861">
        <v>1</v>
      </c>
      <c r="M330" s="861">
        <f>K330+L330</f>
        <v>1</v>
      </c>
      <c r="N330" s="836" t="s">
        <v>1326</v>
      </c>
      <c r="O330" s="1196">
        <v>27136</v>
      </c>
      <c r="P330" s="1218">
        <f ca="1">YEARFRAC(TODAY(),O330)</f>
        <v>43.458333333333336</v>
      </c>
      <c r="Q330" s="1148">
        <v>78900</v>
      </c>
      <c r="R330" s="874">
        <f>Q330*0.1</f>
        <v>7890</v>
      </c>
      <c r="S330" s="875">
        <v>3000</v>
      </c>
      <c r="T330" s="875">
        <v>46000</v>
      </c>
      <c r="U330" s="875">
        <v>5000</v>
      </c>
      <c r="V330" s="875"/>
      <c r="W330" s="875"/>
      <c r="X330" s="1026">
        <f>(Q330+R330+S330+T330+U330+V330+W330)*M330</f>
        <v>140790</v>
      </c>
      <c r="Y330" s="1512">
        <f>(T330+U330)*M330/(X330-M330*(T330+U330))</f>
        <v>0.56799198128967587</v>
      </c>
      <c r="Z330" s="1741">
        <f>M330*(1+Y330)</f>
        <v>1.5679919812896759</v>
      </c>
      <c r="AA330" s="1749">
        <f>SUM(AD330:AS330)</f>
        <v>0</v>
      </c>
      <c r="AB330" s="1810">
        <f t="shared" ref="AB330:AB331" si="192">100*AA330/Z330</f>
        <v>0</v>
      </c>
      <c r="AC330" s="876"/>
      <c r="AD330" s="1525">
        <f t="shared" ref="AD330:AS331" si="193">SUMIF($AV$6:$BS$6,AD$5,$AV330:$BS330)</f>
        <v>0</v>
      </c>
      <c r="AE330" s="1525">
        <f t="shared" si="193"/>
        <v>0</v>
      </c>
      <c r="AF330" s="1525">
        <f t="shared" si="193"/>
        <v>0</v>
      </c>
      <c r="AG330" s="1525">
        <f t="shared" si="193"/>
        <v>0</v>
      </c>
      <c r="AH330" s="1525">
        <f t="shared" si="193"/>
        <v>0</v>
      </c>
      <c r="AI330" s="1525">
        <f t="shared" si="193"/>
        <v>0</v>
      </c>
      <c r="AJ330" s="1525">
        <f t="shared" si="193"/>
        <v>0</v>
      </c>
      <c r="AK330" s="1525">
        <f t="shared" si="193"/>
        <v>0</v>
      </c>
      <c r="AL330" s="1525">
        <f t="shared" si="193"/>
        <v>0</v>
      </c>
      <c r="AM330" s="1525">
        <f t="shared" si="193"/>
        <v>0</v>
      </c>
      <c r="AN330" s="1525">
        <f t="shared" si="193"/>
        <v>0</v>
      </c>
      <c r="AO330" s="1525">
        <f t="shared" si="193"/>
        <v>0</v>
      </c>
      <c r="AP330" s="1525">
        <f t="shared" si="193"/>
        <v>0</v>
      </c>
      <c r="AQ330" s="1525">
        <f t="shared" si="193"/>
        <v>0</v>
      </c>
      <c r="AR330" s="1525">
        <f t="shared" si="193"/>
        <v>0</v>
      </c>
      <c r="AS330" s="1525">
        <f t="shared" si="193"/>
        <v>0</v>
      </c>
      <c r="AU330" s="1525"/>
      <c r="AV330" s="1291"/>
      <c r="AW330" s="1292"/>
      <c r="AX330" s="1292"/>
      <c r="AY330" s="1292"/>
      <c r="AZ330" s="1292"/>
      <c r="BA330" s="1292"/>
      <c r="BB330" s="1292"/>
      <c r="BC330" s="1292"/>
      <c r="BD330" s="1292"/>
      <c r="BE330" s="1292"/>
      <c r="BF330" s="1292"/>
      <c r="BG330" s="1292"/>
      <c r="BH330" s="1292"/>
      <c r="BI330" s="1292"/>
      <c r="BJ330" s="1292"/>
      <c r="BK330" s="1292"/>
      <c r="BL330" s="1292"/>
      <c r="BM330" s="1292"/>
      <c r="BN330" s="1292"/>
      <c r="BO330" s="1292"/>
      <c r="BP330" s="1292"/>
      <c r="BQ330" s="1292"/>
      <c r="BR330" s="1292"/>
      <c r="BS330" s="1292"/>
      <c r="BT330" s="1670">
        <f t="shared" ref="BT330:BT331" si="194">SUM(AV330:BS330)</f>
        <v>0</v>
      </c>
      <c r="BW330" s="862" t="s">
        <v>1327</v>
      </c>
    </row>
    <row r="331" spans="2:75" ht="12.75" customHeight="1" x14ac:dyDescent="0.2">
      <c r="B331" s="175">
        <f>B330+1</f>
        <v>2</v>
      </c>
      <c r="C331" s="220">
        <v>14</v>
      </c>
      <c r="D331" s="170"/>
      <c r="E331" s="447" t="s">
        <v>647</v>
      </c>
      <c r="F331" s="26" t="s">
        <v>626</v>
      </c>
      <c r="G331" s="910" t="s">
        <v>237</v>
      </c>
      <c r="H331" s="873">
        <v>291146</v>
      </c>
      <c r="I331" s="196" t="s">
        <v>583</v>
      </c>
      <c r="J331" s="195"/>
      <c r="K331" s="195"/>
      <c r="L331" s="873">
        <v>1</v>
      </c>
      <c r="M331" s="873">
        <v>1</v>
      </c>
      <c r="N331" s="872" t="s">
        <v>892</v>
      </c>
      <c r="O331" s="1196">
        <v>30668</v>
      </c>
      <c r="P331" s="1262">
        <f ca="1">YEARFRAC(TODAY(),O331)</f>
        <v>33.788888888888891</v>
      </c>
      <c r="Q331" s="1071">
        <v>26000</v>
      </c>
      <c r="R331" s="890"/>
      <c r="S331" s="891"/>
      <c r="T331" s="891">
        <v>6000</v>
      </c>
      <c r="U331" s="1034"/>
      <c r="V331" s="891"/>
      <c r="W331" s="891"/>
      <c r="X331" s="1026">
        <f>(Q331+R331+S331+T331+U331+V331+W331)*M331</f>
        <v>32000</v>
      </c>
      <c r="Y331" s="1512">
        <f>(T331+U331)*M331/(X331-M331*(T331+U331))</f>
        <v>0.23076923076923078</v>
      </c>
      <c r="Z331" s="1741">
        <f>M331*(1+Y331)</f>
        <v>1.2307692307692308</v>
      </c>
      <c r="AA331" s="1749">
        <f>SUM(AD331:AS331)</f>
        <v>0</v>
      </c>
      <c r="AB331" s="1810">
        <f t="shared" si="192"/>
        <v>0</v>
      </c>
      <c r="AC331" s="876"/>
      <c r="AD331" s="1525">
        <f t="shared" si="193"/>
        <v>0</v>
      </c>
      <c r="AE331" s="1525">
        <f t="shared" si="193"/>
        <v>0</v>
      </c>
      <c r="AF331" s="1525">
        <f t="shared" si="193"/>
        <v>0</v>
      </c>
      <c r="AG331" s="1525">
        <f t="shared" si="193"/>
        <v>0</v>
      </c>
      <c r="AH331" s="1525">
        <f t="shared" si="193"/>
        <v>0</v>
      </c>
      <c r="AI331" s="1525">
        <f t="shared" si="193"/>
        <v>0</v>
      </c>
      <c r="AJ331" s="1525">
        <f t="shared" si="193"/>
        <v>0</v>
      </c>
      <c r="AK331" s="1525">
        <f t="shared" si="193"/>
        <v>0</v>
      </c>
      <c r="AL331" s="1525">
        <f t="shared" si="193"/>
        <v>0</v>
      </c>
      <c r="AM331" s="1525">
        <f t="shared" si="193"/>
        <v>0</v>
      </c>
      <c r="AN331" s="1525">
        <f t="shared" si="193"/>
        <v>0</v>
      </c>
      <c r="AO331" s="1525">
        <f t="shared" si="193"/>
        <v>0</v>
      </c>
      <c r="AP331" s="1525">
        <f t="shared" si="193"/>
        <v>0</v>
      </c>
      <c r="AQ331" s="1525">
        <f t="shared" si="193"/>
        <v>0</v>
      </c>
      <c r="AR331" s="1525">
        <f t="shared" si="193"/>
        <v>0</v>
      </c>
      <c r="AS331" s="1525">
        <f t="shared" si="193"/>
        <v>0</v>
      </c>
      <c r="AU331" s="1525"/>
      <c r="AV331" s="1291"/>
      <c r="AW331" s="1292"/>
      <c r="AX331" s="1292"/>
      <c r="AY331" s="1292"/>
      <c r="AZ331" s="1292"/>
      <c r="BA331" s="1292"/>
      <c r="BB331" s="1292"/>
      <c r="BC331" s="1292"/>
      <c r="BD331" s="1292"/>
      <c r="BE331" s="1292"/>
      <c r="BF331" s="1292"/>
      <c r="BG331" s="1292"/>
      <c r="BH331" s="1292"/>
      <c r="BI331" s="1292"/>
      <c r="BJ331" s="1292"/>
      <c r="BK331" s="1292"/>
      <c r="BL331" s="1292"/>
      <c r="BM331" s="1292"/>
      <c r="BN331" s="1292"/>
      <c r="BO331" s="1292"/>
      <c r="BP331" s="1292"/>
      <c r="BQ331" s="1292"/>
      <c r="BR331" s="1292"/>
      <c r="BS331" s="1292"/>
      <c r="BT331" s="1670">
        <f t="shared" si="194"/>
        <v>0</v>
      </c>
      <c r="BW331" s="910" t="s">
        <v>237</v>
      </c>
    </row>
    <row r="332" spans="2:75" s="164" customFormat="1" ht="12.75" customHeight="1" x14ac:dyDescent="0.2">
      <c r="B332" s="175"/>
      <c r="C332" s="219" t="s">
        <v>1120</v>
      </c>
      <c r="F332" s="4" t="s">
        <v>1038</v>
      </c>
      <c r="G332" s="862"/>
      <c r="H332" s="1351" t="s">
        <v>1508</v>
      </c>
      <c r="I332" s="197"/>
      <c r="J332" s="174"/>
      <c r="K332" s="446">
        <f>SUM(K330)</f>
        <v>0</v>
      </c>
      <c r="L332" s="892">
        <f>SUM(L330:L331)</f>
        <v>2</v>
      </c>
      <c r="M332" s="892">
        <f>SUM(M330:M331)</f>
        <v>2</v>
      </c>
      <c r="N332" s="836"/>
      <c r="O332" s="1192"/>
      <c r="P332" s="550"/>
      <c r="Q332" s="1151"/>
      <c r="R332" s="876"/>
      <c r="S332" s="876"/>
      <c r="T332" s="876"/>
      <c r="U332" s="876"/>
      <c r="V332" s="876"/>
      <c r="W332" s="876"/>
      <c r="X332" s="1026"/>
      <c r="Y332" s="1335"/>
      <c r="Z332" s="1335"/>
      <c r="AA332" s="1775"/>
      <c r="AB332" s="1814"/>
      <c r="AC332" s="876"/>
      <c r="AD332" s="1295"/>
      <c r="AE332" s="1525"/>
      <c r="AF332" s="1525"/>
      <c r="AG332" s="1525"/>
      <c r="AH332" s="1525"/>
      <c r="AI332" s="1525"/>
      <c r="AJ332" s="1525"/>
      <c r="AK332" s="1525"/>
      <c r="AL332" s="1525"/>
      <c r="AM332" s="1525"/>
      <c r="AN332" s="1525"/>
      <c r="AO332" s="1525"/>
      <c r="AP332" s="1525"/>
      <c r="AQ332" s="1525"/>
      <c r="AR332" s="1525"/>
      <c r="AS332" s="1525"/>
      <c r="AU332" s="1525"/>
      <c r="AV332" s="1295"/>
      <c r="AW332" s="1525"/>
      <c r="AX332" s="1525"/>
      <c r="AY332" s="1525"/>
      <c r="AZ332" s="1525"/>
      <c r="BA332" s="1525"/>
      <c r="BB332" s="1525"/>
      <c r="BC332" s="1525"/>
      <c r="BD332" s="1525"/>
      <c r="BE332" s="1525"/>
      <c r="BF332" s="1525"/>
      <c r="BG332" s="1525"/>
      <c r="BH332" s="1525"/>
      <c r="BI332" s="1525"/>
      <c r="BJ332" s="1525"/>
      <c r="BK332" s="1525"/>
      <c r="BL332" s="1525"/>
      <c r="BM332" s="1525"/>
      <c r="BN332" s="1525"/>
      <c r="BO332" s="1525"/>
      <c r="BP332" s="1525"/>
      <c r="BQ332" s="1525"/>
      <c r="BR332" s="1525"/>
      <c r="BS332" s="1525"/>
      <c r="BT332" s="1670"/>
      <c r="BV332"/>
      <c r="BW332" s="862"/>
    </row>
    <row r="333" spans="2:75" s="164" customFormat="1" ht="12.75" customHeight="1" x14ac:dyDescent="0.2">
      <c r="B333" s="175"/>
      <c r="C333" s="219"/>
      <c r="F333" s="4"/>
      <c r="G333" s="862"/>
      <c r="H333" s="1347" t="s">
        <v>1508</v>
      </c>
      <c r="I333" s="197"/>
      <c r="J333" s="174"/>
      <c r="K333" s="192"/>
      <c r="L333" s="861"/>
      <c r="M333" s="861"/>
      <c r="N333" s="836"/>
      <c r="O333" s="1192"/>
      <c r="P333" s="550"/>
      <c r="Q333" s="1151"/>
      <c r="R333" s="876"/>
      <c r="S333" s="876"/>
      <c r="T333" s="876"/>
      <c r="U333" s="876"/>
      <c r="V333" s="876"/>
      <c r="W333" s="876"/>
      <c r="X333" s="1026"/>
      <c r="Y333" s="1754"/>
      <c r="Z333" s="1755"/>
      <c r="AA333" s="1775"/>
      <c r="AB333" s="1814"/>
      <c r="AC333" s="876"/>
      <c r="AD333" s="1295"/>
      <c r="AE333" s="1525"/>
      <c r="AF333" s="1525"/>
      <c r="AG333" s="1525"/>
      <c r="AH333" s="1525"/>
      <c r="AI333" s="1525"/>
      <c r="AJ333" s="1525"/>
      <c r="AK333" s="1525"/>
      <c r="AL333" s="1525"/>
      <c r="AM333" s="1525"/>
      <c r="AN333" s="1525"/>
      <c r="AO333" s="1525"/>
      <c r="AP333" s="1525"/>
      <c r="AQ333" s="1525"/>
      <c r="AR333" s="1525"/>
      <c r="AS333" s="1525"/>
      <c r="AU333" s="1525"/>
      <c r="AV333" s="1295"/>
      <c r="AW333" s="1525"/>
      <c r="AX333" s="1525"/>
      <c r="AY333" s="1525"/>
      <c r="AZ333" s="1525"/>
      <c r="BA333" s="1525"/>
      <c r="BB333" s="1525"/>
      <c r="BC333" s="1525"/>
      <c r="BD333" s="1525"/>
      <c r="BE333" s="1525"/>
      <c r="BF333" s="1525"/>
      <c r="BG333" s="1525"/>
      <c r="BH333" s="1525"/>
      <c r="BI333" s="1525"/>
      <c r="BJ333" s="1525"/>
      <c r="BK333" s="1525"/>
      <c r="BL333" s="1525"/>
      <c r="BM333" s="1525"/>
      <c r="BN333" s="1525"/>
      <c r="BO333" s="1525"/>
      <c r="BP333" s="1525"/>
      <c r="BQ333" s="1525"/>
      <c r="BR333" s="1525"/>
      <c r="BS333" s="1525"/>
      <c r="BT333" s="1670"/>
      <c r="BV333"/>
      <c r="BW333" s="862"/>
    </row>
    <row r="334" spans="2:75" s="164" customFormat="1" ht="12.75" customHeight="1" x14ac:dyDescent="0.2">
      <c r="B334" s="175"/>
      <c r="C334" s="219"/>
      <c r="F334" s="1115" t="s">
        <v>436</v>
      </c>
      <c r="G334" s="862"/>
      <c r="H334" s="1347" t="s">
        <v>1508</v>
      </c>
      <c r="I334" s="197"/>
      <c r="J334" s="174"/>
      <c r="K334" s="192"/>
      <c r="L334" s="861"/>
      <c r="M334" s="861"/>
      <c r="N334" s="836"/>
      <c r="O334" s="1192"/>
      <c r="P334" s="550"/>
      <c r="Q334" s="1151"/>
      <c r="R334" s="876"/>
      <c r="S334" s="876"/>
      <c r="T334" s="876"/>
      <c r="U334" s="876"/>
      <c r="V334" s="876"/>
      <c r="W334" s="876"/>
      <c r="X334" s="1026"/>
      <c r="Y334" s="1754"/>
      <c r="Z334" s="1755"/>
      <c r="AA334" s="1775"/>
      <c r="AB334" s="1814"/>
      <c r="AC334" s="876"/>
      <c r="AD334" s="1295"/>
      <c r="AE334" s="1525"/>
      <c r="AF334" s="1525"/>
      <c r="AG334" s="1525"/>
      <c r="AH334" s="1525"/>
      <c r="AI334" s="1525"/>
      <c r="AJ334" s="1525"/>
      <c r="AK334" s="1525"/>
      <c r="AL334" s="1525"/>
      <c r="AM334" s="1525"/>
      <c r="AN334" s="1525"/>
      <c r="AO334" s="1525"/>
      <c r="AP334" s="1525"/>
      <c r="AQ334" s="1525"/>
      <c r="AR334" s="1525"/>
      <c r="AS334" s="1525"/>
      <c r="AU334" s="1525"/>
      <c r="AV334" s="1295"/>
      <c r="AW334" s="1525"/>
      <c r="AX334" s="1525"/>
      <c r="AY334" s="1525"/>
      <c r="AZ334" s="1525"/>
      <c r="BA334" s="1525"/>
      <c r="BB334" s="1525"/>
      <c r="BC334" s="1525"/>
      <c r="BD334" s="1525"/>
      <c r="BE334" s="1525"/>
      <c r="BF334" s="1525"/>
      <c r="BG334" s="1525"/>
      <c r="BH334" s="1525"/>
      <c r="BI334" s="1525"/>
      <c r="BJ334" s="1525"/>
      <c r="BK334" s="1525"/>
      <c r="BL334" s="1525"/>
      <c r="BM334" s="1525"/>
      <c r="BN334" s="1525"/>
      <c r="BO334" s="1525"/>
      <c r="BP334" s="1525"/>
      <c r="BQ334" s="1525"/>
      <c r="BR334" s="1525"/>
      <c r="BS334" s="1525"/>
      <c r="BT334" s="1670"/>
      <c r="BV334"/>
      <c r="BW334" s="862"/>
    </row>
    <row r="335" spans="2:75" s="164" customFormat="1" ht="12.75" customHeight="1" x14ac:dyDescent="0.2">
      <c r="B335" s="175">
        <f>B333+1</f>
        <v>1</v>
      </c>
      <c r="C335" s="219">
        <v>7</v>
      </c>
      <c r="E335" s="12" t="s">
        <v>647</v>
      </c>
      <c r="F335" s="1124" t="s">
        <v>1333</v>
      </c>
      <c r="G335" s="862" t="s">
        <v>1821</v>
      </c>
      <c r="H335" s="1640">
        <v>170953</v>
      </c>
      <c r="I335" s="197" t="s">
        <v>351</v>
      </c>
      <c r="J335" s="1144"/>
      <c r="K335" s="192">
        <v>1</v>
      </c>
      <c r="L335" s="861"/>
      <c r="M335" s="861">
        <v>1</v>
      </c>
      <c r="N335" s="836" t="s">
        <v>892</v>
      </c>
      <c r="O335" s="1192"/>
      <c r="P335" s="550"/>
      <c r="Q335" s="1151">
        <v>37100</v>
      </c>
      <c r="R335" s="876"/>
      <c r="S335" s="876">
        <v>3000</v>
      </c>
      <c r="T335" s="876"/>
      <c r="U335" s="876"/>
      <c r="V335" s="876"/>
      <c r="W335" s="876"/>
      <c r="X335" s="1026">
        <f>(Q335+R335+S335+T335+U335+V335+W335)*M335</f>
        <v>40100</v>
      </c>
      <c r="Y335" s="1512">
        <f>(T335+U335)*M335/(X335-M335*(T335+U335))</f>
        <v>0</v>
      </c>
      <c r="Z335" s="1741">
        <f>M335*(1+Y335)</f>
        <v>1</v>
      </c>
      <c r="AA335" s="1749">
        <f>SUM(AD335:AS335)</f>
        <v>0</v>
      </c>
      <c r="AB335" s="1810">
        <f t="shared" ref="AB335" si="195">100*AA335/Z335</f>
        <v>0</v>
      </c>
      <c r="AC335" s="876"/>
      <c r="AD335" s="1525">
        <f t="shared" ref="AD335:AS335" si="196">SUMIF($AV$6:$BS$6,AD$5,$AV335:$BS335)</f>
        <v>0</v>
      </c>
      <c r="AE335" s="1525">
        <f t="shared" si="196"/>
        <v>0</v>
      </c>
      <c r="AF335" s="1525">
        <f t="shared" si="196"/>
        <v>0</v>
      </c>
      <c r="AG335" s="1525">
        <f t="shared" si="196"/>
        <v>0</v>
      </c>
      <c r="AH335" s="1525">
        <f t="shared" si="196"/>
        <v>0</v>
      </c>
      <c r="AI335" s="1525">
        <f t="shared" si="196"/>
        <v>0</v>
      </c>
      <c r="AJ335" s="1525">
        <f t="shared" si="196"/>
        <v>0</v>
      </c>
      <c r="AK335" s="1525">
        <f t="shared" si="196"/>
        <v>0</v>
      </c>
      <c r="AL335" s="1525">
        <f t="shared" si="196"/>
        <v>0</v>
      </c>
      <c r="AM335" s="1525">
        <f t="shared" si="196"/>
        <v>0</v>
      </c>
      <c r="AN335" s="1525">
        <f t="shared" si="196"/>
        <v>0</v>
      </c>
      <c r="AO335" s="1525">
        <f t="shared" si="196"/>
        <v>0</v>
      </c>
      <c r="AP335" s="1525">
        <f t="shared" si="196"/>
        <v>0</v>
      </c>
      <c r="AQ335" s="1525">
        <f t="shared" si="196"/>
        <v>0</v>
      </c>
      <c r="AR335" s="1525">
        <f t="shared" si="196"/>
        <v>0</v>
      </c>
      <c r="AS335" s="1525">
        <f t="shared" si="196"/>
        <v>0</v>
      </c>
      <c r="AU335" s="1525"/>
      <c r="AV335" s="1295"/>
      <c r="AW335" s="1525"/>
      <c r="AX335" s="1525"/>
      <c r="AY335" s="1525"/>
      <c r="AZ335" s="1525"/>
      <c r="BA335" s="1525"/>
      <c r="BB335" s="1525"/>
      <c r="BC335" s="1525"/>
      <c r="BD335" s="1525"/>
      <c r="BE335" s="1525"/>
      <c r="BF335" s="1525"/>
      <c r="BG335" s="1525"/>
      <c r="BH335" s="1525"/>
      <c r="BI335" s="1525"/>
      <c r="BJ335" s="1525"/>
      <c r="BK335" s="1525"/>
      <c r="BL335" s="1525"/>
      <c r="BM335" s="1525"/>
      <c r="BN335" s="1525"/>
      <c r="BO335" s="1525"/>
      <c r="BP335" s="1525"/>
      <c r="BQ335" s="1525"/>
      <c r="BR335" s="1525"/>
      <c r="BS335" s="1525"/>
      <c r="BT335" s="1670">
        <f>SUM(AV335:BS335)</f>
        <v>0</v>
      </c>
      <c r="BV335"/>
      <c r="BW335" s="862" t="s">
        <v>1821</v>
      </c>
    </row>
    <row r="336" spans="2:75" s="164" customFormat="1" ht="12.75" customHeight="1" x14ac:dyDescent="0.2">
      <c r="B336" s="175"/>
      <c r="F336" s="24"/>
      <c r="G336" s="859"/>
      <c r="H336" s="1346" t="s">
        <v>1508</v>
      </c>
      <c r="I336" s="200"/>
      <c r="J336" s="189"/>
      <c r="K336" s="189"/>
      <c r="L336" s="858"/>
      <c r="M336" s="858"/>
      <c r="N336" s="857"/>
      <c r="O336" s="1192"/>
      <c r="P336" s="550"/>
      <c r="Q336" s="1151"/>
      <c r="R336" s="876"/>
      <c r="S336" s="876"/>
      <c r="T336" s="876"/>
      <c r="U336" s="876"/>
      <c r="V336" s="876"/>
      <c r="W336" s="876"/>
      <c r="X336" s="1026"/>
      <c r="Y336" s="1754"/>
      <c r="Z336" s="1755"/>
      <c r="AA336" s="1775"/>
      <c r="AB336" s="1814"/>
      <c r="AC336" s="876"/>
      <c r="AD336" s="1295"/>
      <c r="AE336" s="1525"/>
      <c r="AF336" s="1525"/>
      <c r="AG336" s="1525"/>
      <c r="AH336" s="1525"/>
      <c r="AI336" s="1525"/>
      <c r="AJ336" s="1525"/>
      <c r="AK336" s="1525"/>
      <c r="AL336" s="1525"/>
      <c r="AM336" s="1525"/>
      <c r="AN336" s="1525"/>
      <c r="AO336" s="1525"/>
      <c r="AP336" s="1525"/>
      <c r="AQ336" s="1525"/>
      <c r="AR336" s="1525"/>
      <c r="AS336" s="1525"/>
      <c r="AU336" s="1525"/>
      <c r="AV336" s="1295"/>
      <c r="AW336" s="1525"/>
      <c r="AX336" s="1525"/>
      <c r="AY336" s="1525"/>
      <c r="AZ336" s="1525"/>
      <c r="BA336" s="1525"/>
      <c r="BB336" s="1525"/>
      <c r="BC336" s="1525"/>
      <c r="BD336" s="1525"/>
      <c r="BE336" s="1525"/>
      <c r="BF336" s="1525"/>
      <c r="BG336" s="1525"/>
      <c r="BH336" s="1525"/>
      <c r="BI336" s="1525"/>
      <c r="BJ336" s="1525"/>
      <c r="BK336" s="1525"/>
      <c r="BL336" s="1525"/>
      <c r="BM336" s="1525"/>
      <c r="BN336" s="1525"/>
      <c r="BO336" s="1525"/>
      <c r="BP336" s="1525"/>
      <c r="BQ336" s="1525"/>
      <c r="BR336" s="1525"/>
      <c r="BS336" s="1525"/>
      <c r="BT336" s="1670"/>
      <c r="BV336"/>
      <c r="BW336" s="859"/>
    </row>
    <row r="337" spans="2:75" s="164" customFormat="1" ht="12.75" customHeight="1" x14ac:dyDescent="0.2">
      <c r="B337" s="175"/>
      <c r="F337" s="21" t="s">
        <v>215</v>
      </c>
      <c r="G337" s="859"/>
      <c r="H337" s="1346" t="s">
        <v>1508</v>
      </c>
      <c r="I337" s="200"/>
      <c r="J337" s="189"/>
      <c r="K337" s="189"/>
      <c r="L337" s="858"/>
      <c r="M337" s="858"/>
      <c r="N337" s="857"/>
      <c r="O337" s="1192"/>
      <c r="P337" s="550"/>
      <c r="Q337" s="1151"/>
      <c r="R337" s="876"/>
      <c r="S337" s="876"/>
      <c r="T337" s="876"/>
      <c r="U337" s="876"/>
      <c r="V337" s="876"/>
      <c r="W337" s="876"/>
      <c r="X337" s="1026"/>
      <c r="Y337" s="1754"/>
      <c r="Z337" s="1755"/>
      <c r="AA337" s="1775"/>
      <c r="AB337" s="1814"/>
      <c r="AC337" s="876"/>
      <c r="AD337" s="1295"/>
      <c r="AE337" s="1525"/>
      <c r="AF337" s="1525"/>
      <c r="AG337" s="1525"/>
      <c r="AH337" s="1525"/>
      <c r="AI337" s="1525"/>
      <c r="AJ337" s="1525"/>
      <c r="AK337" s="1525"/>
      <c r="AL337" s="1525"/>
      <c r="AM337" s="1525"/>
      <c r="AN337" s="1525"/>
      <c r="AO337" s="1525"/>
      <c r="AP337" s="1525"/>
      <c r="AQ337" s="1525"/>
      <c r="AR337" s="1525"/>
      <c r="AS337" s="1525"/>
      <c r="AU337" s="1525"/>
      <c r="AV337" s="1295"/>
      <c r="AW337" s="1525"/>
      <c r="AX337" s="1525"/>
      <c r="AY337" s="1525"/>
      <c r="AZ337" s="1525"/>
      <c r="BA337" s="1525"/>
      <c r="BB337" s="1525"/>
      <c r="BC337" s="1525"/>
      <c r="BD337" s="1525"/>
      <c r="BE337" s="1525"/>
      <c r="BF337" s="1525"/>
      <c r="BG337" s="1525"/>
      <c r="BH337" s="1525"/>
      <c r="BI337" s="1525"/>
      <c r="BJ337" s="1525"/>
      <c r="BK337" s="1525"/>
      <c r="BL337" s="1525"/>
      <c r="BM337" s="1525"/>
      <c r="BN337" s="1525"/>
      <c r="BO337" s="1525"/>
      <c r="BP337" s="1525"/>
      <c r="BQ337" s="1525"/>
      <c r="BR337" s="1525"/>
      <c r="BS337" s="1525"/>
      <c r="BT337" s="1670"/>
      <c r="BV337"/>
      <c r="BW337" s="859"/>
    </row>
    <row r="338" spans="2:75" s="164" customFormat="1" ht="12.75" customHeight="1" x14ac:dyDescent="0.2">
      <c r="B338" s="175"/>
      <c r="F338" s="21"/>
      <c r="G338" s="859"/>
      <c r="H338" s="1346" t="s">
        <v>1508</v>
      </c>
      <c r="I338" s="200"/>
      <c r="J338" s="189"/>
      <c r="K338" s="189"/>
      <c r="L338" s="858"/>
      <c r="M338" s="858"/>
      <c r="N338" s="857"/>
      <c r="O338" s="1192"/>
      <c r="P338" s="550"/>
      <c r="Q338" s="1151"/>
      <c r="R338" s="876"/>
      <c r="S338" s="876"/>
      <c r="T338" s="876"/>
      <c r="U338" s="876"/>
      <c r="V338" s="876"/>
      <c r="W338" s="876"/>
      <c r="X338" s="1026"/>
      <c r="Y338" s="1754"/>
      <c r="Z338" s="1755"/>
      <c r="AA338" s="1775"/>
      <c r="AB338" s="1814"/>
      <c r="AC338" s="876"/>
      <c r="AD338" s="1295"/>
      <c r="AE338" s="1525"/>
      <c r="AF338" s="1525"/>
      <c r="AG338" s="1525"/>
      <c r="AH338" s="1525"/>
      <c r="AI338" s="1525"/>
      <c r="AJ338" s="1525"/>
      <c r="AK338" s="1525"/>
      <c r="AL338" s="1525"/>
      <c r="AM338" s="1525"/>
      <c r="AN338" s="1525"/>
      <c r="AO338" s="1525"/>
      <c r="AP338" s="1525"/>
      <c r="AQ338" s="1525"/>
      <c r="AR338" s="1525"/>
      <c r="AS338" s="1525"/>
      <c r="AU338" s="1525"/>
      <c r="AV338" s="1295"/>
      <c r="AW338" s="1525"/>
      <c r="AX338" s="1525"/>
      <c r="AY338" s="1525"/>
      <c r="AZ338" s="1525"/>
      <c r="BA338" s="1525"/>
      <c r="BB338" s="1525"/>
      <c r="BC338" s="1525"/>
      <c r="BD338" s="1525"/>
      <c r="BE338" s="1525"/>
      <c r="BF338" s="1525"/>
      <c r="BG338" s="1525"/>
      <c r="BH338" s="1525"/>
      <c r="BI338" s="1525"/>
      <c r="BJ338" s="1525"/>
      <c r="BK338" s="1525"/>
      <c r="BL338" s="1525"/>
      <c r="BM338" s="1525"/>
      <c r="BN338" s="1525"/>
      <c r="BO338" s="1525"/>
      <c r="BP338" s="1525"/>
      <c r="BQ338" s="1525"/>
      <c r="BR338" s="1525"/>
      <c r="BS338" s="1525"/>
      <c r="BT338" s="1670"/>
      <c r="BV338"/>
      <c r="BW338" s="859"/>
    </row>
    <row r="339" spans="2:75" ht="12.75" customHeight="1" x14ac:dyDescent="0.2">
      <c r="B339" s="175">
        <f>B338+1</f>
        <v>1</v>
      </c>
      <c r="C339" s="236">
        <v>5</v>
      </c>
      <c r="D339" s="218"/>
      <c r="E339" s="166" t="s">
        <v>647</v>
      </c>
      <c r="F339" s="476" t="s">
        <v>216</v>
      </c>
      <c r="G339" s="859" t="s">
        <v>1063</v>
      </c>
      <c r="H339" s="1413">
        <v>100778</v>
      </c>
      <c r="I339" s="621" t="s">
        <v>351</v>
      </c>
      <c r="J339" s="625"/>
      <c r="K339" s="625"/>
      <c r="L339" s="861">
        <v>1</v>
      </c>
      <c r="M339" s="858">
        <f>K339+L339</f>
        <v>1</v>
      </c>
      <c r="N339" s="857" t="s">
        <v>1326</v>
      </c>
      <c r="O339" s="1196">
        <v>24066</v>
      </c>
      <c r="P339" s="1218">
        <f t="shared" ref="P339:P349" ca="1" si="197">YEARFRAC(TODAY(),O339)</f>
        <v>51.866666666666667</v>
      </c>
      <c r="Q339" s="1148">
        <v>52100</v>
      </c>
      <c r="R339" s="874">
        <f>Q339*0.1</f>
        <v>5210</v>
      </c>
      <c r="S339" s="875">
        <v>7000</v>
      </c>
      <c r="T339" s="875">
        <v>27400</v>
      </c>
      <c r="U339" s="875"/>
      <c r="V339" s="875"/>
      <c r="W339" s="875"/>
      <c r="X339" s="1026">
        <f t="shared" ref="X339:X348" si="198">(Q339+R339+S339+T339+U339+V339+W339)*M339</f>
        <v>91710</v>
      </c>
      <c r="Y339" s="1512">
        <f t="shared" ref="Y339:Y348" si="199">(T339+U339)*M339/(X339-M339*(T339+U339))</f>
        <v>0.42606126574405223</v>
      </c>
      <c r="Z339" s="1741">
        <f t="shared" ref="Z339:Z350" si="200">M339*(1+Y339)</f>
        <v>1.4260612657440523</v>
      </c>
      <c r="AA339" s="1749">
        <f t="shared" ref="AA339:AA347" si="201">SUM(AD339:AS339)</f>
        <v>0</v>
      </c>
      <c r="AB339" s="1810">
        <f t="shared" ref="AB339:AB350" si="202">100*AA339/Z339</f>
        <v>0</v>
      </c>
      <c r="AC339" s="876"/>
      <c r="AD339" s="1525">
        <f t="shared" ref="AD339:AS348" si="203">SUMIF($AV$6:$BS$6,AD$5,$AV339:$BS339)</f>
        <v>0</v>
      </c>
      <c r="AE339" s="1525">
        <f t="shared" si="203"/>
        <v>0</v>
      </c>
      <c r="AF339" s="1525">
        <f t="shared" si="203"/>
        <v>0</v>
      </c>
      <c r="AG339" s="1525">
        <f t="shared" si="203"/>
        <v>0</v>
      </c>
      <c r="AH339" s="1525">
        <f t="shared" si="203"/>
        <v>0</v>
      </c>
      <c r="AI339" s="1525">
        <f t="shared" si="203"/>
        <v>0</v>
      </c>
      <c r="AJ339" s="1525">
        <f t="shared" si="203"/>
        <v>0</v>
      </c>
      <c r="AK339" s="1525">
        <f t="shared" si="203"/>
        <v>0</v>
      </c>
      <c r="AL339" s="1525">
        <f t="shared" si="203"/>
        <v>0</v>
      </c>
      <c r="AM339" s="1525">
        <f t="shared" si="203"/>
        <v>0</v>
      </c>
      <c r="AN339" s="1525">
        <f t="shared" si="203"/>
        <v>0</v>
      </c>
      <c r="AO339" s="1525">
        <f t="shared" si="203"/>
        <v>0</v>
      </c>
      <c r="AP339" s="1525">
        <f t="shared" si="203"/>
        <v>0</v>
      </c>
      <c r="AQ339" s="1525">
        <f t="shared" si="203"/>
        <v>0</v>
      </c>
      <c r="AR339" s="1525">
        <f t="shared" si="203"/>
        <v>0</v>
      </c>
      <c r="AS339" s="1525">
        <f t="shared" si="203"/>
        <v>0</v>
      </c>
      <c r="AU339" s="1525"/>
      <c r="AV339" s="1291"/>
      <c r="AW339" s="1292"/>
      <c r="AX339" s="1292"/>
      <c r="AY339" s="1292"/>
      <c r="AZ339" s="1292"/>
      <c r="BA339" s="1292"/>
      <c r="BB339" s="1292"/>
      <c r="BC339" s="1292"/>
      <c r="BD339" s="1292"/>
      <c r="BE339" s="1292"/>
      <c r="BF339" s="1292"/>
      <c r="BG339" s="1292"/>
      <c r="BH339" s="1292"/>
      <c r="BI339" s="1292"/>
      <c r="BJ339" s="1292"/>
      <c r="BK339" s="1292"/>
      <c r="BL339" s="1292"/>
      <c r="BM339" s="1292"/>
      <c r="BN339" s="1292"/>
      <c r="BO339" s="1292"/>
      <c r="BP339" s="1292"/>
      <c r="BQ339" s="1292"/>
      <c r="BR339" s="1292"/>
      <c r="BS339" s="1292"/>
      <c r="BT339" s="1670">
        <f>SUM(AV339:BS339)</f>
        <v>0</v>
      </c>
      <c r="BW339" s="859" t="s">
        <v>1063</v>
      </c>
    </row>
    <row r="340" spans="2:75" ht="12.75" customHeight="1" x14ac:dyDescent="0.2">
      <c r="B340" s="175">
        <f t="shared" ref="B340:B350" si="204">B339+1</f>
        <v>2</v>
      </c>
      <c r="C340" s="236">
        <v>9</v>
      </c>
      <c r="D340" s="218"/>
      <c r="E340" s="166" t="s">
        <v>647</v>
      </c>
      <c r="F340" s="4" t="s">
        <v>1396</v>
      </c>
      <c r="G340" s="862" t="s">
        <v>1691</v>
      </c>
      <c r="H340" s="1412">
        <v>141485</v>
      </c>
      <c r="I340" s="1102" t="s">
        <v>351</v>
      </c>
      <c r="J340" s="625">
        <v>1</v>
      </c>
      <c r="K340" s="625"/>
      <c r="L340" s="861">
        <v>0.25</v>
      </c>
      <c r="M340" s="861">
        <v>0.25</v>
      </c>
      <c r="N340" s="836" t="s">
        <v>892</v>
      </c>
      <c r="O340" s="1196">
        <v>17783</v>
      </c>
      <c r="P340" s="1262">
        <f t="shared" ca="1" si="197"/>
        <v>69.069444444444443</v>
      </c>
      <c r="Q340" s="1148">
        <v>20200</v>
      </c>
      <c r="R340" s="874"/>
      <c r="S340" s="875"/>
      <c r="T340" s="875"/>
      <c r="U340" s="875"/>
      <c r="V340" s="875"/>
      <c r="W340" s="875"/>
      <c r="X340" s="1026">
        <f t="shared" si="198"/>
        <v>5050</v>
      </c>
      <c r="Y340" s="1512">
        <f t="shared" si="199"/>
        <v>0</v>
      </c>
      <c r="Z340" s="1741">
        <f t="shared" si="200"/>
        <v>0.25</v>
      </c>
      <c r="AA340" s="1749">
        <f t="shared" si="201"/>
        <v>0</v>
      </c>
      <c r="AB340" s="1810">
        <f t="shared" si="202"/>
        <v>0</v>
      </c>
      <c r="AC340" s="876"/>
      <c r="AD340" s="1525">
        <f t="shared" si="203"/>
        <v>0</v>
      </c>
      <c r="AE340" s="1525">
        <f t="shared" si="203"/>
        <v>0</v>
      </c>
      <c r="AF340" s="1525">
        <f t="shared" si="203"/>
        <v>0</v>
      </c>
      <c r="AG340" s="1525">
        <f t="shared" si="203"/>
        <v>0</v>
      </c>
      <c r="AH340" s="1525">
        <f t="shared" si="203"/>
        <v>0</v>
      </c>
      <c r="AI340" s="1525">
        <f t="shared" si="203"/>
        <v>0</v>
      </c>
      <c r="AJ340" s="1525">
        <f t="shared" si="203"/>
        <v>0</v>
      </c>
      <c r="AK340" s="1525">
        <f t="shared" si="203"/>
        <v>0</v>
      </c>
      <c r="AL340" s="1525">
        <f t="shared" si="203"/>
        <v>0</v>
      </c>
      <c r="AM340" s="1525">
        <f t="shared" si="203"/>
        <v>0</v>
      </c>
      <c r="AN340" s="1525">
        <f t="shared" si="203"/>
        <v>0</v>
      </c>
      <c r="AO340" s="1525">
        <f t="shared" si="203"/>
        <v>0</v>
      </c>
      <c r="AP340" s="1525">
        <f t="shared" si="203"/>
        <v>0</v>
      </c>
      <c r="AQ340" s="1525">
        <f t="shared" si="203"/>
        <v>0</v>
      </c>
      <c r="AR340" s="1525">
        <f t="shared" si="203"/>
        <v>0</v>
      </c>
      <c r="AS340" s="1525">
        <f t="shared" si="203"/>
        <v>0</v>
      </c>
      <c r="AU340" s="1525"/>
      <c r="AV340" s="1291"/>
      <c r="AW340" s="1292"/>
      <c r="AX340" s="1292"/>
      <c r="AY340" s="1292"/>
      <c r="AZ340" s="1292"/>
      <c r="BA340" s="1292"/>
      <c r="BB340" s="1292"/>
      <c r="BC340" s="1292"/>
      <c r="BD340" s="1292"/>
      <c r="BE340" s="1292"/>
      <c r="BF340" s="1292"/>
      <c r="BG340" s="1292"/>
      <c r="BH340" s="1292"/>
      <c r="BI340" s="1292"/>
      <c r="BJ340" s="1292"/>
      <c r="BK340" s="1292"/>
      <c r="BL340" s="1292"/>
      <c r="BM340" s="1292"/>
      <c r="BN340" s="1292"/>
      <c r="BO340" s="1292"/>
      <c r="BP340" s="1292"/>
      <c r="BQ340" s="1292"/>
      <c r="BR340" s="1292"/>
      <c r="BS340" s="1292"/>
      <c r="BT340" s="1670">
        <f t="shared" ref="BT340:BT350" si="205">SUM(AV340:BS340)</f>
        <v>0</v>
      </c>
      <c r="BW340" s="862" t="s">
        <v>1691</v>
      </c>
    </row>
    <row r="341" spans="2:75" ht="12.75" customHeight="1" x14ac:dyDescent="0.2">
      <c r="B341" s="175">
        <f t="shared" si="204"/>
        <v>3</v>
      </c>
      <c r="C341" s="219">
        <v>12</v>
      </c>
      <c r="E341" s="12" t="s">
        <v>647</v>
      </c>
      <c r="F341" s="24" t="s">
        <v>1235</v>
      </c>
      <c r="G341" s="859" t="s">
        <v>219</v>
      </c>
      <c r="H341" s="1413">
        <v>6142</v>
      </c>
      <c r="I341" s="197" t="s">
        <v>1584</v>
      </c>
      <c r="J341" s="174"/>
      <c r="K341" s="174"/>
      <c r="L341" s="858">
        <v>1</v>
      </c>
      <c r="M341" s="858">
        <f t="shared" ref="M341:M349" si="206">K341+L341</f>
        <v>1</v>
      </c>
      <c r="N341" s="857" t="s">
        <v>892</v>
      </c>
      <c r="O341" s="1196">
        <v>14314</v>
      </c>
      <c r="P341" s="1218">
        <f t="shared" ca="1" si="197"/>
        <v>78.561111111111117</v>
      </c>
      <c r="Q341" s="1148">
        <v>24000</v>
      </c>
      <c r="R341" s="874"/>
      <c r="S341" s="875"/>
      <c r="T341" s="875"/>
      <c r="U341" s="875"/>
      <c r="V341" s="875"/>
      <c r="W341" s="875"/>
      <c r="X341" s="1026">
        <f t="shared" si="198"/>
        <v>24000</v>
      </c>
      <c r="Y341" s="1512">
        <f t="shared" si="199"/>
        <v>0</v>
      </c>
      <c r="Z341" s="1741">
        <f t="shared" si="200"/>
        <v>1</v>
      </c>
      <c r="AA341" s="1749">
        <f t="shared" si="201"/>
        <v>0</v>
      </c>
      <c r="AB341" s="1810">
        <f t="shared" si="202"/>
        <v>0</v>
      </c>
      <c r="AC341" s="876"/>
      <c r="AD341" s="1525">
        <f t="shared" si="203"/>
        <v>0</v>
      </c>
      <c r="AE341" s="1525">
        <f t="shared" si="203"/>
        <v>0</v>
      </c>
      <c r="AF341" s="1525">
        <f t="shared" si="203"/>
        <v>0</v>
      </c>
      <c r="AG341" s="1525">
        <f t="shared" si="203"/>
        <v>0</v>
      </c>
      <c r="AH341" s="1525">
        <f t="shared" si="203"/>
        <v>0</v>
      </c>
      <c r="AI341" s="1525">
        <f t="shared" si="203"/>
        <v>0</v>
      </c>
      <c r="AJ341" s="1525">
        <f t="shared" si="203"/>
        <v>0</v>
      </c>
      <c r="AK341" s="1525">
        <f t="shared" si="203"/>
        <v>0</v>
      </c>
      <c r="AL341" s="1525">
        <f t="shared" si="203"/>
        <v>0</v>
      </c>
      <c r="AM341" s="1525">
        <f t="shared" si="203"/>
        <v>0</v>
      </c>
      <c r="AN341" s="1525">
        <f t="shared" si="203"/>
        <v>0</v>
      </c>
      <c r="AO341" s="1525">
        <f t="shared" si="203"/>
        <v>0</v>
      </c>
      <c r="AP341" s="1525">
        <f t="shared" si="203"/>
        <v>0</v>
      </c>
      <c r="AQ341" s="1525">
        <f t="shared" si="203"/>
        <v>0</v>
      </c>
      <c r="AR341" s="1525">
        <f t="shared" si="203"/>
        <v>0</v>
      </c>
      <c r="AS341" s="1525">
        <f t="shared" si="203"/>
        <v>0</v>
      </c>
      <c r="AU341" s="1525"/>
      <c r="AV341" s="1291"/>
      <c r="AW341" s="1292"/>
      <c r="AX341" s="1292"/>
      <c r="AY341" s="1292"/>
      <c r="AZ341" s="1292"/>
      <c r="BA341" s="1292"/>
      <c r="BB341" s="1292"/>
      <c r="BC341" s="1292"/>
      <c r="BD341" s="1292"/>
      <c r="BE341" s="1292"/>
      <c r="BF341" s="1292"/>
      <c r="BG341" s="1292"/>
      <c r="BH341" s="1292"/>
      <c r="BI341" s="1292"/>
      <c r="BJ341" s="1292"/>
      <c r="BK341" s="1292"/>
      <c r="BL341" s="1292"/>
      <c r="BM341" s="1292"/>
      <c r="BN341" s="1292"/>
      <c r="BO341" s="1292"/>
      <c r="BP341" s="1292"/>
      <c r="BQ341" s="1292"/>
      <c r="BR341" s="1292"/>
      <c r="BS341" s="1292"/>
      <c r="BT341" s="1670">
        <f t="shared" si="205"/>
        <v>0</v>
      </c>
      <c r="BW341" s="859" t="s">
        <v>219</v>
      </c>
    </row>
    <row r="342" spans="2:75" ht="12.75" customHeight="1" x14ac:dyDescent="0.2">
      <c r="B342" s="175">
        <f t="shared" si="204"/>
        <v>4</v>
      </c>
      <c r="C342" s="219">
        <v>12</v>
      </c>
      <c r="E342" s="12" t="s">
        <v>647</v>
      </c>
      <c r="F342" s="4" t="s">
        <v>1235</v>
      </c>
      <c r="G342" s="862" t="s">
        <v>220</v>
      </c>
      <c r="H342" s="1412">
        <v>1457</v>
      </c>
      <c r="I342" s="197" t="s">
        <v>1584</v>
      </c>
      <c r="J342" s="174"/>
      <c r="K342" s="174"/>
      <c r="L342" s="861">
        <v>1</v>
      </c>
      <c r="M342" s="861">
        <f t="shared" si="206"/>
        <v>1</v>
      </c>
      <c r="N342" s="836" t="s">
        <v>1326</v>
      </c>
      <c r="O342" s="1196">
        <v>20722</v>
      </c>
      <c r="P342" s="1218">
        <f t="shared" ca="1" si="197"/>
        <v>61.022222222222226</v>
      </c>
      <c r="Q342" s="1148">
        <v>33000</v>
      </c>
      <c r="R342" s="874">
        <f>Q342*0.1</f>
        <v>3300</v>
      </c>
      <c r="S342" s="875"/>
      <c r="T342" s="875"/>
      <c r="U342" s="875"/>
      <c r="V342" s="875"/>
      <c r="W342" s="875"/>
      <c r="X342" s="1026">
        <f t="shared" si="198"/>
        <v>36300</v>
      </c>
      <c r="Y342" s="1512">
        <f t="shared" si="199"/>
        <v>0</v>
      </c>
      <c r="Z342" s="1741">
        <f t="shared" si="200"/>
        <v>1</v>
      </c>
      <c r="AA342" s="1749">
        <f t="shared" si="201"/>
        <v>0</v>
      </c>
      <c r="AB342" s="1810">
        <f t="shared" si="202"/>
        <v>0</v>
      </c>
      <c r="AC342" s="876"/>
      <c r="AD342" s="1525">
        <f t="shared" si="203"/>
        <v>0</v>
      </c>
      <c r="AE342" s="1525">
        <f t="shared" si="203"/>
        <v>0</v>
      </c>
      <c r="AF342" s="1525">
        <f t="shared" si="203"/>
        <v>0</v>
      </c>
      <c r="AG342" s="1525">
        <f t="shared" si="203"/>
        <v>0</v>
      </c>
      <c r="AH342" s="1525">
        <f t="shared" si="203"/>
        <v>0</v>
      </c>
      <c r="AI342" s="1525">
        <f t="shared" si="203"/>
        <v>0</v>
      </c>
      <c r="AJ342" s="1525">
        <f t="shared" si="203"/>
        <v>0</v>
      </c>
      <c r="AK342" s="1525">
        <f t="shared" si="203"/>
        <v>0</v>
      </c>
      <c r="AL342" s="1525">
        <f t="shared" si="203"/>
        <v>0</v>
      </c>
      <c r="AM342" s="1525">
        <f t="shared" si="203"/>
        <v>0</v>
      </c>
      <c r="AN342" s="1525">
        <f t="shared" si="203"/>
        <v>0</v>
      </c>
      <c r="AO342" s="1525">
        <f t="shared" si="203"/>
        <v>0</v>
      </c>
      <c r="AP342" s="1525">
        <f t="shared" si="203"/>
        <v>0</v>
      </c>
      <c r="AQ342" s="1525">
        <f t="shared" si="203"/>
        <v>0</v>
      </c>
      <c r="AR342" s="1525">
        <f t="shared" si="203"/>
        <v>0</v>
      </c>
      <c r="AS342" s="1525">
        <f t="shared" si="203"/>
        <v>0</v>
      </c>
      <c r="AU342" s="1525"/>
      <c r="AV342" s="1291"/>
      <c r="AW342" s="1292"/>
      <c r="AX342" s="1292"/>
      <c r="AY342" s="1292"/>
      <c r="AZ342" s="1292"/>
      <c r="BA342" s="1292"/>
      <c r="BB342" s="1292"/>
      <c r="BC342" s="1292"/>
      <c r="BD342" s="1292"/>
      <c r="BE342" s="1292"/>
      <c r="BF342" s="1292"/>
      <c r="BG342" s="1292"/>
      <c r="BH342" s="1292"/>
      <c r="BI342" s="1292"/>
      <c r="BJ342" s="1292"/>
      <c r="BK342" s="1292"/>
      <c r="BL342" s="1292"/>
      <c r="BM342" s="1292"/>
      <c r="BN342" s="1292"/>
      <c r="BO342" s="1292"/>
      <c r="BP342" s="1292"/>
      <c r="BQ342" s="1292"/>
      <c r="BR342" s="1292"/>
      <c r="BS342" s="1292"/>
      <c r="BT342" s="1670">
        <f t="shared" si="205"/>
        <v>0</v>
      </c>
      <c r="BW342" s="862" t="s">
        <v>220</v>
      </c>
    </row>
    <row r="343" spans="2:75" ht="12.75" customHeight="1" x14ac:dyDescent="0.2">
      <c r="B343" s="175">
        <f t="shared" si="204"/>
        <v>5</v>
      </c>
      <c r="C343" s="219">
        <v>13</v>
      </c>
      <c r="E343" s="12" t="s">
        <v>647</v>
      </c>
      <c r="F343" s="4" t="s">
        <v>792</v>
      </c>
      <c r="G343" s="859" t="s">
        <v>1625</v>
      </c>
      <c r="H343" s="1413">
        <v>223197</v>
      </c>
      <c r="I343" s="197" t="s">
        <v>1584</v>
      </c>
      <c r="J343" s="174"/>
      <c r="K343" s="174"/>
      <c r="L343" s="858">
        <v>1</v>
      </c>
      <c r="M343" s="858">
        <f t="shared" si="206"/>
        <v>1</v>
      </c>
      <c r="N343" s="857" t="s">
        <v>1326</v>
      </c>
      <c r="O343" s="1196">
        <v>29896</v>
      </c>
      <c r="P343" s="1218">
        <f t="shared" ca="1" si="197"/>
        <v>35.905555555555559</v>
      </c>
      <c r="Q343" s="1148">
        <v>34000</v>
      </c>
      <c r="R343" s="874">
        <f>Q343*0.1</f>
        <v>3400</v>
      </c>
      <c r="S343" s="875"/>
      <c r="T343" s="875">
        <v>28000</v>
      </c>
      <c r="U343" s="875"/>
      <c r="V343" s="875"/>
      <c r="W343" s="875"/>
      <c r="X343" s="1026">
        <f t="shared" si="198"/>
        <v>65400</v>
      </c>
      <c r="Y343" s="1512">
        <f t="shared" si="199"/>
        <v>0.74866310160427807</v>
      </c>
      <c r="Z343" s="1741">
        <f t="shared" si="200"/>
        <v>1.748663101604278</v>
      </c>
      <c r="AA343" s="1749">
        <f t="shared" si="201"/>
        <v>0</v>
      </c>
      <c r="AB343" s="1810">
        <f t="shared" si="202"/>
        <v>0</v>
      </c>
      <c r="AC343" s="876"/>
      <c r="AD343" s="1525">
        <f t="shared" si="203"/>
        <v>0</v>
      </c>
      <c r="AE343" s="1525">
        <f t="shared" si="203"/>
        <v>0</v>
      </c>
      <c r="AF343" s="1525">
        <f t="shared" si="203"/>
        <v>0</v>
      </c>
      <c r="AG343" s="1525">
        <f t="shared" si="203"/>
        <v>0</v>
      </c>
      <c r="AH343" s="1525">
        <f t="shared" si="203"/>
        <v>0</v>
      </c>
      <c r="AI343" s="1525">
        <f t="shared" si="203"/>
        <v>0</v>
      </c>
      <c r="AJ343" s="1525">
        <f t="shared" si="203"/>
        <v>0</v>
      </c>
      <c r="AK343" s="1525">
        <f t="shared" si="203"/>
        <v>0</v>
      </c>
      <c r="AL343" s="1525">
        <f t="shared" si="203"/>
        <v>0</v>
      </c>
      <c r="AM343" s="1525">
        <f t="shared" si="203"/>
        <v>0</v>
      </c>
      <c r="AN343" s="1525">
        <f t="shared" si="203"/>
        <v>0</v>
      </c>
      <c r="AO343" s="1525">
        <f t="shared" si="203"/>
        <v>0</v>
      </c>
      <c r="AP343" s="1525">
        <f t="shared" si="203"/>
        <v>0</v>
      </c>
      <c r="AQ343" s="1525">
        <f t="shared" si="203"/>
        <v>0</v>
      </c>
      <c r="AR343" s="1525">
        <f t="shared" si="203"/>
        <v>0</v>
      </c>
      <c r="AS343" s="1525">
        <f t="shared" si="203"/>
        <v>0</v>
      </c>
      <c r="AU343" s="1525"/>
      <c r="AV343" s="1291"/>
      <c r="AW343" s="1292"/>
      <c r="AX343" s="1292"/>
      <c r="AY343" s="1292"/>
      <c r="AZ343" s="1292"/>
      <c r="BA343" s="1292"/>
      <c r="BB343" s="1292"/>
      <c r="BC343" s="1292"/>
      <c r="BD343" s="1292"/>
      <c r="BE343" s="1292"/>
      <c r="BF343" s="1292"/>
      <c r="BG343" s="1292"/>
      <c r="BH343" s="1292"/>
      <c r="BI343" s="1292"/>
      <c r="BJ343" s="1292"/>
      <c r="BK343" s="1292"/>
      <c r="BL343" s="1292"/>
      <c r="BM343" s="1292"/>
      <c r="BN343" s="1292"/>
      <c r="BO343" s="1292"/>
      <c r="BP343" s="1292"/>
      <c r="BQ343" s="1292"/>
      <c r="BR343" s="1292"/>
      <c r="BS343" s="1292"/>
      <c r="BT343" s="1670">
        <f t="shared" si="205"/>
        <v>0</v>
      </c>
      <c r="BW343" s="859" t="s">
        <v>1625</v>
      </c>
    </row>
    <row r="344" spans="2:75" ht="12.75" customHeight="1" x14ac:dyDescent="0.2">
      <c r="B344" s="175">
        <f t="shared" si="204"/>
        <v>6</v>
      </c>
      <c r="C344" s="219">
        <v>14</v>
      </c>
      <c r="E344" s="12" t="s">
        <v>647</v>
      </c>
      <c r="F344" s="4" t="s">
        <v>626</v>
      </c>
      <c r="G344" s="859" t="s">
        <v>1644</v>
      </c>
      <c r="H344" s="1413">
        <v>141043</v>
      </c>
      <c r="I344" s="197" t="s">
        <v>1584</v>
      </c>
      <c r="J344" s="174"/>
      <c r="K344" s="174"/>
      <c r="L344" s="858">
        <v>1</v>
      </c>
      <c r="M344" s="858">
        <f t="shared" si="206"/>
        <v>1</v>
      </c>
      <c r="N344" s="857" t="s">
        <v>892</v>
      </c>
      <c r="O344" s="1196">
        <v>33363</v>
      </c>
      <c r="P344" s="1218">
        <f t="shared" ca="1" si="197"/>
        <v>26.408333333333335</v>
      </c>
      <c r="Q344" s="1148">
        <v>26500</v>
      </c>
      <c r="R344" s="874"/>
      <c r="S344" s="875"/>
      <c r="T344" s="875"/>
      <c r="U344" s="875"/>
      <c r="V344" s="875"/>
      <c r="W344" s="875"/>
      <c r="X344" s="1026">
        <f t="shared" si="198"/>
        <v>26500</v>
      </c>
      <c r="Y344" s="1512">
        <f t="shared" si="199"/>
        <v>0</v>
      </c>
      <c r="Z344" s="1741">
        <f t="shared" si="200"/>
        <v>1</v>
      </c>
      <c r="AA344" s="1749">
        <f t="shared" si="201"/>
        <v>0</v>
      </c>
      <c r="AB344" s="1810">
        <f t="shared" si="202"/>
        <v>0</v>
      </c>
      <c r="AC344" s="876"/>
      <c r="AD344" s="1525">
        <f t="shared" si="203"/>
        <v>0</v>
      </c>
      <c r="AE344" s="1525">
        <f t="shared" si="203"/>
        <v>0</v>
      </c>
      <c r="AF344" s="1525">
        <f t="shared" si="203"/>
        <v>0</v>
      </c>
      <c r="AG344" s="1525">
        <f t="shared" si="203"/>
        <v>0</v>
      </c>
      <c r="AH344" s="1525">
        <f t="shared" si="203"/>
        <v>0</v>
      </c>
      <c r="AI344" s="1525">
        <f t="shared" si="203"/>
        <v>0</v>
      </c>
      <c r="AJ344" s="1525">
        <f t="shared" si="203"/>
        <v>0</v>
      </c>
      <c r="AK344" s="1525">
        <f t="shared" si="203"/>
        <v>0</v>
      </c>
      <c r="AL344" s="1525">
        <f t="shared" si="203"/>
        <v>0</v>
      </c>
      <c r="AM344" s="1525">
        <f t="shared" si="203"/>
        <v>0</v>
      </c>
      <c r="AN344" s="1525">
        <f t="shared" si="203"/>
        <v>0</v>
      </c>
      <c r="AO344" s="1525">
        <f t="shared" si="203"/>
        <v>0</v>
      </c>
      <c r="AP344" s="1525">
        <f t="shared" si="203"/>
        <v>0</v>
      </c>
      <c r="AQ344" s="1525">
        <f t="shared" si="203"/>
        <v>0</v>
      </c>
      <c r="AR344" s="1525">
        <f t="shared" si="203"/>
        <v>0</v>
      </c>
      <c r="AS344" s="1525">
        <f t="shared" si="203"/>
        <v>0</v>
      </c>
      <c r="AU344" s="1525"/>
      <c r="AV344" s="1291"/>
      <c r="AW344" s="1292"/>
      <c r="AX344" s="1292"/>
      <c r="AY344" s="1292"/>
      <c r="AZ344" s="1292"/>
      <c r="BA344" s="1292"/>
      <c r="BB344" s="1292"/>
      <c r="BC344" s="1292"/>
      <c r="BD344" s="1292"/>
      <c r="BE344" s="1292"/>
      <c r="BF344" s="1292"/>
      <c r="BG344" s="1292"/>
      <c r="BH344" s="1292"/>
      <c r="BI344" s="1292"/>
      <c r="BJ344" s="1292"/>
      <c r="BK344" s="1292"/>
      <c r="BL344" s="1292"/>
      <c r="BM344" s="1292"/>
      <c r="BN344" s="1292"/>
      <c r="BO344" s="1292"/>
      <c r="BP344" s="1292"/>
      <c r="BQ344" s="1292"/>
      <c r="BR344" s="1292"/>
      <c r="BS344" s="1292"/>
      <c r="BT344" s="1670">
        <f t="shared" si="205"/>
        <v>0</v>
      </c>
      <c r="BW344" s="859" t="s">
        <v>1644</v>
      </c>
    </row>
    <row r="345" spans="2:75" ht="12.75" customHeight="1" x14ac:dyDescent="0.2">
      <c r="B345" s="175">
        <f t="shared" si="204"/>
        <v>7</v>
      </c>
      <c r="C345" s="219">
        <v>14</v>
      </c>
      <c r="E345" s="12" t="s">
        <v>647</v>
      </c>
      <c r="F345" s="4" t="s">
        <v>626</v>
      </c>
      <c r="G345" s="859" t="s">
        <v>1763</v>
      </c>
      <c r="H345" s="1413">
        <v>113060</v>
      </c>
      <c r="I345" s="197" t="s">
        <v>1584</v>
      </c>
      <c r="J345" s="174"/>
      <c r="K345" s="174"/>
      <c r="L345" s="858">
        <v>1</v>
      </c>
      <c r="M345" s="858">
        <f t="shared" si="206"/>
        <v>1</v>
      </c>
      <c r="N345" s="857" t="s">
        <v>892</v>
      </c>
      <c r="O345" s="1196">
        <v>31543</v>
      </c>
      <c r="P345" s="1218">
        <f t="shared" ca="1" si="197"/>
        <v>31.391666666666666</v>
      </c>
      <c r="Q345" s="1148">
        <v>28500</v>
      </c>
      <c r="R345" s="874"/>
      <c r="S345" s="875"/>
      <c r="T345" s="875"/>
      <c r="U345" s="875"/>
      <c r="V345" s="875"/>
      <c r="W345" s="875"/>
      <c r="X345" s="1026">
        <f t="shared" si="198"/>
        <v>28500</v>
      </c>
      <c r="Y345" s="1512">
        <f t="shared" si="199"/>
        <v>0</v>
      </c>
      <c r="Z345" s="1741">
        <f t="shared" si="200"/>
        <v>1</v>
      </c>
      <c r="AA345" s="1749">
        <f t="shared" si="201"/>
        <v>0</v>
      </c>
      <c r="AB345" s="1810">
        <f t="shared" si="202"/>
        <v>0</v>
      </c>
      <c r="AC345" s="876"/>
      <c r="AD345" s="1525">
        <f t="shared" si="203"/>
        <v>0</v>
      </c>
      <c r="AE345" s="1525">
        <f t="shared" si="203"/>
        <v>0</v>
      </c>
      <c r="AF345" s="1525">
        <f t="shared" si="203"/>
        <v>0</v>
      </c>
      <c r="AG345" s="1525">
        <f t="shared" si="203"/>
        <v>0</v>
      </c>
      <c r="AH345" s="1525">
        <f t="shared" si="203"/>
        <v>0</v>
      </c>
      <c r="AI345" s="1525">
        <f t="shared" si="203"/>
        <v>0</v>
      </c>
      <c r="AJ345" s="1525">
        <f t="shared" si="203"/>
        <v>0</v>
      </c>
      <c r="AK345" s="1525">
        <f t="shared" si="203"/>
        <v>0</v>
      </c>
      <c r="AL345" s="1525">
        <f t="shared" si="203"/>
        <v>0</v>
      </c>
      <c r="AM345" s="1525">
        <f t="shared" si="203"/>
        <v>0</v>
      </c>
      <c r="AN345" s="1525">
        <f t="shared" si="203"/>
        <v>0</v>
      </c>
      <c r="AO345" s="1525">
        <f t="shared" si="203"/>
        <v>0</v>
      </c>
      <c r="AP345" s="1525">
        <f t="shared" si="203"/>
        <v>0</v>
      </c>
      <c r="AQ345" s="1525">
        <f t="shared" si="203"/>
        <v>0</v>
      </c>
      <c r="AR345" s="1525">
        <f t="shared" si="203"/>
        <v>0</v>
      </c>
      <c r="AS345" s="1525">
        <f t="shared" si="203"/>
        <v>0</v>
      </c>
      <c r="AU345" s="1525"/>
      <c r="AV345" s="1291"/>
      <c r="AW345" s="1292"/>
      <c r="AX345" s="1292"/>
      <c r="AY345" s="1292"/>
      <c r="AZ345" s="1292"/>
      <c r="BA345" s="1292"/>
      <c r="BB345" s="1292"/>
      <c r="BC345" s="1292"/>
      <c r="BD345" s="1292"/>
      <c r="BE345" s="1292"/>
      <c r="BF345" s="1292"/>
      <c r="BG345" s="1292"/>
      <c r="BH345" s="1292"/>
      <c r="BI345" s="1292"/>
      <c r="BJ345" s="1292"/>
      <c r="BK345" s="1292"/>
      <c r="BL345" s="1292"/>
      <c r="BM345" s="1292"/>
      <c r="BN345" s="1292"/>
      <c r="BO345" s="1292"/>
      <c r="BP345" s="1292"/>
      <c r="BQ345" s="1292"/>
      <c r="BR345" s="1292"/>
      <c r="BS345" s="1292"/>
      <c r="BT345" s="1670">
        <f t="shared" si="205"/>
        <v>0</v>
      </c>
      <c r="BW345" s="859" t="s">
        <v>1763</v>
      </c>
    </row>
    <row r="346" spans="2:75" ht="12.75" customHeight="1" x14ac:dyDescent="0.2">
      <c r="B346" s="175">
        <f>B345+1</f>
        <v>8</v>
      </c>
      <c r="C346" s="219">
        <v>14</v>
      </c>
      <c r="E346" s="12" t="s">
        <v>647</v>
      </c>
      <c r="F346" s="4" t="s">
        <v>626</v>
      </c>
      <c r="G346" s="859" t="s">
        <v>1795</v>
      </c>
      <c r="H346" s="1413">
        <v>160860</v>
      </c>
      <c r="I346" s="197" t="s">
        <v>1584</v>
      </c>
      <c r="J346" s="174"/>
      <c r="K346" s="174"/>
      <c r="L346" s="858">
        <v>1</v>
      </c>
      <c r="M346" s="858">
        <f t="shared" si="206"/>
        <v>1</v>
      </c>
      <c r="N346" s="857" t="s">
        <v>1326</v>
      </c>
      <c r="O346" s="1196">
        <v>30300</v>
      </c>
      <c r="P346" s="1218">
        <f t="shared" ca="1" si="197"/>
        <v>34.797222222222224</v>
      </c>
      <c r="Q346" s="1148">
        <v>29000</v>
      </c>
      <c r="R346" s="874">
        <f>Q346*0.1</f>
        <v>2900</v>
      </c>
      <c r="S346" s="875"/>
      <c r="T346" s="875"/>
      <c r="U346" s="875"/>
      <c r="V346" s="875"/>
      <c r="W346" s="875"/>
      <c r="X346" s="1026">
        <f t="shared" si="198"/>
        <v>31900</v>
      </c>
      <c r="Y346" s="1512">
        <f t="shared" si="199"/>
        <v>0</v>
      </c>
      <c r="Z346" s="1741">
        <f t="shared" si="200"/>
        <v>1</v>
      </c>
      <c r="AA346" s="1749">
        <f t="shared" si="201"/>
        <v>0</v>
      </c>
      <c r="AB346" s="1810">
        <f t="shared" si="202"/>
        <v>0</v>
      </c>
      <c r="AC346" s="876"/>
      <c r="AD346" s="1525">
        <f t="shared" si="203"/>
        <v>0</v>
      </c>
      <c r="AE346" s="1525">
        <f t="shared" si="203"/>
        <v>0</v>
      </c>
      <c r="AF346" s="1525">
        <f t="shared" si="203"/>
        <v>0</v>
      </c>
      <c r="AG346" s="1525">
        <f t="shared" si="203"/>
        <v>0</v>
      </c>
      <c r="AH346" s="1525">
        <f t="shared" si="203"/>
        <v>0</v>
      </c>
      <c r="AI346" s="1525">
        <f t="shared" si="203"/>
        <v>0</v>
      </c>
      <c r="AJ346" s="1525">
        <f t="shared" si="203"/>
        <v>0</v>
      </c>
      <c r="AK346" s="1525">
        <f t="shared" si="203"/>
        <v>0</v>
      </c>
      <c r="AL346" s="1525">
        <f t="shared" si="203"/>
        <v>0</v>
      </c>
      <c r="AM346" s="1525">
        <f t="shared" si="203"/>
        <v>0</v>
      </c>
      <c r="AN346" s="1525">
        <f t="shared" si="203"/>
        <v>0</v>
      </c>
      <c r="AO346" s="1525">
        <f t="shared" si="203"/>
        <v>0</v>
      </c>
      <c r="AP346" s="1525">
        <f t="shared" si="203"/>
        <v>0</v>
      </c>
      <c r="AQ346" s="1525">
        <f t="shared" si="203"/>
        <v>0</v>
      </c>
      <c r="AR346" s="1525">
        <f t="shared" si="203"/>
        <v>0</v>
      </c>
      <c r="AS346" s="1525">
        <f t="shared" si="203"/>
        <v>0</v>
      </c>
      <c r="AU346" s="1525"/>
      <c r="AV346" s="1291"/>
      <c r="AW346" s="1292"/>
      <c r="AX346" s="1292"/>
      <c r="AY346" s="1292"/>
      <c r="AZ346" s="1292"/>
      <c r="BA346" s="1292"/>
      <c r="BB346" s="1292"/>
      <c r="BC346" s="1292"/>
      <c r="BD346" s="1292"/>
      <c r="BE346" s="1292"/>
      <c r="BF346" s="1292"/>
      <c r="BG346" s="1292"/>
      <c r="BH346" s="1292"/>
      <c r="BI346" s="1292"/>
      <c r="BJ346" s="1292"/>
      <c r="BK346" s="1292"/>
      <c r="BL346" s="1292"/>
      <c r="BM346" s="1292"/>
      <c r="BN346" s="1292"/>
      <c r="BO346" s="1292"/>
      <c r="BP346" s="1292"/>
      <c r="BQ346" s="1292"/>
      <c r="BR346" s="1292"/>
      <c r="BS346" s="1292"/>
      <c r="BT346" s="1670">
        <f t="shared" si="205"/>
        <v>0</v>
      </c>
      <c r="BW346" s="859" t="s">
        <v>1795</v>
      </c>
    </row>
    <row r="347" spans="2:75" ht="12.75" customHeight="1" x14ac:dyDescent="0.2">
      <c r="B347" s="175">
        <f t="shared" si="204"/>
        <v>9</v>
      </c>
      <c r="C347" s="220">
        <v>14</v>
      </c>
      <c r="D347" s="170"/>
      <c r="E347" s="447" t="s">
        <v>647</v>
      </c>
      <c r="F347" s="4" t="s">
        <v>626</v>
      </c>
      <c r="G347" s="862" t="s">
        <v>1678</v>
      </c>
      <c r="H347" s="1412">
        <v>143058</v>
      </c>
      <c r="I347" s="197" t="s">
        <v>1584</v>
      </c>
      <c r="J347" s="174"/>
      <c r="K347" s="174"/>
      <c r="L347" s="861">
        <v>1</v>
      </c>
      <c r="M347" s="861">
        <f t="shared" si="206"/>
        <v>1</v>
      </c>
      <c r="N347" s="836" t="s">
        <v>1326</v>
      </c>
      <c r="O347" s="1196">
        <v>33501</v>
      </c>
      <c r="P347" s="1262">
        <f t="shared" ca="1" si="197"/>
        <v>26.033333333333335</v>
      </c>
      <c r="Q347" s="1148">
        <v>27000</v>
      </c>
      <c r="R347" s="874">
        <f>Q347*0.1</f>
        <v>2700</v>
      </c>
      <c r="S347" s="876"/>
      <c r="T347" s="876"/>
      <c r="U347" s="876"/>
      <c r="V347" s="876"/>
      <c r="W347" s="876"/>
      <c r="X347" s="1026">
        <f t="shared" si="198"/>
        <v>29700</v>
      </c>
      <c r="Y347" s="1512">
        <f t="shared" si="199"/>
        <v>0</v>
      </c>
      <c r="Z347" s="1741">
        <f t="shared" si="200"/>
        <v>1</v>
      </c>
      <c r="AA347" s="1749">
        <f t="shared" si="201"/>
        <v>0</v>
      </c>
      <c r="AB347" s="1810">
        <f t="shared" si="202"/>
        <v>0</v>
      </c>
      <c r="AC347" s="876"/>
      <c r="AD347" s="1525">
        <f t="shared" si="203"/>
        <v>0</v>
      </c>
      <c r="AE347" s="1525">
        <f t="shared" si="203"/>
        <v>0</v>
      </c>
      <c r="AF347" s="1525">
        <f t="shared" si="203"/>
        <v>0</v>
      </c>
      <c r="AG347" s="1525">
        <f t="shared" si="203"/>
        <v>0</v>
      </c>
      <c r="AH347" s="1525">
        <f t="shared" si="203"/>
        <v>0</v>
      </c>
      <c r="AI347" s="1525">
        <f t="shared" si="203"/>
        <v>0</v>
      </c>
      <c r="AJ347" s="1525">
        <f t="shared" si="203"/>
        <v>0</v>
      </c>
      <c r="AK347" s="1525">
        <f t="shared" si="203"/>
        <v>0</v>
      </c>
      <c r="AL347" s="1525">
        <f t="shared" si="203"/>
        <v>0</v>
      </c>
      <c r="AM347" s="1525">
        <f t="shared" si="203"/>
        <v>0</v>
      </c>
      <c r="AN347" s="1525">
        <f t="shared" si="203"/>
        <v>0</v>
      </c>
      <c r="AO347" s="1525">
        <f t="shared" si="203"/>
        <v>0</v>
      </c>
      <c r="AP347" s="1525">
        <f t="shared" si="203"/>
        <v>0</v>
      </c>
      <c r="AQ347" s="1525">
        <f t="shared" si="203"/>
        <v>0</v>
      </c>
      <c r="AR347" s="1525">
        <f t="shared" si="203"/>
        <v>0</v>
      </c>
      <c r="AS347" s="1525">
        <f t="shared" si="203"/>
        <v>0</v>
      </c>
      <c r="AU347" s="1525"/>
      <c r="AV347" s="1291"/>
      <c r="AW347" s="1292"/>
      <c r="AX347" s="1292"/>
      <c r="AY347" s="1292"/>
      <c r="AZ347" s="1292"/>
      <c r="BA347" s="1292"/>
      <c r="BB347" s="1292"/>
      <c r="BC347" s="1292"/>
      <c r="BD347" s="1292"/>
      <c r="BE347" s="1292"/>
      <c r="BF347" s="1292"/>
      <c r="BG347" s="1292"/>
      <c r="BH347" s="1292"/>
      <c r="BI347" s="1292"/>
      <c r="BJ347" s="1292"/>
      <c r="BK347" s="1292"/>
      <c r="BL347" s="1292"/>
      <c r="BM347" s="1292"/>
      <c r="BN347" s="1292"/>
      <c r="BO347" s="1292"/>
      <c r="BP347" s="1292"/>
      <c r="BQ347" s="1292"/>
      <c r="BR347" s="1292"/>
      <c r="BS347" s="1292"/>
      <c r="BT347" s="1670">
        <f t="shared" si="205"/>
        <v>0</v>
      </c>
      <c r="BW347" s="862" t="s">
        <v>1678</v>
      </c>
    </row>
    <row r="348" spans="2:75" ht="12.75" customHeight="1" x14ac:dyDescent="0.2">
      <c r="B348" s="175">
        <f t="shared" si="204"/>
        <v>10</v>
      </c>
      <c r="C348" s="219">
        <v>14</v>
      </c>
      <c r="D348" s="170"/>
      <c r="E348" s="12" t="s">
        <v>647</v>
      </c>
      <c r="F348" s="4" t="s">
        <v>626</v>
      </c>
      <c r="G348" s="859" t="s">
        <v>2025</v>
      </c>
      <c r="H348" s="858">
        <v>170560</v>
      </c>
      <c r="I348" s="197" t="s">
        <v>1584</v>
      </c>
      <c r="J348" s="174"/>
      <c r="K348" s="174"/>
      <c r="L348" s="858">
        <v>1</v>
      </c>
      <c r="M348" s="858">
        <f t="shared" si="206"/>
        <v>1</v>
      </c>
      <c r="N348" s="857" t="s">
        <v>892</v>
      </c>
      <c r="O348" s="1196">
        <v>29457</v>
      </c>
      <c r="P348" s="1218">
        <f t="shared" ca="1" si="197"/>
        <v>37.105555555555554</v>
      </c>
      <c r="Q348" s="1148">
        <v>25000</v>
      </c>
      <c r="R348" s="874"/>
      <c r="S348" s="875"/>
      <c r="T348" s="875"/>
      <c r="U348" s="875"/>
      <c r="V348" s="875"/>
      <c r="W348" s="875"/>
      <c r="X348" s="1026">
        <f t="shared" si="198"/>
        <v>25000</v>
      </c>
      <c r="Y348" s="1512">
        <f t="shared" si="199"/>
        <v>0</v>
      </c>
      <c r="Z348" s="1741">
        <f t="shared" si="200"/>
        <v>1</v>
      </c>
      <c r="AA348" s="1749">
        <f t="shared" ref="AA348" si="207">SUM(AD348:AS348)</f>
        <v>0</v>
      </c>
      <c r="AB348" s="1810">
        <f t="shared" ref="AB348" si="208">100*AA348/Z348</f>
        <v>0</v>
      </c>
      <c r="AC348" s="876"/>
      <c r="AD348" s="1525">
        <f t="shared" si="203"/>
        <v>0</v>
      </c>
      <c r="AE348" s="1525">
        <f t="shared" si="203"/>
        <v>0</v>
      </c>
      <c r="AF348" s="1525">
        <f t="shared" si="203"/>
        <v>0</v>
      </c>
      <c r="AG348" s="1525">
        <f t="shared" si="203"/>
        <v>0</v>
      </c>
      <c r="AH348" s="1525">
        <f t="shared" si="203"/>
        <v>0</v>
      </c>
      <c r="AI348" s="1525">
        <f t="shared" si="203"/>
        <v>0</v>
      </c>
      <c r="AJ348" s="1525">
        <f t="shared" si="203"/>
        <v>0</v>
      </c>
      <c r="AK348" s="1525">
        <f t="shared" si="203"/>
        <v>0</v>
      </c>
      <c r="AL348" s="1525">
        <f t="shared" si="203"/>
        <v>0</v>
      </c>
      <c r="AM348" s="1525">
        <f t="shared" si="203"/>
        <v>0</v>
      </c>
      <c r="AN348" s="1525">
        <f t="shared" si="203"/>
        <v>0</v>
      </c>
      <c r="AO348" s="1525">
        <f t="shared" si="203"/>
        <v>0</v>
      </c>
      <c r="AP348" s="1525">
        <f t="shared" si="203"/>
        <v>0</v>
      </c>
      <c r="AQ348" s="1525">
        <f t="shared" si="203"/>
        <v>0</v>
      </c>
      <c r="AR348" s="1525">
        <f t="shared" si="203"/>
        <v>0</v>
      </c>
      <c r="AS348" s="1525">
        <f t="shared" si="203"/>
        <v>0</v>
      </c>
      <c r="AU348" s="224"/>
      <c r="AV348" s="1292"/>
      <c r="AX348" s="1292"/>
      <c r="BT348" s="1671"/>
      <c r="BV348" s="224"/>
      <c r="BW348" s="224"/>
    </row>
    <row r="349" spans="2:75" ht="12.75" customHeight="1" x14ac:dyDescent="0.2">
      <c r="B349" s="175">
        <f t="shared" si="204"/>
        <v>11</v>
      </c>
      <c r="C349" s="219">
        <v>18</v>
      </c>
      <c r="E349" s="12" t="s">
        <v>647</v>
      </c>
      <c r="F349" s="4" t="s">
        <v>997</v>
      </c>
      <c r="G349" s="862" t="s">
        <v>1869</v>
      </c>
      <c r="H349" s="1412">
        <v>6808</v>
      </c>
      <c r="I349" s="197" t="s">
        <v>998</v>
      </c>
      <c r="J349" s="174"/>
      <c r="K349" s="174"/>
      <c r="L349" s="861">
        <v>1</v>
      </c>
      <c r="M349" s="861">
        <f t="shared" si="206"/>
        <v>1</v>
      </c>
      <c r="N349" s="836" t="s">
        <v>416</v>
      </c>
      <c r="O349" s="1196">
        <v>18560</v>
      </c>
      <c r="P349" s="1218">
        <f t="shared" ca="1" si="197"/>
        <v>66.938888888888883</v>
      </c>
      <c r="Q349" s="1148">
        <v>27500</v>
      </c>
      <c r="R349" s="874">
        <f>Q349*0.15</f>
        <v>4125</v>
      </c>
      <c r="S349" s="876"/>
      <c r="T349" s="876"/>
      <c r="U349" s="876"/>
      <c r="V349" s="1036"/>
      <c r="W349" s="876"/>
      <c r="X349" s="1026">
        <f>(Q349+R349+S349+T349+U349+V349+W349)*M349</f>
        <v>31625</v>
      </c>
      <c r="Y349" s="1512">
        <f>(T349+U349)*M349/(X349-M349*(T349+U349))</f>
        <v>0</v>
      </c>
      <c r="Z349" s="1741">
        <f t="shared" si="200"/>
        <v>1</v>
      </c>
      <c r="AA349" s="1749">
        <f>SUM(AD349:AS349)</f>
        <v>0</v>
      </c>
      <c r="AB349" s="1810">
        <f t="shared" si="202"/>
        <v>0</v>
      </c>
      <c r="AC349" s="876"/>
      <c r="AD349" s="1525">
        <f t="shared" ref="AD349:AS350" si="209">SUMIF($AV$6:$BS$6,AD$5,$AV349:$BS349)</f>
        <v>0</v>
      </c>
      <c r="AE349" s="1525">
        <f t="shared" si="209"/>
        <v>0</v>
      </c>
      <c r="AF349" s="1525">
        <f t="shared" si="209"/>
        <v>0</v>
      </c>
      <c r="AG349" s="1525">
        <f t="shared" si="209"/>
        <v>0</v>
      </c>
      <c r="AH349" s="1525">
        <f t="shared" si="209"/>
        <v>0</v>
      </c>
      <c r="AI349" s="1525">
        <f t="shared" si="209"/>
        <v>0</v>
      </c>
      <c r="AJ349" s="1525">
        <f t="shared" si="209"/>
        <v>0</v>
      </c>
      <c r="AK349" s="1525">
        <f t="shared" si="209"/>
        <v>0</v>
      </c>
      <c r="AL349" s="1525">
        <f t="shared" si="209"/>
        <v>0</v>
      </c>
      <c r="AM349" s="1525">
        <f t="shared" si="209"/>
        <v>0</v>
      </c>
      <c r="AN349" s="1525">
        <f t="shared" si="209"/>
        <v>0</v>
      </c>
      <c r="AO349" s="1525">
        <f t="shared" si="209"/>
        <v>0</v>
      </c>
      <c r="AP349" s="1525">
        <f t="shared" si="209"/>
        <v>0</v>
      </c>
      <c r="AQ349" s="1525">
        <f t="shared" si="209"/>
        <v>0</v>
      </c>
      <c r="AR349" s="1525">
        <f t="shared" si="209"/>
        <v>0</v>
      </c>
      <c r="AS349" s="1525">
        <f t="shared" si="209"/>
        <v>0</v>
      </c>
      <c r="AU349" s="1525"/>
      <c r="AV349" s="1291"/>
      <c r="AW349" s="1292"/>
      <c r="AX349" s="1292"/>
      <c r="AY349" s="1292"/>
      <c r="AZ349" s="1292"/>
      <c r="BA349" s="1292"/>
      <c r="BB349" s="1292"/>
      <c r="BC349" s="1292"/>
      <c r="BD349" s="1292"/>
      <c r="BE349" s="1292"/>
      <c r="BF349" s="1292"/>
      <c r="BG349" s="1292"/>
      <c r="BH349" s="1292"/>
      <c r="BI349" s="1292"/>
      <c r="BJ349" s="1292"/>
      <c r="BK349" s="1292"/>
      <c r="BL349" s="1292"/>
      <c r="BM349" s="1292"/>
      <c r="BN349" s="1292"/>
      <c r="BO349" s="1292"/>
      <c r="BP349" s="1292"/>
      <c r="BQ349" s="1292"/>
      <c r="BR349" s="1292"/>
      <c r="BS349" s="1292"/>
      <c r="BT349" s="1670">
        <f t="shared" si="205"/>
        <v>0</v>
      </c>
      <c r="BW349" s="862" t="s">
        <v>1869</v>
      </c>
    </row>
    <row r="350" spans="2:75" ht="12.75" customHeight="1" x14ac:dyDescent="0.2">
      <c r="B350" s="175">
        <f t="shared" si="204"/>
        <v>12</v>
      </c>
      <c r="C350" s="219">
        <v>18</v>
      </c>
      <c r="E350" s="12" t="s">
        <v>647</v>
      </c>
      <c r="F350" s="4" t="s">
        <v>997</v>
      </c>
      <c r="G350" s="862" t="s">
        <v>10</v>
      </c>
      <c r="H350" s="1412">
        <v>110320</v>
      </c>
      <c r="I350" s="197" t="s">
        <v>998</v>
      </c>
      <c r="J350" s="174"/>
      <c r="K350" s="174"/>
      <c r="L350" s="861">
        <v>1</v>
      </c>
      <c r="M350" s="861">
        <f>K350+L350</f>
        <v>1</v>
      </c>
      <c r="N350" s="836" t="s">
        <v>416</v>
      </c>
      <c r="O350" s="1196">
        <v>21632</v>
      </c>
      <c r="P350" s="1218">
        <f ca="1">YEARFRAC(TODAY(),O350)</f>
        <v>58.524999999999999</v>
      </c>
      <c r="Q350" s="1148">
        <v>27000</v>
      </c>
      <c r="R350" s="874">
        <f>Q350*0.15</f>
        <v>4050</v>
      </c>
      <c r="S350" s="876"/>
      <c r="T350" s="876"/>
      <c r="U350" s="876"/>
      <c r="V350" s="1036"/>
      <c r="W350" s="1289">
        <f>0.1*Q350</f>
        <v>2700</v>
      </c>
      <c r="X350" s="1026">
        <f>(Q350+R350+S350+T350+U350+V350+W350)*M350</f>
        <v>33750</v>
      </c>
      <c r="Y350" s="1512">
        <f>(T350+U350+W350)*M350/(X350-M350*(T350+U350+W350))</f>
        <v>8.6956521739130432E-2</v>
      </c>
      <c r="Z350" s="1741">
        <f t="shared" si="200"/>
        <v>1.0869565217391304</v>
      </c>
      <c r="AA350" s="1749">
        <f>SUM(AD350:AS350)</f>
        <v>0</v>
      </c>
      <c r="AB350" s="1810">
        <f t="shared" si="202"/>
        <v>0</v>
      </c>
      <c r="AC350" s="876"/>
      <c r="AD350" s="1525">
        <f t="shared" si="209"/>
        <v>0</v>
      </c>
      <c r="AE350" s="1525">
        <f t="shared" si="209"/>
        <v>0</v>
      </c>
      <c r="AF350" s="1525">
        <f t="shared" si="209"/>
        <v>0</v>
      </c>
      <c r="AG350" s="1525">
        <f t="shared" si="209"/>
        <v>0</v>
      </c>
      <c r="AH350" s="1525">
        <f t="shared" si="209"/>
        <v>0</v>
      </c>
      <c r="AI350" s="1525">
        <f t="shared" si="209"/>
        <v>0</v>
      </c>
      <c r="AJ350" s="1525">
        <f t="shared" si="209"/>
        <v>0</v>
      </c>
      <c r="AK350" s="1525">
        <f t="shared" si="209"/>
        <v>0</v>
      </c>
      <c r="AL350" s="1525">
        <f t="shared" si="209"/>
        <v>0</v>
      </c>
      <c r="AM350" s="1525">
        <f t="shared" si="209"/>
        <v>0</v>
      </c>
      <c r="AN350" s="1525">
        <f t="shared" si="209"/>
        <v>0</v>
      </c>
      <c r="AO350" s="1525">
        <f t="shared" si="209"/>
        <v>0</v>
      </c>
      <c r="AP350" s="1525">
        <f t="shared" si="209"/>
        <v>0</v>
      </c>
      <c r="AQ350" s="1525">
        <f t="shared" si="209"/>
        <v>0</v>
      </c>
      <c r="AR350" s="1525">
        <f t="shared" si="209"/>
        <v>0</v>
      </c>
      <c r="AS350" s="1525">
        <f t="shared" si="209"/>
        <v>0</v>
      </c>
      <c r="AU350" s="1525"/>
      <c r="AV350" s="1291"/>
      <c r="AW350" s="1292"/>
      <c r="AX350" s="1292"/>
      <c r="AY350" s="1292"/>
      <c r="AZ350" s="1292"/>
      <c r="BA350" s="1292"/>
      <c r="BB350" s="1292"/>
      <c r="BC350" s="1292"/>
      <c r="BD350" s="1292"/>
      <c r="BE350" s="1292"/>
      <c r="BF350" s="1292"/>
      <c r="BG350" s="1292"/>
      <c r="BH350" s="1292"/>
      <c r="BI350" s="1292"/>
      <c r="BJ350" s="1292"/>
      <c r="BK350" s="1292"/>
      <c r="BL350" s="1292"/>
      <c r="BM350" s="1292"/>
      <c r="BN350" s="1292"/>
      <c r="BO350" s="1292"/>
      <c r="BP350" s="1292"/>
      <c r="BQ350" s="1292"/>
      <c r="BR350" s="1292"/>
      <c r="BS350" s="1292"/>
      <c r="BT350" s="1670">
        <f t="shared" si="205"/>
        <v>0</v>
      </c>
      <c r="BW350" s="862" t="s">
        <v>10</v>
      </c>
    </row>
    <row r="351" spans="2:75" s="164" customFormat="1" ht="12.75" customHeight="1" x14ac:dyDescent="0.2">
      <c r="B351" s="175"/>
      <c r="C351" s="219" t="s">
        <v>1120</v>
      </c>
      <c r="F351" s="24" t="s">
        <v>1038</v>
      </c>
      <c r="G351" s="859"/>
      <c r="H351" s="1420" t="s">
        <v>1508</v>
      </c>
      <c r="I351" s="200"/>
      <c r="J351" s="189"/>
      <c r="K351" s="448">
        <f>SUM(K339:K349)</f>
        <v>0</v>
      </c>
      <c r="L351" s="902">
        <f>SUM(L339:L350)</f>
        <v>11.25</v>
      </c>
      <c r="M351" s="902">
        <f>SUM(M339:M350)</f>
        <v>11.25</v>
      </c>
      <c r="N351" s="857"/>
      <c r="O351" s="1192"/>
      <c r="P351" s="550"/>
      <c r="Q351" s="1153"/>
      <c r="R351" s="877"/>
      <c r="S351" s="875"/>
      <c r="T351" s="875"/>
      <c r="U351" s="875"/>
      <c r="V351" s="875"/>
      <c r="W351" s="875"/>
      <c r="X351" s="1026"/>
      <c r="Y351" s="1335"/>
      <c r="Z351" s="1335"/>
      <c r="AA351" s="1775"/>
      <c r="AB351" s="1814"/>
      <c r="AC351" s="876"/>
      <c r="AD351" s="1295"/>
      <c r="AE351" s="1525"/>
      <c r="AF351" s="1525"/>
      <c r="AG351" s="1525"/>
      <c r="AH351" s="1525"/>
      <c r="AI351" s="1525"/>
      <c r="AJ351" s="1525"/>
      <c r="AK351" s="1525"/>
      <c r="AL351" s="1525"/>
      <c r="AM351" s="1525"/>
      <c r="AN351" s="1525"/>
      <c r="AO351" s="1525"/>
      <c r="AP351" s="1525"/>
      <c r="AQ351" s="1525"/>
      <c r="AR351" s="1525"/>
      <c r="AS351" s="1525"/>
      <c r="AU351" s="1525"/>
      <c r="AV351" s="1295"/>
      <c r="AW351" s="1525"/>
      <c r="AX351" s="1525"/>
      <c r="AY351" s="1525"/>
      <c r="AZ351" s="1525"/>
      <c r="BA351" s="1525"/>
      <c r="BB351" s="1525"/>
      <c r="BC351" s="1525"/>
      <c r="BD351" s="1525"/>
      <c r="BE351" s="1525"/>
      <c r="BF351" s="1525"/>
      <c r="BG351" s="1525"/>
      <c r="BH351" s="1525"/>
      <c r="BI351" s="1525"/>
      <c r="BJ351" s="1525"/>
      <c r="BK351" s="1525"/>
      <c r="BL351" s="1525"/>
      <c r="BM351" s="1525"/>
      <c r="BN351" s="1525"/>
      <c r="BO351" s="1525"/>
      <c r="BP351" s="1525"/>
      <c r="BQ351" s="1525"/>
      <c r="BR351" s="1525"/>
      <c r="BS351" s="1525"/>
      <c r="BT351" s="1670"/>
      <c r="BV351"/>
      <c r="BW351" s="859"/>
    </row>
    <row r="352" spans="2:75" s="164" customFormat="1" ht="12.75" customHeight="1" x14ac:dyDescent="0.2">
      <c r="B352" s="175"/>
      <c r="C352" s="219"/>
      <c r="F352" s="24"/>
      <c r="G352" s="859"/>
      <c r="H352" s="1413" t="s">
        <v>1508</v>
      </c>
      <c r="I352" s="200"/>
      <c r="J352" s="189"/>
      <c r="K352" s="190"/>
      <c r="L352" s="858"/>
      <c r="M352" s="858"/>
      <c r="N352" s="857"/>
      <c r="O352" s="1192"/>
      <c r="P352" s="550"/>
      <c r="Q352" s="1153"/>
      <c r="R352" s="877"/>
      <c r="S352" s="875"/>
      <c r="T352" s="875"/>
      <c r="U352" s="875"/>
      <c r="V352" s="875"/>
      <c r="W352" s="875"/>
      <c r="X352" s="1026"/>
      <c r="Y352" s="1754"/>
      <c r="Z352" s="1755"/>
      <c r="AA352" s="1775"/>
      <c r="AB352" s="1814"/>
      <c r="AC352" s="876"/>
      <c r="AD352" s="1295"/>
      <c r="AE352" s="1525"/>
      <c r="AF352" s="1525"/>
      <c r="AG352" s="1525"/>
      <c r="AH352" s="1525"/>
      <c r="AI352" s="1525"/>
      <c r="AJ352" s="1525"/>
      <c r="AK352" s="1525"/>
      <c r="AL352" s="1525"/>
      <c r="AM352" s="1525"/>
      <c r="AN352" s="1525"/>
      <c r="AO352" s="1525"/>
      <c r="AP352" s="1525"/>
      <c r="AQ352" s="1525"/>
      <c r="AR352" s="1525"/>
      <c r="AS352" s="1525"/>
      <c r="AU352" s="1525"/>
      <c r="AV352" s="1295"/>
      <c r="AW352" s="1525"/>
      <c r="AX352" s="1525"/>
      <c r="AY352" s="1525"/>
      <c r="AZ352" s="1525"/>
      <c r="BA352" s="1525"/>
      <c r="BB352" s="1525"/>
      <c r="BC352" s="1525"/>
      <c r="BD352" s="1525"/>
      <c r="BE352" s="1525"/>
      <c r="BF352" s="1525"/>
      <c r="BG352" s="1525"/>
      <c r="BH352" s="1525"/>
      <c r="BI352" s="1525"/>
      <c r="BJ352" s="1525"/>
      <c r="BK352" s="1525"/>
      <c r="BL352" s="1525"/>
      <c r="BM352" s="1525"/>
      <c r="BN352" s="1525"/>
      <c r="BO352" s="1525"/>
      <c r="BP352" s="1525"/>
      <c r="BQ352" s="1525"/>
      <c r="BR352" s="1525"/>
      <c r="BS352" s="1525"/>
      <c r="BT352" s="1670"/>
      <c r="BV352"/>
      <c r="BW352" s="859"/>
    </row>
    <row r="353" spans="2:75" s="164" customFormat="1" ht="12.75" customHeight="1" x14ac:dyDescent="0.15">
      <c r="B353" s="175"/>
      <c r="F353" s="24" t="s">
        <v>573</v>
      </c>
      <c r="G353" s="859"/>
      <c r="H353" s="1413" t="s">
        <v>1508</v>
      </c>
      <c r="I353" s="200"/>
      <c r="J353" s="189"/>
      <c r="K353" s="189"/>
      <c r="L353" s="858"/>
      <c r="M353" s="858"/>
      <c r="N353" s="857"/>
      <c r="O353" s="1195"/>
      <c r="P353" s="550"/>
      <c r="Q353" s="1148"/>
      <c r="R353" s="874"/>
      <c r="S353" s="875"/>
      <c r="T353" s="875"/>
      <c r="U353" s="875"/>
      <c r="V353" s="875"/>
      <c r="W353" s="875"/>
      <c r="X353" s="1026"/>
      <c r="Y353" s="1754"/>
      <c r="Z353" s="1755"/>
      <c r="AA353" s="1775"/>
      <c r="AB353" s="1814"/>
      <c r="AC353" s="876"/>
      <c r="AD353" s="1295"/>
      <c r="AE353" s="1525"/>
      <c r="AF353" s="1525"/>
      <c r="AG353" s="1525"/>
      <c r="AH353" s="1525"/>
      <c r="AI353" s="1525"/>
      <c r="AJ353" s="1525"/>
      <c r="AK353" s="1525"/>
      <c r="AL353" s="1525"/>
      <c r="AM353" s="1525"/>
      <c r="AN353" s="1525"/>
      <c r="AO353" s="1525"/>
      <c r="AP353" s="1525"/>
      <c r="AQ353" s="1525"/>
      <c r="AR353" s="1525"/>
      <c r="AS353" s="1525"/>
      <c r="AU353" s="1525"/>
      <c r="AV353" s="1295"/>
      <c r="AW353" s="1525"/>
      <c r="AX353" s="1525"/>
      <c r="AY353" s="1525"/>
      <c r="AZ353" s="1525"/>
      <c r="BA353" s="1525"/>
      <c r="BB353" s="1525"/>
      <c r="BC353" s="1525"/>
      <c r="BD353" s="1525"/>
      <c r="BE353" s="1525"/>
      <c r="BF353" s="1525"/>
      <c r="BG353" s="1525"/>
      <c r="BH353" s="1525"/>
      <c r="BI353" s="1525"/>
      <c r="BJ353" s="1525"/>
      <c r="BK353" s="1525"/>
      <c r="BL353" s="1525"/>
      <c r="BM353" s="1525"/>
      <c r="BN353" s="1525"/>
      <c r="BO353" s="1525"/>
      <c r="BP353" s="1525"/>
      <c r="BQ353" s="1525"/>
      <c r="BR353" s="1525"/>
      <c r="BS353" s="1525"/>
      <c r="BT353" s="1670"/>
      <c r="BV353"/>
      <c r="BW353" s="859"/>
    </row>
    <row r="354" spans="2:75" s="164" customFormat="1" ht="12.75" customHeight="1" x14ac:dyDescent="0.2">
      <c r="B354" s="175"/>
      <c r="F354" s="21"/>
      <c r="G354" s="859"/>
      <c r="H354" s="1413" t="s">
        <v>1508</v>
      </c>
      <c r="I354" s="200"/>
      <c r="J354" s="189"/>
      <c r="K354" s="189"/>
      <c r="L354" s="858"/>
      <c r="M354" s="858"/>
      <c r="N354" s="857"/>
      <c r="O354" s="1192"/>
      <c r="P354" s="550"/>
      <c r="Q354" s="1148"/>
      <c r="R354" s="874"/>
      <c r="S354" s="875"/>
      <c r="T354" s="875"/>
      <c r="U354" s="875"/>
      <c r="V354" s="875"/>
      <c r="W354" s="875"/>
      <c r="X354" s="1026"/>
      <c r="Y354" s="1754"/>
      <c r="Z354" s="1755"/>
      <c r="AA354" s="1775"/>
      <c r="AB354" s="1814"/>
      <c r="AC354" s="876"/>
      <c r="AD354" s="1295"/>
      <c r="AE354" s="1525"/>
      <c r="AF354" s="1525"/>
      <c r="AG354" s="1525"/>
      <c r="AH354" s="1525"/>
      <c r="AI354" s="1525"/>
      <c r="AJ354" s="1525"/>
      <c r="AK354" s="1525"/>
      <c r="AL354" s="1525"/>
      <c r="AM354" s="1525"/>
      <c r="AN354" s="1525"/>
      <c r="AO354" s="1525"/>
      <c r="AP354" s="1525"/>
      <c r="AQ354" s="1525"/>
      <c r="AR354" s="1525"/>
      <c r="AS354" s="1525"/>
      <c r="AU354" s="1525"/>
      <c r="AV354" s="1295"/>
      <c r="AW354" s="1525"/>
      <c r="AX354" s="1525"/>
      <c r="AY354" s="1525"/>
      <c r="AZ354" s="1525"/>
      <c r="BA354" s="1525"/>
      <c r="BB354" s="1525"/>
      <c r="BC354" s="1525"/>
      <c r="BD354" s="1525"/>
      <c r="BE354" s="1525"/>
      <c r="BF354" s="1525"/>
      <c r="BG354" s="1525"/>
      <c r="BH354" s="1525"/>
      <c r="BI354" s="1525"/>
      <c r="BJ354" s="1525"/>
      <c r="BK354" s="1525"/>
      <c r="BL354" s="1525"/>
      <c r="BM354" s="1525"/>
      <c r="BN354" s="1525"/>
      <c r="BO354" s="1525"/>
      <c r="BP354" s="1525"/>
      <c r="BQ354" s="1525"/>
      <c r="BR354" s="1525"/>
      <c r="BS354" s="1525"/>
      <c r="BT354" s="1670"/>
      <c r="BV354"/>
      <c r="BW354" s="859"/>
    </row>
    <row r="355" spans="2:75" ht="12.75" customHeight="1" x14ac:dyDescent="0.2">
      <c r="B355" s="175">
        <f t="shared" ref="B355:B378" si="210">B354+1</f>
        <v>1</v>
      </c>
      <c r="C355" s="236">
        <v>11</v>
      </c>
      <c r="D355" s="218"/>
      <c r="E355" s="166" t="s">
        <v>647</v>
      </c>
      <c r="F355" s="24" t="s">
        <v>824</v>
      </c>
      <c r="G355" s="859" t="s">
        <v>1861</v>
      </c>
      <c r="H355" s="1413">
        <v>7671</v>
      </c>
      <c r="I355" s="172" t="s">
        <v>161</v>
      </c>
      <c r="J355" s="168"/>
      <c r="K355" s="189"/>
      <c r="L355" s="858">
        <v>1</v>
      </c>
      <c r="M355" s="858">
        <f t="shared" ref="M355:M360" si="211">K355+L355</f>
        <v>1</v>
      </c>
      <c r="N355" s="857" t="s">
        <v>416</v>
      </c>
      <c r="O355" s="1196">
        <v>19748</v>
      </c>
      <c r="P355" s="1218">
        <f t="shared" ref="P355:P360" ca="1" si="212">YEARFRAC(TODAY(),O355)</f>
        <v>63.68888888888889</v>
      </c>
      <c r="Q355" s="1148">
        <v>43000</v>
      </c>
      <c r="R355" s="874">
        <f>Q355*0.15</f>
        <v>6450</v>
      </c>
      <c r="S355" s="875"/>
      <c r="T355" s="875">
        <v>22700</v>
      </c>
      <c r="U355" s="875"/>
      <c r="V355" s="875"/>
      <c r="W355" s="875"/>
      <c r="X355" s="1026">
        <f t="shared" ref="X355:X360" si="213">(Q355+R355+S355+T355+U355+V355+W355)*M355</f>
        <v>72150</v>
      </c>
      <c r="Y355" s="1512">
        <f t="shared" ref="Y355:Y360" si="214">(T355+U355)*M355/(X355-M355*(T355+U355))</f>
        <v>0.45904954499494438</v>
      </c>
      <c r="Z355" s="1741">
        <f t="shared" ref="Z355:Z360" si="215">M355*(1+Y355)</f>
        <v>1.4590495449949443</v>
      </c>
      <c r="AA355" s="1749">
        <f t="shared" ref="AA355:AA360" si="216">SUM(AD355:AS355)</f>
        <v>0</v>
      </c>
      <c r="AB355" s="1810">
        <f t="shared" ref="AB355:AB360" si="217">100*AA355/Z355</f>
        <v>0</v>
      </c>
      <c r="AC355" s="876"/>
      <c r="AD355" s="1525">
        <f t="shared" ref="AD355:AS360" si="218">SUMIF($AV$6:$BS$6,AD$5,$AV355:$BS355)</f>
        <v>0</v>
      </c>
      <c r="AE355" s="1525">
        <f t="shared" si="218"/>
        <v>0</v>
      </c>
      <c r="AF355" s="1525">
        <f t="shared" si="218"/>
        <v>0</v>
      </c>
      <c r="AG355" s="1525">
        <f t="shared" si="218"/>
        <v>0</v>
      </c>
      <c r="AH355" s="1525">
        <f t="shared" si="218"/>
        <v>0</v>
      </c>
      <c r="AI355" s="1525">
        <f t="shared" si="218"/>
        <v>0</v>
      </c>
      <c r="AJ355" s="1525">
        <f t="shared" si="218"/>
        <v>0</v>
      </c>
      <c r="AK355" s="1525">
        <f t="shared" si="218"/>
        <v>0</v>
      </c>
      <c r="AL355" s="1525">
        <f t="shared" si="218"/>
        <v>0</v>
      </c>
      <c r="AM355" s="1525">
        <f t="shared" si="218"/>
        <v>0</v>
      </c>
      <c r="AN355" s="1525">
        <f t="shared" si="218"/>
        <v>0</v>
      </c>
      <c r="AO355" s="1525">
        <f t="shared" si="218"/>
        <v>0</v>
      </c>
      <c r="AP355" s="1525">
        <f t="shared" si="218"/>
        <v>0</v>
      </c>
      <c r="AQ355" s="1525">
        <f t="shared" si="218"/>
        <v>0</v>
      </c>
      <c r="AR355" s="1525">
        <f t="shared" si="218"/>
        <v>0</v>
      </c>
      <c r="AS355" s="1525">
        <f t="shared" si="218"/>
        <v>0</v>
      </c>
      <c r="AU355" s="1525"/>
      <c r="AV355" s="1291"/>
      <c r="AW355" s="1292"/>
      <c r="AX355" s="1292"/>
      <c r="AY355" s="1292"/>
      <c r="AZ355" s="1292"/>
      <c r="BA355" s="1292"/>
      <c r="BB355" s="1292"/>
      <c r="BC355" s="1292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292"/>
      <c r="BO355" s="1292"/>
      <c r="BP355" s="1292"/>
      <c r="BQ355" s="1292"/>
      <c r="BR355" s="1292"/>
      <c r="BS355" s="1292"/>
      <c r="BT355" s="1670">
        <f t="shared" ref="BT355:BT360" si="219">SUM(AV355:BS355)</f>
        <v>0</v>
      </c>
      <c r="BW355" s="859" t="s">
        <v>1861</v>
      </c>
    </row>
    <row r="356" spans="2:75" ht="12.75" customHeight="1" x14ac:dyDescent="0.2">
      <c r="B356" s="175">
        <f t="shared" si="210"/>
        <v>2</v>
      </c>
      <c r="C356" s="219">
        <v>12</v>
      </c>
      <c r="E356" s="12" t="s">
        <v>647</v>
      </c>
      <c r="F356" s="4" t="s">
        <v>1235</v>
      </c>
      <c r="G356" s="859" t="s">
        <v>574</v>
      </c>
      <c r="H356" s="1413">
        <v>6608</v>
      </c>
      <c r="I356" s="197" t="s">
        <v>1584</v>
      </c>
      <c r="J356" s="174"/>
      <c r="K356" s="174"/>
      <c r="L356" s="861">
        <v>1</v>
      </c>
      <c r="M356" s="858">
        <f t="shared" si="211"/>
        <v>1</v>
      </c>
      <c r="N356" s="857" t="s">
        <v>1326</v>
      </c>
      <c r="O356" s="1196">
        <v>14742</v>
      </c>
      <c r="P356" s="1218">
        <f t="shared" ca="1" si="212"/>
        <v>77.391666666666666</v>
      </c>
      <c r="Q356" s="1148">
        <v>28000</v>
      </c>
      <c r="R356" s="874">
        <f>Q356*0.1</f>
        <v>2800</v>
      </c>
      <c r="S356" s="875"/>
      <c r="T356" s="875"/>
      <c r="U356" s="875"/>
      <c r="V356" s="875"/>
      <c r="W356" s="875"/>
      <c r="X356" s="1026">
        <f t="shared" si="213"/>
        <v>30800</v>
      </c>
      <c r="Y356" s="1512">
        <f t="shared" si="214"/>
        <v>0</v>
      </c>
      <c r="Z356" s="1741">
        <f t="shared" si="215"/>
        <v>1</v>
      </c>
      <c r="AA356" s="1749">
        <f t="shared" si="216"/>
        <v>0</v>
      </c>
      <c r="AB356" s="1810">
        <f t="shared" si="217"/>
        <v>0</v>
      </c>
      <c r="AC356" s="876"/>
      <c r="AD356" s="1525">
        <f t="shared" si="218"/>
        <v>0</v>
      </c>
      <c r="AE356" s="1525">
        <f t="shared" si="218"/>
        <v>0</v>
      </c>
      <c r="AF356" s="1525">
        <f t="shared" si="218"/>
        <v>0</v>
      </c>
      <c r="AG356" s="1525">
        <f t="shared" si="218"/>
        <v>0</v>
      </c>
      <c r="AH356" s="1525">
        <f t="shared" si="218"/>
        <v>0</v>
      </c>
      <c r="AI356" s="1525">
        <f t="shared" si="218"/>
        <v>0</v>
      </c>
      <c r="AJ356" s="1525">
        <f t="shared" si="218"/>
        <v>0</v>
      </c>
      <c r="AK356" s="1525">
        <f t="shared" si="218"/>
        <v>0</v>
      </c>
      <c r="AL356" s="1525">
        <f t="shared" si="218"/>
        <v>0</v>
      </c>
      <c r="AM356" s="1525">
        <f t="shared" si="218"/>
        <v>0</v>
      </c>
      <c r="AN356" s="1525">
        <f t="shared" si="218"/>
        <v>0</v>
      </c>
      <c r="AO356" s="1525">
        <f t="shared" si="218"/>
        <v>0</v>
      </c>
      <c r="AP356" s="1525">
        <f t="shared" si="218"/>
        <v>0</v>
      </c>
      <c r="AQ356" s="1525">
        <f t="shared" si="218"/>
        <v>0</v>
      </c>
      <c r="AR356" s="1525">
        <f t="shared" si="218"/>
        <v>0</v>
      </c>
      <c r="AS356" s="1525">
        <f t="shared" si="218"/>
        <v>0</v>
      </c>
      <c r="AU356" s="1525"/>
      <c r="AV356" s="1291"/>
      <c r="AW356" s="1292"/>
      <c r="AX356" s="1292"/>
      <c r="AY356" s="1292"/>
      <c r="AZ356" s="1292"/>
      <c r="BA356" s="1292"/>
      <c r="BB356" s="1292"/>
      <c r="BC356" s="1292"/>
      <c r="BD356" s="1292"/>
      <c r="BE356" s="1292"/>
      <c r="BF356" s="1292"/>
      <c r="BG356" s="1292"/>
      <c r="BH356" s="1292"/>
      <c r="BI356" s="1292"/>
      <c r="BJ356" s="1292"/>
      <c r="BK356" s="1292"/>
      <c r="BL356" s="1292"/>
      <c r="BM356" s="1292"/>
      <c r="BN356" s="1292"/>
      <c r="BO356" s="1292"/>
      <c r="BP356" s="1292"/>
      <c r="BQ356" s="1292"/>
      <c r="BR356" s="1292"/>
      <c r="BS356" s="1292"/>
      <c r="BT356" s="1670">
        <f t="shared" si="219"/>
        <v>0</v>
      </c>
      <c r="BW356" s="859" t="s">
        <v>574</v>
      </c>
    </row>
    <row r="357" spans="2:75" ht="12.75" customHeight="1" x14ac:dyDescent="0.2">
      <c r="B357" s="175">
        <f>B356+1</f>
        <v>3</v>
      </c>
      <c r="C357" s="219">
        <v>18</v>
      </c>
      <c r="E357" s="12" t="s">
        <v>647</v>
      </c>
      <c r="F357" s="24" t="s">
        <v>1279</v>
      </c>
      <c r="G357" s="859" t="s">
        <v>1867</v>
      </c>
      <c r="H357" s="1413">
        <v>20115</v>
      </c>
      <c r="I357" s="200" t="s">
        <v>998</v>
      </c>
      <c r="J357" s="189"/>
      <c r="K357" s="189"/>
      <c r="L357" s="861">
        <v>1</v>
      </c>
      <c r="M357" s="858">
        <f t="shared" si="211"/>
        <v>1</v>
      </c>
      <c r="N357" s="857" t="s">
        <v>416</v>
      </c>
      <c r="O357" s="1196">
        <v>22496</v>
      </c>
      <c r="P357" s="1218">
        <f t="shared" ca="1" si="212"/>
        <v>56.163888888888891</v>
      </c>
      <c r="Q357" s="1148">
        <v>26500</v>
      </c>
      <c r="R357" s="1035">
        <f>Q357*0.15</f>
        <v>3975</v>
      </c>
      <c r="S357" s="875"/>
      <c r="T357" s="875"/>
      <c r="U357" s="875"/>
      <c r="V357" s="1036"/>
      <c r="W357" s="875"/>
      <c r="X357" s="1026">
        <f t="shared" si="213"/>
        <v>30475</v>
      </c>
      <c r="Y357" s="1512">
        <f t="shared" si="214"/>
        <v>0</v>
      </c>
      <c r="Z357" s="1741">
        <f t="shared" si="215"/>
        <v>1</v>
      </c>
      <c r="AA357" s="1749">
        <f t="shared" si="216"/>
        <v>0</v>
      </c>
      <c r="AB357" s="1810">
        <f t="shared" si="217"/>
        <v>0</v>
      </c>
      <c r="AC357" s="876"/>
      <c r="AD357" s="1525">
        <f t="shared" si="218"/>
        <v>0</v>
      </c>
      <c r="AE357" s="1525">
        <f t="shared" si="218"/>
        <v>0</v>
      </c>
      <c r="AF357" s="1525">
        <f t="shared" si="218"/>
        <v>0</v>
      </c>
      <c r="AG357" s="1525">
        <f t="shared" si="218"/>
        <v>0</v>
      </c>
      <c r="AH357" s="1525">
        <f t="shared" si="218"/>
        <v>0</v>
      </c>
      <c r="AI357" s="1525">
        <f t="shared" si="218"/>
        <v>0</v>
      </c>
      <c r="AJ357" s="1525">
        <f t="shared" si="218"/>
        <v>0</v>
      </c>
      <c r="AK357" s="1525">
        <f t="shared" si="218"/>
        <v>0</v>
      </c>
      <c r="AL357" s="1525">
        <f t="shared" si="218"/>
        <v>0</v>
      </c>
      <c r="AM357" s="1525">
        <f t="shared" si="218"/>
        <v>0</v>
      </c>
      <c r="AN357" s="1525">
        <f t="shared" si="218"/>
        <v>0</v>
      </c>
      <c r="AO357" s="1525">
        <f t="shared" si="218"/>
        <v>0</v>
      </c>
      <c r="AP357" s="1525">
        <f t="shared" si="218"/>
        <v>0</v>
      </c>
      <c r="AQ357" s="1525">
        <f t="shared" si="218"/>
        <v>0</v>
      </c>
      <c r="AR357" s="1525">
        <f t="shared" si="218"/>
        <v>0</v>
      </c>
      <c r="AS357" s="1525">
        <f t="shared" si="218"/>
        <v>0</v>
      </c>
      <c r="AU357" s="1525"/>
      <c r="AV357" s="1291"/>
      <c r="AW357" s="1292"/>
      <c r="AX357" s="1292"/>
      <c r="AY357" s="1292"/>
      <c r="AZ357" s="1292"/>
      <c r="BA357" s="1292"/>
      <c r="BB357" s="1292"/>
      <c r="BC357" s="1292"/>
      <c r="BD357" s="1292"/>
      <c r="BE357" s="1292"/>
      <c r="BF357" s="1292"/>
      <c r="BG357" s="1292"/>
      <c r="BH357" s="1292"/>
      <c r="BI357" s="1292"/>
      <c r="BJ357" s="1292"/>
      <c r="BK357" s="1292"/>
      <c r="BL357" s="1292"/>
      <c r="BM357" s="1292"/>
      <c r="BN357" s="1292"/>
      <c r="BO357" s="1292"/>
      <c r="BP357" s="1292"/>
      <c r="BQ357" s="1292"/>
      <c r="BR357" s="1292"/>
      <c r="BS357" s="1292"/>
      <c r="BT357" s="1670">
        <f t="shared" si="219"/>
        <v>0</v>
      </c>
      <c r="BW357" s="859" t="s">
        <v>1867</v>
      </c>
    </row>
    <row r="358" spans="2:75" ht="12.75" customHeight="1" x14ac:dyDescent="0.2">
      <c r="B358" s="175">
        <f t="shared" si="210"/>
        <v>4</v>
      </c>
      <c r="C358" s="219">
        <v>18</v>
      </c>
      <c r="E358" s="12" t="s">
        <v>647</v>
      </c>
      <c r="F358" s="4" t="s">
        <v>147</v>
      </c>
      <c r="G358" s="859" t="s">
        <v>656</v>
      </c>
      <c r="H358" s="1413">
        <v>101175</v>
      </c>
      <c r="I358" s="200" t="s">
        <v>998</v>
      </c>
      <c r="J358" s="189"/>
      <c r="K358" s="189"/>
      <c r="L358" s="861">
        <v>1</v>
      </c>
      <c r="M358" s="858">
        <f t="shared" si="211"/>
        <v>1</v>
      </c>
      <c r="N358" s="857" t="s">
        <v>416</v>
      </c>
      <c r="O358" s="1196">
        <v>30789</v>
      </c>
      <c r="P358" s="1218">
        <f t="shared" ca="1" si="212"/>
        <v>33.458333333333336</v>
      </c>
      <c r="Q358" s="1148">
        <v>25000</v>
      </c>
      <c r="R358" s="874">
        <f>Q358*0.15</f>
        <v>3750</v>
      </c>
      <c r="S358" s="875"/>
      <c r="T358" s="875"/>
      <c r="U358" s="875"/>
      <c r="V358" s="875"/>
      <c r="W358" s="1036">
        <f>ROUND((Q358+R358)*0.12,0)</f>
        <v>3450</v>
      </c>
      <c r="X358" s="1026">
        <f t="shared" si="213"/>
        <v>32200</v>
      </c>
      <c r="Y358" s="1512">
        <f>(T358+U358+W358)*M358/(X358-M358*(T358+U358+W358))</f>
        <v>0.12</v>
      </c>
      <c r="Z358" s="1741">
        <f t="shared" si="215"/>
        <v>1.1200000000000001</v>
      </c>
      <c r="AA358" s="1749">
        <f t="shared" si="216"/>
        <v>0</v>
      </c>
      <c r="AB358" s="1810">
        <f t="shared" si="217"/>
        <v>0</v>
      </c>
      <c r="AC358" s="876"/>
      <c r="AD358" s="1525">
        <f t="shared" si="218"/>
        <v>0</v>
      </c>
      <c r="AE358" s="1525">
        <f t="shared" si="218"/>
        <v>0</v>
      </c>
      <c r="AF358" s="1525">
        <f t="shared" si="218"/>
        <v>0</v>
      </c>
      <c r="AG358" s="1525">
        <f t="shared" si="218"/>
        <v>0</v>
      </c>
      <c r="AH358" s="1525">
        <f t="shared" si="218"/>
        <v>0</v>
      </c>
      <c r="AI358" s="1525">
        <f t="shared" si="218"/>
        <v>0</v>
      </c>
      <c r="AJ358" s="1525">
        <f t="shared" si="218"/>
        <v>0</v>
      </c>
      <c r="AK358" s="1525">
        <f t="shared" si="218"/>
        <v>0</v>
      </c>
      <c r="AL358" s="1525">
        <f t="shared" si="218"/>
        <v>0</v>
      </c>
      <c r="AM358" s="1525">
        <f t="shared" si="218"/>
        <v>0</v>
      </c>
      <c r="AN358" s="1525">
        <f t="shared" si="218"/>
        <v>0</v>
      </c>
      <c r="AO358" s="1525">
        <f t="shared" si="218"/>
        <v>0</v>
      </c>
      <c r="AP358" s="1525">
        <f t="shared" si="218"/>
        <v>0</v>
      </c>
      <c r="AQ358" s="1525">
        <f t="shared" si="218"/>
        <v>0</v>
      </c>
      <c r="AR358" s="1525">
        <f t="shared" si="218"/>
        <v>0</v>
      </c>
      <c r="AS358" s="1525">
        <f t="shared" si="218"/>
        <v>0</v>
      </c>
      <c r="AU358" s="1525"/>
      <c r="AV358" s="1291"/>
      <c r="AW358" s="1292"/>
      <c r="AX358" s="1292"/>
      <c r="AY358" s="1292"/>
      <c r="AZ358" s="1292"/>
      <c r="BA358" s="1292"/>
      <c r="BB358" s="1292"/>
      <c r="BC358" s="1292"/>
      <c r="BD358" s="1292"/>
      <c r="BE358" s="1292"/>
      <c r="BF358" s="1292"/>
      <c r="BG358" s="1292"/>
      <c r="BH358" s="1292"/>
      <c r="BI358" s="1292"/>
      <c r="BJ358" s="1292"/>
      <c r="BK358" s="1292"/>
      <c r="BL358" s="1292"/>
      <c r="BM358" s="1292"/>
      <c r="BN358" s="1292"/>
      <c r="BO358" s="1292"/>
      <c r="BP358" s="1292"/>
      <c r="BQ358" s="1292"/>
      <c r="BR358" s="1292"/>
      <c r="BS358" s="1292"/>
      <c r="BT358" s="1670">
        <f t="shared" si="219"/>
        <v>0</v>
      </c>
      <c r="BW358" s="859" t="s">
        <v>656</v>
      </c>
    </row>
    <row r="359" spans="2:75" ht="12.75" customHeight="1" x14ac:dyDescent="0.2">
      <c r="B359" s="175">
        <f t="shared" si="210"/>
        <v>5</v>
      </c>
      <c r="C359" s="219">
        <v>18</v>
      </c>
      <c r="E359" s="12" t="s">
        <v>647</v>
      </c>
      <c r="F359" s="4" t="s">
        <v>575</v>
      </c>
      <c r="G359" s="859" t="s">
        <v>1870</v>
      </c>
      <c r="H359" s="1413">
        <v>6645</v>
      </c>
      <c r="I359" s="200" t="s">
        <v>998</v>
      </c>
      <c r="J359" s="189"/>
      <c r="K359" s="189"/>
      <c r="L359" s="861">
        <v>1</v>
      </c>
      <c r="M359" s="858">
        <f t="shared" si="211"/>
        <v>1</v>
      </c>
      <c r="N359" s="857" t="s">
        <v>416</v>
      </c>
      <c r="O359" s="1196">
        <v>20092</v>
      </c>
      <c r="P359" s="1218">
        <f t="shared" ca="1" si="212"/>
        <v>62.74722222222222</v>
      </c>
      <c r="Q359" s="1148">
        <v>28000</v>
      </c>
      <c r="R359" s="1035">
        <f>Q359*0.15</f>
        <v>4200</v>
      </c>
      <c r="S359" s="875"/>
      <c r="T359" s="875"/>
      <c r="U359" s="875"/>
      <c r="V359" s="1036"/>
      <c r="W359" s="875"/>
      <c r="X359" s="1026">
        <f t="shared" si="213"/>
        <v>32200</v>
      </c>
      <c r="Y359" s="1512">
        <f t="shared" si="214"/>
        <v>0</v>
      </c>
      <c r="Z359" s="1741">
        <f t="shared" si="215"/>
        <v>1</v>
      </c>
      <c r="AA359" s="1749">
        <f t="shared" si="216"/>
        <v>0</v>
      </c>
      <c r="AB359" s="1810">
        <f t="shared" si="217"/>
        <v>0</v>
      </c>
      <c r="AC359" s="876"/>
      <c r="AD359" s="1525">
        <f t="shared" si="218"/>
        <v>0</v>
      </c>
      <c r="AE359" s="1525">
        <f t="shared" si="218"/>
        <v>0</v>
      </c>
      <c r="AF359" s="1525">
        <f t="shared" si="218"/>
        <v>0</v>
      </c>
      <c r="AG359" s="1525">
        <f t="shared" si="218"/>
        <v>0</v>
      </c>
      <c r="AH359" s="1525">
        <f t="shared" si="218"/>
        <v>0</v>
      </c>
      <c r="AI359" s="1525">
        <f t="shared" si="218"/>
        <v>0</v>
      </c>
      <c r="AJ359" s="1525">
        <f t="shared" si="218"/>
        <v>0</v>
      </c>
      <c r="AK359" s="1525">
        <f t="shared" si="218"/>
        <v>0</v>
      </c>
      <c r="AL359" s="1525">
        <f t="shared" si="218"/>
        <v>0</v>
      </c>
      <c r="AM359" s="1525">
        <f t="shared" si="218"/>
        <v>0</v>
      </c>
      <c r="AN359" s="1525">
        <f t="shared" si="218"/>
        <v>0</v>
      </c>
      <c r="AO359" s="1525">
        <f t="shared" si="218"/>
        <v>0</v>
      </c>
      <c r="AP359" s="1525">
        <f t="shared" si="218"/>
        <v>0</v>
      </c>
      <c r="AQ359" s="1525">
        <f t="shared" si="218"/>
        <v>0</v>
      </c>
      <c r="AR359" s="1525">
        <f t="shared" si="218"/>
        <v>0</v>
      </c>
      <c r="AS359" s="1525">
        <f t="shared" si="218"/>
        <v>0</v>
      </c>
      <c r="AU359" s="1525"/>
      <c r="AV359" s="1291"/>
      <c r="AW359" s="1292"/>
      <c r="AX359" s="1292"/>
      <c r="AY359" s="1292"/>
      <c r="AZ359" s="1292"/>
      <c r="BA359" s="1292"/>
      <c r="BB359" s="1292"/>
      <c r="BC359" s="1292"/>
      <c r="BD359" s="1292"/>
      <c r="BE359" s="1292"/>
      <c r="BF359" s="1292"/>
      <c r="BG359" s="1292"/>
      <c r="BH359" s="1292"/>
      <c r="BI359" s="1292"/>
      <c r="BJ359" s="1292"/>
      <c r="BK359" s="1292"/>
      <c r="BL359" s="1292"/>
      <c r="BM359" s="1292"/>
      <c r="BN359" s="1292"/>
      <c r="BO359" s="1292"/>
      <c r="BP359" s="1292"/>
      <c r="BQ359" s="1292"/>
      <c r="BR359" s="1292"/>
      <c r="BS359" s="1292"/>
      <c r="BT359" s="1670">
        <f t="shared" si="219"/>
        <v>0</v>
      </c>
      <c r="BW359" s="859" t="s">
        <v>1870</v>
      </c>
    </row>
    <row r="360" spans="2:75" ht="12.75" customHeight="1" x14ac:dyDescent="0.2">
      <c r="B360" s="175">
        <f t="shared" si="210"/>
        <v>6</v>
      </c>
      <c r="C360" s="219">
        <v>18</v>
      </c>
      <c r="E360" s="12" t="s">
        <v>647</v>
      </c>
      <c r="F360" s="26" t="s">
        <v>1003</v>
      </c>
      <c r="G360" s="910" t="s">
        <v>1860</v>
      </c>
      <c r="H360" s="1414">
        <v>82772</v>
      </c>
      <c r="I360" s="196" t="s">
        <v>998</v>
      </c>
      <c r="J360" s="195"/>
      <c r="K360" s="195"/>
      <c r="L360" s="873">
        <v>1</v>
      </c>
      <c r="M360" s="873">
        <f t="shared" si="211"/>
        <v>1</v>
      </c>
      <c r="N360" s="872" t="s">
        <v>416</v>
      </c>
      <c r="O360" s="1196">
        <v>25138</v>
      </c>
      <c r="P360" s="1218">
        <f t="shared" ca="1" si="212"/>
        <v>48.930555555555557</v>
      </c>
      <c r="Q360" s="1163">
        <v>27500</v>
      </c>
      <c r="R360" s="1035">
        <f>Q360*0.15</f>
        <v>4125</v>
      </c>
      <c r="S360" s="875"/>
      <c r="T360" s="875"/>
      <c r="U360" s="875"/>
      <c r="V360" s="1036">
        <f>ROUND((Q360+R360)*0.1,0)</f>
        <v>3163</v>
      </c>
      <c r="W360" s="1036"/>
      <c r="X360" s="1026">
        <f t="shared" si="213"/>
        <v>34788</v>
      </c>
      <c r="Y360" s="1512">
        <f t="shared" si="214"/>
        <v>0</v>
      </c>
      <c r="Z360" s="1741">
        <f t="shared" si="215"/>
        <v>1</v>
      </c>
      <c r="AA360" s="1749">
        <f t="shared" si="216"/>
        <v>0</v>
      </c>
      <c r="AB360" s="1810">
        <f t="shared" si="217"/>
        <v>0</v>
      </c>
      <c r="AC360" s="876"/>
      <c r="AD360" s="1525">
        <f t="shared" si="218"/>
        <v>0</v>
      </c>
      <c r="AE360" s="1525">
        <f t="shared" si="218"/>
        <v>0</v>
      </c>
      <c r="AF360" s="1525">
        <f t="shared" si="218"/>
        <v>0</v>
      </c>
      <c r="AG360" s="1525">
        <f t="shared" si="218"/>
        <v>0</v>
      </c>
      <c r="AH360" s="1525">
        <f t="shared" si="218"/>
        <v>0</v>
      </c>
      <c r="AI360" s="1525">
        <f t="shared" si="218"/>
        <v>0</v>
      </c>
      <c r="AJ360" s="1525">
        <f t="shared" si="218"/>
        <v>0</v>
      </c>
      <c r="AK360" s="1525">
        <f t="shared" si="218"/>
        <v>0</v>
      </c>
      <c r="AL360" s="1525">
        <f t="shared" si="218"/>
        <v>0</v>
      </c>
      <c r="AM360" s="1525">
        <f t="shared" si="218"/>
        <v>0</v>
      </c>
      <c r="AN360" s="1525">
        <f t="shared" si="218"/>
        <v>0</v>
      </c>
      <c r="AO360" s="1525">
        <f t="shared" si="218"/>
        <v>0</v>
      </c>
      <c r="AP360" s="1525">
        <f t="shared" si="218"/>
        <v>0</v>
      </c>
      <c r="AQ360" s="1525">
        <f t="shared" si="218"/>
        <v>0</v>
      </c>
      <c r="AR360" s="1525">
        <f t="shared" si="218"/>
        <v>0</v>
      </c>
      <c r="AS360" s="1525">
        <f t="shared" si="218"/>
        <v>0</v>
      </c>
      <c r="AU360" s="1525"/>
      <c r="AV360" s="1291"/>
      <c r="AW360" s="1292"/>
      <c r="AX360" s="1292"/>
      <c r="AY360" s="1292"/>
      <c r="AZ360" s="1292"/>
      <c r="BA360" s="1292"/>
      <c r="BB360" s="1292"/>
      <c r="BC360" s="1292"/>
      <c r="BD360" s="1292"/>
      <c r="BE360" s="1292"/>
      <c r="BF360" s="1292"/>
      <c r="BG360" s="1292"/>
      <c r="BH360" s="1292"/>
      <c r="BI360" s="1292"/>
      <c r="BJ360" s="1292"/>
      <c r="BK360" s="1292"/>
      <c r="BL360" s="1292"/>
      <c r="BM360" s="1292"/>
      <c r="BN360" s="1292"/>
      <c r="BO360" s="1292"/>
      <c r="BP360" s="1292"/>
      <c r="BQ360" s="1292"/>
      <c r="BR360" s="1292"/>
      <c r="BS360" s="1292"/>
      <c r="BT360" s="1670">
        <f t="shared" si="219"/>
        <v>0</v>
      </c>
      <c r="BW360" s="910" t="s">
        <v>1860</v>
      </c>
    </row>
    <row r="361" spans="2:75" s="164" customFormat="1" ht="12.75" customHeight="1" x14ac:dyDescent="0.2">
      <c r="B361" s="175"/>
      <c r="C361" s="219" t="s">
        <v>1120</v>
      </c>
      <c r="F361" s="26" t="s">
        <v>1238</v>
      </c>
      <c r="G361" s="910"/>
      <c r="H361" s="1426" t="s">
        <v>1508</v>
      </c>
      <c r="I361" s="196"/>
      <c r="J361" s="195"/>
      <c r="K361" s="475">
        <f>SUM(K354:K360)</f>
        <v>0</v>
      </c>
      <c r="L361" s="869">
        <f>SUM(L355:L360)</f>
        <v>6</v>
      </c>
      <c r="M361" s="869">
        <f>SUM(M355:M360)</f>
        <v>6</v>
      </c>
      <c r="N361" s="872"/>
      <c r="O361" s="1192"/>
      <c r="P361" s="1227"/>
      <c r="Q361" s="1159"/>
      <c r="R361" s="1029"/>
      <c r="S361" s="1030"/>
      <c r="T361" s="1030"/>
      <c r="U361" s="1030"/>
      <c r="V361" s="1030"/>
      <c r="W361" s="1030"/>
      <c r="X361" s="1026"/>
      <c r="Y361" s="1335"/>
      <c r="Z361" s="1335"/>
      <c r="AA361" s="1775"/>
      <c r="AB361" s="1814"/>
      <c r="AC361" s="876"/>
      <c r="AD361" s="1295"/>
      <c r="AE361" s="1525"/>
      <c r="AF361" s="1525"/>
      <c r="AG361" s="1525"/>
      <c r="AH361" s="1525"/>
      <c r="AI361" s="1525"/>
      <c r="AJ361" s="1525"/>
      <c r="AK361" s="1525"/>
      <c r="AL361" s="1525"/>
      <c r="AM361" s="1525"/>
      <c r="AN361" s="1525"/>
      <c r="AO361" s="1525"/>
      <c r="AP361" s="1525"/>
      <c r="AQ361" s="1525"/>
      <c r="AR361" s="1525"/>
      <c r="AS361" s="1525"/>
      <c r="AU361" s="1525"/>
      <c r="AV361" s="1295"/>
      <c r="AW361" s="1525"/>
      <c r="AX361" s="1525"/>
      <c r="AY361" s="1525"/>
      <c r="AZ361" s="1525"/>
      <c r="BA361" s="1525"/>
      <c r="BB361" s="1525"/>
      <c r="BC361" s="1525"/>
      <c r="BD361" s="1525"/>
      <c r="BE361" s="1525"/>
      <c r="BF361" s="1525"/>
      <c r="BG361" s="1525"/>
      <c r="BH361" s="1525"/>
      <c r="BI361" s="1525"/>
      <c r="BJ361" s="1525"/>
      <c r="BK361" s="1525"/>
      <c r="BL361" s="1525"/>
      <c r="BM361" s="1525"/>
      <c r="BN361" s="1525"/>
      <c r="BO361" s="1525"/>
      <c r="BP361" s="1525"/>
      <c r="BQ361" s="1525"/>
      <c r="BR361" s="1525"/>
      <c r="BS361" s="1525"/>
      <c r="BT361" s="1670"/>
      <c r="BV361"/>
      <c r="BW361" s="910"/>
    </row>
    <row r="362" spans="2:75" s="164" customFormat="1" ht="12.75" customHeight="1" x14ac:dyDescent="0.15">
      <c r="B362" s="175"/>
      <c r="C362" s="219" t="s">
        <v>1120</v>
      </c>
      <c r="F362" s="24" t="s">
        <v>1004</v>
      </c>
      <c r="G362" s="859"/>
      <c r="H362" s="1420" t="s">
        <v>1508</v>
      </c>
      <c r="I362" s="200"/>
      <c r="J362" s="189"/>
      <c r="K362" s="448">
        <f>K351+K361</f>
        <v>0</v>
      </c>
      <c r="L362" s="902">
        <f>L351+L361</f>
        <v>17.25</v>
      </c>
      <c r="M362" s="902">
        <f>M351+M361+K362</f>
        <v>17.25</v>
      </c>
      <c r="N362" s="857"/>
      <c r="O362" s="1200"/>
      <c r="P362" s="550"/>
      <c r="Q362" s="1153"/>
      <c r="R362" s="877"/>
      <c r="S362" s="875"/>
      <c r="T362" s="875"/>
      <c r="U362" s="875"/>
      <c r="V362" s="875"/>
      <c r="W362" s="875"/>
      <c r="X362" s="1026"/>
      <c r="Y362" s="1335"/>
      <c r="Z362" s="1335"/>
      <c r="AA362" s="1775"/>
      <c r="AB362" s="1814"/>
      <c r="AC362" s="876"/>
      <c r="AD362" s="1295"/>
      <c r="AE362" s="1525"/>
      <c r="AF362" s="1525"/>
      <c r="AG362" s="1525"/>
      <c r="AH362" s="1525"/>
      <c r="AI362" s="1525"/>
      <c r="AJ362" s="1525"/>
      <c r="AK362" s="1525"/>
      <c r="AL362" s="1525"/>
      <c r="AM362" s="1525"/>
      <c r="AN362" s="1525"/>
      <c r="AO362" s="1525"/>
      <c r="AP362" s="1525"/>
      <c r="AQ362" s="1525"/>
      <c r="AR362" s="1525"/>
      <c r="AS362" s="1525"/>
      <c r="AU362" s="1525"/>
      <c r="AV362" s="1295"/>
      <c r="AW362" s="1525"/>
      <c r="AX362" s="1525"/>
      <c r="AY362" s="1525"/>
      <c r="AZ362" s="1525"/>
      <c r="BA362" s="1525"/>
      <c r="BB362" s="1525"/>
      <c r="BC362" s="1525"/>
      <c r="BD362" s="1525"/>
      <c r="BE362" s="1525"/>
      <c r="BF362" s="1525"/>
      <c r="BG362" s="1525"/>
      <c r="BH362" s="1525"/>
      <c r="BI362" s="1525"/>
      <c r="BJ362" s="1525"/>
      <c r="BK362" s="1525"/>
      <c r="BL362" s="1525"/>
      <c r="BM362" s="1525"/>
      <c r="BN362" s="1525"/>
      <c r="BO362" s="1525"/>
      <c r="BP362" s="1525"/>
      <c r="BQ362" s="1525"/>
      <c r="BR362" s="1525"/>
      <c r="BS362" s="1525"/>
      <c r="BT362" s="1670"/>
      <c r="BV362"/>
      <c r="BW362" s="859"/>
    </row>
    <row r="363" spans="2:75" s="164" customFormat="1" ht="12.75" customHeight="1" x14ac:dyDescent="0.2">
      <c r="B363" s="175"/>
      <c r="F363" s="21"/>
      <c r="G363" s="859"/>
      <c r="H363" s="1427" t="s">
        <v>1508</v>
      </c>
      <c r="I363" s="244"/>
      <c r="J363" s="233"/>
      <c r="K363" s="233"/>
      <c r="L363" s="921"/>
      <c r="M363" s="921"/>
      <c r="N363" s="857"/>
      <c r="O363" s="1192"/>
      <c r="P363" s="550"/>
      <c r="Q363" s="1148"/>
      <c r="R363" s="874"/>
      <c r="S363" s="875"/>
      <c r="T363" s="875"/>
      <c r="U363" s="875"/>
      <c r="V363" s="875"/>
      <c r="W363" s="875"/>
      <c r="X363" s="1026"/>
      <c r="Y363" s="1754"/>
      <c r="Z363" s="1755"/>
      <c r="AA363" s="1775"/>
      <c r="AB363" s="1814"/>
      <c r="AC363" s="876"/>
      <c r="AD363" s="1295"/>
      <c r="AE363" s="1525"/>
      <c r="AF363" s="1525"/>
      <c r="AG363" s="1525"/>
      <c r="AH363" s="1525"/>
      <c r="AI363" s="1525"/>
      <c r="AJ363" s="1525"/>
      <c r="AK363" s="1525"/>
      <c r="AL363" s="1525"/>
      <c r="AM363" s="1525"/>
      <c r="AN363" s="1525"/>
      <c r="AO363" s="1525"/>
      <c r="AP363" s="1525"/>
      <c r="AQ363" s="1525"/>
      <c r="AR363" s="1525"/>
      <c r="AS363" s="1525"/>
      <c r="AU363" s="1525"/>
      <c r="AV363" s="1295"/>
      <c r="AW363" s="1525"/>
      <c r="AX363" s="1525"/>
      <c r="AY363" s="1525"/>
      <c r="AZ363" s="1525"/>
      <c r="BA363" s="1525"/>
      <c r="BB363" s="1525"/>
      <c r="BC363" s="1525"/>
      <c r="BD363" s="1525"/>
      <c r="BE363" s="1525"/>
      <c r="BF363" s="1525"/>
      <c r="BG363" s="1525"/>
      <c r="BH363" s="1525"/>
      <c r="BI363" s="1525"/>
      <c r="BJ363" s="1525"/>
      <c r="BK363" s="1525"/>
      <c r="BL363" s="1525"/>
      <c r="BM363" s="1525"/>
      <c r="BN363" s="1525"/>
      <c r="BO363" s="1525"/>
      <c r="BP363" s="1525"/>
      <c r="BQ363" s="1525"/>
      <c r="BR363" s="1525"/>
      <c r="BS363" s="1525"/>
      <c r="BT363" s="1670"/>
      <c r="BV363"/>
      <c r="BW363" s="859"/>
    </row>
    <row r="364" spans="2:75" s="164" customFormat="1" ht="12.75" customHeight="1" x14ac:dyDescent="0.2">
      <c r="B364" s="175"/>
      <c r="F364" s="21" t="s">
        <v>1005</v>
      </c>
      <c r="G364" s="859"/>
      <c r="H364" s="1413" t="s">
        <v>1508</v>
      </c>
      <c r="I364" s="200"/>
      <c r="J364" s="189"/>
      <c r="K364" s="189"/>
      <c r="L364" s="858"/>
      <c r="M364" s="858"/>
      <c r="N364" s="857"/>
      <c r="O364" s="1192"/>
      <c r="P364" s="550"/>
      <c r="Q364" s="1148"/>
      <c r="R364" s="874"/>
      <c r="S364" s="875"/>
      <c r="T364" s="875"/>
      <c r="U364" s="875"/>
      <c r="V364" s="875"/>
      <c r="W364" s="875"/>
      <c r="X364" s="1026"/>
      <c r="Y364" s="1754"/>
      <c r="Z364" s="1755"/>
      <c r="AA364" s="1775"/>
      <c r="AB364" s="1814"/>
      <c r="AC364" s="876"/>
      <c r="AD364" s="1295"/>
      <c r="AE364" s="1525"/>
      <c r="AF364" s="1525"/>
      <c r="AG364" s="1525"/>
      <c r="AH364" s="1525"/>
      <c r="AI364" s="1525"/>
      <c r="AJ364" s="1525"/>
      <c r="AK364" s="1525"/>
      <c r="AL364" s="1525"/>
      <c r="AM364" s="1525"/>
      <c r="AN364" s="1525"/>
      <c r="AO364" s="1525"/>
      <c r="AP364" s="1525"/>
      <c r="AQ364" s="1525"/>
      <c r="AR364" s="1525"/>
      <c r="AS364" s="1525"/>
      <c r="AU364" s="1525"/>
      <c r="AV364" s="1295"/>
      <c r="AW364" s="1525"/>
      <c r="AX364" s="1525"/>
      <c r="AY364" s="1525"/>
      <c r="AZ364" s="1525"/>
      <c r="BA364" s="1525"/>
      <c r="BB364" s="1525"/>
      <c r="BC364" s="1525"/>
      <c r="BD364" s="1525"/>
      <c r="BE364" s="1525"/>
      <c r="BF364" s="1525"/>
      <c r="BG364" s="1525"/>
      <c r="BH364" s="1525"/>
      <c r="BI364" s="1525"/>
      <c r="BJ364" s="1525"/>
      <c r="BK364" s="1525"/>
      <c r="BL364" s="1525"/>
      <c r="BM364" s="1525"/>
      <c r="BN364" s="1525"/>
      <c r="BO364" s="1525"/>
      <c r="BP364" s="1525"/>
      <c r="BQ364" s="1525"/>
      <c r="BR364" s="1525"/>
      <c r="BS364" s="1525"/>
      <c r="BT364" s="1670"/>
      <c r="BV364"/>
      <c r="BW364" s="859"/>
    </row>
    <row r="365" spans="2:75" s="164" customFormat="1" ht="12.75" customHeight="1" x14ac:dyDescent="0.15">
      <c r="B365" s="175"/>
      <c r="F365" s="24"/>
      <c r="G365" s="859"/>
      <c r="H365" s="1413" t="s">
        <v>1508</v>
      </c>
      <c r="I365" s="200"/>
      <c r="J365" s="189"/>
      <c r="K365" s="189"/>
      <c r="L365" s="858"/>
      <c r="M365" s="858"/>
      <c r="N365" s="857"/>
      <c r="O365" s="1195"/>
      <c r="P365" s="550"/>
      <c r="Q365" s="1148"/>
      <c r="R365" s="874"/>
      <c r="S365" s="875"/>
      <c r="T365" s="875"/>
      <c r="U365" s="875"/>
      <c r="V365" s="875"/>
      <c r="W365" s="875"/>
      <c r="X365" s="1026"/>
      <c r="Y365" s="1754"/>
      <c r="Z365" s="1755"/>
      <c r="AA365" s="1775"/>
      <c r="AB365" s="1814"/>
      <c r="AC365" s="876"/>
      <c r="AD365" s="1295"/>
      <c r="AE365" s="1525"/>
      <c r="AF365" s="1525"/>
      <c r="AG365" s="1525"/>
      <c r="AH365" s="1525"/>
      <c r="AI365" s="1525"/>
      <c r="AJ365" s="1525"/>
      <c r="AK365" s="1525"/>
      <c r="AL365" s="1525"/>
      <c r="AM365" s="1525"/>
      <c r="AN365" s="1525"/>
      <c r="AO365" s="1525"/>
      <c r="AP365" s="1525"/>
      <c r="AQ365" s="1525"/>
      <c r="AR365" s="1525"/>
      <c r="AS365" s="1525"/>
      <c r="AU365" s="1525"/>
      <c r="AV365" s="1295"/>
      <c r="AW365" s="1525"/>
      <c r="AX365" s="1525"/>
      <c r="AY365" s="1525"/>
      <c r="AZ365" s="1525"/>
      <c r="BA365" s="1525"/>
      <c r="BB365" s="1525"/>
      <c r="BC365" s="1525"/>
      <c r="BD365" s="1525"/>
      <c r="BE365" s="1525"/>
      <c r="BF365" s="1525"/>
      <c r="BG365" s="1525"/>
      <c r="BH365" s="1525"/>
      <c r="BI365" s="1525"/>
      <c r="BJ365" s="1525"/>
      <c r="BK365" s="1525"/>
      <c r="BL365" s="1525"/>
      <c r="BM365" s="1525"/>
      <c r="BN365" s="1525"/>
      <c r="BO365" s="1525"/>
      <c r="BP365" s="1525"/>
      <c r="BQ365" s="1525"/>
      <c r="BR365" s="1525"/>
      <c r="BS365" s="1525"/>
      <c r="BT365" s="1670"/>
      <c r="BV365"/>
      <c r="BW365" s="859"/>
    </row>
    <row r="366" spans="2:75" ht="12.75" customHeight="1" x14ac:dyDescent="0.2">
      <c r="B366" s="175">
        <f t="shared" si="210"/>
        <v>1</v>
      </c>
      <c r="C366" s="260">
        <v>5</v>
      </c>
      <c r="D366" s="1303"/>
      <c r="E366" s="1305" t="s">
        <v>647</v>
      </c>
      <c r="F366" s="476" t="s">
        <v>166</v>
      </c>
      <c r="G366" s="862" t="s">
        <v>1006</v>
      </c>
      <c r="H366" s="1412">
        <v>7567</v>
      </c>
      <c r="I366" s="1102" t="s">
        <v>351</v>
      </c>
      <c r="J366" s="625"/>
      <c r="K366" s="625"/>
      <c r="L366" s="861">
        <v>1</v>
      </c>
      <c r="M366" s="861">
        <f>K366+L366</f>
        <v>1</v>
      </c>
      <c r="N366" s="836" t="s">
        <v>1326</v>
      </c>
      <c r="O366" s="1196">
        <v>17535</v>
      </c>
      <c r="P366" s="1262">
        <f t="shared" ref="P366:P378" ca="1" si="220">YEARFRAC(TODAY(),O366)</f>
        <v>69.74722222222222</v>
      </c>
      <c r="Q366" s="1163">
        <v>52100</v>
      </c>
      <c r="R366" s="874">
        <f>Q366*0.1</f>
        <v>5210</v>
      </c>
      <c r="S366" s="876"/>
      <c r="T366" s="876">
        <v>40000</v>
      </c>
      <c r="U366" s="876"/>
      <c r="V366" s="876"/>
      <c r="W366" s="876"/>
      <c r="X366" s="1026">
        <f t="shared" ref="X366:X378" si="221">(Q366+R366+S366+T366+U366+V366+W366)*M366</f>
        <v>97310</v>
      </c>
      <c r="Y366" s="1512">
        <f t="shared" ref="Y366:Y376" si="222">(T366+U366)*M366/(X366-M366*(T366+U366))</f>
        <v>0.69795847147094747</v>
      </c>
      <c r="Z366" s="1741">
        <f t="shared" ref="Z366:Z378" si="223">M366*(1+Y366)</f>
        <v>1.6979584714709475</v>
      </c>
      <c r="AA366" s="1749">
        <f t="shared" ref="AA366:AA378" si="224">SUM(AD366:AS366)</f>
        <v>0</v>
      </c>
      <c r="AB366" s="1810">
        <f t="shared" ref="AB366:AB378" si="225">100*AA366/Z366</f>
        <v>0</v>
      </c>
      <c r="AC366" s="876"/>
      <c r="AD366" s="1525">
        <f t="shared" ref="AD366:AS378" si="226">SUMIF($AV$6:$BS$6,AD$5,$AV366:$BS366)</f>
        <v>0</v>
      </c>
      <c r="AE366" s="1525">
        <f t="shared" si="226"/>
        <v>0</v>
      </c>
      <c r="AF366" s="1525">
        <f t="shared" si="226"/>
        <v>0</v>
      </c>
      <c r="AG366" s="1525">
        <f t="shared" si="226"/>
        <v>0</v>
      </c>
      <c r="AH366" s="1525">
        <f t="shared" si="226"/>
        <v>0</v>
      </c>
      <c r="AI366" s="1525">
        <f t="shared" si="226"/>
        <v>0</v>
      </c>
      <c r="AJ366" s="1525">
        <f t="shared" si="226"/>
        <v>0</v>
      </c>
      <c r="AK366" s="1525">
        <f t="shared" si="226"/>
        <v>0</v>
      </c>
      <c r="AL366" s="1525">
        <f t="shared" si="226"/>
        <v>0</v>
      </c>
      <c r="AM366" s="1525">
        <f t="shared" si="226"/>
        <v>0</v>
      </c>
      <c r="AN366" s="1525">
        <f t="shared" si="226"/>
        <v>0</v>
      </c>
      <c r="AO366" s="1525">
        <f t="shared" si="226"/>
        <v>0</v>
      </c>
      <c r="AP366" s="1525">
        <f t="shared" si="226"/>
        <v>0</v>
      </c>
      <c r="AQ366" s="1525">
        <f t="shared" si="226"/>
        <v>0</v>
      </c>
      <c r="AR366" s="1525">
        <f t="shared" si="226"/>
        <v>0</v>
      </c>
      <c r="AS366" s="1525">
        <f t="shared" si="226"/>
        <v>0</v>
      </c>
      <c r="AU366" s="1525"/>
      <c r="AV366" s="1291"/>
      <c r="AW366" s="1292"/>
      <c r="AX366" s="1292"/>
      <c r="AY366" s="1292"/>
      <c r="AZ366" s="1292"/>
      <c r="BA366" s="1292"/>
      <c r="BB366" s="1292"/>
      <c r="BC366" s="1292"/>
      <c r="BD366" s="1292"/>
      <c r="BE366" s="1292"/>
      <c r="BF366" s="1292"/>
      <c r="BG366" s="1292"/>
      <c r="BH366" s="1292"/>
      <c r="BI366" s="1292"/>
      <c r="BJ366" s="1292"/>
      <c r="BK366" s="1292"/>
      <c r="BL366" s="1292"/>
      <c r="BM366" s="1292"/>
      <c r="BN366" s="1292"/>
      <c r="BO366" s="1292"/>
      <c r="BP366" s="1292"/>
      <c r="BQ366" s="1292"/>
      <c r="BR366" s="1292"/>
      <c r="BS366" s="1292"/>
      <c r="BT366" s="1670">
        <f t="shared" ref="BT366:BT378" si="227">SUM(AV366:BS366)</f>
        <v>0</v>
      </c>
      <c r="BW366" s="862" t="s">
        <v>1006</v>
      </c>
    </row>
    <row r="367" spans="2:75" ht="12.75" customHeight="1" x14ac:dyDescent="0.2">
      <c r="B367" s="175">
        <f t="shared" si="210"/>
        <v>2</v>
      </c>
      <c r="C367" s="236">
        <v>9</v>
      </c>
      <c r="D367" s="218"/>
      <c r="E367" s="166" t="s">
        <v>647</v>
      </c>
      <c r="F367" s="24" t="s">
        <v>1396</v>
      </c>
      <c r="G367" s="859" t="s">
        <v>386</v>
      </c>
      <c r="H367" s="1413">
        <v>101859</v>
      </c>
      <c r="I367" s="621" t="s">
        <v>351</v>
      </c>
      <c r="J367" s="623"/>
      <c r="K367" s="623"/>
      <c r="L367" s="858">
        <v>1</v>
      </c>
      <c r="M367" s="858">
        <v>1</v>
      </c>
      <c r="N367" s="857" t="s">
        <v>1326</v>
      </c>
      <c r="O367" s="1196">
        <v>24160</v>
      </c>
      <c r="P367" s="1218">
        <f t="shared" ca="1" si="220"/>
        <v>51.611111111111114</v>
      </c>
      <c r="Q367" s="1163">
        <v>37400</v>
      </c>
      <c r="R367" s="874">
        <f>Q367*0.1</f>
        <v>3740</v>
      </c>
      <c r="S367" s="875">
        <v>3000</v>
      </c>
      <c r="T367" s="875"/>
      <c r="U367" s="875"/>
      <c r="V367" s="875"/>
      <c r="W367" s="875"/>
      <c r="X367" s="1026">
        <f t="shared" si="221"/>
        <v>44140</v>
      </c>
      <c r="Y367" s="1512">
        <f t="shared" si="222"/>
        <v>0</v>
      </c>
      <c r="Z367" s="1741">
        <f t="shared" si="223"/>
        <v>1</v>
      </c>
      <c r="AA367" s="1749">
        <f t="shared" si="224"/>
        <v>0</v>
      </c>
      <c r="AB367" s="1810">
        <f t="shared" si="225"/>
        <v>0</v>
      </c>
      <c r="AC367" s="876"/>
      <c r="AD367" s="1525">
        <f t="shared" si="226"/>
        <v>0</v>
      </c>
      <c r="AE367" s="1525">
        <f t="shared" si="226"/>
        <v>0</v>
      </c>
      <c r="AF367" s="1525">
        <f t="shared" si="226"/>
        <v>0</v>
      </c>
      <c r="AG367" s="1525">
        <f t="shared" si="226"/>
        <v>0</v>
      </c>
      <c r="AH367" s="1525">
        <f t="shared" si="226"/>
        <v>0</v>
      </c>
      <c r="AI367" s="1525">
        <f t="shared" si="226"/>
        <v>0</v>
      </c>
      <c r="AJ367" s="1525">
        <f t="shared" si="226"/>
        <v>0</v>
      </c>
      <c r="AK367" s="1525">
        <f t="shared" si="226"/>
        <v>0</v>
      </c>
      <c r="AL367" s="1525">
        <f t="shared" si="226"/>
        <v>0</v>
      </c>
      <c r="AM367" s="1525">
        <f t="shared" si="226"/>
        <v>0</v>
      </c>
      <c r="AN367" s="1525">
        <f t="shared" si="226"/>
        <v>0</v>
      </c>
      <c r="AO367" s="1525">
        <f t="shared" si="226"/>
        <v>0</v>
      </c>
      <c r="AP367" s="1525">
        <f t="shared" si="226"/>
        <v>0</v>
      </c>
      <c r="AQ367" s="1525">
        <f t="shared" si="226"/>
        <v>0</v>
      </c>
      <c r="AR367" s="1525">
        <f t="shared" si="226"/>
        <v>0</v>
      </c>
      <c r="AS367" s="1525">
        <f t="shared" si="226"/>
        <v>0</v>
      </c>
      <c r="AU367" s="1525"/>
      <c r="AV367" s="1291"/>
      <c r="AW367" s="1292"/>
      <c r="AX367" s="1292"/>
      <c r="AY367" s="1292"/>
      <c r="AZ367" s="1292"/>
      <c r="BA367" s="1292"/>
      <c r="BB367" s="1292"/>
      <c r="BC367" s="1292"/>
      <c r="BD367" s="1292"/>
      <c r="BE367" s="1292"/>
      <c r="BF367" s="1292"/>
      <c r="BG367" s="1292"/>
      <c r="BH367" s="1292"/>
      <c r="BI367" s="1292"/>
      <c r="BJ367" s="1292"/>
      <c r="BK367" s="1292"/>
      <c r="BL367" s="1292"/>
      <c r="BM367" s="1292"/>
      <c r="BN367" s="1292"/>
      <c r="BO367" s="1292"/>
      <c r="BP367" s="1292"/>
      <c r="BQ367" s="1292"/>
      <c r="BR367" s="1292"/>
      <c r="BS367" s="1292"/>
      <c r="BT367" s="1670">
        <f t="shared" si="227"/>
        <v>0</v>
      </c>
      <c r="BW367" s="859" t="s">
        <v>386</v>
      </c>
    </row>
    <row r="368" spans="2:75" ht="12.75" customHeight="1" x14ac:dyDescent="0.2">
      <c r="B368" s="175">
        <f t="shared" si="210"/>
        <v>3</v>
      </c>
      <c r="C368" s="219">
        <v>12</v>
      </c>
      <c r="E368" s="12" t="s">
        <v>647</v>
      </c>
      <c r="F368" s="24" t="s">
        <v>1235</v>
      </c>
      <c r="G368" s="859" t="s">
        <v>664</v>
      </c>
      <c r="H368" s="1413">
        <v>6476</v>
      </c>
      <c r="I368" s="200" t="s">
        <v>1584</v>
      </c>
      <c r="J368" s="189"/>
      <c r="K368" s="189"/>
      <c r="L368" s="858">
        <v>1</v>
      </c>
      <c r="M368" s="858">
        <f>K368+L368</f>
        <v>1</v>
      </c>
      <c r="N368" s="857" t="s">
        <v>1326</v>
      </c>
      <c r="O368" s="1196">
        <v>18061</v>
      </c>
      <c r="P368" s="1218">
        <f t="shared" ca="1" si="220"/>
        <v>68.305555555555557</v>
      </c>
      <c r="Q368" s="1163">
        <v>30500</v>
      </c>
      <c r="R368" s="874">
        <f>Q368*0.1</f>
        <v>3050</v>
      </c>
      <c r="S368" s="875"/>
      <c r="T368" s="875"/>
      <c r="U368" s="875"/>
      <c r="V368" s="875"/>
      <c r="W368" s="875"/>
      <c r="X368" s="1026">
        <f t="shared" si="221"/>
        <v>33550</v>
      </c>
      <c r="Y368" s="1512">
        <f t="shared" si="222"/>
        <v>0</v>
      </c>
      <c r="Z368" s="1741">
        <f t="shared" si="223"/>
        <v>1</v>
      </c>
      <c r="AA368" s="1749">
        <f t="shared" si="224"/>
        <v>0</v>
      </c>
      <c r="AB368" s="1810">
        <f t="shared" si="225"/>
        <v>0</v>
      </c>
      <c r="AC368" s="876"/>
      <c r="AD368" s="1525">
        <f t="shared" si="226"/>
        <v>0</v>
      </c>
      <c r="AE368" s="1525">
        <f t="shared" si="226"/>
        <v>0</v>
      </c>
      <c r="AF368" s="1525">
        <f t="shared" si="226"/>
        <v>0</v>
      </c>
      <c r="AG368" s="1525">
        <f t="shared" si="226"/>
        <v>0</v>
      </c>
      <c r="AH368" s="1525">
        <f t="shared" si="226"/>
        <v>0</v>
      </c>
      <c r="AI368" s="1525">
        <f t="shared" si="226"/>
        <v>0</v>
      </c>
      <c r="AJ368" s="1525">
        <f t="shared" si="226"/>
        <v>0</v>
      </c>
      <c r="AK368" s="1525">
        <f t="shared" si="226"/>
        <v>0</v>
      </c>
      <c r="AL368" s="1525">
        <f t="shared" si="226"/>
        <v>0</v>
      </c>
      <c r="AM368" s="1525">
        <f t="shared" si="226"/>
        <v>0</v>
      </c>
      <c r="AN368" s="1525">
        <f t="shared" si="226"/>
        <v>0</v>
      </c>
      <c r="AO368" s="1525">
        <f t="shared" si="226"/>
        <v>0</v>
      </c>
      <c r="AP368" s="1525">
        <f t="shared" si="226"/>
        <v>0</v>
      </c>
      <c r="AQ368" s="1525">
        <f t="shared" si="226"/>
        <v>0</v>
      </c>
      <c r="AR368" s="1525">
        <f t="shared" si="226"/>
        <v>0</v>
      </c>
      <c r="AS368" s="1525">
        <f t="shared" si="226"/>
        <v>0</v>
      </c>
      <c r="AU368" s="1525"/>
      <c r="AV368" s="1291"/>
      <c r="AW368" s="1292"/>
      <c r="AX368" s="1292"/>
      <c r="AY368" s="1292"/>
      <c r="AZ368" s="1292"/>
      <c r="BA368" s="1292"/>
      <c r="BB368" s="1292"/>
      <c r="BC368" s="1292"/>
      <c r="BD368" s="1292"/>
      <c r="BE368" s="1292"/>
      <c r="BF368" s="1292"/>
      <c r="BG368" s="1292"/>
      <c r="BH368" s="1292"/>
      <c r="BI368" s="1292"/>
      <c r="BJ368" s="1292"/>
      <c r="BK368" s="1292"/>
      <c r="BL368" s="1292"/>
      <c r="BM368" s="1292"/>
      <c r="BN368" s="1292"/>
      <c r="BO368" s="1292"/>
      <c r="BP368" s="1292"/>
      <c r="BQ368" s="1292"/>
      <c r="BR368" s="1292"/>
      <c r="BS368" s="1292"/>
      <c r="BT368" s="1670">
        <f t="shared" si="227"/>
        <v>0</v>
      </c>
      <c r="BW368" s="859" t="s">
        <v>664</v>
      </c>
    </row>
    <row r="369" spans="2:75" ht="12.75" customHeight="1" x14ac:dyDescent="0.2">
      <c r="B369" s="175">
        <f t="shared" si="210"/>
        <v>4</v>
      </c>
      <c r="C369" s="219">
        <v>13</v>
      </c>
      <c r="E369" s="12" t="s">
        <v>647</v>
      </c>
      <c r="F369" s="4" t="s">
        <v>792</v>
      </c>
      <c r="G369" s="859" t="s">
        <v>665</v>
      </c>
      <c r="H369" s="1413">
        <v>230507</v>
      </c>
      <c r="I369" s="200" t="s">
        <v>1584</v>
      </c>
      <c r="J369" s="189"/>
      <c r="K369" s="189"/>
      <c r="L369" s="858">
        <v>1</v>
      </c>
      <c r="M369" s="858">
        <f>K369+L369</f>
        <v>1</v>
      </c>
      <c r="N369" s="857" t="s">
        <v>1326</v>
      </c>
      <c r="O369" s="1196">
        <v>22454</v>
      </c>
      <c r="P369" s="1218">
        <f t="shared" ca="1" si="220"/>
        <v>56.277777777777779</v>
      </c>
      <c r="Q369" s="1163">
        <v>28500</v>
      </c>
      <c r="R369" s="874">
        <f>Q369*0.1</f>
        <v>2850</v>
      </c>
      <c r="S369" s="875"/>
      <c r="T369" s="875"/>
      <c r="U369" s="875"/>
      <c r="V369" s="875"/>
      <c r="W369" s="875"/>
      <c r="X369" s="1026">
        <f t="shared" si="221"/>
        <v>31350</v>
      </c>
      <c r="Y369" s="1512">
        <f t="shared" si="222"/>
        <v>0</v>
      </c>
      <c r="Z369" s="1741">
        <f t="shared" si="223"/>
        <v>1</v>
      </c>
      <c r="AA369" s="1749">
        <f t="shared" si="224"/>
        <v>0</v>
      </c>
      <c r="AB369" s="1810">
        <f t="shared" si="225"/>
        <v>0</v>
      </c>
      <c r="AC369" s="876"/>
      <c r="AD369" s="1525">
        <f t="shared" si="226"/>
        <v>0</v>
      </c>
      <c r="AE369" s="1525">
        <f t="shared" si="226"/>
        <v>0</v>
      </c>
      <c r="AF369" s="1525">
        <f t="shared" si="226"/>
        <v>0</v>
      </c>
      <c r="AG369" s="1525">
        <f t="shared" si="226"/>
        <v>0</v>
      </c>
      <c r="AH369" s="1525">
        <f t="shared" si="226"/>
        <v>0</v>
      </c>
      <c r="AI369" s="1525">
        <f t="shared" si="226"/>
        <v>0</v>
      </c>
      <c r="AJ369" s="1525">
        <f t="shared" si="226"/>
        <v>0</v>
      </c>
      <c r="AK369" s="1525">
        <f t="shared" si="226"/>
        <v>0</v>
      </c>
      <c r="AL369" s="1525">
        <f t="shared" si="226"/>
        <v>0</v>
      </c>
      <c r="AM369" s="1525">
        <f t="shared" si="226"/>
        <v>0</v>
      </c>
      <c r="AN369" s="1525">
        <f t="shared" si="226"/>
        <v>0</v>
      </c>
      <c r="AO369" s="1525">
        <f t="shared" si="226"/>
        <v>0</v>
      </c>
      <c r="AP369" s="1525">
        <f t="shared" si="226"/>
        <v>0</v>
      </c>
      <c r="AQ369" s="1525">
        <f t="shared" si="226"/>
        <v>0</v>
      </c>
      <c r="AR369" s="1525">
        <f t="shared" si="226"/>
        <v>0</v>
      </c>
      <c r="AS369" s="1525">
        <f t="shared" si="226"/>
        <v>0</v>
      </c>
      <c r="AU369" s="1525"/>
      <c r="AV369" s="1291"/>
      <c r="AW369" s="1292"/>
      <c r="AX369" s="1292"/>
      <c r="AY369" s="1292"/>
      <c r="AZ369" s="1292"/>
      <c r="BA369" s="1292"/>
      <c r="BB369" s="1292"/>
      <c r="BC369" s="1292"/>
      <c r="BD369" s="1292"/>
      <c r="BE369" s="1292"/>
      <c r="BF369" s="1292"/>
      <c r="BG369" s="1292"/>
      <c r="BH369" s="1292"/>
      <c r="BI369" s="1292"/>
      <c r="BJ369" s="1292"/>
      <c r="BK369" s="1292"/>
      <c r="BL369" s="1292"/>
      <c r="BM369" s="1292"/>
      <c r="BN369" s="1292"/>
      <c r="BO369" s="1292"/>
      <c r="BP369" s="1292"/>
      <c r="BQ369" s="1292"/>
      <c r="BR369" s="1292"/>
      <c r="BS369" s="1292"/>
      <c r="BT369" s="1670">
        <f t="shared" si="227"/>
        <v>0</v>
      </c>
      <c r="BW369" s="859" t="s">
        <v>665</v>
      </c>
    </row>
    <row r="370" spans="2:75" ht="12.75" customHeight="1" x14ac:dyDescent="0.2">
      <c r="B370" s="175">
        <f t="shared" si="210"/>
        <v>5</v>
      </c>
      <c r="C370" s="219">
        <v>13</v>
      </c>
      <c r="E370" s="12" t="s">
        <v>647</v>
      </c>
      <c r="F370" s="4" t="s">
        <v>792</v>
      </c>
      <c r="G370" s="859" t="s">
        <v>1568</v>
      </c>
      <c r="H370" s="1413">
        <v>240095</v>
      </c>
      <c r="I370" s="200" t="s">
        <v>1584</v>
      </c>
      <c r="J370" s="189"/>
      <c r="K370" s="189"/>
      <c r="L370" s="858">
        <v>1</v>
      </c>
      <c r="M370" s="858">
        <v>1</v>
      </c>
      <c r="N370" s="857" t="s">
        <v>416</v>
      </c>
      <c r="O370" s="1196">
        <v>25527</v>
      </c>
      <c r="P370" s="1218">
        <f t="shared" ca="1" si="220"/>
        <v>47.866666666666667</v>
      </c>
      <c r="Q370" s="1163">
        <v>39000</v>
      </c>
      <c r="R370" s="874">
        <f>Q370*0.15</f>
        <v>5850</v>
      </c>
      <c r="S370" s="875"/>
      <c r="T370" s="875">
        <v>22000</v>
      </c>
      <c r="U370" s="875"/>
      <c r="V370" s="875"/>
      <c r="W370" s="875"/>
      <c r="X370" s="1026">
        <f t="shared" si="221"/>
        <v>66850</v>
      </c>
      <c r="Y370" s="1512">
        <f t="shared" si="222"/>
        <v>0.49052396878483834</v>
      </c>
      <c r="Z370" s="1741">
        <f t="shared" si="223"/>
        <v>1.4905239687848384</v>
      </c>
      <c r="AA370" s="1749">
        <f t="shared" si="224"/>
        <v>0</v>
      </c>
      <c r="AB370" s="1810">
        <f t="shared" si="225"/>
        <v>0</v>
      </c>
      <c r="AC370" s="876"/>
      <c r="AD370" s="1525">
        <f t="shared" si="226"/>
        <v>0</v>
      </c>
      <c r="AE370" s="1525">
        <f t="shared" si="226"/>
        <v>0</v>
      </c>
      <c r="AF370" s="1525">
        <f t="shared" si="226"/>
        <v>0</v>
      </c>
      <c r="AG370" s="1525">
        <f t="shared" si="226"/>
        <v>0</v>
      </c>
      <c r="AH370" s="1525">
        <f t="shared" si="226"/>
        <v>0</v>
      </c>
      <c r="AI370" s="1525">
        <f t="shared" si="226"/>
        <v>0</v>
      </c>
      <c r="AJ370" s="1525">
        <f t="shared" si="226"/>
        <v>0</v>
      </c>
      <c r="AK370" s="1525">
        <f t="shared" si="226"/>
        <v>0</v>
      </c>
      <c r="AL370" s="1525">
        <f t="shared" si="226"/>
        <v>0</v>
      </c>
      <c r="AM370" s="1525">
        <f t="shared" si="226"/>
        <v>0</v>
      </c>
      <c r="AN370" s="1525">
        <f t="shared" si="226"/>
        <v>0</v>
      </c>
      <c r="AO370" s="1525">
        <f t="shared" si="226"/>
        <v>0</v>
      </c>
      <c r="AP370" s="1525">
        <f t="shared" si="226"/>
        <v>0</v>
      </c>
      <c r="AQ370" s="1525">
        <f t="shared" si="226"/>
        <v>0</v>
      </c>
      <c r="AR370" s="1525">
        <f t="shared" si="226"/>
        <v>0</v>
      </c>
      <c r="AS370" s="1525">
        <f t="shared" si="226"/>
        <v>0</v>
      </c>
      <c r="AU370" s="1525"/>
      <c r="AV370" s="1291"/>
      <c r="AW370" s="1292"/>
      <c r="AX370" s="1292"/>
      <c r="AY370" s="1292"/>
      <c r="AZ370" s="1292"/>
      <c r="BA370" s="1292"/>
      <c r="BB370" s="1292"/>
      <c r="BC370" s="1292"/>
      <c r="BD370" s="1292"/>
      <c r="BE370" s="1292"/>
      <c r="BF370" s="1292"/>
      <c r="BG370" s="1292"/>
      <c r="BH370" s="1292"/>
      <c r="BI370" s="1292"/>
      <c r="BJ370" s="1292"/>
      <c r="BK370" s="1292"/>
      <c r="BL370" s="1292"/>
      <c r="BM370" s="1292"/>
      <c r="BN370" s="1292"/>
      <c r="BO370" s="1292"/>
      <c r="BP370" s="1292"/>
      <c r="BQ370" s="1292"/>
      <c r="BR370" s="1292"/>
      <c r="BS370" s="1292"/>
      <c r="BT370" s="1670">
        <f t="shared" si="227"/>
        <v>0</v>
      </c>
      <c r="BW370" s="859" t="s">
        <v>1568</v>
      </c>
    </row>
    <row r="371" spans="2:75" ht="12.75" customHeight="1" x14ac:dyDescent="0.2">
      <c r="B371" s="175">
        <f t="shared" si="210"/>
        <v>6</v>
      </c>
      <c r="C371" s="219">
        <v>13</v>
      </c>
      <c r="E371" s="12" t="s">
        <v>647</v>
      </c>
      <c r="F371" s="4" t="s">
        <v>792</v>
      </c>
      <c r="G371" s="859" t="s">
        <v>1739</v>
      </c>
      <c r="H371" s="1413">
        <v>152241</v>
      </c>
      <c r="I371" s="200" t="s">
        <v>1584</v>
      </c>
      <c r="J371" s="189">
        <v>1</v>
      </c>
      <c r="K371" s="189"/>
      <c r="L371" s="858">
        <v>0.5</v>
      </c>
      <c r="M371" s="858">
        <v>0.5</v>
      </c>
      <c r="N371" s="857"/>
      <c r="O371" s="1196">
        <v>22027</v>
      </c>
      <c r="P371" s="1218">
        <f t="shared" ca="1" si="220"/>
        <v>57.447222222222223</v>
      </c>
      <c r="Q371" s="1163">
        <v>35000</v>
      </c>
      <c r="R371" s="874"/>
      <c r="S371" s="875"/>
      <c r="T371" s="875">
        <v>18000</v>
      </c>
      <c r="U371" s="875"/>
      <c r="V371" s="875"/>
      <c r="W371" s="875"/>
      <c r="X371" s="1026">
        <f t="shared" si="221"/>
        <v>26500</v>
      </c>
      <c r="Y371" s="1512">
        <f t="shared" si="222"/>
        <v>0.51428571428571423</v>
      </c>
      <c r="Z371" s="1741">
        <f t="shared" si="223"/>
        <v>0.75714285714285712</v>
      </c>
      <c r="AA371" s="1749">
        <f t="shared" si="224"/>
        <v>0</v>
      </c>
      <c r="AB371" s="1810">
        <f t="shared" si="225"/>
        <v>0</v>
      </c>
      <c r="AC371" s="876"/>
      <c r="AD371" s="1525">
        <f t="shared" si="226"/>
        <v>0</v>
      </c>
      <c r="AE371" s="1525">
        <f t="shared" si="226"/>
        <v>0</v>
      </c>
      <c r="AF371" s="1525">
        <f t="shared" si="226"/>
        <v>0</v>
      </c>
      <c r="AG371" s="1525">
        <f t="shared" si="226"/>
        <v>0</v>
      </c>
      <c r="AH371" s="1525">
        <f t="shared" si="226"/>
        <v>0</v>
      </c>
      <c r="AI371" s="1525">
        <f t="shared" si="226"/>
        <v>0</v>
      </c>
      <c r="AJ371" s="1525">
        <f t="shared" si="226"/>
        <v>0</v>
      </c>
      <c r="AK371" s="1525">
        <f t="shared" si="226"/>
        <v>0</v>
      </c>
      <c r="AL371" s="1525">
        <f t="shared" si="226"/>
        <v>0</v>
      </c>
      <c r="AM371" s="1525">
        <f t="shared" si="226"/>
        <v>0</v>
      </c>
      <c r="AN371" s="1525">
        <f t="shared" si="226"/>
        <v>0</v>
      </c>
      <c r="AO371" s="1525">
        <f t="shared" si="226"/>
        <v>0</v>
      </c>
      <c r="AP371" s="1525">
        <f t="shared" si="226"/>
        <v>0</v>
      </c>
      <c r="AQ371" s="1525">
        <f t="shared" si="226"/>
        <v>0</v>
      </c>
      <c r="AR371" s="1525">
        <f t="shared" si="226"/>
        <v>0</v>
      </c>
      <c r="AS371" s="1525">
        <f t="shared" si="226"/>
        <v>0</v>
      </c>
      <c r="AU371" s="1525"/>
      <c r="AV371" s="1291"/>
      <c r="AW371" s="1292"/>
      <c r="AX371" s="1292"/>
      <c r="AY371" s="1292"/>
      <c r="AZ371" s="1292"/>
      <c r="BA371" s="1292"/>
      <c r="BB371" s="1292"/>
      <c r="BC371" s="1292"/>
      <c r="BD371" s="1292"/>
      <c r="BE371" s="1292"/>
      <c r="BF371" s="1292"/>
      <c r="BG371" s="1292"/>
      <c r="BH371" s="1292"/>
      <c r="BI371" s="1292"/>
      <c r="BJ371" s="1292"/>
      <c r="BK371" s="1292"/>
      <c r="BL371" s="1292"/>
      <c r="BM371" s="1292"/>
      <c r="BN371" s="1292"/>
      <c r="BO371" s="1292"/>
      <c r="BP371" s="1292"/>
      <c r="BQ371" s="1292"/>
      <c r="BR371" s="1292"/>
      <c r="BS371" s="1292"/>
      <c r="BT371" s="1670">
        <f t="shared" si="227"/>
        <v>0</v>
      </c>
      <c r="BW371" s="859" t="s">
        <v>1739</v>
      </c>
    </row>
    <row r="372" spans="2:75" ht="12.75" customHeight="1" x14ac:dyDescent="0.2">
      <c r="B372" s="175">
        <f t="shared" si="210"/>
        <v>7</v>
      </c>
      <c r="C372" s="219">
        <v>14</v>
      </c>
      <c r="E372" s="12" t="s">
        <v>647</v>
      </c>
      <c r="F372" s="24" t="s">
        <v>626</v>
      </c>
      <c r="G372" s="859" t="s">
        <v>1108</v>
      </c>
      <c r="H372" s="1413">
        <v>114233</v>
      </c>
      <c r="I372" s="200" t="s">
        <v>1584</v>
      </c>
      <c r="J372" s="189"/>
      <c r="K372" s="189"/>
      <c r="L372" s="858">
        <v>1</v>
      </c>
      <c r="M372" s="858">
        <f>K372+L372</f>
        <v>1</v>
      </c>
      <c r="N372" s="857" t="s">
        <v>416</v>
      </c>
      <c r="O372" s="1196">
        <v>31501</v>
      </c>
      <c r="P372" s="1218">
        <f t="shared" ca="1" si="220"/>
        <v>31.505555555555556</v>
      </c>
      <c r="Q372" s="1163">
        <v>30000</v>
      </c>
      <c r="R372" s="874">
        <f>Q372*0.15</f>
        <v>4500</v>
      </c>
      <c r="S372" s="875"/>
      <c r="T372" s="875"/>
      <c r="U372" s="875"/>
      <c r="V372" s="875"/>
      <c r="W372" s="875"/>
      <c r="X372" s="1026">
        <f t="shared" si="221"/>
        <v>34500</v>
      </c>
      <c r="Y372" s="1512">
        <f t="shared" si="222"/>
        <v>0</v>
      </c>
      <c r="Z372" s="1741">
        <f t="shared" si="223"/>
        <v>1</v>
      </c>
      <c r="AA372" s="1749">
        <f t="shared" si="224"/>
        <v>0</v>
      </c>
      <c r="AB372" s="1810">
        <f t="shared" si="225"/>
        <v>0</v>
      </c>
      <c r="AC372" s="876"/>
      <c r="AD372" s="1525">
        <f t="shared" si="226"/>
        <v>0</v>
      </c>
      <c r="AE372" s="1525">
        <f t="shared" si="226"/>
        <v>0</v>
      </c>
      <c r="AF372" s="1525">
        <f t="shared" si="226"/>
        <v>0</v>
      </c>
      <c r="AG372" s="1525">
        <f t="shared" si="226"/>
        <v>0</v>
      </c>
      <c r="AH372" s="1525">
        <f t="shared" si="226"/>
        <v>0</v>
      </c>
      <c r="AI372" s="1525">
        <f t="shared" si="226"/>
        <v>0</v>
      </c>
      <c r="AJ372" s="1525">
        <f t="shared" si="226"/>
        <v>0</v>
      </c>
      <c r="AK372" s="1525">
        <f t="shared" si="226"/>
        <v>0</v>
      </c>
      <c r="AL372" s="1525">
        <f t="shared" si="226"/>
        <v>0</v>
      </c>
      <c r="AM372" s="1525">
        <f t="shared" si="226"/>
        <v>0</v>
      </c>
      <c r="AN372" s="1525">
        <f t="shared" si="226"/>
        <v>0</v>
      </c>
      <c r="AO372" s="1525">
        <f t="shared" si="226"/>
        <v>0</v>
      </c>
      <c r="AP372" s="1525">
        <f t="shared" si="226"/>
        <v>0</v>
      </c>
      <c r="AQ372" s="1525">
        <f t="shared" si="226"/>
        <v>0</v>
      </c>
      <c r="AR372" s="1525">
        <f t="shared" si="226"/>
        <v>0</v>
      </c>
      <c r="AS372" s="1525">
        <f t="shared" si="226"/>
        <v>0</v>
      </c>
      <c r="AU372" s="1525"/>
      <c r="AV372" s="1291"/>
      <c r="AW372" s="1292"/>
      <c r="AX372" s="1292"/>
      <c r="AY372" s="1292"/>
      <c r="AZ372" s="1292"/>
      <c r="BA372" s="1292"/>
      <c r="BB372" s="1292"/>
      <c r="BC372" s="1292"/>
      <c r="BD372" s="1292"/>
      <c r="BE372" s="1292"/>
      <c r="BF372" s="1292"/>
      <c r="BG372" s="1292"/>
      <c r="BH372" s="1292"/>
      <c r="BI372" s="1292"/>
      <c r="BJ372" s="1292"/>
      <c r="BK372" s="1292"/>
      <c r="BL372" s="1292"/>
      <c r="BM372" s="1292"/>
      <c r="BN372" s="1292"/>
      <c r="BO372" s="1292"/>
      <c r="BP372" s="1292"/>
      <c r="BQ372" s="1292"/>
      <c r="BR372" s="1292"/>
      <c r="BS372" s="1292"/>
      <c r="BT372" s="1670">
        <f t="shared" si="227"/>
        <v>0</v>
      </c>
      <c r="BW372" s="859" t="s">
        <v>1108</v>
      </c>
    </row>
    <row r="373" spans="2:75" ht="12.75" customHeight="1" x14ac:dyDescent="0.2">
      <c r="B373" s="175">
        <f t="shared" si="210"/>
        <v>8</v>
      </c>
      <c r="C373" s="219">
        <v>14</v>
      </c>
      <c r="E373" s="12" t="s">
        <v>647</v>
      </c>
      <c r="F373" s="24" t="s">
        <v>626</v>
      </c>
      <c r="G373" s="859" t="s">
        <v>42</v>
      </c>
      <c r="H373" s="1413">
        <v>124767</v>
      </c>
      <c r="I373" s="200" t="s">
        <v>1584</v>
      </c>
      <c r="J373" s="189"/>
      <c r="K373" s="189"/>
      <c r="L373" s="858">
        <v>1</v>
      </c>
      <c r="M373" s="858">
        <v>1</v>
      </c>
      <c r="N373" s="857" t="s">
        <v>1326</v>
      </c>
      <c r="O373" s="1196">
        <v>31412</v>
      </c>
      <c r="P373" s="1218">
        <f t="shared" ca="1" si="220"/>
        <v>31.755555555555556</v>
      </c>
      <c r="Q373" s="1163">
        <v>26000</v>
      </c>
      <c r="R373" s="874">
        <f>Q373*0.1</f>
        <v>2600</v>
      </c>
      <c r="S373" s="875"/>
      <c r="T373" s="875"/>
      <c r="U373" s="875"/>
      <c r="V373" s="875"/>
      <c r="W373" s="875"/>
      <c r="X373" s="1026">
        <f t="shared" si="221"/>
        <v>28600</v>
      </c>
      <c r="Y373" s="1512">
        <f t="shared" si="222"/>
        <v>0</v>
      </c>
      <c r="Z373" s="1741">
        <f t="shared" si="223"/>
        <v>1</v>
      </c>
      <c r="AA373" s="1749">
        <f t="shared" si="224"/>
        <v>0</v>
      </c>
      <c r="AB373" s="1810">
        <f t="shared" si="225"/>
        <v>0</v>
      </c>
      <c r="AC373" s="876"/>
      <c r="AD373" s="1525">
        <f t="shared" si="226"/>
        <v>0</v>
      </c>
      <c r="AE373" s="1525">
        <f t="shared" si="226"/>
        <v>0</v>
      </c>
      <c r="AF373" s="1525">
        <f t="shared" si="226"/>
        <v>0</v>
      </c>
      <c r="AG373" s="1525">
        <f t="shared" si="226"/>
        <v>0</v>
      </c>
      <c r="AH373" s="1525">
        <f t="shared" si="226"/>
        <v>0</v>
      </c>
      <c r="AI373" s="1525">
        <f t="shared" si="226"/>
        <v>0</v>
      </c>
      <c r="AJ373" s="1525">
        <f t="shared" si="226"/>
        <v>0</v>
      </c>
      <c r="AK373" s="1525">
        <f t="shared" si="226"/>
        <v>0</v>
      </c>
      <c r="AL373" s="1525">
        <f t="shared" si="226"/>
        <v>0</v>
      </c>
      <c r="AM373" s="1525">
        <f t="shared" si="226"/>
        <v>0</v>
      </c>
      <c r="AN373" s="1525">
        <f t="shared" si="226"/>
        <v>0</v>
      </c>
      <c r="AO373" s="1525">
        <f t="shared" si="226"/>
        <v>0</v>
      </c>
      <c r="AP373" s="1525">
        <f t="shared" si="226"/>
        <v>0</v>
      </c>
      <c r="AQ373" s="1525">
        <f t="shared" si="226"/>
        <v>0</v>
      </c>
      <c r="AR373" s="1525">
        <f t="shared" si="226"/>
        <v>0</v>
      </c>
      <c r="AS373" s="1525">
        <f t="shared" si="226"/>
        <v>0</v>
      </c>
      <c r="AU373" s="1525"/>
      <c r="AV373" s="1291"/>
      <c r="AW373" s="1292"/>
      <c r="AX373" s="1292"/>
      <c r="AY373" s="1292"/>
      <c r="AZ373" s="1292"/>
      <c r="BA373" s="1292"/>
      <c r="BB373" s="1292"/>
      <c r="BC373" s="1292"/>
      <c r="BD373" s="1292"/>
      <c r="BE373" s="1292"/>
      <c r="BF373" s="1292"/>
      <c r="BG373" s="1292"/>
      <c r="BH373" s="1292"/>
      <c r="BI373" s="1292"/>
      <c r="BJ373" s="1292"/>
      <c r="BK373" s="1292"/>
      <c r="BL373" s="1292"/>
      <c r="BM373" s="1292"/>
      <c r="BN373" s="1292"/>
      <c r="BO373" s="1292"/>
      <c r="BP373" s="1292"/>
      <c r="BQ373" s="1292"/>
      <c r="BR373" s="1292"/>
      <c r="BS373" s="1292"/>
      <c r="BT373" s="1670">
        <f t="shared" si="227"/>
        <v>0</v>
      </c>
      <c r="BW373" s="859" t="s">
        <v>42</v>
      </c>
    </row>
    <row r="374" spans="2:75" ht="12.75" customHeight="1" x14ac:dyDescent="0.2">
      <c r="B374" s="175">
        <f t="shared" si="210"/>
        <v>9</v>
      </c>
      <c r="C374" s="219">
        <v>14</v>
      </c>
      <c r="E374" s="12" t="s">
        <v>647</v>
      </c>
      <c r="F374" s="24" t="s">
        <v>626</v>
      </c>
      <c r="G374" s="859" t="s">
        <v>1796</v>
      </c>
      <c r="H374" s="1413">
        <v>161330</v>
      </c>
      <c r="I374" s="200" t="s">
        <v>1584</v>
      </c>
      <c r="J374" s="189"/>
      <c r="K374" s="189"/>
      <c r="L374" s="858">
        <v>1</v>
      </c>
      <c r="M374" s="858">
        <v>1</v>
      </c>
      <c r="N374" s="857" t="s">
        <v>892</v>
      </c>
      <c r="O374" s="1196">
        <v>34145</v>
      </c>
      <c r="P374" s="1218">
        <f t="shared" ca="1" si="220"/>
        <v>24.269444444444446</v>
      </c>
      <c r="Q374" s="1163">
        <v>25000</v>
      </c>
      <c r="R374" s="874"/>
      <c r="S374" s="875"/>
      <c r="T374" s="875"/>
      <c r="U374" s="875"/>
      <c r="V374" s="875"/>
      <c r="W374" s="875"/>
      <c r="X374" s="1026">
        <f t="shared" si="221"/>
        <v>25000</v>
      </c>
      <c r="Y374" s="1512">
        <f t="shared" si="222"/>
        <v>0</v>
      </c>
      <c r="Z374" s="1741">
        <f t="shared" si="223"/>
        <v>1</v>
      </c>
      <c r="AA374" s="1749">
        <f t="shared" si="224"/>
        <v>0</v>
      </c>
      <c r="AB374" s="1810">
        <f t="shared" si="225"/>
        <v>0</v>
      </c>
      <c r="AC374" s="876"/>
      <c r="AD374" s="1525">
        <f t="shared" si="226"/>
        <v>0</v>
      </c>
      <c r="AE374" s="1525">
        <f t="shared" si="226"/>
        <v>0</v>
      </c>
      <c r="AF374" s="1525">
        <f t="shared" si="226"/>
        <v>0</v>
      </c>
      <c r="AG374" s="1525">
        <f t="shared" si="226"/>
        <v>0</v>
      </c>
      <c r="AH374" s="1525">
        <f t="shared" si="226"/>
        <v>0</v>
      </c>
      <c r="AI374" s="1525">
        <f t="shared" si="226"/>
        <v>0</v>
      </c>
      <c r="AJ374" s="1525">
        <f t="shared" si="226"/>
        <v>0</v>
      </c>
      <c r="AK374" s="1525">
        <f t="shared" si="226"/>
        <v>0</v>
      </c>
      <c r="AL374" s="1525">
        <f t="shared" si="226"/>
        <v>0</v>
      </c>
      <c r="AM374" s="1525">
        <f t="shared" si="226"/>
        <v>0</v>
      </c>
      <c r="AN374" s="1525">
        <f t="shared" si="226"/>
        <v>0</v>
      </c>
      <c r="AO374" s="1525">
        <f t="shared" si="226"/>
        <v>0</v>
      </c>
      <c r="AP374" s="1525">
        <f t="shared" si="226"/>
        <v>0</v>
      </c>
      <c r="AQ374" s="1525">
        <f t="shared" si="226"/>
        <v>0</v>
      </c>
      <c r="AR374" s="1525">
        <f t="shared" si="226"/>
        <v>0</v>
      </c>
      <c r="AS374" s="1525">
        <f t="shared" si="226"/>
        <v>0</v>
      </c>
      <c r="AU374" s="1525"/>
      <c r="AV374" s="1291"/>
      <c r="AW374" s="1292"/>
      <c r="AX374" s="1292"/>
      <c r="AY374" s="1292"/>
      <c r="AZ374" s="1292"/>
      <c r="BA374" s="1292"/>
      <c r="BB374" s="1292"/>
      <c r="BC374" s="1292"/>
      <c r="BD374" s="1292"/>
      <c r="BE374" s="1292"/>
      <c r="BF374" s="1292"/>
      <c r="BG374" s="1292"/>
      <c r="BH374" s="1292"/>
      <c r="BI374" s="1292"/>
      <c r="BJ374" s="1292"/>
      <c r="BK374" s="1292"/>
      <c r="BL374" s="1292"/>
      <c r="BM374" s="1292"/>
      <c r="BN374" s="1292"/>
      <c r="BO374" s="1292"/>
      <c r="BP374" s="1292"/>
      <c r="BQ374" s="1292"/>
      <c r="BR374" s="1292"/>
      <c r="BS374" s="1292"/>
      <c r="BT374" s="1670">
        <f t="shared" si="227"/>
        <v>0</v>
      </c>
      <c r="BW374" s="859" t="s">
        <v>1796</v>
      </c>
    </row>
    <row r="375" spans="2:75" ht="12.75" customHeight="1" x14ac:dyDescent="0.2">
      <c r="B375" s="175">
        <f t="shared" si="210"/>
        <v>10</v>
      </c>
      <c r="C375" s="219">
        <v>14</v>
      </c>
      <c r="E375" s="12" t="s">
        <v>647</v>
      </c>
      <c r="F375" s="24" t="s">
        <v>626</v>
      </c>
      <c r="G375" s="859" t="s">
        <v>751</v>
      </c>
      <c r="H375" s="1413">
        <v>114420</v>
      </c>
      <c r="I375" s="200" t="s">
        <v>1584</v>
      </c>
      <c r="J375" s="189"/>
      <c r="K375" s="189"/>
      <c r="L375" s="858">
        <v>1</v>
      </c>
      <c r="M375" s="858">
        <v>1</v>
      </c>
      <c r="N375" s="857" t="s">
        <v>1326</v>
      </c>
      <c r="O375" s="1196">
        <v>30813</v>
      </c>
      <c r="P375" s="1218">
        <f t="shared" ca="1" si="220"/>
        <v>33.391666666666666</v>
      </c>
      <c r="Q375" s="1163">
        <v>26500</v>
      </c>
      <c r="R375" s="874">
        <f>Q375*0.1</f>
        <v>2650</v>
      </c>
      <c r="S375" s="875"/>
      <c r="T375" s="875"/>
      <c r="U375" s="875"/>
      <c r="V375" s="875"/>
      <c r="W375" s="875"/>
      <c r="X375" s="1026">
        <f t="shared" si="221"/>
        <v>29150</v>
      </c>
      <c r="Y375" s="1512">
        <f t="shared" si="222"/>
        <v>0</v>
      </c>
      <c r="Z375" s="1741">
        <f t="shared" si="223"/>
        <v>1</v>
      </c>
      <c r="AA375" s="1749">
        <f t="shared" si="224"/>
        <v>0</v>
      </c>
      <c r="AB375" s="1810">
        <f t="shared" si="225"/>
        <v>0</v>
      </c>
      <c r="AC375" s="876"/>
      <c r="AD375" s="1525">
        <f t="shared" si="226"/>
        <v>0</v>
      </c>
      <c r="AE375" s="1525">
        <f t="shared" si="226"/>
        <v>0</v>
      </c>
      <c r="AF375" s="1525">
        <f t="shared" si="226"/>
        <v>0</v>
      </c>
      <c r="AG375" s="1525">
        <f t="shared" si="226"/>
        <v>0</v>
      </c>
      <c r="AH375" s="1525">
        <f t="shared" si="226"/>
        <v>0</v>
      </c>
      <c r="AI375" s="1525">
        <f t="shared" si="226"/>
        <v>0</v>
      </c>
      <c r="AJ375" s="1525">
        <f t="shared" si="226"/>
        <v>0</v>
      </c>
      <c r="AK375" s="1525">
        <f t="shared" si="226"/>
        <v>0</v>
      </c>
      <c r="AL375" s="1525">
        <f t="shared" si="226"/>
        <v>0</v>
      </c>
      <c r="AM375" s="1525">
        <f t="shared" si="226"/>
        <v>0</v>
      </c>
      <c r="AN375" s="1525">
        <f t="shared" si="226"/>
        <v>0</v>
      </c>
      <c r="AO375" s="1525">
        <f t="shared" si="226"/>
        <v>0</v>
      </c>
      <c r="AP375" s="1525">
        <f t="shared" si="226"/>
        <v>0</v>
      </c>
      <c r="AQ375" s="1525">
        <f t="shared" si="226"/>
        <v>0</v>
      </c>
      <c r="AR375" s="1525">
        <f t="shared" si="226"/>
        <v>0</v>
      </c>
      <c r="AS375" s="1525">
        <f t="shared" si="226"/>
        <v>0</v>
      </c>
      <c r="AU375" s="1525"/>
      <c r="AV375" s="1291"/>
      <c r="AW375" s="1292"/>
      <c r="AX375" s="1292"/>
      <c r="AY375" s="1292"/>
      <c r="AZ375" s="1292"/>
      <c r="BA375" s="1292"/>
      <c r="BB375" s="1292"/>
      <c r="BC375" s="1292"/>
      <c r="BD375" s="1292"/>
      <c r="BE375" s="1292"/>
      <c r="BF375" s="1292"/>
      <c r="BG375" s="1292"/>
      <c r="BH375" s="1292"/>
      <c r="BI375" s="1292"/>
      <c r="BJ375" s="1292"/>
      <c r="BK375" s="1292"/>
      <c r="BL375" s="1292"/>
      <c r="BM375" s="1292"/>
      <c r="BN375" s="1292"/>
      <c r="BO375" s="1292"/>
      <c r="BP375" s="1292"/>
      <c r="BQ375" s="1292"/>
      <c r="BR375" s="1292"/>
      <c r="BS375" s="1292"/>
      <c r="BT375" s="1670">
        <f t="shared" si="227"/>
        <v>0</v>
      </c>
      <c r="BW375" s="859" t="s">
        <v>751</v>
      </c>
    </row>
    <row r="376" spans="2:75" ht="12.75" customHeight="1" x14ac:dyDescent="0.2">
      <c r="B376" s="175">
        <f t="shared" si="210"/>
        <v>11</v>
      </c>
      <c r="C376" s="219">
        <v>14</v>
      </c>
      <c r="E376" s="12" t="s">
        <v>647</v>
      </c>
      <c r="F376" s="24" t="s">
        <v>626</v>
      </c>
      <c r="G376" s="859" t="s">
        <v>43</v>
      </c>
      <c r="H376" s="1413">
        <v>124620</v>
      </c>
      <c r="I376" s="200" t="s">
        <v>1584</v>
      </c>
      <c r="J376" s="189"/>
      <c r="K376" s="189"/>
      <c r="L376" s="858">
        <v>1</v>
      </c>
      <c r="M376" s="858">
        <v>1</v>
      </c>
      <c r="N376" s="857" t="s">
        <v>1326</v>
      </c>
      <c r="O376" s="1196">
        <v>33086</v>
      </c>
      <c r="P376" s="1218">
        <f t="shared" ca="1" si="220"/>
        <v>27.169444444444444</v>
      </c>
      <c r="Q376" s="1163">
        <v>26000</v>
      </c>
      <c r="R376" s="874">
        <f>Q376*0.1</f>
        <v>2600</v>
      </c>
      <c r="S376" s="875"/>
      <c r="T376" s="875"/>
      <c r="U376" s="875"/>
      <c r="V376" s="875"/>
      <c r="W376" s="875"/>
      <c r="X376" s="1026">
        <f t="shared" si="221"/>
        <v>28600</v>
      </c>
      <c r="Y376" s="1512">
        <f t="shared" si="222"/>
        <v>0</v>
      </c>
      <c r="Z376" s="1741">
        <f t="shared" si="223"/>
        <v>1</v>
      </c>
      <c r="AA376" s="1749">
        <f t="shared" si="224"/>
        <v>0</v>
      </c>
      <c r="AB376" s="1810">
        <f t="shared" si="225"/>
        <v>0</v>
      </c>
      <c r="AC376" s="876"/>
      <c r="AD376" s="1525">
        <f t="shared" si="226"/>
        <v>0</v>
      </c>
      <c r="AE376" s="1525">
        <f t="shared" si="226"/>
        <v>0</v>
      </c>
      <c r="AF376" s="1525">
        <f t="shared" si="226"/>
        <v>0</v>
      </c>
      <c r="AG376" s="1525">
        <f t="shared" si="226"/>
        <v>0</v>
      </c>
      <c r="AH376" s="1525">
        <f t="shared" si="226"/>
        <v>0</v>
      </c>
      <c r="AI376" s="1525">
        <f t="shared" si="226"/>
        <v>0</v>
      </c>
      <c r="AJ376" s="1525">
        <f t="shared" si="226"/>
        <v>0</v>
      </c>
      <c r="AK376" s="1525">
        <f t="shared" si="226"/>
        <v>0</v>
      </c>
      <c r="AL376" s="1525">
        <f t="shared" si="226"/>
        <v>0</v>
      </c>
      <c r="AM376" s="1525">
        <f t="shared" si="226"/>
        <v>0</v>
      </c>
      <c r="AN376" s="1525">
        <f t="shared" si="226"/>
        <v>0</v>
      </c>
      <c r="AO376" s="1525">
        <f t="shared" si="226"/>
        <v>0</v>
      </c>
      <c r="AP376" s="1525">
        <f t="shared" si="226"/>
        <v>0</v>
      </c>
      <c r="AQ376" s="1525">
        <f t="shared" si="226"/>
        <v>0</v>
      </c>
      <c r="AR376" s="1525">
        <f t="shared" si="226"/>
        <v>0</v>
      </c>
      <c r="AS376" s="1525">
        <f t="shared" si="226"/>
        <v>0</v>
      </c>
      <c r="AU376" s="1525"/>
      <c r="AV376" s="1291"/>
      <c r="AW376" s="1292"/>
      <c r="AX376" s="1292"/>
      <c r="AY376" s="1292"/>
      <c r="AZ376" s="1292"/>
      <c r="BA376" s="1292"/>
      <c r="BB376" s="1292"/>
      <c r="BC376" s="1292"/>
      <c r="BD376" s="1292"/>
      <c r="BE376" s="1292"/>
      <c r="BF376" s="1292"/>
      <c r="BG376" s="1292"/>
      <c r="BH376" s="1292"/>
      <c r="BI376" s="1292"/>
      <c r="BJ376" s="1292"/>
      <c r="BK376" s="1292"/>
      <c r="BL376" s="1292"/>
      <c r="BM376" s="1292"/>
      <c r="BN376" s="1292"/>
      <c r="BO376" s="1292"/>
      <c r="BP376" s="1292"/>
      <c r="BQ376" s="1292"/>
      <c r="BR376" s="1292"/>
      <c r="BS376" s="1292"/>
      <c r="BT376" s="1670">
        <f t="shared" si="227"/>
        <v>0</v>
      </c>
      <c r="BW376" s="859" t="s">
        <v>43</v>
      </c>
    </row>
    <row r="377" spans="2:75" ht="12.75" customHeight="1" x14ac:dyDescent="0.2">
      <c r="B377" s="175">
        <f t="shared" si="210"/>
        <v>12</v>
      </c>
      <c r="C377" s="219">
        <v>18</v>
      </c>
      <c r="E377" s="12" t="s">
        <v>647</v>
      </c>
      <c r="F377" s="4" t="s">
        <v>997</v>
      </c>
      <c r="G377" s="859" t="s">
        <v>667</v>
      </c>
      <c r="H377" s="1413">
        <v>68700</v>
      </c>
      <c r="I377" s="200" t="s">
        <v>998</v>
      </c>
      <c r="J377" s="189"/>
      <c r="K377" s="189"/>
      <c r="L377" s="861">
        <v>1</v>
      </c>
      <c r="M377" s="858">
        <f>K377+L377</f>
        <v>1</v>
      </c>
      <c r="N377" s="857" t="s">
        <v>416</v>
      </c>
      <c r="O377" s="1196">
        <v>24044</v>
      </c>
      <c r="P377" s="1218">
        <f t="shared" ca="1" si="220"/>
        <v>51.924999999999997</v>
      </c>
      <c r="Q377" s="1163">
        <v>25000</v>
      </c>
      <c r="R377" s="874">
        <f>Q377*0.15</f>
        <v>3750</v>
      </c>
      <c r="S377" s="875"/>
      <c r="T377" s="875"/>
      <c r="U377" s="875"/>
      <c r="V377" s="875"/>
      <c r="W377" s="1036">
        <f>ROUND((Q377+R377)*0.2,0)</f>
        <v>5750</v>
      </c>
      <c r="X377" s="1026">
        <f t="shared" si="221"/>
        <v>34500</v>
      </c>
      <c r="Y377" s="1512">
        <f>(T377+U377+W377)*M377/(X377-M377*(T377+U377+W377))</f>
        <v>0.2</v>
      </c>
      <c r="Z377" s="1741">
        <f t="shared" si="223"/>
        <v>1.2</v>
      </c>
      <c r="AA377" s="1749">
        <f t="shared" si="224"/>
        <v>0</v>
      </c>
      <c r="AB377" s="1810">
        <f t="shared" si="225"/>
        <v>0</v>
      </c>
      <c r="AC377" s="876"/>
      <c r="AD377" s="1525">
        <f t="shared" si="226"/>
        <v>0</v>
      </c>
      <c r="AE377" s="1525">
        <f t="shared" si="226"/>
        <v>0</v>
      </c>
      <c r="AF377" s="1525">
        <f t="shared" si="226"/>
        <v>0</v>
      </c>
      <c r="AG377" s="1525">
        <f t="shared" si="226"/>
        <v>0</v>
      </c>
      <c r="AH377" s="1525">
        <f t="shared" si="226"/>
        <v>0</v>
      </c>
      <c r="AI377" s="1525">
        <f t="shared" si="226"/>
        <v>0</v>
      </c>
      <c r="AJ377" s="1525">
        <f t="shared" si="226"/>
        <v>0</v>
      </c>
      <c r="AK377" s="1525">
        <f t="shared" si="226"/>
        <v>0</v>
      </c>
      <c r="AL377" s="1525">
        <f t="shared" si="226"/>
        <v>0</v>
      </c>
      <c r="AM377" s="1525">
        <f t="shared" si="226"/>
        <v>0</v>
      </c>
      <c r="AN377" s="1525">
        <f t="shared" si="226"/>
        <v>0</v>
      </c>
      <c r="AO377" s="1525">
        <f t="shared" si="226"/>
        <v>0</v>
      </c>
      <c r="AP377" s="1525">
        <f t="shared" si="226"/>
        <v>0</v>
      </c>
      <c r="AQ377" s="1525">
        <f t="shared" si="226"/>
        <v>0</v>
      </c>
      <c r="AR377" s="1525">
        <f t="shared" si="226"/>
        <v>0</v>
      </c>
      <c r="AS377" s="1525">
        <f t="shared" si="226"/>
        <v>0</v>
      </c>
      <c r="AU377" s="1525"/>
      <c r="AV377" s="1291"/>
      <c r="AW377" s="1292"/>
      <c r="AX377" s="1292"/>
      <c r="AY377" s="1292"/>
      <c r="AZ377" s="1292"/>
      <c r="BA377" s="1292"/>
      <c r="BB377" s="1292"/>
      <c r="BC377" s="1292"/>
      <c r="BD377" s="1292"/>
      <c r="BE377" s="1292"/>
      <c r="BF377" s="1292"/>
      <c r="BG377" s="1292"/>
      <c r="BH377" s="1292"/>
      <c r="BI377" s="1292"/>
      <c r="BJ377" s="1292"/>
      <c r="BK377" s="1292"/>
      <c r="BL377" s="1292"/>
      <c r="BM377" s="1292"/>
      <c r="BN377" s="1292"/>
      <c r="BO377" s="1292"/>
      <c r="BP377" s="1292"/>
      <c r="BQ377" s="1292"/>
      <c r="BR377" s="1292"/>
      <c r="BS377" s="1292"/>
      <c r="BT377" s="1670">
        <f t="shared" si="227"/>
        <v>0</v>
      </c>
      <c r="BW377" s="859" t="s">
        <v>667</v>
      </c>
    </row>
    <row r="378" spans="2:75" ht="12.75" customHeight="1" x14ac:dyDescent="0.2">
      <c r="B378" s="175">
        <f t="shared" si="210"/>
        <v>13</v>
      </c>
      <c r="C378" s="219">
        <v>18</v>
      </c>
      <c r="E378" s="12" t="s">
        <v>647</v>
      </c>
      <c r="F378" s="4" t="s">
        <v>1679</v>
      </c>
      <c r="G378" s="862" t="s">
        <v>511</v>
      </c>
      <c r="H378" s="1412">
        <v>131945</v>
      </c>
      <c r="I378" s="200" t="s">
        <v>998</v>
      </c>
      <c r="J378" s="195"/>
      <c r="K378" s="174"/>
      <c r="L378" s="861">
        <v>1</v>
      </c>
      <c r="M378" s="861">
        <v>1</v>
      </c>
      <c r="N378" s="857" t="s">
        <v>892</v>
      </c>
      <c r="O378" s="1196">
        <v>25290</v>
      </c>
      <c r="P378" s="1218">
        <f t="shared" ca="1" si="220"/>
        <v>48.511111111111113</v>
      </c>
      <c r="Q378" s="1163">
        <v>26500</v>
      </c>
      <c r="R378" s="874"/>
      <c r="S378" s="875"/>
      <c r="T378" s="875"/>
      <c r="U378" s="875"/>
      <c r="V378" s="875"/>
      <c r="W378" s="1036">
        <f>ROUND((Q378+R378)*0.2,0)</f>
        <v>5300</v>
      </c>
      <c r="X378" s="1026">
        <f t="shared" si="221"/>
        <v>31800</v>
      </c>
      <c r="Y378" s="1512">
        <f>(T378+U378+W378)*M378/(X378-M378*(T378+U378+W378))</f>
        <v>0.2</v>
      </c>
      <c r="Z378" s="1741">
        <f t="shared" si="223"/>
        <v>1.2</v>
      </c>
      <c r="AA378" s="1749">
        <f t="shared" si="224"/>
        <v>0</v>
      </c>
      <c r="AB378" s="1810">
        <f t="shared" si="225"/>
        <v>0</v>
      </c>
      <c r="AC378" s="876"/>
      <c r="AD378" s="1525">
        <f t="shared" si="226"/>
        <v>0</v>
      </c>
      <c r="AE378" s="1525">
        <f t="shared" si="226"/>
        <v>0</v>
      </c>
      <c r="AF378" s="1525">
        <f t="shared" si="226"/>
        <v>0</v>
      </c>
      <c r="AG378" s="1525">
        <f t="shared" si="226"/>
        <v>0</v>
      </c>
      <c r="AH378" s="1525">
        <f t="shared" si="226"/>
        <v>0</v>
      </c>
      <c r="AI378" s="1525">
        <f t="shared" si="226"/>
        <v>0</v>
      </c>
      <c r="AJ378" s="1525">
        <f t="shared" si="226"/>
        <v>0</v>
      </c>
      <c r="AK378" s="1525">
        <f t="shared" si="226"/>
        <v>0</v>
      </c>
      <c r="AL378" s="1525">
        <f t="shared" si="226"/>
        <v>0</v>
      </c>
      <c r="AM378" s="1525">
        <f t="shared" si="226"/>
        <v>0</v>
      </c>
      <c r="AN378" s="1525">
        <f t="shared" si="226"/>
        <v>0</v>
      </c>
      <c r="AO378" s="1525">
        <f t="shared" si="226"/>
        <v>0</v>
      </c>
      <c r="AP378" s="1525">
        <f t="shared" si="226"/>
        <v>0</v>
      </c>
      <c r="AQ378" s="1525">
        <f t="shared" si="226"/>
        <v>0</v>
      </c>
      <c r="AR378" s="1525">
        <f t="shared" si="226"/>
        <v>0</v>
      </c>
      <c r="AS378" s="1525">
        <f t="shared" si="226"/>
        <v>0</v>
      </c>
      <c r="AU378" s="1525"/>
      <c r="AV378" s="1291"/>
      <c r="AW378" s="1292"/>
      <c r="AX378" s="1292"/>
      <c r="AY378" s="1292"/>
      <c r="AZ378" s="1292"/>
      <c r="BA378" s="1292"/>
      <c r="BB378" s="1292"/>
      <c r="BC378" s="1292"/>
      <c r="BD378" s="1292"/>
      <c r="BE378" s="1292"/>
      <c r="BF378" s="1292"/>
      <c r="BG378" s="1292"/>
      <c r="BH378" s="1292"/>
      <c r="BI378" s="1292"/>
      <c r="BJ378" s="1292"/>
      <c r="BK378" s="1292"/>
      <c r="BL378" s="1292"/>
      <c r="BM378" s="1292"/>
      <c r="BN378" s="1292"/>
      <c r="BO378" s="1292"/>
      <c r="BP378" s="1292"/>
      <c r="BQ378" s="1292"/>
      <c r="BR378" s="1292"/>
      <c r="BS378" s="1292"/>
      <c r="BT378" s="1670">
        <f t="shared" si="227"/>
        <v>0</v>
      </c>
      <c r="BW378" s="862" t="s">
        <v>511</v>
      </c>
    </row>
    <row r="379" spans="2:75" s="164" customFormat="1" ht="12.75" customHeight="1" x14ac:dyDescent="0.2">
      <c r="B379" s="175"/>
      <c r="C379" s="219" t="s">
        <v>1120</v>
      </c>
      <c r="F379" s="24" t="s">
        <v>1038</v>
      </c>
      <c r="G379" s="859"/>
      <c r="H379" s="1420" t="s">
        <v>1508</v>
      </c>
      <c r="I379" s="200"/>
      <c r="J379" s="189"/>
      <c r="K379" s="448">
        <f>SUM(K366:K378)</f>
        <v>0</v>
      </c>
      <c r="L379" s="902">
        <f>SUM(L366:L378)</f>
        <v>12.5</v>
      </c>
      <c r="M379" s="902">
        <f>SUM(M366:M378)</f>
        <v>12.5</v>
      </c>
      <c r="N379" s="857"/>
      <c r="O379" s="1192"/>
      <c r="P379" s="550"/>
      <c r="Q379" s="1153"/>
      <c r="R379" s="877"/>
      <c r="S379" s="875"/>
      <c r="T379" s="875"/>
      <c r="U379" s="875"/>
      <c r="V379" s="875"/>
      <c r="W379" s="875"/>
      <c r="X379" s="1026"/>
      <c r="Y379" s="1335"/>
      <c r="Z379" s="1335"/>
      <c r="AA379" s="1749"/>
      <c r="AB379" s="1812"/>
      <c r="AC379" s="876"/>
      <c r="AD379" s="1295"/>
      <c r="AE379" s="1525"/>
      <c r="AF379" s="1525"/>
      <c r="AG379" s="1525"/>
      <c r="AH379" s="1525"/>
      <c r="AI379" s="1525"/>
      <c r="AJ379" s="1525"/>
      <c r="AK379" s="1525"/>
      <c r="AL379" s="1525"/>
      <c r="AM379" s="1525"/>
      <c r="AN379" s="1525"/>
      <c r="AO379" s="1525"/>
      <c r="AP379" s="1525"/>
      <c r="AQ379" s="1525"/>
      <c r="AR379" s="1525"/>
      <c r="AS379" s="1525"/>
      <c r="AU379" s="1525"/>
      <c r="AV379" s="1295"/>
      <c r="AW379" s="1525"/>
      <c r="AX379" s="1525"/>
      <c r="AY379" s="1525"/>
      <c r="AZ379" s="1525"/>
      <c r="BA379" s="1525"/>
      <c r="BB379" s="1525"/>
      <c r="BC379" s="1525"/>
      <c r="BD379" s="1525"/>
      <c r="BE379" s="1525"/>
      <c r="BF379" s="1525"/>
      <c r="BG379" s="1525"/>
      <c r="BH379" s="1525"/>
      <c r="BI379" s="1525"/>
      <c r="BJ379" s="1525"/>
      <c r="BK379" s="1525"/>
      <c r="BL379" s="1525"/>
      <c r="BM379" s="1525"/>
      <c r="BN379" s="1525"/>
      <c r="BO379" s="1525"/>
      <c r="BP379" s="1525"/>
      <c r="BQ379" s="1525"/>
      <c r="BR379" s="1525"/>
      <c r="BS379" s="1525"/>
      <c r="BT379" s="1670"/>
      <c r="BV379"/>
      <c r="BW379" s="859"/>
    </row>
    <row r="380" spans="2:75" s="164" customFormat="1" ht="12.75" customHeight="1" x14ac:dyDescent="0.2">
      <c r="B380" s="175"/>
      <c r="F380" s="1"/>
      <c r="G380" s="859"/>
      <c r="H380" s="1413" t="s">
        <v>1508</v>
      </c>
      <c r="I380" s="172"/>
      <c r="J380" s="168"/>
      <c r="K380" s="168"/>
      <c r="L380" s="858"/>
      <c r="M380" s="858"/>
      <c r="N380" s="857"/>
      <c r="O380" s="1192"/>
      <c r="P380" s="550"/>
      <c r="Q380" s="1148"/>
      <c r="R380" s="874"/>
      <c r="S380" s="875"/>
      <c r="T380" s="875"/>
      <c r="U380" s="875"/>
      <c r="V380" s="875"/>
      <c r="W380" s="875"/>
      <c r="X380" s="1026"/>
      <c r="Y380" s="1754"/>
      <c r="Z380" s="1755"/>
      <c r="AA380" s="1749"/>
      <c r="AB380" s="1812"/>
      <c r="AC380" s="876"/>
      <c r="AD380" s="1295"/>
      <c r="AE380" s="1525"/>
      <c r="AF380" s="1525"/>
      <c r="AG380" s="1525"/>
      <c r="AH380" s="1525"/>
      <c r="AI380" s="1525"/>
      <c r="AJ380" s="1525"/>
      <c r="AK380" s="1525"/>
      <c r="AL380" s="1525"/>
      <c r="AM380" s="1525"/>
      <c r="AN380" s="1525"/>
      <c r="AO380" s="1525"/>
      <c r="AP380" s="1525"/>
      <c r="AQ380" s="1525"/>
      <c r="AR380" s="1525"/>
      <c r="AS380" s="1525"/>
      <c r="AU380" s="1525"/>
      <c r="AV380" s="1295"/>
      <c r="AW380" s="1525"/>
      <c r="AX380" s="1525"/>
      <c r="AY380" s="1525"/>
      <c r="AZ380" s="1525"/>
      <c r="BA380" s="1525"/>
      <c r="BB380" s="1525"/>
      <c r="BC380" s="1525"/>
      <c r="BD380" s="1525"/>
      <c r="BE380" s="1525"/>
      <c r="BF380" s="1525"/>
      <c r="BG380" s="1525"/>
      <c r="BH380" s="1525"/>
      <c r="BI380" s="1525"/>
      <c r="BJ380" s="1525"/>
      <c r="BK380" s="1525"/>
      <c r="BL380" s="1525"/>
      <c r="BM380" s="1525"/>
      <c r="BN380" s="1525"/>
      <c r="BO380" s="1525"/>
      <c r="BP380" s="1525"/>
      <c r="BQ380" s="1525"/>
      <c r="BR380" s="1525"/>
      <c r="BS380" s="1525"/>
      <c r="BT380" s="1670"/>
      <c r="BV380"/>
      <c r="BW380" s="859"/>
    </row>
    <row r="381" spans="2:75" s="164" customFormat="1" ht="12.75" customHeight="1" x14ac:dyDescent="0.2">
      <c r="B381" s="175"/>
      <c r="F381" s="1" t="s">
        <v>573</v>
      </c>
      <c r="G381" s="859"/>
      <c r="H381" s="1413" t="s">
        <v>1508</v>
      </c>
      <c r="I381" s="172"/>
      <c r="J381" s="168"/>
      <c r="K381" s="168"/>
      <c r="L381" s="858"/>
      <c r="M381" s="858"/>
      <c r="N381" s="857"/>
      <c r="O381" s="1192"/>
      <c r="P381" s="550"/>
      <c r="Q381" s="1148"/>
      <c r="R381" s="874"/>
      <c r="S381" s="875"/>
      <c r="T381" s="875"/>
      <c r="U381" s="875"/>
      <c r="V381" s="875"/>
      <c r="W381" s="875"/>
      <c r="X381" s="1026"/>
      <c r="Y381" s="1754"/>
      <c r="Z381" s="1755"/>
      <c r="AA381" s="1749"/>
      <c r="AB381" s="1812"/>
      <c r="AC381" s="876"/>
      <c r="AD381" s="1295"/>
      <c r="AE381" s="1525"/>
      <c r="AF381" s="1525"/>
      <c r="AG381" s="1525"/>
      <c r="AH381" s="1525"/>
      <c r="AI381" s="1525"/>
      <c r="AJ381" s="1525"/>
      <c r="AK381" s="1525"/>
      <c r="AL381" s="1525"/>
      <c r="AM381" s="1525"/>
      <c r="AN381" s="1525"/>
      <c r="AO381" s="1525"/>
      <c r="AP381" s="1525"/>
      <c r="AQ381" s="1525"/>
      <c r="AR381" s="1525"/>
      <c r="AS381" s="1525"/>
      <c r="AU381" s="1525"/>
      <c r="AV381" s="1295"/>
      <c r="AW381" s="1525"/>
      <c r="AX381" s="1525"/>
      <c r="AY381" s="1525"/>
      <c r="AZ381" s="1525"/>
      <c r="BA381" s="1525"/>
      <c r="BB381" s="1525"/>
      <c r="BC381" s="1525"/>
      <c r="BD381" s="1525"/>
      <c r="BE381" s="1525"/>
      <c r="BF381" s="1525"/>
      <c r="BG381" s="1525"/>
      <c r="BH381" s="1525"/>
      <c r="BI381" s="1525"/>
      <c r="BJ381" s="1525"/>
      <c r="BK381" s="1525"/>
      <c r="BL381" s="1525"/>
      <c r="BM381" s="1525"/>
      <c r="BN381" s="1525"/>
      <c r="BO381" s="1525"/>
      <c r="BP381" s="1525"/>
      <c r="BQ381" s="1525"/>
      <c r="BR381" s="1525"/>
      <c r="BS381" s="1525"/>
      <c r="BT381" s="1670"/>
      <c r="BV381"/>
      <c r="BW381" s="859"/>
    </row>
    <row r="382" spans="2:75" s="164" customFormat="1" ht="12.75" customHeight="1" x14ac:dyDescent="0.15">
      <c r="B382" s="175"/>
      <c r="F382" s="1"/>
      <c r="G382" s="859"/>
      <c r="H382" s="1413" t="s">
        <v>1508</v>
      </c>
      <c r="I382" s="172"/>
      <c r="J382" s="168"/>
      <c r="K382" s="168"/>
      <c r="L382" s="858"/>
      <c r="M382" s="858"/>
      <c r="N382" s="857"/>
      <c r="O382" s="1200"/>
      <c r="P382" s="550"/>
      <c r="Q382" s="1148"/>
      <c r="R382" s="874"/>
      <c r="S382" s="875"/>
      <c r="T382" s="875"/>
      <c r="U382" s="875"/>
      <c r="V382" s="875"/>
      <c r="W382" s="875"/>
      <c r="X382" s="1026"/>
      <c r="Y382" s="1754"/>
      <c r="Z382" s="1755"/>
      <c r="AA382" s="1749"/>
      <c r="AB382" s="1812"/>
      <c r="AC382" s="876"/>
      <c r="AD382" s="1295"/>
      <c r="AE382" s="1525"/>
      <c r="AF382" s="1525"/>
      <c r="AG382" s="1525"/>
      <c r="AH382" s="1525"/>
      <c r="AI382" s="1525"/>
      <c r="AJ382" s="1525"/>
      <c r="AK382" s="1525"/>
      <c r="AL382" s="1525"/>
      <c r="AM382" s="1525"/>
      <c r="AN382" s="1525"/>
      <c r="AO382" s="1525"/>
      <c r="AP382" s="1525"/>
      <c r="AQ382" s="1525"/>
      <c r="AR382" s="1525"/>
      <c r="AS382" s="1525"/>
      <c r="AU382" s="1525"/>
      <c r="AV382" s="1295"/>
      <c r="AW382" s="1525"/>
      <c r="AX382" s="1525"/>
      <c r="AY382" s="1525"/>
      <c r="AZ382" s="1525"/>
      <c r="BA382" s="1525"/>
      <c r="BB382" s="1525"/>
      <c r="BC382" s="1525"/>
      <c r="BD382" s="1525"/>
      <c r="BE382" s="1525"/>
      <c r="BF382" s="1525"/>
      <c r="BG382" s="1525"/>
      <c r="BH382" s="1525"/>
      <c r="BI382" s="1525"/>
      <c r="BJ382" s="1525"/>
      <c r="BK382" s="1525"/>
      <c r="BL382" s="1525"/>
      <c r="BM382" s="1525"/>
      <c r="BN382" s="1525"/>
      <c r="BO382" s="1525"/>
      <c r="BP382" s="1525"/>
      <c r="BQ382" s="1525"/>
      <c r="BR382" s="1525"/>
      <c r="BS382" s="1525"/>
      <c r="BT382" s="1670"/>
      <c r="BV382"/>
      <c r="BW382" s="859"/>
    </row>
    <row r="383" spans="2:75" ht="12.75" customHeight="1" x14ac:dyDescent="0.2">
      <c r="B383" s="175">
        <f t="shared" ref="B383:B389" si="228">B382+1</f>
        <v>1</v>
      </c>
      <c r="C383" s="219">
        <v>11</v>
      </c>
      <c r="E383" s="12" t="s">
        <v>647</v>
      </c>
      <c r="F383" s="4" t="s">
        <v>824</v>
      </c>
      <c r="G383" s="862" t="s">
        <v>1536</v>
      </c>
      <c r="H383" s="1412">
        <v>253971</v>
      </c>
      <c r="I383" s="180" t="s">
        <v>161</v>
      </c>
      <c r="J383" s="173"/>
      <c r="K383" s="174"/>
      <c r="L383" s="861">
        <v>1</v>
      </c>
      <c r="M383" s="861">
        <f t="shared" ref="M383:M389" si="229">K383+L383</f>
        <v>1</v>
      </c>
      <c r="N383" s="836" t="s">
        <v>416</v>
      </c>
      <c r="O383" s="1196">
        <v>29610</v>
      </c>
      <c r="P383" s="1218">
        <f t="shared" ref="P383:P389" ca="1" si="230">YEARFRAC(TODAY(),O383)</f>
        <v>36.68888888888889</v>
      </c>
      <c r="Q383" s="1163">
        <v>30000</v>
      </c>
      <c r="R383" s="874">
        <f>Q383*0.15</f>
        <v>4500</v>
      </c>
      <c r="S383" s="875"/>
      <c r="T383" s="875"/>
      <c r="U383" s="875"/>
      <c r="V383" s="875"/>
      <c r="W383" s="875"/>
      <c r="X383" s="1026">
        <f t="shared" ref="X383:X389" si="231">(Q383+R383+S383+T383+U383+V383+W383)*M383</f>
        <v>34500</v>
      </c>
      <c r="Y383" s="1512">
        <f t="shared" ref="Y383:Y389" si="232">(T383+U383)*M383/(X383-M383*(T383+U383))</f>
        <v>0</v>
      </c>
      <c r="Z383" s="1741">
        <f t="shared" ref="Z383:Z389" si="233">M383*(1+Y383)</f>
        <v>1</v>
      </c>
      <c r="AA383" s="1749">
        <f t="shared" ref="AA383:AA389" si="234">SUM(AD383:AS383)</f>
        <v>0</v>
      </c>
      <c r="AB383" s="1810">
        <f t="shared" ref="AB383:AB389" si="235">100*AA383/Z383</f>
        <v>0</v>
      </c>
      <c r="AC383" s="876"/>
      <c r="AD383" s="1525">
        <f t="shared" ref="AD383:AS389" si="236">SUMIF($AV$6:$BS$6,AD$5,$AV383:$BS383)</f>
        <v>0</v>
      </c>
      <c r="AE383" s="1525">
        <f t="shared" si="236"/>
        <v>0</v>
      </c>
      <c r="AF383" s="1525">
        <f t="shared" si="236"/>
        <v>0</v>
      </c>
      <c r="AG383" s="1525">
        <f t="shared" si="236"/>
        <v>0</v>
      </c>
      <c r="AH383" s="1525">
        <f t="shared" si="236"/>
        <v>0</v>
      </c>
      <c r="AI383" s="1525">
        <f t="shared" si="236"/>
        <v>0</v>
      </c>
      <c r="AJ383" s="1525">
        <f t="shared" si="236"/>
        <v>0</v>
      </c>
      <c r="AK383" s="1525">
        <f t="shared" si="236"/>
        <v>0</v>
      </c>
      <c r="AL383" s="1525">
        <f t="shared" si="236"/>
        <v>0</v>
      </c>
      <c r="AM383" s="1525">
        <f t="shared" si="236"/>
        <v>0</v>
      </c>
      <c r="AN383" s="1525">
        <f t="shared" si="236"/>
        <v>0</v>
      </c>
      <c r="AO383" s="1525">
        <f t="shared" si="236"/>
        <v>0</v>
      </c>
      <c r="AP383" s="1525">
        <f t="shared" si="236"/>
        <v>0</v>
      </c>
      <c r="AQ383" s="1525">
        <f t="shared" si="236"/>
        <v>0</v>
      </c>
      <c r="AR383" s="1525">
        <f t="shared" si="236"/>
        <v>0</v>
      </c>
      <c r="AS383" s="1525">
        <f t="shared" si="236"/>
        <v>0</v>
      </c>
      <c r="AU383" s="1525"/>
      <c r="AV383" s="1291"/>
      <c r="AW383" s="1292"/>
      <c r="AX383" s="1292"/>
      <c r="AY383" s="1292"/>
      <c r="AZ383" s="1292"/>
      <c r="BA383" s="1292"/>
      <c r="BB383" s="1292"/>
      <c r="BC383" s="1292"/>
      <c r="BD383" s="1292"/>
      <c r="BE383" s="1292"/>
      <c r="BF383" s="1292"/>
      <c r="BG383" s="1292"/>
      <c r="BH383" s="1292"/>
      <c r="BI383" s="1292"/>
      <c r="BJ383" s="1292"/>
      <c r="BK383" s="1292"/>
      <c r="BL383" s="1292"/>
      <c r="BM383" s="1292"/>
      <c r="BN383" s="1292"/>
      <c r="BO383" s="1292"/>
      <c r="BP383" s="1292"/>
      <c r="BQ383" s="1292"/>
      <c r="BR383" s="1292"/>
      <c r="BS383" s="1292"/>
      <c r="BT383" s="1670">
        <f t="shared" ref="BT383:BT389" si="237">SUM(AV383:BS383)</f>
        <v>0</v>
      </c>
      <c r="BW383" s="862" t="s">
        <v>1536</v>
      </c>
    </row>
    <row r="384" spans="2:75" ht="12.75" customHeight="1" x14ac:dyDescent="0.2">
      <c r="B384" s="175">
        <f t="shared" si="228"/>
        <v>2</v>
      </c>
      <c r="C384" s="219">
        <v>12</v>
      </c>
      <c r="E384" s="12" t="s">
        <v>647</v>
      </c>
      <c r="F384" s="4" t="s">
        <v>1235</v>
      </c>
      <c r="G384" s="859" t="s">
        <v>1537</v>
      </c>
      <c r="H384" s="1413">
        <v>7658</v>
      </c>
      <c r="I384" s="197" t="s">
        <v>1584</v>
      </c>
      <c r="J384" s="174"/>
      <c r="K384" s="174"/>
      <c r="L384" s="861">
        <v>0.5</v>
      </c>
      <c r="M384" s="858">
        <f t="shared" si="229"/>
        <v>0.5</v>
      </c>
      <c r="N384" s="836" t="s">
        <v>892</v>
      </c>
      <c r="O384" s="1196">
        <v>14493</v>
      </c>
      <c r="P384" s="1218">
        <f t="shared" ca="1" si="230"/>
        <v>78.075000000000003</v>
      </c>
      <c r="Q384" s="1163">
        <v>29200</v>
      </c>
      <c r="R384" s="874"/>
      <c r="S384" s="875"/>
      <c r="T384" s="875">
        <v>14000</v>
      </c>
      <c r="U384" s="875"/>
      <c r="V384" s="875"/>
      <c r="W384" s="875"/>
      <c r="X384" s="1026">
        <f t="shared" si="231"/>
        <v>21600</v>
      </c>
      <c r="Y384" s="1512">
        <f t="shared" si="232"/>
        <v>0.47945205479452052</v>
      </c>
      <c r="Z384" s="1741">
        <f t="shared" si="233"/>
        <v>0.73972602739726023</v>
      </c>
      <c r="AA384" s="1749">
        <f t="shared" si="234"/>
        <v>0</v>
      </c>
      <c r="AB384" s="1810">
        <f t="shared" si="235"/>
        <v>0</v>
      </c>
      <c r="AC384" s="876"/>
      <c r="AD384" s="1525">
        <f t="shared" si="236"/>
        <v>0</v>
      </c>
      <c r="AE384" s="1525">
        <f t="shared" si="236"/>
        <v>0</v>
      </c>
      <c r="AF384" s="1525">
        <f t="shared" si="236"/>
        <v>0</v>
      </c>
      <c r="AG384" s="1525">
        <f t="shared" si="236"/>
        <v>0</v>
      </c>
      <c r="AH384" s="1525">
        <f t="shared" si="236"/>
        <v>0</v>
      </c>
      <c r="AI384" s="1525">
        <f t="shared" si="236"/>
        <v>0</v>
      </c>
      <c r="AJ384" s="1525">
        <f t="shared" si="236"/>
        <v>0</v>
      </c>
      <c r="AK384" s="1525">
        <f t="shared" si="236"/>
        <v>0</v>
      </c>
      <c r="AL384" s="1525">
        <f t="shared" si="236"/>
        <v>0</v>
      </c>
      <c r="AM384" s="1525">
        <f t="shared" si="236"/>
        <v>0</v>
      </c>
      <c r="AN384" s="1525">
        <f t="shared" si="236"/>
        <v>0</v>
      </c>
      <c r="AO384" s="1525">
        <f t="shared" si="236"/>
        <v>0</v>
      </c>
      <c r="AP384" s="1525">
        <f t="shared" si="236"/>
        <v>0</v>
      </c>
      <c r="AQ384" s="1525">
        <f t="shared" si="236"/>
        <v>0</v>
      </c>
      <c r="AR384" s="1525">
        <f t="shared" si="236"/>
        <v>0</v>
      </c>
      <c r="AS384" s="1525">
        <f t="shared" si="236"/>
        <v>0</v>
      </c>
      <c r="AU384" s="1525"/>
      <c r="AV384" s="1291"/>
      <c r="AW384" s="1292"/>
      <c r="AX384" s="1292"/>
      <c r="AY384" s="1292"/>
      <c r="AZ384" s="1292"/>
      <c r="BA384" s="1292"/>
      <c r="BB384" s="1292"/>
      <c r="BC384" s="1292"/>
      <c r="BD384" s="1292"/>
      <c r="BE384" s="1292"/>
      <c r="BF384" s="1292"/>
      <c r="BG384" s="1292"/>
      <c r="BH384" s="1292"/>
      <c r="BI384" s="1292"/>
      <c r="BJ384" s="1292"/>
      <c r="BK384" s="1292"/>
      <c r="BL384" s="1292"/>
      <c r="BM384" s="1292"/>
      <c r="BN384" s="1292"/>
      <c r="BO384" s="1292"/>
      <c r="BP384" s="1292"/>
      <c r="BQ384" s="1292"/>
      <c r="BR384" s="1292"/>
      <c r="BS384" s="1292"/>
      <c r="BT384" s="1670">
        <f t="shared" si="237"/>
        <v>0</v>
      </c>
      <c r="BW384" s="859" t="s">
        <v>1537</v>
      </c>
    </row>
    <row r="385" spans="2:75" ht="12.75" customHeight="1" x14ac:dyDescent="0.2">
      <c r="B385" s="175">
        <f t="shared" si="228"/>
        <v>3</v>
      </c>
      <c r="C385" s="219">
        <v>18</v>
      </c>
      <c r="E385" s="12" t="s">
        <v>647</v>
      </c>
      <c r="F385" s="4" t="s">
        <v>1535</v>
      </c>
      <c r="G385" s="859" t="s">
        <v>1863</v>
      </c>
      <c r="H385" s="1413">
        <v>41349</v>
      </c>
      <c r="I385" s="200" t="s">
        <v>998</v>
      </c>
      <c r="J385" s="189"/>
      <c r="K385" s="189"/>
      <c r="L385" s="861">
        <v>0.5</v>
      </c>
      <c r="M385" s="858">
        <f>K385+L385</f>
        <v>0.5</v>
      </c>
      <c r="N385" s="857" t="s">
        <v>416</v>
      </c>
      <c r="O385" s="1196">
        <v>13100</v>
      </c>
      <c r="P385" s="1218">
        <f t="shared" ca="1" si="230"/>
        <v>81.888888888888886</v>
      </c>
      <c r="Q385" s="1163">
        <v>27000</v>
      </c>
      <c r="R385" s="874">
        <f>Q385*0.15</f>
        <v>4050</v>
      </c>
      <c r="S385" s="875"/>
      <c r="T385" s="875"/>
      <c r="U385" s="875"/>
      <c r="V385" s="1330"/>
      <c r="W385" s="1293">
        <f>(Q385+R385)*0.23</f>
        <v>7141.5</v>
      </c>
      <c r="X385" s="1026">
        <f t="shared" si="231"/>
        <v>19095.75</v>
      </c>
      <c r="Y385" s="1512">
        <f>(T385+U385+W385)*M385/(X385-M385*(T385+U385+W385))</f>
        <v>0.23</v>
      </c>
      <c r="Z385" s="1741">
        <f t="shared" si="233"/>
        <v>0.61499999999999999</v>
      </c>
      <c r="AA385" s="1749">
        <f t="shared" si="234"/>
        <v>0</v>
      </c>
      <c r="AB385" s="1810">
        <f t="shared" si="235"/>
        <v>0</v>
      </c>
      <c r="AC385" s="876"/>
      <c r="AD385" s="1525">
        <f t="shared" si="236"/>
        <v>0</v>
      </c>
      <c r="AE385" s="1525">
        <f t="shared" si="236"/>
        <v>0</v>
      </c>
      <c r="AF385" s="1525">
        <f t="shared" si="236"/>
        <v>0</v>
      </c>
      <c r="AG385" s="1525">
        <f t="shared" si="236"/>
        <v>0</v>
      </c>
      <c r="AH385" s="1525">
        <f t="shared" si="236"/>
        <v>0</v>
      </c>
      <c r="AI385" s="1525">
        <f t="shared" si="236"/>
        <v>0</v>
      </c>
      <c r="AJ385" s="1525">
        <f t="shared" si="236"/>
        <v>0</v>
      </c>
      <c r="AK385" s="1525">
        <f t="shared" si="236"/>
        <v>0</v>
      </c>
      <c r="AL385" s="1525">
        <f t="shared" si="236"/>
        <v>0</v>
      </c>
      <c r="AM385" s="1525">
        <f t="shared" si="236"/>
        <v>0</v>
      </c>
      <c r="AN385" s="1525">
        <f t="shared" si="236"/>
        <v>0</v>
      </c>
      <c r="AO385" s="1525">
        <f t="shared" si="236"/>
        <v>0</v>
      </c>
      <c r="AP385" s="1525">
        <f t="shared" si="236"/>
        <v>0</v>
      </c>
      <c r="AQ385" s="1525">
        <f t="shared" si="236"/>
        <v>0</v>
      </c>
      <c r="AR385" s="1525">
        <f t="shared" si="236"/>
        <v>0</v>
      </c>
      <c r="AS385" s="1525">
        <f t="shared" si="236"/>
        <v>0</v>
      </c>
      <c r="AU385" s="1525"/>
      <c r="AV385" s="1291"/>
      <c r="AW385" s="1292"/>
      <c r="AX385" s="1292"/>
      <c r="AY385" s="1292"/>
      <c r="AZ385" s="1292"/>
      <c r="BA385" s="1292"/>
      <c r="BB385" s="1292"/>
      <c r="BC385" s="1292"/>
      <c r="BD385" s="1292"/>
      <c r="BE385" s="1292"/>
      <c r="BF385" s="1292"/>
      <c r="BG385" s="1292"/>
      <c r="BH385" s="1292"/>
      <c r="BI385" s="1292"/>
      <c r="BJ385" s="1292"/>
      <c r="BK385" s="1292"/>
      <c r="BL385" s="1292"/>
      <c r="BM385" s="1292"/>
      <c r="BN385" s="1292"/>
      <c r="BO385" s="1292"/>
      <c r="BP385" s="1292"/>
      <c r="BQ385" s="1292"/>
      <c r="BR385" s="1292"/>
      <c r="BS385" s="1292"/>
      <c r="BT385" s="1670">
        <f t="shared" si="237"/>
        <v>0</v>
      </c>
      <c r="BW385" s="859" t="s">
        <v>1863</v>
      </c>
    </row>
    <row r="386" spans="2:75" ht="12.75" customHeight="1" x14ac:dyDescent="0.2">
      <c r="B386" s="175">
        <f t="shared" si="228"/>
        <v>4</v>
      </c>
      <c r="C386" s="220">
        <v>18</v>
      </c>
      <c r="D386" s="170"/>
      <c r="E386" s="447" t="s">
        <v>647</v>
      </c>
      <c r="F386" s="4" t="s">
        <v>1535</v>
      </c>
      <c r="G386" s="862" t="s">
        <v>16</v>
      </c>
      <c r="H386" s="1412">
        <v>7595</v>
      </c>
      <c r="I386" s="197" t="s">
        <v>998</v>
      </c>
      <c r="J386" s="174"/>
      <c r="K386" s="174"/>
      <c r="L386" s="861">
        <v>1</v>
      </c>
      <c r="M386" s="861">
        <f t="shared" si="229"/>
        <v>1</v>
      </c>
      <c r="N386" s="836" t="s">
        <v>416</v>
      </c>
      <c r="O386" s="1196">
        <v>13603</v>
      </c>
      <c r="P386" s="1262">
        <f t="shared" ca="1" si="230"/>
        <v>80.50833333333334</v>
      </c>
      <c r="Q386" s="1163">
        <v>21500</v>
      </c>
      <c r="R386" s="1035">
        <f>Q386*0.15</f>
        <v>3225</v>
      </c>
      <c r="S386" s="876"/>
      <c r="T386" s="876"/>
      <c r="U386" s="876"/>
      <c r="V386" s="876"/>
      <c r="W386" s="876"/>
      <c r="X386" s="1026">
        <f t="shared" si="231"/>
        <v>24725</v>
      </c>
      <c r="Y386" s="1512">
        <f t="shared" si="232"/>
        <v>0</v>
      </c>
      <c r="Z386" s="1741">
        <f t="shared" si="233"/>
        <v>1</v>
      </c>
      <c r="AA386" s="1749">
        <f t="shared" si="234"/>
        <v>0</v>
      </c>
      <c r="AB386" s="1810">
        <f t="shared" si="235"/>
        <v>0</v>
      </c>
      <c r="AC386" s="876"/>
      <c r="AD386" s="1525">
        <f t="shared" si="236"/>
        <v>0</v>
      </c>
      <c r="AE386" s="1525">
        <f t="shared" si="236"/>
        <v>0</v>
      </c>
      <c r="AF386" s="1525">
        <f t="shared" si="236"/>
        <v>0</v>
      </c>
      <c r="AG386" s="1525">
        <f t="shared" si="236"/>
        <v>0</v>
      </c>
      <c r="AH386" s="1525">
        <f t="shared" si="236"/>
        <v>0</v>
      </c>
      <c r="AI386" s="1525">
        <f t="shared" si="236"/>
        <v>0</v>
      </c>
      <c r="AJ386" s="1525">
        <f t="shared" si="236"/>
        <v>0</v>
      </c>
      <c r="AK386" s="1525">
        <f t="shared" si="236"/>
        <v>0</v>
      </c>
      <c r="AL386" s="1525">
        <f t="shared" si="236"/>
        <v>0</v>
      </c>
      <c r="AM386" s="1525">
        <f t="shared" si="236"/>
        <v>0</v>
      </c>
      <c r="AN386" s="1525">
        <f t="shared" si="236"/>
        <v>0</v>
      </c>
      <c r="AO386" s="1525">
        <f t="shared" si="236"/>
        <v>0</v>
      </c>
      <c r="AP386" s="1525">
        <f t="shared" si="236"/>
        <v>0</v>
      </c>
      <c r="AQ386" s="1525">
        <f t="shared" si="236"/>
        <v>0</v>
      </c>
      <c r="AR386" s="1525">
        <f t="shared" si="236"/>
        <v>0</v>
      </c>
      <c r="AS386" s="1525">
        <f t="shared" si="236"/>
        <v>0</v>
      </c>
      <c r="AU386" s="1525"/>
      <c r="AV386" s="1291"/>
      <c r="AW386" s="1292"/>
      <c r="AX386" s="1292"/>
      <c r="AY386" s="1292"/>
      <c r="AZ386" s="1292"/>
      <c r="BA386" s="1292"/>
      <c r="BB386" s="1292"/>
      <c r="BC386" s="1292"/>
      <c r="BD386" s="1292"/>
      <c r="BE386" s="1292"/>
      <c r="BF386" s="1292"/>
      <c r="BG386" s="1292"/>
      <c r="BH386" s="1292"/>
      <c r="BI386" s="1292"/>
      <c r="BJ386" s="1292"/>
      <c r="BK386" s="1292"/>
      <c r="BL386" s="1292"/>
      <c r="BM386" s="1292"/>
      <c r="BN386" s="1292"/>
      <c r="BO386" s="1292"/>
      <c r="BP386" s="1292"/>
      <c r="BQ386" s="1292"/>
      <c r="BR386" s="1292"/>
      <c r="BS386" s="1292"/>
      <c r="BT386" s="1670">
        <f t="shared" si="237"/>
        <v>0</v>
      </c>
      <c r="BW386" s="862" t="s">
        <v>16</v>
      </c>
    </row>
    <row r="387" spans="2:75" ht="12.75" customHeight="1" x14ac:dyDescent="0.2">
      <c r="B387" s="175">
        <f t="shared" si="228"/>
        <v>5</v>
      </c>
      <c r="C387" s="219">
        <v>18</v>
      </c>
      <c r="E387" s="12" t="s">
        <v>647</v>
      </c>
      <c r="F387" s="4" t="s">
        <v>1280</v>
      </c>
      <c r="G387" s="859" t="s">
        <v>238</v>
      </c>
      <c r="H387" s="1413">
        <v>7565</v>
      </c>
      <c r="I387" s="200" t="s">
        <v>998</v>
      </c>
      <c r="J387" s="189"/>
      <c r="K387" s="189"/>
      <c r="L387" s="861">
        <v>0.5</v>
      </c>
      <c r="M387" s="858">
        <f t="shared" si="229"/>
        <v>0.5</v>
      </c>
      <c r="N387" s="857" t="s">
        <v>892</v>
      </c>
      <c r="O387" s="1196">
        <v>12774</v>
      </c>
      <c r="P387" s="1218">
        <f t="shared" ca="1" si="230"/>
        <v>82.780555555555551</v>
      </c>
      <c r="Q387" s="1163">
        <v>17000</v>
      </c>
      <c r="R387" s="874"/>
      <c r="S387" s="875"/>
      <c r="T387" s="875"/>
      <c r="U387" s="875"/>
      <c r="V387" s="875"/>
      <c r="W387" s="1036">
        <f>ROUND((Q387+R387)*0.2,0)</f>
        <v>3400</v>
      </c>
      <c r="X387" s="1026">
        <f t="shared" si="231"/>
        <v>10200</v>
      </c>
      <c r="Y387" s="1512">
        <f>(T387+U387+W387)*M387/(X387-M387*(T387+U387+W387))</f>
        <v>0.2</v>
      </c>
      <c r="Z387" s="1741">
        <f t="shared" si="233"/>
        <v>0.6</v>
      </c>
      <c r="AA387" s="1749">
        <f t="shared" si="234"/>
        <v>0</v>
      </c>
      <c r="AB387" s="1810">
        <f t="shared" si="235"/>
        <v>0</v>
      </c>
      <c r="AC387" s="876"/>
      <c r="AD387" s="1525">
        <f t="shared" si="236"/>
        <v>0</v>
      </c>
      <c r="AE387" s="1525">
        <f t="shared" si="236"/>
        <v>0</v>
      </c>
      <c r="AF387" s="1525">
        <f t="shared" si="236"/>
        <v>0</v>
      </c>
      <c r="AG387" s="1525">
        <f t="shared" si="236"/>
        <v>0</v>
      </c>
      <c r="AH387" s="1525">
        <f t="shared" si="236"/>
        <v>0</v>
      </c>
      <c r="AI387" s="1525">
        <f t="shared" si="236"/>
        <v>0</v>
      </c>
      <c r="AJ387" s="1525">
        <f t="shared" si="236"/>
        <v>0</v>
      </c>
      <c r="AK387" s="1525">
        <f t="shared" si="236"/>
        <v>0</v>
      </c>
      <c r="AL387" s="1525">
        <f t="shared" si="236"/>
        <v>0</v>
      </c>
      <c r="AM387" s="1525">
        <f t="shared" si="236"/>
        <v>0</v>
      </c>
      <c r="AN387" s="1525">
        <f t="shared" si="236"/>
        <v>0</v>
      </c>
      <c r="AO387" s="1525">
        <f t="shared" si="236"/>
        <v>0</v>
      </c>
      <c r="AP387" s="1525">
        <f t="shared" si="236"/>
        <v>0</v>
      </c>
      <c r="AQ387" s="1525">
        <f t="shared" si="236"/>
        <v>0</v>
      </c>
      <c r="AR387" s="1525">
        <f t="shared" si="236"/>
        <v>0</v>
      </c>
      <c r="AS387" s="1525">
        <f t="shared" si="236"/>
        <v>0</v>
      </c>
      <c r="AU387" s="1525"/>
      <c r="AV387" s="1291"/>
      <c r="AW387" s="1292"/>
      <c r="AX387" s="1292"/>
      <c r="AY387" s="1292"/>
      <c r="AZ387" s="1292"/>
      <c r="BA387" s="1292"/>
      <c r="BB387" s="1292"/>
      <c r="BC387" s="1292"/>
      <c r="BD387" s="1292"/>
      <c r="BE387" s="1292"/>
      <c r="BF387" s="1292"/>
      <c r="BG387" s="1292"/>
      <c r="BH387" s="1292"/>
      <c r="BI387" s="1292"/>
      <c r="BJ387" s="1292"/>
      <c r="BK387" s="1292"/>
      <c r="BL387" s="1292"/>
      <c r="BM387" s="1292"/>
      <c r="BN387" s="1292"/>
      <c r="BO387" s="1292"/>
      <c r="BP387" s="1292"/>
      <c r="BQ387" s="1292"/>
      <c r="BR387" s="1292"/>
      <c r="BS387" s="1292"/>
      <c r="BT387" s="1670">
        <f t="shared" si="237"/>
        <v>0</v>
      </c>
      <c r="BW387" s="859" t="s">
        <v>238</v>
      </c>
    </row>
    <row r="388" spans="2:75" ht="12.75" customHeight="1" x14ac:dyDescent="0.2">
      <c r="B388" s="175">
        <f t="shared" si="228"/>
        <v>6</v>
      </c>
      <c r="C388" s="219">
        <v>18</v>
      </c>
      <c r="E388" s="12" t="s">
        <v>647</v>
      </c>
      <c r="F388" s="4" t="s">
        <v>1206</v>
      </c>
      <c r="G388" s="862" t="s">
        <v>1865</v>
      </c>
      <c r="H388" s="1412">
        <v>7630</v>
      </c>
      <c r="I388" s="197" t="s">
        <v>998</v>
      </c>
      <c r="J388" s="174"/>
      <c r="K388" s="174"/>
      <c r="L388" s="861">
        <v>0.5</v>
      </c>
      <c r="M388" s="858">
        <f t="shared" si="229"/>
        <v>0.5</v>
      </c>
      <c r="N388" s="836" t="s">
        <v>416</v>
      </c>
      <c r="O388" s="1196">
        <v>14441</v>
      </c>
      <c r="P388" s="1218">
        <f t="shared" ca="1" si="230"/>
        <v>78.213888888888889</v>
      </c>
      <c r="Q388" s="1163">
        <v>27000</v>
      </c>
      <c r="R388" s="874">
        <f>Q388*0.15</f>
        <v>4050</v>
      </c>
      <c r="S388" s="875"/>
      <c r="T388" s="875"/>
      <c r="U388" s="875"/>
      <c r="V388" s="875"/>
      <c r="W388" s="875">
        <f>(Q388+R388)*0.24</f>
        <v>7452</v>
      </c>
      <c r="X388" s="1026">
        <f t="shared" si="231"/>
        <v>19251</v>
      </c>
      <c r="Y388" s="1512">
        <f>(T388+U388+W388)*M388/(X388-M388*(T388+U388+W388))</f>
        <v>0.24</v>
      </c>
      <c r="Z388" s="1741">
        <f t="shared" si="233"/>
        <v>0.62</v>
      </c>
      <c r="AA388" s="1749">
        <f t="shared" si="234"/>
        <v>0</v>
      </c>
      <c r="AB388" s="1810">
        <f t="shared" si="235"/>
        <v>0</v>
      </c>
      <c r="AC388" s="876"/>
      <c r="AD388" s="1525">
        <f t="shared" si="236"/>
        <v>0</v>
      </c>
      <c r="AE388" s="1525">
        <f t="shared" si="236"/>
        <v>0</v>
      </c>
      <c r="AF388" s="1525">
        <f t="shared" si="236"/>
        <v>0</v>
      </c>
      <c r="AG388" s="1525">
        <f t="shared" si="236"/>
        <v>0</v>
      </c>
      <c r="AH388" s="1525">
        <f t="shared" si="236"/>
        <v>0</v>
      </c>
      <c r="AI388" s="1525">
        <f t="shared" si="236"/>
        <v>0</v>
      </c>
      <c r="AJ388" s="1525">
        <f t="shared" si="236"/>
        <v>0</v>
      </c>
      <c r="AK388" s="1525">
        <f t="shared" si="236"/>
        <v>0</v>
      </c>
      <c r="AL388" s="1525">
        <f t="shared" si="236"/>
        <v>0</v>
      </c>
      <c r="AM388" s="1525">
        <f t="shared" si="236"/>
        <v>0</v>
      </c>
      <c r="AN388" s="1525">
        <f t="shared" si="236"/>
        <v>0</v>
      </c>
      <c r="AO388" s="1525">
        <f t="shared" si="236"/>
        <v>0</v>
      </c>
      <c r="AP388" s="1525">
        <f t="shared" si="236"/>
        <v>0</v>
      </c>
      <c r="AQ388" s="1525">
        <f t="shared" si="236"/>
        <v>0</v>
      </c>
      <c r="AR388" s="1525">
        <f t="shared" si="236"/>
        <v>0</v>
      </c>
      <c r="AS388" s="1525">
        <f t="shared" si="236"/>
        <v>0</v>
      </c>
      <c r="AU388" s="1525"/>
      <c r="AV388" s="1291"/>
      <c r="AW388" s="1292"/>
      <c r="AX388" s="1292"/>
      <c r="AY388" s="1292"/>
      <c r="AZ388" s="1292"/>
      <c r="BA388" s="1292"/>
      <c r="BB388" s="1292"/>
      <c r="BC388" s="1292"/>
      <c r="BD388" s="1292"/>
      <c r="BE388" s="1292"/>
      <c r="BF388" s="1292"/>
      <c r="BG388" s="1292"/>
      <c r="BH388" s="1292"/>
      <c r="BI388" s="1292"/>
      <c r="BJ388" s="1292"/>
      <c r="BK388" s="1292"/>
      <c r="BL388" s="1292"/>
      <c r="BM388" s="1292"/>
      <c r="BN388" s="1292"/>
      <c r="BO388" s="1292"/>
      <c r="BP388" s="1292"/>
      <c r="BQ388" s="1292"/>
      <c r="BR388" s="1292"/>
      <c r="BS388" s="1292"/>
      <c r="BT388" s="1670">
        <f t="shared" si="237"/>
        <v>0</v>
      </c>
      <c r="BW388" s="862" t="s">
        <v>1865</v>
      </c>
    </row>
    <row r="389" spans="2:75" ht="12.75" customHeight="1" x14ac:dyDescent="0.2">
      <c r="B389" s="175">
        <f t="shared" si="228"/>
        <v>7</v>
      </c>
      <c r="C389" s="219">
        <v>18</v>
      </c>
      <c r="E389" s="12" t="s">
        <v>647</v>
      </c>
      <c r="F389" s="26" t="s">
        <v>1753</v>
      </c>
      <c r="G389" s="910" t="s">
        <v>1740</v>
      </c>
      <c r="H389" s="1414">
        <v>151690</v>
      </c>
      <c r="I389" s="197" t="s">
        <v>998</v>
      </c>
      <c r="J389" s="174"/>
      <c r="K389" s="195"/>
      <c r="L389" s="861">
        <v>1</v>
      </c>
      <c r="M389" s="873">
        <f t="shared" si="229"/>
        <v>1</v>
      </c>
      <c r="N389" s="872" t="s">
        <v>416</v>
      </c>
      <c r="O389" s="1196">
        <v>35080</v>
      </c>
      <c r="P389" s="1218">
        <f t="shared" ca="1" si="230"/>
        <v>21.711111111111112</v>
      </c>
      <c r="Q389" s="1163">
        <v>22000</v>
      </c>
      <c r="R389" s="874">
        <f>Q389*0.15</f>
        <v>3300</v>
      </c>
      <c r="S389" s="876"/>
      <c r="T389" s="876"/>
      <c r="U389" s="876"/>
      <c r="V389" s="876"/>
      <c r="W389" s="1026"/>
      <c r="X389" s="1026">
        <f t="shared" si="231"/>
        <v>25300</v>
      </c>
      <c r="Y389" s="1512">
        <f t="shared" si="232"/>
        <v>0</v>
      </c>
      <c r="Z389" s="1741">
        <f t="shared" si="233"/>
        <v>1</v>
      </c>
      <c r="AA389" s="1749">
        <f t="shared" si="234"/>
        <v>0</v>
      </c>
      <c r="AB389" s="1810">
        <f t="shared" si="235"/>
        <v>0</v>
      </c>
      <c r="AC389" s="876"/>
      <c r="AD389" s="1525">
        <f t="shared" si="236"/>
        <v>0</v>
      </c>
      <c r="AE389" s="1525">
        <f t="shared" si="236"/>
        <v>0</v>
      </c>
      <c r="AF389" s="1525">
        <f t="shared" si="236"/>
        <v>0</v>
      </c>
      <c r="AG389" s="1525">
        <f t="shared" si="236"/>
        <v>0</v>
      </c>
      <c r="AH389" s="1525">
        <f t="shared" si="236"/>
        <v>0</v>
      </c>
      <c r="AI389" s="1525">
        <f t="shared" si="236"/>
        <v>0</v>
      </c>
      <c r="AJ389" s="1525">
        <f t="shared" si="236"/>
        <v>0</v>
      </c>
      <c r="AK389" s="1525">
        <f t="shared" si="236"/>
        <v>0</v>
      </c>
      <c r="AL389" s="1525">
        <f t="shared" si="236"/>
        <v>0</v>
      </c>
      <c r="AM389" s="1525">
        <f t="shared" si="236"/>
        <v>0</v>
      </c>
      <c r="AN389" s="1525">
        <f t="shared" si="236"/>
        <v>0</v>
      </c>
      <c r="AO389" s="1525">
        <f t="shared" si="236"/>
        <v>0</v>
      </c>
      <c r="AP389" s="1525">
        <f t="shared" si="236"/>
        <v>0</v>
      </c>
      <c r="AQ389" s="1525">
        <f t="shared" si="236"/>
        <v>0</v>
      </c>
      <c r="AR389" s="1525">
        <f t="shared" si="236"/>
        <v>0</v>
      </c>
      <c r="AS389" s="1525">
        <f t="shared" si="236"/>
        <v>0</v>
      </c>
      <c r="AU389" s="1525"/>
      <c r="AV389" s="1291"/>
      <c r="AW389" s="1292"/>
      <c r="AX389" s="1292"/>
      <c r="AY389" s="1292"/>
      <c r="AZ389" s="1292"/>
      <c r="BA389" s="1292"/>
      <c r="BB389" s="1292"/>
      <c r="BC389" s="1292"/>
      <c r="BD389" s="1292"/>
      <c r="BE389" s="1292"/>
      <c r="BF389" s="1292"/>
      <c r="BG389" s="1292"/>
      <c r="BH389" s="1292"/>
      <c r="BI389" s="1292"/>
      <c r="BJ389" s="1292"/>
      <c r="BK389" s="1292"/>
      <c r="BL389" s="1292"/>
      <c r="BM389" s="1292"/>
      <c r="BN389" s="1292"/>
      <c r="BO389" s="1292"/>
      <c r="BP389" s="1292"/>
      <c r="BQ389" s="1292"/>
      <c r="BR389" s="1292"/>
      <c r="BS389" s="1292"/>
      <c r="BT389" s="1670">
        <f t="shared" si="237"/>
        <v>0</v>
      </c>
      <c r="BW389" s="910" t="s">
        <v>1740</v>
      </c>
    </row>
    <row r="390" spans="2:75" s="164" customFormat="1" ht="12.75" customHeight="1" x14ac:dyDescent="0.2">
      <c r="B390" s="175"/>
      <c r="C390" s="219" t="s">
        <v>1120</v>
      </c>
      <c r="F390" s="33" t="s">
        <v>1238</v>
      </c>
      <c r="G390" s="900"/>
      <c r="H390" s="1419" t="s">
        <v>1508</v>
      </c>
      <c r="I390" s="201"/>
      <c r="J390" s="195"/>
      <c r="K390" s="198">
        <f>SUM(K383:K388)</f>
        <v>0</v>
      </c>
      <c r="L390" s="899">
        <f>SUM(L383:L389)</f>
        <v>5</v>
      </c>
      <c r="M390" s="899">
        <f>SUM(M383:M389)</f>
        <v>5</v>
      </c>
      <c r="N390" s="901"/>
      <c r="O390" s="1192"/>
      <c r="P390" s="550"/>
      <c r="Q390" s="1153"/>
      <c r="R390" s="877"/>
      <c r="S390" s="875"/>
      <c r="T390" s="875"/>
      <c r="U390" s="875"/>
      <c r="V390" s="875"/>
      <c r="W390" s="875"/>
      <c r="X390" s="1026"/>
      <c r="Y390" s="1335"/>
      <c r="Z390" s="1335"/>
      <c r="AA390" s="1775"/>
      <c r="AB390" s="1814"/>
      <c r="AC390" s="876"/>
      <c r="AD390" s="1295"/>
      <c r="AE390" s="1525"/>
      <c r="AF390" s="1525"/>
      <c r="AG390" s="1525"/>
      <c r="AH390" s="1525"/>
      <c r="AI390" s="1525"/>
      <c r="AJ390" s="1525"/>
      <c r="AK390" s="1525"/>
      <c r="AL390" s="1525"/>
      <c r="AM390" s="1525"/>
      <c r="AN390" s="1525"/>
      <c r="AO390" s="1525"/>
      <c r="AP390" s="1525"/>
      <c r="AQ390" s="1525"/>
      <c r="AR390" s="1525"/>
      <c r="AS390" s="1525"/>
      <c r="AU390" s="1525"/>
      <c r="AV390" s="1295"/>
      <c r="AW390" s="1525"/>
      <c r="AX390" s="1525"/>
      <c r="AY390" s="1525"/>
      <c r="AZ390" s="1525"/>
      <c r="BA390" s="1525"/>
      <c r="BB390" s="1525"/>
      <c r="BC390" s="1525"/>
      <c r="BD390" s="1525"/>
      <c r="BE390" s="1525"/>
      <c r="BF390" s="1525"/>
      <c r="BG390" s="1525"/>
      <c r="BH390" s="1525"/>
      <c r="BI390" s="1525"/>
      <c r="BJ390" s="1525"/>
      <c r="BK390" s="1525"/>
      <c r="BL390" s="1525"/>
      <c r="BM390" s="1525"/>
      <c r="BN390" s="1525"/>
      <c r="BO390" s="1525"/>
      <c r="BP390" s="1525"/>
      <c r="BQ390" s="1525"/>
      <c r="BR390" s="1525"/>
      <c r="BS390" s="1525"/>
      <c r="BT390" s="1670"/>
      <c r="BV390"/>
      <c r="BW390" s="900"/>
    </row>
    <row r="391" spans="2:75" s="164" customFormat="1" ht="12.75" customHeight="1" x14ac:dyDescent="0.2">
      <c r="B391" s="175"/>
      <c r="C391" s="219" t="s">
        <v>1120</v>
      </c>
      <c r="F391" s="4" t="s">
        <v>1207</v>
      </c>
      <c r="G391" s="862"/>
      <c r="H391" s="1415" t="s">
        <v>1508</v>
      </c>
      <c r="I391" s="197"/>
      <c r="J391" s="174"/>
      <c r="K391" s="446">
        <f>K379+K390</f>
        <v>0</v>
      </c>
      <c r="L391" s="892">
        <f>L379+L390</f>
        <v>17.5</v>
      </c>
      <c r="M391" s="892">
        <f>M379+M390</f>
        <v>17.5</v>
      </c>
      <c r="N391" s="836"/>
      <c r="O391" s="1192"/>
      <c r="P391" s="550"/>
      <c r="Q391" s="1153"/>
      <c r="R391" s="884"/>
      <c r="S391" s="876"/>
      <c r="T391" s="876"/>
      <c r="U391" s="876"/>
      <c r="V391" s="876"/>
      <c r="W391" s="876"/>
      <c r="X391" s="1026"/>
      <c r="Y391" s="1335"/>
      <c r="Z391" s="1335"/>
      <c r="AA391" s="1775"/>
      <c r="AB391" s="1814"/>
      <c r="AC391" s="876"/>
      <c r="AD391" s="1295"/>
      <c r="AE391" s="1525"/>
      <c r="AF391" s="1525"/>
      <c r="AG391" s="1525"/>
      <c r="AH391" s="1525"/>
      <c r="AI391" s="1525"/>
      <c r="AJ391" s="1525"/>
      <c r="AK391" s="1525"/>
      <c r="AL391" s="1525"/>
      <c r="AM391" s="1525"/>
      <c r="AN391" s="1525"/>
      <c r="AO391" s="1525"/>
      <c r="AP391" s="1525"/>
      <c r="AQ391" s="1525"/>
      <c r="AR391" s="1525"/>
      <c r="AS391" s="1525"/>
      <c r="AU391" s="1525"/>
      <c r="AV391" s="1295"/>
      <c r="AW391" s="1525"/>
      <c r="AX391" s="1525"/>
      <c r="AY391" s="1525"/>
      <c r="AZ391" s="1525"/>
      <c r="BA391" s="1525"/>
      <c r="BB391" s="1525"/>
      <c r="BC391" s="1525"/>
      <c r="BD391" s="1525"/>
      <c r="BE391" s="1525"/>
      <c r="BF391" s="1525"/>
      <c r="BG391" s="1525"/>
      <c r="BH391" s="1525"/>
      <c r="BI391" s="1525"/>
      <c r="BJ391" s="1525"/>
      <c r="BK391" s="1525"/>
      <c r="BL391" s="1525"/>
      <c r="BM391" s="1525"/>
      <c r="BN391" s="1525"/>
      <c r="BO391" s="1525"/>
      <c r="BP391" s="1525"/>
      <c r="BQ391" s="1525"/>
      <c r="BR391" s="1525"/>
      <c r="BS391" s="1525"/>
      <c r="BT391" s="1670"/>
      <c r="BV391"/>
      <c r="BW391" s="862"/>
    </row>
    <row r="392" spans="2:75" s="164" customFormat="1" ht="12.75" customHeight="1" x14ac:dyDescent="0.15">
      <c r="B392" s="175"/>
      <c r="F392" s="21"/>
      <c r="G392" s="859"/>
      <c r="H392" s="1427" t="s">
        <v>1508</v>
      </c>
      <c r="I392" s="244"/>
      <c r="J392" s="233"/>
      <c r="K392" s="233"/>
      <c r="L392" s="921"/>
      <c r="M392" s="921"/>
      <c r="N392" s="857"/>
      <c r="O392" s="1200"/>
      <c r="P392" s="550"/>
      <c r="Q392" s="1148"/>
      <c r="R392" s="874"/>
      <c r="S392" s="875"/>
      <c r="T392" s="875"/>
      <c r="U392" s="875"/>
      <c r="V392" s="875"/>
      <c r="W392" s="875"/>
      <c r="X392" s="1026"/>
      <c r="Y392" s="1754"/>
      <c r="Z392" s="1755"/>
      <c r="AA392" s="1775"/>
      <c r="AB392" s="1814"/>
      <c r="AC392" s="876"/>
      <c r="AD392" s="1295"/>
      <c r="AE392" s="1525"/>
      <c r="AF392" s="1525"/>
      <c r="AG392" s="1525"/>
      <c r="AH392" s="1525"/>
      <c r="AI392" s="1525"/>
      <c r="AJ392" s="1525"/>
      <c r="AK392" s="1525"/>
      <c r="AL392" s="1525"/>
      <c r="AM392" s="1525"/>
      <c r="AN392" s="1525"/>
      <c r="AO392" s="1525"/>
      <c r="AP392" s="1525"/>
      <c r="AQ392" s="1525"/>
      <c r="AR392" s="1525"/>
      <c r="AS392" s="1525"/>
      <c r="AU392" s="1525"/>
      <c r="AV392" s="1295"/>
      <c r="AW392" s="1525"/>
      <c r="AX392" s="1525"/>
      <c r="AY392" s="1525"/>
      <c r="AZ392" s="1525"/>
      <c r="BA392" s="1525"/>
      <c r="BB392" s="1525"/>
      <c r="BC392" s="1525"/>
      <c r="BD392" s="1525"/>
      <c r="BE392" s="1525"/>
      <c r="BF392" s="1525"/>
      <c r="BG392" s="1525"/>
      <c r="BH392" s="1525"/>
      <c r="BI392" s="1525"/>
      <c r="BJ392" s="1525"/>
      <c r="BK392" s="1525"/>
      <c r="BL392" s="1525"/>
      <c r="BM392" s="1525"/>
      <c r="BN392" s="1525"/>
      <c r="BO392" s="1525"/>
      <c r="BP392" s="1525"/>
      <c r="BQ392" s="1525"/>
      <c r="BR392" s="1525"/>
      <c r="BS392" s="1525"/>
      <c r="BT392" s="1670"/>
      <c r="BV392"/>
      <c r="BW392" s="859"/>
    </row>
    <row r="393" spans="2:75" s="164" customFormat="1" ht="12.75" customHeight="1" x14ac:dyDescent="0.2">
      <c r="B393" s="175"/>
      <c r="F393" s="21" t="s">
        <v>1208</v>
      </c>
      <c r="G393" s="859"/>
      <c r="H393" s="1413" t="s">
        <v>1508</v>
      </c>
      <c r="I393" s="200"/>
      <c r="J393" s="189"/>
      <c r="K393" s="189"/>
      <c r="L393" s="858"/>
      <c r="M393" s="858"/>
      <c r="N393" s="857"/>
      <c r="O393" s="1192"/>
      <c r="P393" s="550"/>
      <c r="Q393" s="1148"/>
      <c r="R393" s="874"/>
      <c r="S393" s="875"/>
      <c r="T393" s="875"/>
      <c r="U393" s="875"/>
      <c r="V393" s="875"/>
      <c r="W393" s="875"/>
      <c r="X393" s="1026"/>
      <c r="Y393" s="1754"/>
      <c r="Z393" s="1755"/>
      <c r="AA393" s="1775"/>
      <c r="AB393" s="1814"/>
      <c r="AC393" s="876"/>
      <c r="AD393" s="1295"/>
      <c r="AE393" s="1525"/>
      <c r="AF393" s="1525"/>
      <c r="AG393" s="1525"/>
      <c r="AH393" s="1525"/>
      <c r="AI393" s="1525"/>
      <c r="AJ393" s="1525"/>
      <c r="AK393" s="1525"/>
      <c r="AL393" s="1525"/>
      <c r="AM393" s="1525"/>
      <c r="AN393" s="1525"/>
      <c r="AO393" s="1525"/>
      <c r="AP393" s="1525"/>
      <c r="AQ393" s="1525"/>
      <c r="AR393" s="1525"/>
      <c r="AS393" s="1525"/>
      <c r="AU393" s="1525"/>
      <c r="AV393" s="1295"/>
      <c r="AW393" s="1525"/>
      <c r="AX393" s="1525"/>
      <c r="AY393" s="1525"/>
      <c r="AZ393" s="1525"/>
      <c r="BA393" s="1525"/>
      <c r="BB393" s="1525"/>
      <c r="BC393" s="1525"/>
      <c r="BD393" s="1525"/>
      <c r="BE393" s="1525"/>
      <c r="BF393" s="1525"/>
      <c r="BG393" s="1525"/>
      <c r="BH393" s="1525"/>
      <c r="BI393" s="1525"/>
      <c r="BJ393" s="1525"/>
      <c r="BK393" s="1525"/>
      <c r="BL393" s="1525"/>
      <c r="BM393" s="1525"/>
      <c r="BN393" s="1525"/>
      <c r="BO393" s="1525"/>
      <c r="BP393" s="1525"/>
      <c r="BQ393" s="1525"/>
      <c r="BR393" s="1525"/>
      <c r="BS393" s="1525"/>
      <c r="BT393" s="1670"/>
      <c r="BV393"/>
      <c r="BW393" s="859"/>
    </row>
    <row r="394" spans="2:75" s="164" customFormat="1" ht="12.75" customHeight="1" x14ac:dyDescent="0.15">
      <c r="B394" s="175"/>
      <c r="F394" s="24"/>
      <c r="G394" s="859"/>
      <c r="H394" s="1413" t="s">
        <v>1508</v>
      </c>
      <c r="I394" s="200"/>
      <c r="J394" s="189"/>
      <c r="K394" s="189"/>
      <c r="L394" s="858"/>
      <c r="M394" s="858"/>
      <c r="N394" s="857"/>
      <c r="O394" s="1200"/>
      <c r="P394" s="550"/>
      <c r="Q394" s="1148"/>
      <c r="R394" s="874"/>
      <c r="S394" s="875"/>
      <c r="T394" s="875"/>
      <c r="U394" s="875"/>
      <c r="V394" s="875"/>
      <c r="W394" s="875"/>
      <c r="X394" s="1026"/>
      <c r="Y394" s="1754"/>
      <c r="Z394" s="1755"/>
      <c r="AA394" s="1775"/>
      <c r="AB394" s="1814"/>
      <c r="AC394" s="876"/>
      <c r="AD394" s="1295"/>
      <c r="AE394" s="1525"/>
      <c r="AF394" s="1525"/>
      <c r="AG394" s="1525"/>
      <c r="AH394" s="1525"/>
      <c r="AI394" s="1525"/>
      <c r="AJ394" s="1525"/>
      <c r="AK394" s="1525"/>
      <c r="AL394" s="1525"/>
      <c r="AM394" s="1525"/>
      <c r="AN394" s="1525"/>
      <c r="AO394" s="1525"/>
      <c r="AP394" s="1525"/>
      <c r="AQ394" s="1525"/>
      <c r="AR394" s="1525"/>
      <c r="AS394" s="1525"/>
      <c r="AU394" s="1525"/>
      <c r="AV394" s="1295"/>
      <c r="AW394" s="1525"/>
      <c r="AX394" s="1525"/>
      <c r="AY394" s="1525"/>
      <c r="AZ394" s="1525"/>
      <c r="BA394" s="1525"/>
      <c r="BB394" s="1525"/>
      <c r="BC394" s="1525"/>
      <c r="BD394" s="1525"/>
      <c r="BE394" s="1525"/>
      <c r="BF394" s="1525"/>
      <c r="BG394" s="1525"/>
      <c r="BH394" s="1525"/>
      <c r="BI394" s="1525"/>
      <c r="BJ394" s="1525"/>
      <c r="BK394" s="1525"/>
      <c r="BL394" s="1525"/>
      <c r="BM394" s="1525"/>
      <c r="BN394" s="1525"/>
      <c r="BO394" s="1525"/>
      <c r="BP394" s="1525"/>
      <c r="BQ394" s="1525"/>
      <c r="BR394" s="1525"/>
      <c r="BS394" s="1525"/>
      <c r="BT394" s="1670"/>
      <c r="BV394"/>
      <c r="BW394" s="859"/>
    </row>
    <row r="395" spans="2:75" ht="12.75" customHeight="1" x14ac:dyDescent="0.2">
      <c r="B395" s="175">
        <f t="shared" ref="B395:B405" si="238">B394+1</f>
        <v>1</v>
      </c>
      <c r="C395" s="219">
        <v>5</v>
      </c>
      <c r="E395" s="12" t="s">
        <v>647</v>
      </c>
      <c r="F395" s="24" t="s">
        <v>166</v>
      </c>
      <c r="G395" s="859" t="s">
        <v>473</v>
      </c>
      <c r="H395" s="1413">
        <v>45739</v>
      </c>
      <c r="I395" s="200" t="s">
        <v>351</v>
      </c>
      <c r="J395" s="189"/>
      <c r="K395" s="189"/>
      <c r="L395" s="858">
        <v>1</v>
      </c>
      <c r="M395" s="858">
        <f t="shared" ref="M395:M405" si="239">K395+L395</f>
        <v>1</v>
      </c>
      <c r="N395" s="857" t="s">
        <v>1326</v>
      </c>
      <c r="O395" s="1196">
        <v>23951</v>
      </c>
      <c r="P395" s="1218">
        <f t="shared" ref="P395:P405" ca="1" si="240">YEARFRAC(TODAY(),O395)</f>
        <v>52.177777777777777</v>
      </c>
      <c r="Q395" s="1148">
        <v>46750</v>
      </c>
      <c r="R395" s="874">
        <f t="shared" ref="R395:R405" si="241">Q395*0.1</f>
        <v>4675</v>
      </c>
      <c r="S395" s="875">
        <v>3000</v>
      </c>
      <c r="T395" s="875">
        <v>36000</v>
      </c>
      <c r="U395" s="875"/>
      <c r="V395" s="875"/>
      <c r="W395" s="875"/>
      <c r="X395" s="1026">
        <f t="shared" ref="X395:X405" si="242">(Q395+R395+S395+T395+U395+V395+W395)*M395</f>
        <v>90425</v>
      </c>
      <c r="Y395" s="1512">
        <f t="shared" ref="Y395:Y404" si="243">(T395+U395)*M395/(X395-M395*(T395+U395))</f>
        <v>0.6614607257694074</v>
      </c>
      <c r="Z395" s="1741">
        <f t="shared" ref="Z395:Z405" si="244">M395*(1+Y395)</f>
        <v>1.6614607257694074</v>
      </c>
      <c r="AA395" s="1749">
        <f t="shared" ref="AA395:AA405" si="245">SUM(AD395:AS395)</f>
        <v>0</v>
      </c>
      <c r="AB395" s="1810">
        <f t="shared" ref="AB395:AB405" si="246">100*AA395/Z395</f>
        <v>0</v>
      </c>
      <c r="AC395" s="876"/>
      <c r="AD395" s="1525">
        <f t="shared" ref="AD395:AS405" si="247">SUMIF($AV$6:$BS$6,AD$5,$AV395:$BS395)</f>
        <v>0</v>
      </c>
      <c r="AE395" s="1525">
        <f t="shared" si="247"/>
        <v>0</v>
      </c>
      <c r="AF395" s="1525">
        <f t="shared" si="247"/>
        <v>0</v>
      </c>
      <c r="AG395" s="1525">
        <f t="shared" si="247"/>
        <v>0</v>
      </c>
      <c r="AH395" s="1525">
        <f t="shared" si="247"/>
        <v>0</v>
      </c>
      <c r="AI395" s="1525">
        <f t="shared" si="247"/>
        <v>0</v>
      </c>
      <c r="AJ395" s="1525">
        <f t="shared" si="247"/>
        <v>0</v>
      </c>
      <c r="AK395" s="1525">
        <f t="shared" si="247"/>
        <v>0</v>
      </c>
      <c r="AL395" s="1525">
        <f t="shared" si="247"/>
        <v>0</v>
      </c>
      <c r="AM395" s="1525">
        <f t="shared" si="247"/>
        <v>0</v>
      </c>
      <c r="AN395" s="1525">
        <f t="shared" si="247"/>
        <v>0</v>
      </c>
      <c r="AO395" s="1525">
        <f t="shared" si="247"/>
        <v>0</v>
      </c>
      <c r="AP395" s="1525">
        <f t="shared" si="247"/>
        <v>0</v>
      </c>
      <c r="AQ395" s="1525">
        <f t="shared" si="247"/>
        <v>0</v>
      </c>
      <c r="AR395" s="1525">
        <f t="shared" si="247"/>
        <v>0</v>
      </c>
      <c r="AS395" s="1525">
        <f t="shared" si="247"/>
        <v>0</v>
      </c>
      <c r="AU395" s="1525"/>
      <c r="AV395" s="1291"/>
      <c r="AW395" s="1292"/>
      <c r="AX395" s="1292"/>
      <c r="AY395" s="1292"/>
      <c r="AZ395" s="1292"/>
      <c r="BA395" s="1292"/>
      <c r="BB395" s="1292"/>
      <c r="BC395" s="1292"/>
      <c r="BD395" s="1292"/>
      <c r="BE395" s="1292"/>
      <c r="BF395" s="1292"/>
      <c r="BG395" s="1292"/>
      <c r="BH395" s="1292"/>
      <c r="BI395" s="1292"/>
      <c r="BJ395" s="1292"/>
      <c r="BK395" s="1292"/>
      <c r="BL395" s="1292"/>
      <c r="BM395" s="1292"/>
      <c r="BN395" s="1292"/>
      <c r="BO395" s="1292"/>
      <c r="BP395" s="1292"/>
      <c r="BQ395" s="1292"/>
      <c r="BR395" s="1292"/>
      <c r="BS395" s="1292"/>
      <c r="BT395" s="1670">
        <f t="shared" ref="BT395:BT405" si="248">SUM(AV395:BS395)</f>
        <v>0</v>
      </c>
      <c r="BW395" s="859" t="s">
        <v>473</v>
      </c>
    </row>
    <row r="396" spans="2:75" ht="12.75" customHeight="1" x14ac:dyDescent="0.2">
      <c r="B396" s="175">
        <f t="shared" si="238"/>
        <v>2</v>
      </c>
      <c r="C396" s="236">
        <v>6</v>
      </c>
      <c r="D396" s="218"/>
      <c r="E396" s="166" t="s">
        <v>647</v>
      </c>
      <c r="F396" s="24" t="s">
        <v>167</v>
      </c>
      <c r="G396" s="859" t="s">
        <v>1864</v>
      </c>
      <c r="H396" s="1413">
        <v>7575</v>
      </c>
      <c r="I396" s="200" t="s">
        <v>351</v>
      </c>
      <c r="J396" s="189"/>
      <c r="K396" s="189"/>
      <c r="L396" s="858">
        <v>1</v>
      </c>
      <c r="M396" s="858">
        <f t="shared" si="239"/>
        <v>1</v>
      </c>
      <c r="N396" s="857" t="s">
        <v>1326</v>
      </c>
      <c r="O396" s="1196">
        <v>13072</v>
      </c>
      <c r="P396" s="1218">
        <f t="shared" ca="1" si="240"/>
        <v>81.963888888888889</v>
      </c>
      <c r="Q396" s="1148">
        <v>73400</v>
      </c>
      <c r="R396" s="874">
        <f t="shared" si="241"/>
        <v>7340</v>
      </c>
      <c r="S396" s="875">
        <v>7000</v>
      </c>
      <c r="T396" s="875">
        <v>23000</v>
      </c>
      <c r="U396" s="875"/>
      <c r="V396" s="875"/>
      <c r="W396" s="875"/>
      <c r="X396" s="1026">
        <f t="shared" si="242"/>
        <v>110740</v>
      </c>
      <c r="Y396" s="1512">
        <f t="shared" si="243"/>
        <v>0.2621381354000456</v>
      </c>
      <c r="Z396" s="1741">
        <f t="shared" si="244"/>
        <v>1.2621381354000456</v>
      </c>
      <c r="AA396" s="1749">
        <f t="shared" si="245"/>
        <v>0</v>
      </c>
      <c r="AB396" s="1810">
        <f t="shared" si="246"/>
        <v>0</v>
      </c>
      <c r="AC396" s="876"/>
      <c r="AD396" s="1525">
        <f t="shared" si="247"/>
        <v>0</v>
      </c>
      <c r="AE396" s="1525">
        <f t="shared" si="247"/>
        <v>0</v>
      </c>
      <c r="AF396" s="1525">
        <f t="shared" si="247"/>
        <v>0</v>
      </c>
      <c r="AG396" s="1525">
        <f t="shared" si="247"/>
        <v>0</v>
      </c>
      <c r="AH396" s="1525">
        <f t="shared" si="247"/>
        <v>0</v>
      </c>
      <c r="AI396" s="1525">
        <f t="shared" si="247"/>
        <v>0</v>
      </c>
      <c r="AJ396" s="1525">
        <f t="shared" si="247"/>
        <v>0</v>
      </c>
      <c r="AK396" s="1525">
        <f t="shared" si="247"/>
        <v>0</v>
      </c>
      <c r="AL396" s="1525">
        <f t="shared" si="247"/>
        <v>0</v>
      </c>
      <c r="AM396" s="1525">
        <f t="shared" si="247"/>
        <v>0</v>
      </c>
      <c r="AN396" s="1525">
        <f t="shared" si="247"/>
        <v>0</v>
      </c>
      <c r="AO396" s="1525">
        <f t="shared" si="247"/>
        <v>0</v>
      </c>
      <c r="AP396" s="1525">
        <f t="shared" si="247"/>
        <v>0</v>
      </c>
      <c r="AQ396" s="1525">
        <f t="shared" si="247"/>
        <v>0</v>
      </c>
      <c r="AR396" s="1525">
        <f t="shared" si="247"/>
        <v>0</v>
      </c>
      <c r="AS396" s="1525">
        <f t="shared" si="247"/>
        <v>0</v>
      </c>
      <c r="AU396" s="1525"/>
      <c r="AV396" s="1291"/>
      <c r="AW396" s="1292"/>
      <c r="AX396" s="1292"/>
      <c r="AY396" s="1292"/>
      <c r="AZ396" s="1292"/>
      <c r="BA396" s="1292"/>
      <c r="BB396" s="1292"/>
      <c r="BC396" s="1292"/>
      <c r="BD396" s="1292"/>
      <c r="BE396" s="1292"/>
      <c r="BF396" s="1292"/>
      <c r="BG396" s="1292"/>
      <c r="BH396" s="1292"/>
      <c r="BI396" s="1292"/>
      <c r="BJ396" s="1292"/>
      <c r="BK396" s="1292"/>
      <c r="BL396" s="1292"/>
      <c r="BM396" s="1292"/>
      <c r="BN396" s="1292"/>
      <c r="BO396" s="1292"/>
      <c r="BP396" s="1292"/>
      <c r="BQ396" s="1292"/>
      <c r="BR396" s="1292"/>
      <c r="BS396" s="1292"/>
      <c r="BT396" s="1670">
        <f t="shared" si="248"/>
        <v>0</v>
      </c>
      <c r="BW396" s="859" t="s">
        <v>1864</v>
      </c>
    </row>
    <row r="397" spans="2:75" ht="12.75" customHeight="1" x14ac:dyDescent="0.2">
      <c r="B397" s="175">
        <f t="shared" si="238"/>
        <v>3</v>
      </c>
      <c r="C397" s="219">
        <v>8</v>
      </c>
      <c r="E397" s="12" t="s">
        <v>647</v>
      </c>
      <c r="F397" s="24" t="s">
        <v>353</v>
      </c>
      <c r="G397" s="859" t="s">
        <v>474</v>
      </c>
      <c r="H397" s="1413">
        <v>6205</v>
      </c>
      <c r="I397" s="200" t="s">
        <v>351</v>
      </c>
      <c r="J397" s="189"/>
      <c r="K397" s="189"/>
      <c r="L397" s="858">
        <v>1</v>
      </c>
      <c r="M397" s="858">
        <f t="shared" si="239"/>
        <v>1</v>
      </c>
      <c r="N397" s="857" t="s">
        <v>1326</v>
      </c>
      <c r="O397" s="1196">
        <v>20988</v>
      </c>
      <c r="P397" s="1218">
        <f t="shared" ca="1" si="240"/>
        <v>60.291666666666664</v>
      </c>
      <c r="Q397" s="1148">
        <v>41450</v>
      </c>
      <c r="R397" s="874">
        <f t="shared" si="241"/>
        <v>4145</v>
      </c>
      <c r="S397" s="875"/>
      <c r="T397" s="875">
        <v>24800</v>
      </c>
      <c r="U397" s="875"/>
      <c r="V397" s="875"/>
      <c r="W397" s="875"/>
      <c r="X397" s="1026">
        <f t="shared" si="242"/>
        <v>70395</v>
      </c>
      <c r="Y397" s="1512">
        <f t="shared" si="243"/>
        <v>0.54391928939576706</v>
      </c>
      <c r="Z397" s="1741">
        <f t="shared" si="244"/>
        <v>1.5439192893957672</v>
      </c>
      <c r="AA397" s="1749">
        <f t="shared" si="245"/>
        <v>0</v>
      </c>
      <c r="AB397" s="1810">
        <f t="shared" si="246"/>
        <v>0</v>
      </c>
      <c r="AC397" s="876"/>
      <c r="AD397" s="1525">
        <f t="shared" si="247"/>
        <v>0</v>
      </c>
      <c r="AE397" s="1525">
        <f t="shared" si="247"/>
        <v>0</v>
      </c>
      <c r="AF397" s="1525">
        <f t="shared" si="247"/>
        <v>0</v>
      </c>
      <c r="AG397" s="1525">
        <f t="shared" si="247"/>
        <v>0</v>
      </c>
      <c r="AH397" s="1525">
        <f t="shared" si="247"/>
        <v>0</v>
      </c>
      <c r="AI397" s="1525">
        <f t="shared" si="247"/>
        <v>0</v>
      </c>
      <c r="AJ397" s="1525">
        <f t="shared" si="247"/>
        <v>0</v>
      </c>
      <c r="AK397" s="1525">
        <f t="shared" si="247"/>
        <v>0</v>
      </c>
      <c r="AL397" s="1525">
        <f t="shared" si="247"/>
        <v>0</v>
      </c>
      <c r="AM397" s="1525">
        <f t="shared" si="247"/>
        <v>0</v>
      </c>
      <c r="AN397" s="1525">
        <f t="shared" si="247"/>
        <v>0</v>
      </c>
      <c r="AO397" s="1525">
        <f t="shared" si="247"/>
        <v>0</v>
      </c>
      <c r="AP397" s="1525">
        <f t="shared" si="247"/>
        <v>0</v>
      </c>
      <c r="AQ397" s="1525">
        <f t="shared" si="247"/>
        <v>0</v>
      </c>
      <c r="AR397" s="1525">
        <f t="shared" si="247"/>
        <v>0</v>
      </c>
      <c r="AS397" s="1525">
        <f t="shared" si="247"/>
        <v>0</v>
      </c>
      <c r="AU397" s="1525"/>
      <c r="AV397" s="1291"/>
      <c r="AW397" s="1292"/>
      <c r="AX397" s="1292"/>
      <c r="AY397" s="1292"/>
      <c r="AZ397" s="1292"/>
      <c r="BA397" s="1292"/>
      <c r="BB397" s="1292"/>
      <c r="BC397" s="1292"/>
      <c r="BD397" s="1292"/>
      <c r="BE397" s="1292"/>
      <c r="BF397" s="1292"/>
      <c r="BG397" s="1292"/>
      <c r="BH397" s="1292"/>
      <c r="BI397" s="1292"/>
      <c r="BJ397" s="1292"/>
      <c r="BK397" s="1292"/>
      <c r="BL397" s="1292"/>
      <c r="BM397" s="1292"/>
      <c r="BN397" s="1292"/>
      <c r="BO397" s="1292"/>
      <c r="BP397" s="1292"/>
      <c r="BQ397" s="1292"/>
      <c r="BR397" s="1292"/>
      <c r="BS397" s="1292"/>
      <c r="BT397" s="1670">
        <f t="shared" si="248"/>
        <v>0</v>
      </c>
      <c r="BW397" s="859" t="s">
        <v>474</v>
      </c>
    </row>
    <row r="398" spans="2:75" ht="12.75" customHeight="1" x14ac:dyDescent="0.2">
      <c r="B398" s="175">
        <f t="shared" si="238"/>
        <v>4</v>
      </c>
      <c r="C398" s="219">
        <v>9</v>
      </c>
      <c r="E398" s="12" t="s">
        <v>647</v>
      </c>
      <c r="F398" s="24" t="s">
        <v>119</v>
      </c>
      <c r="G398" s="859" t="s">
        <v>1266</v>
      </c>
      <c r="H398" s="1413">
        <v>102197</v>
      </c>
      <c r="I398" s="200" t="s">
        <v>351</v>
      </c>
      <c r="J398" s="189"/>
      <c r="K398" s="189"/>
      <c r="L398" s="858">
        <v>1</v>
      </c>
      <c r="M398" s="858">
        <f t="shared" si="239"/>
        <v>1</v>
      </c>
      <c r="N398" s="857" t="s">
        <v>1326</v>
      </c>
      <c r="O398" s="1196">
        <v>31963</v>
      </c>
      <c r="P398" s="1218">
        <f t="shared" ca="1" si="240"/>
        <v>30.241666666666667</v>
      </c>
      <c r="Q398" s="1148">
        <v>41500</v>
      </c>
      <c r="R398" s="874">
        <f t="shared" si="241"/>
        <v>4150</v>
      </c>
      <c r="S398" s="875"/>
      <c r="T398" s="875">
        <v>15100</v>
      </c>
      <c r="U398" s="875"/>
      <c r="V398" s="875"/>
      <c r="W398" s="875"/>
      <c r="X398" s="1026">
        <f t="shared" si="242"/>
        <v>60750</v>
      </c>
      <c r="Y398" s="1512">
        <f t="shared" si="243"/>
        <v>0.33077765607886089</v>
      </c>
      <c r="Z398" s="1741">
        <f t="shared" si="244"/>
        <v>1.3307776560788609</v>
      </c>
      <c r="AA398" s="1749">
        <f t="shared" si="245"/>
        <v>0</v>
      </c>
      <c r="AB398" s="1810">
        <f t="shared" si="246"/>
        <v>0</v>
      </c>
      <c r="AC398" s="876"/>
      <c r="AD398" s="1525">
        <f t="shared" si="247"/>
        <v>0</v>
      </c>
      <c r="AE398" s="1525">
        <f t="shared" si="247"/>
        <v>0</v>
      </c>
      <c r="AF398" s="1525">
        <f t="shared" si="247"/>
        <v>0</v>
      </c>
      <c r="AG398" s="1525">
        <f t="shared" si="247"/>
        <v>0</v>
      </c>
      <c r="AH398" s="1525">
        <f t="shared" si="247"/>
        <v>0</v>
      </c>
      <c r="AI398" s="1525">
        <f t="shared" si="247"/>
        <v>0</v>
      </c>
      <c r="AJ398" s="1525">
        <f t="shared" si="247"/>
        <v>0</v>
      </c>
      <c r="AK398" s="1525">
        <f t="shared" si="247"/>
        <v>0</v>
      </c>
      <c r="AL398" s="1525">
        <f t="shared" si="247"/>
        <v>0</v>
      </c>
      <c r="AM398" s="1525">
        <f t="shared" si="247"/>
        <v>0</v>
      </c>
      <c r="AN398" s="1525">
        <f t="shared" si="247"/>
        <v>0</v>
      </c>
      <c r="AO398" s="1525">
        <f t="shared" si="247"/>
        <v>0</v>
      </c>
      <c r="AP398" s="1525">
        <f t="shared" si="247"/>
        <v>0</v>
      </c>
      <c r="AQ398" s="1525">
        <f t="shared" si="247"/>
        <v>0</v>
      </c>
      <c r="AR398" s="1525">
        <f t="shared" si="247"/>
        <v>0</v>
      </c>
      <c r="AS398" s="1525">
        <f t="shared" si="247"/>
        <v>0</v>
      </c>
      <c r="AU398" s="1525"/>
      <c r="AV398" s="1291"/>
      <c r="AW398" s="1292"/>
      <c r="AX398" s="1292"/>
      <c r="AY398" s="1292"/>
      <c r="AZ398" s="1292"/>
      <c r="BA398" s="1292"/>
      <c r="BB398" s="1292"/>
      <c r="BC398" s="1292"/>
      <c r="BD398" s="1292"/>
      <c r="BE398" s="1292"/>
      <c r="BF398" s="1292"/>
      <c r="BG398" s="1292"/>
      <c r="BH398" s="1292"/>
      <c r="BI398" s="1292"/>
      <c r="BJ398" s="1292"/>
      <c r="BK398" s="1292"/>
      <c r="BL398" s="1292"/>
      <c r="BM398" s="1292"/>
      <c r="BN398" s="1292"/>
      <c r="BO398" s="1292"/>
      <c r="BP398" s="1292"/>
      <c r="BQ398" s="1292"/>
      <c r="BR398" s="1292"/>
      <c r="BS398" s="1292"/>
      <c r="BT398" s="1670">
        <f t="shared" si="248"/>
        <v>0</v>
      </c>
      <c r="BW398" s="859" t="s">
        <v>1266</v>
      </c>
    </row>
    <row r="399" spans="2:75" ht="12.75" customHeight="1" x14ac:dyDescent="0.2">
      <c r="B399" s="175">
        <f t="shared" si="238"/>
        <v>5</v>
      </c>
      <c r="C399" s="219">
        <v>10</v>
      </c>
      <c r="E399" s="12" t="s">
        <v>647</v>
      </c>
      <c r="F399" s="24" t="s">
        <v>558</v>
      </c>
      <c r="G399" s="859" t="s">
        <v>1579</v>
      </c>
      <c r="H399" s="1413">
        <v>121040</v>
      </c>
      <c r="I399" s="200" t="s">
        <v>351</v>
      </c>
      <c r="J399" s="189"/>
      <c r="K399" s="189"/>
      <c r="L399" s="858">
        <v>1</v>
      </c>
      <c r="M399" s="858">
        <f t="shared" si="239"/>
        <v>1</v>
      </c>
      <c r="N399" s="857" t="s">
        <v>1326</v>
      </c>
      <c r="O399" s="1196">
        <v>32507</v>
      </c>
      <c r="P399" s="1218">
        <f t="shared" ca="1" si="240"/>
        <v>28.755555555555556</v>
      </c>
      <c r="Q399" s="1148">
        <v>29900</v>
      </c>
      <c r="R399" s="874">
        <f t="shared" si="241"/>
        <v>2990</v>
      </c>
      <c r="S399" s="875"/>
      <c r="T399" s="875">
        <v>5000</v>
      </c>
      <c r="U399" s="875"/>
      <c r="V399" s="875"/>
      <c r="W399" s="875"/>
      <c r="X399" s="1026">
        <f t="shared" si="242"/>
        <v>37890</v>
      </c>
      <c r="Y399" s="1512">
        <f t="shared" si="243"/>
        <v>0.15202189115232592</v>
      </c>
      <c r="Z399" s="1741">
        <f t="shared" si="244"/>
        <v>1.1520218911523259</v>
      </c>
      <c r="AA399" s="1749">
        <f t="shared" si="245"/>
        <v>0</v>
      </c>
      <c r="AB399" s="1810">
        <f t="shared" si="246"/>
        <v>0</v>
      </c>
      <c r="AC399" s="876"/>
      <c r="AD399" s="1525">
        <f t="shared" si="247"/>
        <v>0</v>
      </c>
      <c r="AE399" s="1525">
        <f t="shared" si="247"/>
        <v>0</v>
      </c>
      <c r="AF399" s="1525">
        <f t="shared" si="247"/>
        <v>0</v>
      </c>
      <c r="AG399" s="1525">
        <f t="shared" si="247"/>
        <v>0</v>
      </c>
      <c r="AH399" s="1525">
        <f t="shared" si="247"/>
        <v>0</v>
      </c>
      <c r="AI399" s="1525">
        <f t="shared" si="247"/>
        <v>0</v>
      </c>
      <c r="AJ399" s="1525">
        <f t="shared" si="247"/>
        <v>0</v>
      </c>
      <c r="AK399" s="1525">
        <f t="shared" si="247"/>
        <v>0</v>
      </c>
      <c r="AL399" s="1525">
        <f t="shared" si="247"/>
        <v>0</v>
      </c>
      <c r="AM399" s="1525">
        <f t="shared" si="247"/>
        <v>0</v>
      </c>
      <c r="AN399" s="1525">
        <f t="shared" si="247"/>
        <v>0</v>
      </c>
      <c r="AO399" s="1525">
        <f t="shared" si="247"/>
        <v>0</v>
      </c>
      <c r="AP399" s="1525">
        <f t="shared" si="247"/>
        <v>0</v>
      </c>
      <c r="AQ399" s="1525">
        <f t="shared" si="247"/>
        <v>0</v>
      </c>
      <c r="AR399" s="1525">
        <f t="shared" si="247"/>
        <v>0</v>
      </c>
      <c r="AS399" s="1525">
        <f t="shared" si="247"/>
        <v>0</v>
      </c>
      <c r="AU399" s="1525"/>
      <c r="AV399" s="1291"/>
      <c r="AW399" s="1292"/>
      <c r="AX399" s="1292"/>
      <c r="AY399" s="1292"/>
      <c r="AZ399" s="1292"/>
      <c r="BA399" s="1292"/>
      <c r="BB399" s="1292"/>
      <c r="BC399" s="1292"/>
      <c r="BD399" s="1292"/>
      <c r="BE399" s="1292"/>
      <c r="BF399" s="1292"/>
      <c r="BG399" s="1292"/>
      <c r="BH399" s="1292"/>
      <c r="BI399" s="1292"/>
      <c r="BJ399" s="1292"/>
      <c r="BK399" s="1292"/>
      <c r="BL399" s="1292"/>
      <c r="BM399" s="1292"/>
      <c r="BN399" s="1292"/>
      <c r="BO399" s="1292"/>
      <c r="BP399" s="1292"/>
      <c r="BQ399" s="1292"/>
      <c r="BR399" s="1292"/>
      <c r="BS399" s="1292"/>
      <c r="BT399" s="1670">
        <f t="shared" si="248"/>
        <v>0</v>
      </c>
      <c r="BW399" s="859" t="s">
        <v>1579</v>
      </c>
    </row>
    <row r="400" spans="2:75" ht="12.75" customHeight="1" x14ac:dyDescent="0.2">
      <c r="B400" s="175">
        <f t="shared" si="238"/>
        <v>6</v>
      </c>
      <c r="C400" s="219">
        <v>13</v>
      </c>
      <c r="E400" s="12" t="s">
        <v>647</v>
      </c>
      <c r="F400" s="24" t="s">
        <v>1272</v>
      </c>
      <c r="G400" s="859" t="s">
        <v>1797</v>
      </c>
      <c r="H400" s="1413">
        <v>161770</v>
      </c>
      <c r="I400" s="197" t="s">
        <v>1584</v>
      </c>
      <c r="J400" s="189"/>
      <c r="K400" s="189"/>
      <c r="L400" s="858">
        <v>1</v>
      </c>
      <c r="M400" s="858">
        <f t="shared" si="239"/>
        <v>1</v>
      </c>
      <c r="N400" s="857" t="s">
        <v>1326</v>
      </c>
      <c r="O400" s="1196">
        <v>28620</v>
      </c>
      <c r="P400" s="1218">
        <f t="shared" ca="1" si="240"/>
        <v>39.394444444444446</v>
      </c>
      <c r="Q400" s="1148">
        <v>27000</v>
      </c>
      <c r="R400" s="874">
        <f t="shared" si="241"/>
        <v>2700</v>
      </c>
      <c r="S400" s="875"/>
      <c r="T400" s="875"/>
      <c r="U400" s="875"/>
      <c r="V400" s="875"/>
      <c r="W400" s="875"/>
      <c r="X400" s="1026">
        <f t="shared" si="242"/>
        <v>29700</v>
      </c>
      <c r="Y400" s="1512">
        <f t="shared" si="243"/>
        <v>0</v>
      </c>
      <c r="Z400" s="1741">
        <f t="shared" si="244"/>
        <v>1</v>
      </c>
      <c r="AA400" s="1749">
        <f t="shared" si="245"/>
        <v>0</v>
      </c>
      <c r="AB400" s="1810">
        <f t="shared" si="246"/>
        <v>0</v>
      </c>
      <c r="AC400" s="876"/>
      <c r="AD400" s="1525">
        <f t="shared" si="247"/>
        <v>0</v>
      </c>
      <c r="AE400" s="1525">
        <f t="shared" si="247"/>
        <v>0</v>
      </c>
      <c r="AF400" s="1525">
        <f t="shared" si="247"/>
        <v>0</v>
      </c>
      <c r="AG400" s="1525">
        <f t="shared" si="247"/>
        <v>0</v>
      </c>
      <c r="AH400" s="1525">
        <f t="shared" si="247"/>
        <v>0</v>
      </c>
      <c r="AI400" s="1525">
        <f t="shared" si="247"/>
        <v>0</v>
      </c>
      <c r="AJ400" s="1525">
        <f t="shared" si="247"/>
        <v>0</v>
      </c>
      <c r="AK400" s="1525">
        <f t="shared" si="247"/>
        <v>0</v>
      </c>
      <c r="AL400" s="1525">
        <f t="shared" si="247"/>
        <v>0</v>
      </c>
      <c r="AM400" s="1525">
        <f t="shared" si="247"/>
        <v>0</v>
      </c>
      <c r="AN400" s="1525">
        <f t="shared" si="247"/>
        <v>0</v>
      </c>
      <c r="AO400" s="1525">
        <f t="shared" si="247"/>
        <v>0</v>
      </c>
      <c r="AP400" s="1525">
        <f t="shared" si="247"/>
        <v>0</v>
      </c>
      <c r="AQ400" s="1525">
        <f t="shared" si="247"/>
        <v>0</v>
      </c>
      <c r="AR400" s="1525">
        <f t="shared" si="247"/>
        <v>0</v>
      </c>
      <c r="AS400" s="1525">
        <f t="shared" si="247"/>
        <v>0</v>
      </c>
      <c r="AU400" s="1525"/>
      <c r="AV400" s="1291"/>
      <c r="AW400" s="1292"/>
      <c r="AX400" s="1292"/>
      <c r="AY400" s="1292"/>
      <c r="AZ400" s="1292"/>
      <c r="BA400" s="1292"/>
      <c r="BB400" s="1292"/>
      <c r="BC400" s="1292"/>
      <c r="BD400" s="1292"/>
      <c r="BE400" s="1292"/>
      <c r="BF400" s="1292"/>
      <c r="BG400" s="1292"/>
      <c r="BH400" s="1292"/>
      <c r="BI400" s="1292"/>
      <c r="BJ400" s="1292"/>
      <c r="BK400" s="1292"/>
      <c r="BL400" s="1292"/>
      <c r="BM400" s="1292"/>
      <c r="BN400" s="1292"/>
      <c r="BO400" s="1292"/>
      <c r="BP400" s="1292"/>
      <c r="BQ400" s="1292"/>
      <c r="BR400" s="1292"/>
      <c r="BS400" s="1292"/>
      <c r="BT400" s="1670">
        <f t="shared" si="248"/>
        <v>0</v>
      </c>
      <c r="BW400" s="859" t="s">
        <v>1797</v>
      </c>
    </row>
    <row r="401" spans="2:75" ht="12.75" customHeight="1" x14ac:dyDescent="0.2">
      <c r="B401" s="175">
        <f t="shared" si="238"/>
        <v>7</v>
      </c>
      <c r="C401" s="219">
        <v>14</v>
      </c>
      <c r="E401" s="12" t="s">
        <v>647</v>
      </c>
      <c r="F401" s="4" t="s">
        <v>626</v>
      </c>
      <c r="G401" s="859" t="s">
        <v>475</v>
      </c>
      <c r="H401" s="1413">
        <v>96718</v>
      </c>
      <c r="I401" s="197" t="s">
        <v>1584</v>
      </c>
      <c r="J401" s="174"/>
      <c r="K401" s="174"/>
      <c r="L401" s="861">
        <v>1</v>
      </c>
      <c r="M401" s="858">
        <f t="shared" si="239"/>
        <v>1</v>
      </c>
      <c r="N401" s="857" t="s">
        <v>1326</v>
      </c>
      <c r="O401" s="1196">
        <v>25685</v>
      </c>
      <c r="P401" s="1218">
        <f t="shared" ca="1" si="240"/>
        <v>47.430555555555557</v>
      </c>
      <c r="Q401" s="1148">
        <v>35000</v>
      </c>
      <c r="R401" s="874">
        <f t="shared" si="241"/>
        <v>3500</v>
      </c>
      <c r="S401" s="875"/>
      <c r="T401" s="875">
        <v>29800</v>
      </c>
      <c r="U401" s="875"/>
      <c r="V401" s="875"/>
      <c r="W401" s="875"/>
      <c r="X401" s="1026">
        <f t="shared" si="242"/>
        <v>68300</v>
      </c>
      <c r="Y401" s="1512">
        <f t="shared" si="243"/>
        <v>0.77402597402597406</v>
      </c>
      <c r="Z401" s="1741">
        <f t="shared" si="244"/>
        <v>1.7740259740259741</v>
      </c>
      <c r="AA401" s="1749">
        <f t="shared" si="245"/>
        <v>0</v>
      </c>
      <c r="AB401" s="1810">
        <f t="shared" si="246"/>
        <v>0</v>
      </c>
      <c r="AC401" s="876"/>
      <c r="AD401" s="1525">
        <f t="shared" si="247"/>
        <v>0</v>
      </c>
      <c r="AE401" s="1525">
        <f t="shared" si="247"/>
        <v>0</v>
      </c>
      <c r="AF401" s="1525">
        <f t="shared" si="247"/>
        <v>0</v>
      </c>
      <c r="AG401" s="1525">
        <f t="shared" si="247"/>
        <v>0</v>
      </c>
      <c r="AH401" s="1525">
        <f t="shared" si="247"/>
        <v>0</v>
      </c>
      <c r="AI401" s="1525">
        <f t="shared" si="247"/>
        <v>0</v>
      </c>
      <c r="AJ401" s="1525">
        <f t="shared" si="247"/>
        <v>0</v>
      </c>
      <c r="AK401" s="1525">
        <f t="shared" si="247"/>
        <v>0</v>
      </c>
      <c r="AL401" s="1525">
        <f t="shared" si="247"/>
        <v>0</v>
      </c>
      <c r="AM401" s="1525">
        <f t="shared" si="247"/>
        <v>0</v>
      </c>
      <c r="AN401" s="1525">
        <f t="shared" si="247"/>
        <v>0</v>
      </c>
      <c r="AO401" s="1525">
        <f t="shared" si="247"/>
        <v>0</v>
      </c>
      <c r="AP401" s="1525">
        <f t="shared" si="247"/>
        <v>0</v>
      </c>
      <c r="AQ401" s="1525">
        <f t="shared" si="247"/>
        <v>0</v>
      </c>
      <c r="AR401" s="1525">
        <f t="shared" si="247"/>
        <v>0</v>
      </c>
      <c r="AS401" s="1525">
        <f t="shared" si="247"/>
        <v>0</v>
      </c>
      <c r="AU401" s="1525"/>
      <c r="AV401" s="1291"/>
      <c r="AW401" s="1292"/>
      <c r="AX401" s="1292"/>
      <c r="AY401" s="1292"/>
      <c r="AZ401" s="1292"/>
      <c r="BA401" s="1292"/>
      <c r="BB401" s="1292"/>
      <c r="BC401" s="1292"/>
      <c r="BD401" s="1292"/>
      <c r="BE401" s="1292"/>
      <c r="BF401" s="1292"/>
      <c r="BG401" s="1292"/>
      <c r="BH401" s="1292"/>
      <c r="BI401" s="1292"/>
      <c r="BJ401" s="1292"/>
      <c r="BK401" s="1292"/>
      <c r="BL401" s="1292"/>
      <c r="BM401" s="1292"/>
      <c r="BN401" s="1292"/>
      <c r="BO401" s="1292"/>
      <c r="BP401" s="1292"/>
      <c r="BQ401" s="1292"/>
      <c r="BR401" s="1292"/>
      <c r="BS401" s="1292"/>
      <c r="BT401" s="1670">
        <f t="shared" si="248"/>
        <v>0</v>
      </c>
      <c r="BW401" s="859" t="s">
        <v>475</v>
      </c>
    </row>
    <row r="402" spans="2:75" ht="12.75" customHeight="1" x14ac:dyDescent="0.2">
      <c r="B402" s="175">
        <f t="shared" si="238"/>
        <v>8</v>
      </c>
      <c r="C402" s="219">
        <v>14</v>
      </c>
      <c r="E402" s="12" t="s">
        <v>647</v>
      </c>
      <c r="F402" s="4" t="s">
        <v>626</v>
      </c>
      <c r="G402" s="859" t="s">
        <v>44</v>
      </c>
      <c r="H402" s="1413">
        <v>124621</v>
      </c>
      <c r="I402" s="197" t="s">
        <v>1584</v>
      </c>
      <c r="J402" s="174"/>
      <c r="K402" s="174"/>
      <c r="L402" s="861">
        <v>1</v>
      </c>
      <c r="M402" s="858">
        <f t="shared" si="239"/>
        <v>1</v>
      </c>
      <c r="N402" s="857" t="s">
        <v>1326</v>
      </c>
      <c r="O402" s="1196">
        <v>32952</v>
      </c>
      <c r="P402" s="1218">
        <f t="shared" ca="1" si="240"/>
        <v>27.533333333333335</v>
      </c>
      <c r="Q402" s="1148">
        <v>30000</v>
      </c>
      <c r="R402" s="874">
        <f t="shared" si="241"/>
        <v>3000</v>
      </c>
      <c r="S402" s="875"/>
      <c r="T402" s="875">
        <v>23300</v>
      </c>
      <c r="U402" s="875"/>
      <c r="V402" s="875"/>
      <c r="W402" s="875"/>
      <c r="X402" s="1026">
        <f t="shared" si="242"/>
        <v>56300</v>
      </c>
      <c r="Y402" s="1512">
        <f t="shared" si="243"/>
        <v>0.70606060606060606</v>
      </c>
      <c r="Z402" s="1741">
        <f t="shared" si="244"/>
        <v>1.7060606060606061</v>
      </c>
      <c r="AA402" s="1749">
        <f t="shared" si="245"/>
        <v>0</v>
      </c>
      <c r="AB402" s="1810">
        <f t="shared" si="246"/>
        <v>0</v>
      </c>
      <c r="AC402" s="876"/>
      <c r="AD402" s="1525">
        <f t="shared" si="247"/>
        <v>0</v>
      </c>
      <c r="AE402" s="1525">
        <f t="shared" si="247"/>
        <v>0</v>
      </c>
      <c r="AF402" s="1525">
        <f t="shared" si="247"/>
        <v>0</v>
      </c>
      <c r="AG402" s="1525">
        <f t="shared" si="247"/>
        <v>0</v>
      </c>
      <c r="AH402" s="1525">
        <f t="shared" si="247"/>
        <v>0</v>
      </c>
      <c r="AI402" s="1525">
        <f t="shared" si="247"/>
        <v>0</v>
      </c>
      <c r="AJ402" s="1525">
        <f t="shared" si="247"/>
        <v>0</v>
      </c>
      <c r="AK402" s="1525">
        <f t="shared" si="247"/>
        <v>0</v>
      </c>
      <c r="AL402" s="1525">
        <f t="shared" si="247"/>
        <v>0</v>
      </c>
      <c r="AM402" s="1525">
        <f t="shared" si="247"/>
        <v>0</v>
      </c>
      <c r="AN402" s="1525">
        <f t="shared" si="247"/>
        <v>0</v>
      </c>
      <c r="AO402" s="1525">
        <f t="shared" si="247"/>
        <v>0</v>
      </c>
      <c r="AP402" s="1525">
        <f t="shared" si="247"/>
        <v>0</v>
      </c>
      <c r="AQ402" s="1525">
        <f t="shared" si="247"/>
        <v>0</v>
      </c>
      <c r="AR402" s="1525">
        <f t="shared" si="247"/>
        <v>0</v>
      </c>
      <c r="AS402" s="1525">
        <f t="shared" si="247"/>
        <v>0</v>
      </c>
      <c r="AU402" s="1525"/>
      <c r="AV402" s="1291"/>
      <c r="AW402" s="1292"/>
      <c r="AX402" s="1292"/>
      <c r="AY402" s="1292"/>
      <c r="AZ402" s="1292"/>
      <c r="BA402" s="1292"/>
      <c r="BB402" s="1292"/>
      <c r="BC402" s="1292"/>
      <c r="BD402" s="1292"/>
      <c r="BE402" s="1292"/>
      <c r="BF402" s="1292"/>
      <c r="BG402" s="1292"/>
      <c r="BH402" s="1292"/>
      <c r="BI402" s="1292"/>
      <c r="BJ402" s="1292"/>
      <c r="BK402" s="1292"/>
      <c r="BL402" s="1292"/>
      <c r="BM402" s="1292"/>
      <c r="BN402" s="1292"/>
      <c r="BO402" s="1292"/>
      <c r="BP402" s="1292"/>
      <c r="BQ402" s="1292"/>
      <c r="BR402" s="1292"/>
      <c r="BS402" s="1292"/>
      <c r="BT402" s="1670">
        <f t="shared" si="248"/>
        <v>0</v>
      </c>
      <c r="BW402" s="859" t="s">
        <v>44</v>
      </c>
    </row>
    <row r="403" spans="2:75" ht="12.75" customHeight="1" x14ac:dyDescent="0.2">
      <c r="B403" s="175">
        <f t="shared" si="238"/>
        <v>9</v>
      </c>
      <c r="C403" s="219">
        <v>18</v>
      </c>
      <c r="E403" s="12" t="s">
        <v>647</v>
      </c>
      <c r="F403" s="4" t="s">
        <v>710</v>
      </c>
      <c r="G403" s="859" t="s">
        <v>1868</v>
      </c>
      <c r="H403" s="1413">
        <v>7635</v>
      </c>
      <c r="I403" s="200" t="s">
        <v>998</v>
      </c>
      <c r="J403" s="189"/>
      <c r="K403" s="189"/>
      <c r="L403" s="861">
        <v>1</v>
      </c>
      <c r="M403" s="858">
        <f t="shared" si="239"/>
        <v>1</v>
      </c>
      <c r="N403" s="857" t="s">
        <v>1326</v>
      </c>
      <c r="O403" s="1196">
        <v>18052</v>
      </c>
      <c r="P403" s="1218">
        <f t="shared" ca="1" si="240"/>
        <v>68.330555555555549</v>
      </c>
      <c r="Q403" s="1148">
        <v>27500</v>
      </c>
      <c r="R403" s="874">
        <f t="shared" si="241"/>
        <v>2750</v>
      </c>
      <c r="S403" s="875"/>
      <c r="T403" s="875"/>
      <c r="U403" s="875"/>
      <c r="V403" s="875"/>
      <c r="W403" s="875"/>
      <c r="X403" s="1026">
        <f t="shared" si="242"/>
        <v>30250</v>
      </c>
      <c r="Y403" s="1512">
        <f t="shared" si="243"/>
        <v>0</v>
      </c>
      <c r="Z403" s="1741">
        <f t="shared" si="244"/>
        <v>1</v>
      </c>
      <c r="AA403" s="1749">
        <f t="shared" si="245"/>
        <v>0</v>
      </c>
      <c r="AB403" s="1810">
        <f t="shared" si="246"/>
        <v>0</v>
      </c>
      <c r="AC403" s="876"/>
      <c r="AD403" s="1525">
        <f t="shared" si="247"/>
        <v>0</v>
      </c>
      <c r="AE403" s="1525">
        <f t="shared" si="247"/>
        <v>0</v>
      </c>
      <c r="AF403" s="1525">
        <f t="shared" si="247"/>
        <v>0</v>
      </c>
      <c r="AG403" s="1525">
        <f t="shared" si="247"/>
        <v>0</v>
      </c>
      <c r="AH403" s="1525">
        <f t="shared" si="247"/>
        <v>0</v>
      </c>
      <c r="AI403" s="1525">
        <f t="shared" si="247"/>
        <v>0</v>
      </c>
      <c r="AJ403" s="1525">
        <f t="shared" si="247"/>
        <v>0</v>
      </c>
      <c r="AK403" s="1525">
        <f t="shared" si="247"/>
        <v>0</v>
      </c>
      <c r="AL403" s="1525">
        <f t="shared" si="247"/>
        <v>0</v>
      </c>
      <c r="AM403" s="1525">
        <f t="shared" si="247"/>
        <v>0</v>
      </c>
      <c r="AN403" s="1525">
        <f t="shared" si="247"/>
        <v>0</v>
      </c>
      <c r="AO403" s="1525">
        <f t="shared" si="247"/>
        <v>0</v>
      </c>
      <c r="AP403" s="1525">
        <f t="shared" si="247"/>
        <v>0</v>
      </c>
      <c r="AQ403" s="1525">
        <f t="shared" si="247"/>
        <v>0</v>
      </c>
      <c r="AR403" s="1525">
        <f t="shared" si="247"/>
        <v>0</v>
      </c>
      <c r="AS403" s="1525">
        <f t="shared" si="247"/>
        <v>0</v>
      </c>
      <c r="AU403" s="1525"/>
      <c r="AV403" s="1291"/>
      <c r="AW403" s="1292"/>
      <c r="AX403" s="1292"/>
      <c r="AY403" s="1292"/>
      <c r="AZ403" s="1292"/>
      <c r="BA403" s="1292"/>
      <c r="BB403" s="1292"/>
      <c r="BC403" s="1292"/>
      <c r="BD403" s="1292"/>
      <c r="BE403" s="1292"/>
      <c r="BF403" s="1292"/>
      <c r="BG403" s="1292"/>
      <c r="BH403" s="1292"/>
      <c r="BI403" s="1292"/>
      <c r="BJ403" s="1292"/>
      <c r="BK403" s="1292"/>
      <c r="BL403" s="1292"/>
      <c r="BM403" s="1292"/>
      <c r="BN403" s="1292"/>
      <c r="BO403" s="1292"/>
      <c r="BP403" s="1292"/>
      <c r="BQ403" s="1292"/>
      <c r="BR403" s="1292"/>
      <c r="BS403" s="1292"/>
      <c r="BT403" s="1670">
        <f t="shared" si="248"/>
        <v>0</v>
      </c>
      <c r="BW403" s="859" t="s">
        <v>1868</v>
      </c>
    </row>
    <row r="404" spans="2:75" ht="12.75" customHeight="1" x14ac:dyDescent="0.2">
      <c r="B404" s="175">
        <f t="shared" si="238"/>
        <v>10</v>
      </c>
      <c r="C404" s="219">
        <v>18</v>
      </c>
      <c r="E404" s="12" t="s">
        <v>647</v>
      </c>
      <c r="F404" s="4" t="s">
        <v>633</v>
      </c>
      <c r="G404" s="859" t="s">
        <v>634</v>
      </c>
      <c r="H404" s="1413">
        <v>7573</v>
      </c>
      <c r="I404" s="200" t="s">
        <v>998</v>
      </c>
      <c r="J404" s="189"/>
      <c r="K404" s="189"/>
      <c r="L404" s="861">
        <v>1</v>
      </c>
      <c r="M404" s="858">
        <f t="shared" si="239"/>
        <v>1</v>
      </c>
      <c r="N404" s="857" t="s">
        <v>1326</v>
      </c>
      <c r="O404" s="1196">
        <v>18969</v>
      </c>
      <c r="P404" s="1218">
        <f t="shared" ca="1" si="240"/>
        <v>65.819444444444443</v>
      </c>
      <c r="Q404" s="1148">
        <v>21500</v>
      </c>
      <c r="R404" s="874">
        <f t="shared" si="241"/>
        <v>2150</v>
      </c>
      <c r="S404" s="875"/>
      <c r="T404" s="875"/>
      <c r="U404" s="875"/>
      <c r="V404" s="875"/>
      <c r="W404" s="1036"/>
      <c r="X404" s="1026">
        <f t="shared" si="242"/>
        <v>23650</v>
      </c>
      <c r="Y404" s="1512">
        <f t="shared" si="243"/>
        <v>0</v>
      </c>
      <c r="Z404" s="1741">
        <f t="shared" si="244"/>
        <v>1</v>
      </c>
      <c r="AA404" s="1749">
        <f t="shared" si="245"/>
        <v>0</v>
      </c>
      <c r="AB404" s="1810">
        <f t="shared" si="246"/>
        <v>0</v>
      </c>
      <c r="AC404" s="876"/>
      <c r="AD404" s="1525">
        <f t="shared" si="247"/>
        <v>0</v>
      </c>
      <c r="AE404" s="1525">
        <f t="shared" si="247"/>
        <v>0</v>
      </c>
      <c r="AF404" s="1525">
        <f t="shared" si="247"/>
        <v>0</v>
      </c>
      <c r="AG404" s="1525">
        <f t="shared" si="247"/>
        <v>0</v>
      </c>
      <c r="AH404" s="1525">
        <f t="shared" si="247"/>
        <v>0</v>
      </c>
      <c r="AI404" s="1525">
        <f t="shared" si="247"/>
        <v>0</v>
      </c>
      <c r="AJ404" s="1525">
        <f t="shared" si="247"/>
        <v>0</v>
      </c>
      <c r="AK404" s="1525">
        <f t="shared" si="247"/>
        <v>0</v>
      </c>
      <c r="AL404" s="1525">
        <f t="shared" si="247"/>
        <v>0</v>
      </c>
      <c r="AM404" s="1525">
        <f t="shared" si="247"/>
        <v>0</v>
      </c>
      <c r="AN404" s="1525">
        <f t="shared" si="247"/>
        <v>0</v>
      </c>
      <c r="AO404" s="1525">
        <f t="shared" si="247"/>
        <v>0</v>
      </c>
      <c r="AP404" s="1525">
        <f t="shared" si="247"/>
        <v>0</v>
      </c>
      <c r="AQ404" s="1525">
        <f t="shared" si="247"/>
        <v>0</v>
      </c>
      <c r="AR404" s="1525">
        <f t="shared" si="247"/>
        <v>0</v>
      </c>
      <c r="AS404" s="1525">
        <f t="shared" si="247"/>
        <v>0</v>
      </c>
      <c r="AU404" s="1525"/>
      <c r="AV404" s="1291"/>
      <c r="AW404" s="1292"/>
      <c r="AX404" s="1292"/>
      <c r="AY404" s="1292"/>
      <c r="AZ404" s="1292"/>
      <c r="BA404" s="1292"/>
      <c r="BB404" s="1292"/>
      <c r="BC404" s="1292"/>
      <c r="BD404" s="1292"/>
      <c r="BE404" s="1292"/>
      <c r="BF404" s="1292"/>
      <c r="BG404" s="1292"/>
      <c r="BH404" s="1292"/>
      <c r="BI404" s="1292"/>
      <c r="BJ404" s="1292"/>
      <c r="BK404" s="1292"/>
      <c r="BL404" s="1292"/>
      <c r="BM404" s="1292"/>
      <c r="BN404" s="1292"/>
      <c r="BO404" s="1292"/>
      <c r="BP404" s="1292"/>
      <c r="BQ404" s="1292"/>
      <c r="BR404" s="1292"/>
      <c r="BS404" s="1292"/>
      <c r="BT404" s="1670">
        <f t="shared" si="248"/>
        <v>0</v>
      </c>
      <c r="BW404" s="859" t="s">
        <v>634</v>
      </c>
    </row>
    <row r="405" spans="2:75" ht="12.75" customHeight="1" x14ac:dyDescent="0.2">
      <c r="B405" s="175">
        <f t="shared" si="238"/>
        <v>11</v>
      </c>
      <c r="C405" s="219">
        <v>18</v>
      </c>
      <c r="E405" s="12" t="s">
        <v>647</v>
      </c>
      <c r="F405" s="26" t="s">
        <v>148</v>
      </c>
      <c r="G405" s="910" t="s">
        <v>743</v>
      </c>
      <c r="H405" s="1414">
        <v>294313</v>
      </c>
      <c r="I405" s="196" t="s">
        <v>998</v>
      </c>
      <c r="J405" s="195"/>
      <c r="K405" s="195"/>
      <c r="L405" s="873">
        <v>1</v>
      </c>
      <c r="M405" s="873">
        <f t="shared" si="239"/>
        <v>1</v>
      </c>
      <c r="N405" s="872" t="s">
        <v>1326</v>
      </c>
      <c r="O405" s="1196">
        <v>28331</v>
      </c>
      <c r="P405" s="1218">
        <f t="shared" ca="1" si="240"/>
        <v>40.18611111111111</v>
      </c>
      <c r="Q405" s="1148">
        <v>24000</v>
      </c>
      <c r="R405" s="874">
        <f t="shared" si="241"/>
        <v>2400</v>
      </c>
      <c r="S405" s="875"/>
      <c r="T405" s="875"/>
      <c r="U405" s="875"/>
      <c r="V405" s="875"/>
      <c r="W405" s="1036">
        <f>ROUND((Q405+R405)*0.12,0)</f>
        <v>3168</v>
      </c>
      <c r="X405" s="1026">
        <f t="shared" si="242"/>
        <v>29568</v>
      </c>
      <c r="Y405" s="1512">
        <f>(T405+U405+W405)*M405/(X405-M405*(T405+U405+W405))</f>
        <v>0.12</v>
      </c>
      <c r="Z405" s="1741">
        <f t="shared" si="244"/>
        <v>1.1200000000000001</v>
      </c>
      <c r="AA405" s="1749">
        <f t="shared" si="245"/>
        <v>0</v>
      </c>
      <c r="AB405" s="1810">
        <f t="shared" si="246"/>
        <v>0</v>
      </c>
      <c r="AC405" s="876"/>
      <c r="AD405" s="1525">
        <f t="shared" si="247"/>
        <v>0</v>
      </c>
      <c r="AE405" s="1525">
        <f t="shared" si="247"/>
        <v>0</v>
      </c>
      <c r="AF405" s="1525">
        <f t="shared" si="247"/>
        <v>0</v>
      </c>
      <c r="AG405" s="1525">
        <f t="shared" si="247"/>
        <v>0</v>
      </c>
      <c r="AH405" s="1525">
        <f t="shared" si="247"/>
        <v>0</v>
      </c>
      <c r="AI405" s="1525">
        <f t="shared" si="247"/>
        <v>0</v>
      </c>
      <c r="AJ405" s="1525">
        <f t="shared" si="247"/>
        <v>0</v>
      </c>
      <c r="AK405" s="1525">
        <f t="shared" si="247"/>
        <v>0</v>
      </c>
      <c r="AL405" s="1525">
        <f t="shared" si="247"/>
        <v>0</v>
      </c>
      <c r="AM405" s="1525">
        <f t="shared" si="247"/>
        <v>0</v>
      </c>
      <c r="AN405" s="1525">
        <f t="shared" si="247"/>
        <v>0</v>
      </c>
      <c r="AO405" s="1525">
        <f t="shared" si="247"/>
        <v>0</v>
      </c>
      <c r="AP405" s="1525">
        <f t="shared" si="247"/>
        <v>0</v>
      </c>
      <c r="AQ405" s="1525">
        <f t="shared" si="247"/>
        <v>0</v>
      </c>
      <c r="AR405" s="1525">
        <f t="shared" si="247"/>
        <v>0</v>
      </c>
      <c r="AS405" s="1525">
        <f t="shared" si="247"/>
        <v>0</v>
      </c>
      <c r="AU405" s="1525"/>
      <c r="AV405" s="1291"/>
      <c r="AW405" s="1292"/>
      <c r="AX405" s="1292"/>
      <c r="AY405" s="1292"/>
      <c r="AZ405" s="1292"/>
      <c r="BA405" s="1292"/>
      <c r="BB405" s="1292"/>
      <c r="BC405" s="1292"/>
      <c r="BD405" s="1292"/>
      <c r="BE405" s="1292"/>
      <c r="BF405" s="1292"/>
      <c r="BG405" s="1292"/>
      <c r="BH405" s="1292"/>
      <c r="BI405" s="1292"/>
      <c r="BJ405" s="1292"/>
      <c r="BK405" s="1292"/>
      <c r="BL405" s="1292"/>
      <c r="BM405" s="1292"/>
      <c r="BN405" s="1292"/>
      <c r="BO405" s="1292"/>
      <c r="BP405" s="1292"/>
      <c r="BQ405" s="1292"/>
      <c r="BR405" s="1292"/>
      <c r="BS405" s="1292"/>
      <c r="BT405" s="1670">
        <f t="shared" si="248"/>
        <v>0</v>
      </c>
      <c r="BW405" s="910" t="s">
        <v>743</v>
      </c>
    </row>
    <row r="406" spans="2:75" s="164" customFormat="1" ht="12.75" customHeight="1" x14ac:dyDescent="0.2">
      <c r="B406" s="175"/>
      <c r="C406" s="220" t="s">
        <v>1120</v>
      </c>
      <c r="D406" s="170"/>
      <c r="E406" s="170"/>
      <c r="F406" s="4" t="s">
        <v>553</v>
      </c>
      <c r="G406" s="862"/>
      <c r="H406" s="1415" t="s">
        <v>1508</v>
      </c>
      <c r="I406" s="197"/>
      <c r="J406" s="174"/>
      <c r="K406" s="446">
        <f>SUM(K395:K405)</f>
        <v>0</v>
      </c>
      <c r="L406" s="892">
        <f>SUM(L395:L405)</f>
        <v>11</v>
      </c>
      <c r="M406" s="892">
        <f>SUM(M395:M405)</f>
        <v>11</v>
      </c>
      <c r="N406" s="836"/>
      <c r="O406" s="1192"/>
      <c r="P406" s="1294"/>
      <c r="Q406" s="1153"/>
      <c r="R406" s="884"/>
      <c r="S406" s="876"/>
      <c r="T406" s="876"/>
      <c r="U406" s="876"/>
      <c r="V406" s="876"/>
      <c r="W406" s="876"/>
      <c r="X406" s="1026"/>
      <c r="Y406" s="1335"/>
      <c r="Z406" s="1335"/>
      <c r="AA406" s="1775"/>
      <c r="AB406" s="1814"/>
      <c r="AC406" s="876"/>
      <c r="AD406" s="1295"/>
      <c r="AE406" s="1525"/>
      <c r="AF406" s="1525"/>
      <c r="AG406" s="1525"/>
      <c r="AH406" s="1525"/>
      <c r="AI406" s="1525"/>
      <c r="AJ406" s="1525"/>
      <c r="AK406" s="1525"/>
      <c r="AL406" s="1525"/>
      <c r="AM406" s="1525"/>
      <c r="AN406" s="1525"/>
      <c r="AO406" s="1525"/>
      <c r="AP406" s="1525"/>
      <c r="AQ406" s="1525"/>
      <c r="AR406" s="1525"/>
      <c r="AS406" s="1525"/>
      <c r="AU406" s="1525"/>
      <c r="AV406" s="1295"/>
      <c r="AW406" s="1525"/>
      <c r="AX406" s="1525"/>
      <c r="AY406" s="1525"/>
      <c r="AZ406" s="1525"/>
      <c r="BA406" s="1525"/>
      <c r="BB406" s="1525"/>
      <c r="BC406" s="1525"/>
      <c r="BD406" s="1525"/>
      <c r="BE406" s="1525"/>
      <c r="BF406" s="1525"/>
      <c r="BG406" s="1525"/>
      <c r="BH406" s="1525"/>
      <c r="BI406" s="1525"/>
      <c r="BJ406" s="1525"/>
      <c r="BK406" s="1525"/>
      <c r="BL406" s="1525"/>
      <c r="BM406" s="1525"/>
      <c r="BN406" s="1525"/>
      <c r="BO406" s="1525"/>
      <c r="BP406" s="1525"/>
      <c r="BQ406" s="1525"/>
      <c r="BR406" s="1525"/>
      <c r="BS406" s="1525"/>
      <c r="BT406" s="1670"/>
      <c r="BV406"/>
      <c r="BW406" s="862"/>
    </row>
    <row r="407" spans="2:75" s="164" customFormat="1" ht="12.75" customHeight="1" x14ac:dyDescent="0.2">
      <c r="B407" s="175"/>
      <c r="C407" s="170"/>
      <c r="D407" s="170"/>
      <c r="E407" s="170"/>
      <c r="F407" s="37"/>
      <c r="G407" s="862"/>
      <c r="H407" s="1412" t="s">
        <v>1508</v>
      </c>
      <c r="I407" s="180"/>
      <c r="J407" s="173"/>
      <c r="K407" s="173"/>
      <c r="L407" s="861"/>
      <c r="M407" s="861"/>
      <c r="N407" s="836"/>
      <c r="O407" s="1192"/>
      <c r="P407" s="1294"/>
      <c r="Q407" s="1148"/>
      <c r="R407" s="874"/>
      <c r="S407" s="876"/>
      <c r="T407" s="876"/>
      <c r="U407" s="876"/>
      <c r="V407" s="876"/>
      <c r="W407" s="876"/>
      <c r="X407" s="1026"/>
      <c r="Y407" s="1754"/>
      <c r="Z407" s="1755"/>
      <c r="AA407" s="1775"/>
      <c r="AB407" s="1814"/>
      <c r="AC407" s="876"/>
      <c r="AD407" s="1295"/>
      <c r="AE407" s="1525"/>
      <c r="AF407" s="1525"/>
      <c r="AG407" s="1525"/>
      <c r="AH407" s="1525"/>
      <c r="AI407" s="1525"/>
      <c r="AJ407" s="1525"/>
      <c r="AK407" s="1525"/>
      <c r="AL407" s="1525"/>
      <c r="AM407" s="1525"/>
      <c r="AN407" s="1525"/>
      <c r="AO407" s="1525"/>
      <c r="AP407" s="1525"/>
      <c r="AQ407" s="1525"/>
      <c r="AR407" s="1525"/>
      <c r="AS407" s="1525"/>
      <c r="AU407" s="1525"/>
      <c r="AV407" s="1295"/>
      <c r="AW407" s="1525"/>
      <c r="AX407" s="1525"/>
      <c r="AY407" s="1525"/>
      <c r="AZ407" s="1525"/>
      <c r="BA407" s="1525"/>
      <c r="BB407" s="1525"/>
      <c r="BC407" s="1525"/>
      <c r="BD407" s="1525"/>
      <c r="BE407" s="1525"/>
      <c r="BF407" s="1525"/>
      <c r="BG407" s="1525"/>
      <c r="BH407" s="1525"/>
      <c r="BI407" s="1525"/>
      <c r="BJ407" s="1525"/>
      <c r="BK407" s="1525"/>
      <c r="BL407" s="1525"/>
      <c r="BM407" s="1525"/>
      <c r="BN407" s="1525"/>
      <c r="BO407" s="1525"/>
      <c r="BP407" s="1525"/>
      <c r="BQ407" s="1525"/>
      <c r="BR407" s="1525"/>
      <c r="BS407" s="1525"/>
      <c r="BT407" s="1670"/>
      <c r="BV407"/>
      <c r="BW407" s="862"/>
    </row>
    <row r="408" spans="2:75" s="164" customFormat="1" ht="12.75" customHeight="1" x14ac:dyDescent="0.2">
      <c r="B408" s="175"/>
      <c r="E408" s="170"/>
      <c r="F408" s="47" t="s">
        <v>1381</v>
      </c>
      <c r="G408" s="1308"/>
      <c r="H408" s="1412" t="s">
        <v>1508</v>
      </c>
      <c r="I408" s="180"/>
      <c r="J408" s="173"/>
      <c r="K408" s="173"/>
      <c r="L408" s="861"/>
      <c r="M408" s="861"/>
      <c r="N408" s="836"/>
      <c r="O408" s="1192"/>
      <c r="P408" s="1294"/>
      <c r="Q408" s="1148"/>
      <c r="R408" s="874"/>
      <c r="S408" s="876"/>
      <c r="T408" s="876"/>
      <c r="U408" s="876"/>
      <c r="V408" s="876"/>
      <c r="W408" s="876"/>
      <c r="X408" s="1026"/>
      <c r="Y408" s="1754"/>
      <c r="Z408" s="1755"/>
      <c r="AA408" s="1775"/>
      <c r="AB408" s="1814"/>
      <c r="AC408" s="876"/>
      <c r="AD408" s="1295"/>
      <c r="AE408" s="1525"/>
      <c r="AF408" s="1525"/>
      <c r="AG408" s="1525"/>
      <c r="AH408" s="1525"/>
      <c r="AI408" s="1525"/>
      <c r="AJ408" s="1525"/>
      <c r="AK408" s="1525"/>
      <c r="AL408" s="1525"/>
      <c r="AM408" s="1525"/>
      <c r="AN408" s="1525"/>
      <c r="AO408" s="1525"/>
      <c r="AP408" s="1525"/>
      <c r="AQ408" s="1525"/>
      <c r="AR408" s="1525"/>
      <c r="AS408" s="1525"/>
      <c r="AU408" s="1525"/>
      <c r="AV408" s="1295"/>
      <c r="AW408" s="1525"/>
      <c r="AX408" s="1525"/>
      <c r="AY408" s="1525"/>
      <c r="AZ408" s="1525"/>
      <c r="BA408" s="1525"/>
      <c r="BB408" s="1525"/>
      <c r="BC408" s="1525"/>
      <c r="BD408" s="1525"/>
      <c r="BE408" s="1525"/>
      <c r="BF408" s="1525"/>
      <c r="BG408" s="1525"/>
      <c r="BH408" s="1525"/>
      <c r="BI408" s="1525"/>
      <c r="BJ408" s="1525"/>
      <c r="BK408" s="1525"/>
      <c r="BL408" s="1525"/>
      <c r="BM408" s="1525"/>
      <c r="BN408" s="1525"/>
      <c r="BO408" s="1525"/>
      <c r="BP408" s="1525"/>
      <c r="BQ408" s="1525"/>
      <c r="BR408" s="1525"/>
      <c r="BS408" s="1525"/>
      <c r="BT408" s="1670"/>
      <c r="BV408"/>
      <c r="BW408" s="1308"/>
    </row>
    <row r="409" spans="2:75" s="164" customFormat="1" ht="12.75" customHeight="1" x14ac:dyDescent="0.2">
      <c r="B409" s="175"/>
      <c r="F409" s="1"/>
      <c r="G409" s="923"/>
      <c r="H409" s="1413" t="s">
        <v>1508</v>
      </c>
      <c r="I409" s="172"/>
      <c r="J409" s="168"/>
      <c r="K409" s="168"/>
      <c r="L409" s="858"/>
      <c r="M409" s="858"/>
      <c r="N409" s="857"/>
      <c r="O409" s="1192"/>
      <c r="P409" s="550"/>
      <c r="Q409" s="1148"/>
      <c r="R409" s="874"/>
      <c r="S409" s="875"/>
      <c r="T409" s="875"/>
      <c r="U409" s="875"/>
      <c r="V409" s="875"/>
      <c r="W409" s="875"/>
      <c r="X409" s="1026"/>
      <c r="Y409" s="1754"/>
      <c r="Z409" s="1755"/>
      <c r="AA409" s="1775"/>
      <c r="AB409" s="1814"/>
      <c r="AC409" s="876"/>
      <c r="AD409" s="1295"/>
      <c r="AE409" s="1525"/>
      <c r="AF409" s="1525"/>
      <c r="AG409" s="1525"/>
      <c r="AH409" s="1525"/>
      <c r="AI409" s="1525"/>
      <c r="AJ409" s="1525"/>
      <c r="AK409" s="1525"/>
      <c r="AL409" s="1525"/>
      <c r="AM409" s="1525"/>
      <c r="AN409" s="1525"/>
      <c r="AO409" s="1525"/>
      <c r="AP409" s="1525"/>
      <c r="AQ409" s="1525"/>
      <c r="AR409" s="1525"/>
      <c r="AS409" s="1525"/>
      <c r="AU409" s="1525"/>
      <c r="AV409" s="1295"/>
      <c r="AW409" s="1525"/>
      <c r="AX409" s="1525"/>
      <c r="AY409" s="1525"/>
      <c r="AZ409" s="1525"/>
      <c r="BA409" s="1525"/>
      <c r="BB409" s="1525"/>
      <c r="BC409" s="1525"/>
      <c r="BD409" s="1525"/>
      <c r="BE409" s="1525"/>
      <c r="BF409" s="1525"/>
      <c r="BG409" s="1525"/>
      <c r="BH409" s="1525"/>
      <c r="BI409" s="1525"/>
      <c r="BJ409" s="1525"/>
      <c r="BK409" s="1525"/>
      <c r="BL409" s="1525"/>
      <c r="BM409" s="1525"/>
      <c r="BN409" s="1525"/>
      <c r="BO409" s="1525"/>
      <c r="BP409" s="1525"/>
      <c r="BQ409" s="1525"/>
      <c r="BR409" s="1525"/>
      <c r="BS409" s="1525"/>
      <c r="BT409" s="1670"/>
      <c r="BV409"/>
      <c r="BW409" s="923"/>
    </row>
    <row r="410" spans="2:75" ht="12.75" customHeight="1" x14ac:dyDescent="0.2">
      <c r="B410" s="175">
        <f>B409+1</f>
        <v>1</v>
      </c>
      <c r="C410" s="219">
        <v>8</v>
      </c>
      <c r="E410" s="12" t="s">
        <v>647</v>
      </c>
      <c r="F410" s="40" t="s">
        <v>166</v>
      </c>
      <c r="G410" s="859" t="s">
        <v>1872</v>
      </c>
      <c r="H410" s="1413">
        <v>6180</v>
      </c>
      <c r="I410" s="200" t="s">
        <v>351</v>
      </c>
      <c r="J410" s="189"/>
      <c r="K410" s="189"/>
      <c r="L410" s="858">
        <v>1</v>
      </c>
      <c r="M410" s="858">
        <f>K410+L410</f>
        <v>1</v>
      </c>
      <c r="N410" s="857" t="s">
        <v>1326</v>
      </c>
      <c r="O410" s="1196">
        <v>18481</v>
      </c>
      <c r="P410" s="1218">
        <f t="shared" ref="P410:P415" ca="1" si="249">YEARFRAC(TODAY(),O410)</f>
        <v>67.155555555555551</v>
      </c>
      <c r="Q410" s="1148">
        <v>46750</v>
      </c>
      <c r="R410" s="874">
        <f>Q410*0.1</f>
        <v>4675</v>
      </c>
      <c r="S410" s="875"/>
      <c r="T410" s="875">
        <v>21200</v>
      </c>
      <c r="U410" s="875"/>
      <c r="V410" s="875"/>
      <c r="W410" s="875"/>
      <c r="X410" s="1026">
        <f t="shared" ref="X410:X415" si="250">(Q410+R410+S410+T410+U410+V410+W410)*M410</f>
        <v>72625</v>
      </c>
      <c r="Y410" s="1512">
        <f t="shared" ref="Y410:Y415" si="251">(T410+U410)*M410/(X410-M410*(T410+U410))</f>
        <v>0.41225085075352452</v>
      </c>
      <c r="Z410" s="1741">
        <f t="shared" ref="Z410:Z415" si="252">M410*(1+Y410)</f>
        <v>1.4122508507535245</v>
      </c>
      <c r="AA410" s="1749">
        <f t="shared" ref="AA410:AA415" si="253">SUM(AD410:AS410)</f>
        <v>0</v>
      </c>
      <c r="AB410" s="1810">
        <f t="shared" ref="AB410:AB415" si="254">100*AA410/Z410</f>
        <v>0</v>
      </c>
      <c r="AC410" s="876"/>
      <c r="AD410" s="1525">
        <f t="shared" ref="AD410:AS415" si="255">SUMIF($AV$6:$BS$6,AD$5,$AV410:$BS410)</f>
        <v>0</v>
      </c>
      <c r="AE410" s="1525">
        <f t="shared" si="255"/>
        <v>0</v>
      </c>
      <c r="AF410" s="1525">
        <f t="shared" si="255"/>
        <v>0</v>
      </c>
      <c r="AG410" s="1525">
        <f t="shared" si="255"/>
        <v>0</v>
      </c>
      <c r="AH410" s="1525">
        <f t="shared" si="255"/>
        <v>0</v>
      </c>
      <c r="AI410" s="1525">
        <f t="shared" si="255"/>
        <v>0</v>
      </c>
      <c r="AJ410" s="1525">
        <f t="shared" si="255"/>
        <v>0</v>
      </c>
      <c r="AK410" s="1525">
        <f t="shared" si="255"/>
        <v>0</v>
      </c>
      <c r="AL410" s="1525">
        <f t="shared" si="255"/>
        <v>0</v>
      </c>
      <c r="AM410" s="1525">
        <f t="shared" si="255"/>
        <v>0</v>
      </c>
      <c r="AN410" s="1525">
        <f t="shared" si="255"/>
        <v>0</v>
      </c>
      <c r="AO410" s="1525">
        <f t="shared" si="255"/>
        <v>0</v>
      </c>
      <c r="AP410" s="1525">
        <f t="shared" si="255"/>
        <v>0</v>
      </c>
      <c r="AQ410" s="1525">
        <f t="shared" si="255"/>
        <v>0</v>
      </c>
      <c r="AR410" s="1525">
        <f t="shared" si="255"/>
        <v>0</v>
      </c>
      <c r="AS410" s="1525">
        <f t="shared" si="255"/>
        <v>0</v>
      </c>
      <c r="AU410" s="1525"/>
      <c r="AV410" s="1291"/>
      <c r="AW410" s="1292"/>
      <c r="AX410" s="1292"/>
      <c r="AY410" s="1292"/>
      <c r="AZ410" s="1292"/>
      <c r="BA410" s="1292"/>
      <c r="BB410" s="1292"/>
      <c r="BC410" s="1292"/>
      <c r="BD410" s="1292"/>
      <c r="BE410" s="1292"/>
      <c r="BF410" s="1292"/>
      <c r="BG410" s="1292"/>
      <c r="BH410" s="1292"/>
      <c r="BI410" s="1292"/>
      <c r="BJ410" s="1292"/>
      <c r="BK410" s="1292"/>
      <c r="BL410" s="1292"/>
      <c r="BM410" s="1292"/>
      <c r="BN410" s="1292"/>
      <c r="BO410" s="1292"/>
      <c r="BP410" s="1292"/>
      <c r="BQ410" s="1292"/>
      <c r="BR410" s="1292"/>
      <c r="BS410" s="1292"/>
      <c r="BT410" s="1670">
        <f t="shared" ref="BT410:BT415" si="256">SUM(AV410:BS410)</f>
        <v>0</v>
      </c>
      <c r="BW410" s="859" t="s">
        <v>1872</v>
      </c>
    </row>
    <row r="411" spans="2:75" ht="12.75" customHeight="1" x14ac:dyDescent="0.2">
      <c r="B411" s="175">
        <f>B412+1</f>
        <v>3</v>
      </c>
      <c r="C411" s="219">
        <v>9</v>
      </c>
      <c r="E411" s="12" t="s">
        <v>647</v>
      </c>
      <c r="F411" s="24" t="s">
        <v>1396</v>
      </c>
      <c r="G411" s="859" t="s">
        <v>1866</v>
      </c>
      <c r="H411" s="1413">
        <v>244145</v>
      </c>
      <c r="I411" s="200" t="s">
        <v>351</v>
      </c>
      <c r="J411" s="189"/>
      <c r="K411" s="189"/>
      <c r="L411" s="858">
        <v>1</v>
      </c>
      <c r="M411" s="858">
        <f>K411+L411</f>
        <v>1</v>
      </c>
      <c r="N411" s="857" t="s">
        <v>1326</v>
      </c>
      <c r="O411" s="1196">
        <v>26874</v>
      </c>
      <c r="P411" s="1218">
        <f ca="1">YEARFRAC(TODAY(),O411)</f>
        <v>44.174999999999997</v>
      </c>
      <c r="Q411" s="1148">
        <v>29900</v>
      </c>
      <c r="R411" s="874">
        <f>Q411*0.1</f>
        <v>2990</v>
      </c>
      <c r="S411" s="875"/>
      <c r="T411" s="875"/>
      <c r="U411" s="875"/>
      <c r="V411" s="875"/>
      <c r="W411" s="875"/>
      <c r="X411" s="1026">
        <f t="shared" si="250"/>
        <v>32890</v>
      </c>
      <c r="Y411" s="1512">
        <f t="shared" si="251"/>
        <v>0</v>
      </c>
      <c r="Z411" s="1741">
        <f t="shared" si="252"/>
        <v>1</v>
      </c>
      <c r="AA411" s="1749">
        <f t="shared" si="253"/>
        <v>0</v>
      </c>
      <c r="AB411" s="1810">
        <f t="shared" si="254"/>
        <v>0</v>
      </c>
      <c r="AC411" s="876"/>
      <c r="AD411" s="1525">
        <f t="shared" si="255"/>
        <v>0</v>
      </c>
      <c r="AE411" s="1525">
        <f t="shared" si="255"/>
        <v>0</v>
      </c>
      <c r="AF411" s="1525">
        <f t="shared" si="255"/>
        <v>0</v>
      </c>
      <c r="AG411" s="1525">
        <f t="shared" si="255"/>
        <v>0</v>
      </c>
      <c r="AH411" s="1525">
        <f t="shared" si="255"/>
        <v>0</v>
      </c>
      <c r="AI411" s="1525">
        <f t="shared" si="255"/>
        <v>0</v>
      </c>
      <c r="AJ411" s="1525">
        <f t="shared" si="255"/>
        <v>0</v>
      </c>
      <c r="AK411" s="1525">
        <f t="shared" si="255"/>
        <v>0</v>
      </c>
      <c r="AL411" s="1525">
        <f t="shared" si="255"/>
        <v>0</v>
      </c>
      <c r="AM411" s="1525">
        <f t="shared" si="255"/>
        <v>0</v>
      </c>
      <c r="AN411" s="1525">
        <f t="shared" si="255"/>
        <v>0</v>
      </c>
      <c r="AO411" s="1525">
        <f t="shared" si="255"/>
        <v>0</v>
      </c>
      <c r="AP411" s="1525">
        <f t="shared" si="255"/>
        <v>0</v>
      </c>
      <c r="AQ411" s="1525">
        <f t="shared" si="255"/>
        <v>0</v>
      </c>
      <c r="AR411" s="1525">
        <f t="shared" si="255"/>
        <v>0</v>
      </c>
      <c r="AS411" s="1525">
        <f t="shared" si="255"/>
        <v>0</v>
      </c>
      <c r="AU411" s="1525"/>
      <c r="AV411" s="1291"/>
      <c r="AW411" s="1292"/>
      <c r="AX411" s="1292"/>
      <c r="AY411" s="1292"/>
      <c r="AZ411" s="1292"/>
      <c r="BA411" s="1292"/>
      <c r="BB411" s="1292"/>
      <c r="BC411" s="1292"/>
      <c r="BD411" s="1292"/>
      <c r="BE411" s="1292"/>
      <c r="BF411" s="1292"/>
      <c r="BG411" s="1292"/>
      <c r="BH411" s="1292"/>
      <c r="BI411" s="1292"/>
      <c r="BJ411" s="1292"/>
      <c r="BK411" s="1292"/>
      <c r="BL411" s="1292"/>
      <c r="BM411" s="1292"/>
      <c r="BN411" s="1292"/>
      <c r="BO411" s="1292"/>
      <c r="BP411" s="1292"/>
      <c r="BQ411" s="1292"/>
      <c r="BR411" s="1292"/>
      <c r="BS411" s="1292"/>
      <c r="BT411" s="1670">
        <f t="shared" si="256"/>
        <v>0</v>
      </c>
      <c r="BW411" s="859" t="s">
        <v>1866</v>
      </c>
    </row>
    <row r="412" spans="2:75" ht="12.75" customHeight="1" x14ac:dyDescent="0.2">
      <c r="B412" s="175">
        <f>B410+1</f>
        <v>2</v>
      </c>
      <c r="C412" s="219">
        <v>12</v>
      </c>
      <c r="E412" s="12" t="s">
        <v>647</v>
      </c>
      <c r="F412" s="4" t="s">
        <v>1235</v>
      </c>
      <c r="G412" s="862" t="s">
        <v>1382</v>
      </c>
      <c r="H412" s="1412">
        <v>7562</v>
      </c>
      <c r="I412" s="197" t="s">
        <v>583</v>
      </c>
      <c r="J412" s="174"/>
      <c r="K412" s="174"/>
      <c r="L412" s="861">
        <v>1</v>
      </c>
      <c r="M412" s="861">
        <f>K412+L412</f>
        <v>1</v>
      </c>
      <c r="N412" s="836" t="s">
        <v>1326</v>
      </c>
      <c r="O412" s="1196">
        <v>18358</v>
      </c>
      <c r="P412" s="1218">
        <f t="shared" ca="1" si="249"/>
        <v>67.49166666666666</v>
      </c>
      <c r="Q412" s="1148">
        <v>29000</v>
      </c>
      <c r="R412" s="874">
        <f>Q412*0.1</f>
        <v>2900</v>
      </c>
      <c r="S412" s="875"/>
      <c r="T412" s="875"/>
      <c r="U412" s="875"/>
      <c r="V412" s="875"/>
      <c r="W412" s="875"/>
      <c r="X412" s="1026">
        <f t="shared" si="250"/>
        <v>31900</v>
      </c>
      <c r="Y412" s="1512">
        <f t="shared" si="251"/>
        <v>0</v>
      </c>
      <c r="Z412" s="1741">
        <f t="shared" si="252"/>
        <v>1</v>
      </c>
      <c r="AA412" s="1749">
        <f t="shared" si="253"/>
        <v>0</v>
      </c>
      <c r="AB412" s="1810">
        <f t="shared" si="254"/>
        <v>0</v>
      </c>
      <c r="AC412" s="876"/>
      <c r="AD412" s="1525">
        <f t="shared" si="255"/>
        <v>0</v>
      </c>
      <c r="AE412" s="1525">
        <f t="shared" si="255"/>
        <v>0</v>
      </c>
      <c r="AF412" s="1525">
        <f t="shared" si="255"/>
        <v>0</v>
      </c>
      <c r="AG412" s="1525">
        <f t="shared" si="255"/>
        <v>0</v>
      </c>
      <c r="AH412" s="1525">
        <f t="shared" si="255"/>
        <v>0</v>
      </c>
      <c r="AI412" s="1525">
        <f t="shared" si="255"/>
        <v>0</v>
      </c>
      <c r="AJ412" s="1525">
        <f t="shared" si="255"/>
        <v>0</v>
      </c>
      <c r="AK412" s="1525">
        <f t="shared" si="255"/>
        <v>0</v>
      </c>
      <c r="AL412" s="1525">
        <f t="shared" si="255"/>
        <v>0</v>
      </c>
      <c r="AM412" s="1525">
        <f t="shared" si="255"/>
        <v>0</v>
      </c>
      <c r="AN412" s="1525">
        <f t="shared" si="255"/>
        <v>0</v>
      </c>
      <c r="AO412" s="1525">
        <f t="shared" si="255"/>
        <v>0</v>
      </c>
      <c r="AP412" s="1525">
        <f t="shared" si="255"/>
        <v>0</v>
      </c>
      <c r="AQ412" s="1525">
        <f t="shared" si="255"/>
        <v>0</v>
      </c>
      <c r="AR412" s="1525">
        <f t="shared" si="255"/>
        <v>0</v>
      </c>
      <c r="AS412" s="1525">
        <f t="shared" si="255"/>
        <v>0</v>
      </c>
      <c r="AU412" s="1525"/>
      <c r="AV412" s="1291"/>
      <c r="AW412" s="1292"/>
      <c r="AX412" s="1292"/>
      <c r="AY412" s="1292"/>
      <c r="AZ412" s="1292"/>
      <c r="BA412" s="1292"/>
      <c r="BB412" s="1292"/>
      <c r="BC412" s="1292"/>
      <c r="BD412" s="1292"/>
      <c r="BE412" s="1292"/>
      <c r="BF412" s="1292"/>
      <c r="BG412" s="1292"/>
      <c r="BH412" s="1292"/>
      <c r="BI412" s="1292"/>
      <c r="BJ412" s="1292"/>
      <c r="BK412" s="1292"/>
      <c r="BL412" s="1292"/>
      <c r="BM412" s="1292"/>
      <c r="BN412" s="1292"/>
      <c r="BO412" s="1292"/>
      <c r="BP412" s="1292"/>
      <c r="BQ412" s="1292"/>
      <c r="BR412" s="1292"/>
      <c r="BS412" s="1292"/>
      <c r="BT412" s="1670">
        <f t="shared" si="256"/>
        <v>0</v>
      </c>
      <c r="BW412" s="862" t="s">
        <v>1382</v>
      </c>
    </row>
    <row r="413" spans="2:75" ht="12.75" customHeight="1" x14ac:dyDescent="0.2">
      <c r="B413" s="175">
        <f>B411+1</f>
        <v>4</v>
      </c>
      <c r="C413" s="219">
        <v>13</v>
      </c>
      <c r="E413" s="12" t="s">
        <v>647</v>
      </c>
      <c r="F413" s="4" t="s">
        <v>792</v>
      </c>
      <c r="G413" s="862" t="s">
        <v>1358</v>
      </c>
      <c r="H413" s="1412">
        <v>17719</v>
      </c>
      <c r="I413" s="197" t="s">
        <v>1584</v>
      </c>
      <c r="J413" s="174"/>
      <c r="K413" s="174"/>
      <c r="L413" s="861">
        <v>1</v>
      </c>
      <c r="M413" s="861">
        <f>K413+L413</f>
        <v>1</v>
      </c>
      <c r="N413" s="836" t="s">
        <v>892</v>
      </c>
      <c r="O413" s="1196">
        <v>25005</v>
      </c>
      <c r="P413" s="1218">
        <f t="shared" ca="1" si="249"/>
        <v>49.294444444444444</v>
      </c>
      <c r="Q413" s="1148">
        <v>27400</v>
      </c>
      <c r="R413" s="874"/>
      <c r="S413" s="876"/>
      <c r="T413" s="876"/>
      <c r="U413" s="876"/>
      <c r="V413" s="876"/>
      <c r="W413" s="876"/>
      <c r="X413" s="1026">
        <f t="shared" si="250"/>
        <v>27400</v>
      </c>
      <c r="Y413" s="1512">
        <f t="shared" si="251"/>
        <v>0</v>
      </c>
      <c r="Z413" s="1741">
        <f t="shared" si="252"/>
        <v>1</v>
      </c>
      <c r="AA413" s="1749">
        <f t="shared" si="253"/>
        <v>0</v>
      </c>
      <c r="AB413" s="1810">
        <f t="shared" si="254"/>
        <v>0</v>
      </c>
      <c r="AC413" s="876"/>
      <c r="AD413" s="1525">
        <f t="shared" si="255"/>
        <v>0</v>
      </c>
      <c r="AE413" s="1525">
        <f t="shared" si="255"/>
        <v>0</v>
      </c>
      <c r="AF413" s="1525">
        <f t="shared" si="255"/>
        <v>0</v>
      </c>
      <c r="AG413" s="1525">
        <f t="shared" si="255"/>
        <v>0</v>
      </c>
      <c r="AH413" s="1525">
        <f t="shared" si="255"/>
        <v>0</v>
      </c>
      <c r="AI413" s="1525">
        <f t="shared" si="255"/>
        <v>0</v>
      </c>
      <c r="AJ413" s="1525">
        <f t="shared" si="255"/>
        <v>0</v>
      </c>
      <c r="AK413" s="1525">
        <f t="shared" si="255"/>
        <v>0</v>
      </c>
      <c r="AL413" s="1525">
        <f t="shared" si="255"/>
        <v>0</v>
      </c>
      <c r="AM413" s="1525">
        <f t="shared" si="255"/>
        <v>0</v>
      </c>
      <c r="AN413" s="1525">
        <f t="shared" si="255"/>
        <v>0</v>
      </c>
      <c r="AO413" s="1525">
        <f t="shared" si="255"/>
        <v>0</v>
      </c>
      <c r="AP413" s="1525">
        <f t="shared" si="255"/>
        <v>0</v>
      </c>
      <c r="AQ413" s="1525">
        <f t="shared" si="255"/>
        <v>0</v>
      </c>
      <c r="AR413" s="1525">
        <f t="shared" si="255"/>
        <v>0</v>
      </c>
      <c r="AS413" s="1525">
        <f t="shared" si="255"/>
        <v>0</v>
      </c>
      <c r="AU413" s="1525"/>
      <c r="AV413" s="1291"/>
      <c r="AW413" s="1292"/>
      <c r="AX413" s="1292"/>
      <c r="AY413" s="1292"/>
      <c r="AZ413" s="1292"/>
      <c r="BA413" s="1292"/>
      <c r="BB413" s="1292"/>
      <c r="BC413" s="1292"/>
      <c r="BD413" s="1292"/>
      <c r="BE413" s="1292"/>
      <c r="BF413" s="1292"/>
      <c r="BG413" s="1292"/>
      <c r="BH413" s="1292"/>
      <c r="BI413" s="1292"/>
      <c r="BJ413" s="1292"/>
      <c r="BK413" s="1292"/>
      <c r="BL413" s="1292"/>
      <c r="BM413" s="1292"/>
      <c r="BN413" s="1292"/>
      <c r="BO413" s="1292"/>
      <c r="BP413" s="1292"/>
      <c r="BQ413" s="1292"/>
      <c r="BR413" s="1292"/>
      <c r="BS413" s="1292"/>
      <c r="BT413" s="1670">
        <f t="shared" si="256"/>
        <v>0</v>
      </c>
      <c r="BW413" s="862" t="s">
        <v>1358</v>
      </c>
    </row>
    <row r="414" spans="2:75" ht="12.75" customHeight="1" x14ac:dyDescent="0.2">
      <c r="B414" s="175">
        <f>B413+1</f>
        <v>5</v>
      </c>
      <c r="C414" s="219">
        <v>14</v>
      </c>
      <c r="E414" s="12" t="s">
        <v>647</v>
      </c>
      <c r="F414" s="4" t="s">
        <v>626</v>
      </c>
      <c r="G414" s="862" t="s">
        <v>666</v>
      </c>
      <c r="H414" s="1412">
        <v>261043</v>
      </c>
      <c r="I414" s="197" t="s">
        <v>1584</v>
      </c>
      <c r="J414" s="174"/>
      <c r="K414" s="174"/>
      <c r="L414" s="861">
        <v>1</v>
      </c>
      <c r="M414" s="861">
        <f>K414+L414</f>
        <v>1</v>
      </c>
      <c r="N414" s="836" t="s">
        <v>1326</v>
      </c>
      <c r="O414" s="1196">
        <v>29462</v>
      </c>
      <c r="P414" s="1218">
        <f t="shared" ca="1" si="249"/>
        <v>37.091666666666669</v>
      </c>
      <c r="Q414" s="1148">
        <v>20000</v>
      </c>
      <c r="R414" s="874">
        <f>Q414*0.1</f>
        <v>2000</v>
      </c>
      <c r="S414" s="876"/>
      <c r="T414" s="876"/>
      <c r="U414" s="876"/>
      <c r="V414" s="876"/>
      <c r="W414" s="876"/>
      <c r="X414" s="1026">
        <f t="shared" si="250"/>
        <v>22000</v>
      </c>
      <c r="Y414" s="1512">
        <f t="shared" si="251"/>
        <v>0</v>
      </c>
      <c r="Z414" s="1741">
        <f t="shared" si="252"/>
        <v>1</v>
      </c>
      <c r="AA414" s="1749">
        <f t="shared" si="253"/>
        <v>0</v>
      </c>
      <c r="AB414" s="1810">
        <f t="shared" si="254"/>
        <v>0</v>
      </c>
      <c r="AC414" s="876"/>
      <c r="AD414" s="1525">
        <f t="shared" si="255"/>
        <v>0</v>
      </c>
      <c r="AE414" s="1525">
        <f t="shared" si="255"/>
        <v>0</v>
      </c>
      <c r="AF414" s="1525">
        <f t="shared" si="255"/>
        <v>0</v>
      </c>
      <c r="AG414" s="1525">
        <f t="shared" si="255"/>
        <v>0</v>
      </c>
      <c r="AH414" s="1525">
        <f t="shared" si="255"/>
        <v>0</v>
      </c>
      <c r="AI414" s="1525">
        <f t="shared" si="255"/>
        <v>0</v>
      </c>
      <c r="AJ414" s="1525">
        <f t="shared" si="255"/>
        <v>0</v>
      </c>
      <c r="AK414" s="1525">
        <f t="shared" si="255"/>
        <v>0</v>
      </c>
      <c r="AL414" s="1525">
        <f t="shared" si="255"/>
        <v>0</v>
      </c>
      <c r="AM414" s="1525">
        <f t="shared" si="255"/>
        <v>0</v>
      </c>
      <c r="AN414" s="1525">
        <f t="shared" si="255"/>
        <v>0</v>
      </c>
      <c r="AO414" s="1525">
        <f t="shared" si="255"/>
        <v>0</v>
      </c>
      <c r="AP414" s="1525">
        <f t="shared" si="255"/>
        <v>0</v>
      </c>
      <c r="AQ414" s="1525">
        <f t="shared" si="255"/>
        <v>0</v>
      </c>
      <c r="AR414" s="1525">
        <f t="shared" si="255"/>
        <v>0</v>
      </c>
      <c r="AS414" s="1525">
        <f t="shared" si="255"/>
        <v>0</v>
      </c>
      <c r="AU414" s="1525"/>
      <c r="AV414" s="1291"/>
      <c r="AW414" s="1292"/>
      <c r="AX414" s="1292"/>
      <c r="AY414" s="1292"/>
      <c r="AZ414" s="1292"/>
      <c r="BA414" s="1292"/>
      <c r="BB414" s="1292"/>
      <c r="BC414" s="1292"/>
      <c r="BD414" s="1292"/>
      <c r="BE414" s="1292"/>
      <c r="BF414" s="1292"/>
      <c r="BG414" s="1292"/>
      <c r="BH414" s="1292"/>
      <c r="BI414" s="1292"/>
      <c r="BJ414" s="1292"/>
      <c r="BK414" s="1292"/>
      <c r="BL414" s="1292"/>
      <c r="BM414" s="1292"/>
      <c r="BN414" s="1292"/>
      <c r="BO414" s="1292"/>
      <c r="BP414" s="1292"/>
      <c r="BQ414" s="1292"/>
      <c r="BR414" s="1292"/>
      <c r="BS414" s="1292"/>
      <c r="BT414" s="1670">
        <f t="shared" si="256"/>
        <v>0</v>
      </c>
      <c r="BW414" s="862" t="s">
        <v>666</v>
      </c>
    </row>
    <row r="415" spans="2:75" ht="12.75" customHeight="1" x14ac:dyDescent="0.2">
      <c r="B415" s="175">
        <f>B414+1</f>
        <v>6</v>
      </c>
      <c r="C415" s="220">
        <v>14</v>
      </c>
      <c r="D415" s="170"/>
      <c r="E415" s="447" t="s">
        <v>647</v>
      </c>
      <c r="F415" s="26" t="s">
        <v>626</v>
      </c>
      <c r="G415" s="910" t="s">
        <v>1871</v>
      </c>
      <c r="H415" s="1414">
        <v>3189</v>
      </c>
      <c r="I415" s="196" t="s">
        <v>1584</v>
      </c>
      <c r="J415" s="195"/>
      <c r="K415" s="195"/>
      <c r="L415" s="873">
        <v>0.5</v>
      </c>
      <c r="M415" s="873">
        <v>0.5</v>
      </c>
      <c r="N415" s="872" t="s">
        <v>892</v>
      </c>
      <c r="O415" s="1196">
        <v>15663</v>
      </c>
      <c r="P415" s="1262">
        <f t="shared" ca="1" si="249"/>
        <v>74.87222222222222</v>
      </c>
      <c r="Q415" s="1148">
        <v>21000</v>
      </c>
      <c r="R415" s="874"/>
      <c r="S415" s="876"/>
      <c r="T415" s="876"/>
      <c r="U415" s="876"/>
      <c r="V415" s="876"/>
      <c r="W415" s="876"/>
      <c r="X415" s="1026">
        <f t="shared" si="250"/>
        <v>10500</v>
      </c>
      <c r="Y415" s="1512">
        <f t="shared" si="251"/>
        <v>0</v>
      </c>
      <c r="Z415" s="1741">
        <f t="shared" si="252"/>
        <v>0.5</v>
      </c>
      <c r="AA415" s="1749">
        <f t="shared" si="253"/>
        <v>0</v>
      </c>
      <c r="AB415" s="1810">
        <f t="shared" si="254"/>
        <v>0</v>
      </c>
      <c r="AC415" s="876"/>
      <c r="AD415" s="1525">
        <f t="shared" si="255"/>
        <v>0</v>
      </c>
      <c r="AE415" s="1525">
        <f t="shared" si="255"/>
        <v>0</v>
      </c>
      <c r="AF415" s="1525">
        <f t="shared" si="255"/>
        <v>0</v>
      </c>
      <c r="AG415" s="1525">
        <f t="shared" si="255"/>
        <v>0</v>
      </c>
      <c r="AH415" s="1525">
        <f t="shared" si="255"/>
        <v>0</v>
      </c>
      <c r="AI415" s="1525">
        <f t="shared" si="255"/>
        <v>0</v>
      </c>
      <c r="AJ415" s="1525">
        <f t="shared" si="255"/>
        <v>0</v>
      </c>
      <c r="AK415" s="1525">
        <f t="shared" si="255"/>
        <v>0</v>
      </c>
      <c r="AL415" s="1525">
        <f t="shared" si="255"/>
        <v>0</v>
      </c>
      <c r="AM415" s="1525">
        <f t="shared" si="255"/>
        <v>0</v>
      </c>
      <c r="AN415" s="1525">
        <f t="shared" si="255"/>
        <v>0</v>
      </c>
      <c r="AO415" s="1525">
        <f t="shared" si="255"/>
        <v>0</v>
      </c>
      <c r="AP415" s="1525">
        <f t="shared" si="255"/>
        <v>0</v>
      </c>
      <c r="AQ415" s="1525">
        <f t="shared" si="255"/>
        <v>0</v>
      </c>
      <c r="AR415" s="1525">
        <f t="shared" si="255"/>
        <v>0</v>
      </c>
      <c r="AS415" s="1525">
        <f t="shared" si="255"/>
        <v>0</v>
      </c>
      <c r="AU415" s="1525"/>
      <c r="AV415" s="1291"/>
      <c r="AW415" s="1292"/>
      <c r="AX415" s="1292"/>
      <c r="AY415" s="1292"/>
      <c r="AZ415" s="1292"/>
      <c r="BA415" s="1292"/>
      <c r="BB415" s="1292"/>
      <c r="BC415" s="1292"/>
      <c r="BD415" s="1292"/>
      <c r="BE415" s="1292"/>
      <c r="BF415" s="1292"/>
      <c r="BG415" s="1292"/>
      <c r="BH415" s="1292"/>
      <c r="BI415" s="1292"/>
      <c r="BJ415" s="1292"/>
      <c r="BK415" s="1292"/>
      <c r="BL415" s="1292"/>
      <c r="BM415" s="1292"/>
      <c r="BN415" s="1292"/>
      <c r="BO415" s="1292"/>
      <c r="BP415" s="1292"/>
      <c r="BQ415" s="1292"/>
      <c r="BR415" s="1292"/>
      <c r="BS415" s="1292"/>
      <c r="BT415" s="1670">
        <f t="shared" si="256"/>
        <v>0</v>
      </c>
      <c r="BW415" s="910" t="s">
        <v>1871</v>
      </c>
    </row>
    <row r="416" spans="2:75" s="164" customFormat="1" ht="12.75" customHeight="1" x14ac:dyDescent="0.2">
      <c r="B416" s="175"/>
      <c r="C416" s="219" t="s">
        <v>1120</v>
      </c>
      <c r="F416" s="24" t="s">
        <v>446</v>
      </c>
      <c r="G416" s="859"/>
      <c r="H416" s="1420" t="s">
        <v>1508</v>
      </c>
      <c r="I416" s="200"/>
      <c r="J416" s="189"/>
      <c r="K416" s="448">
        <f>SUM(K410:K413)</f>
        <v>0</v>
      </c>
      <c r="L416" s="902">
        <f>SUM(L410:L415)</f>
        <v>5.5</v>
      </c>
      <c r="M416" s="902">
        <f>SUM(M410:M415)</f>
        <v>5.5</v>
      </c>
      <c r="N416" s="857"/>
      <c r="O416" s="1192"/>
      <c r="P416" s="550"/>
      <c r="Q416" s="1153"/>
      <c r="R416" s="877"/>
      <c r="S416" s="875"/>
      <c r="T416" s="875"/>
      <c r="U416" s="875"/>
      <c r="V416" s="875"/>
      <c r="W416" s="875"/>
      <c r="X416" s="1026"/>
      <c r="Y416" s="1335"/>
      <c r="Z416" s="1335"/>
      <c r="AA416" s="1775"/>
      <c r="AB416" s="1814"/>
      <c r="AC416" s="876"/>
      <c r="AD416" s="1295"/>
      <c r="AE416" s="1525"/>
      <c r="AF416" s="1525"/>
      <c r="AG416" s="1525"/>
      <c r="AH416" s="1525"/>
      <c r="AI416" s="1525"/>
      <c r="AJ416" s="1525"/>
      <c r="AK416" s="1525"/>
      <c r="AL416" s="1525"/>
      <c r="AM416" s="1525"/>
      <c r="AN416" s="1525"/>
      <c r="AO416" s="1525"/>
      <c r="AP416" s="1525"/>
      <c r="AQ416" s="1525"/>
      <c r="AR416" s="1525"/>
      <c r="AS416" s="1525"/>
      <c r="AU416" s="1525"/>
      <c r="AV416" s="1295"/>
      <c r="AW416" s="1525"/>
      <c r="AX416" s="1525"/>
      <c r="AY416" s="1525"/>
      <c r="AZ416" s="1525"/>
      <c r="BA416" s="1525"/>
      <c r="BB416" s="1525"/>
      <c r="BC416" s="1525"/>
      <c r="BD416" s="1525"/>
      <c r="BE416" s="1525"/>
      <c r="BF416" s="1525"/>
      <c r="BG416" s="1525"/>
      <c r="BH416" s="1525"/>
      <c r="BI416" s="1525"/>
      <c r="BJ416" s="1525"/>
      <c r="BK416" s="1525"/>
      <c r="BL416" s="1525"/>
      <c r="BM416" s="1525"/>
      <c r="BN416" s="1525"/>
      <c r="BO416" s="1525"/>
      <c r="BP416" s="1525"/>
      <c r="BQ416" s="1525"/>
      <c r="BR416" s="1525"/>
      <c r="BS416" s="1525"/>
      <c r="BT416" s="1670"/>
      <c r="BV416"/>
      <c r="BW416" s="859"/>
    </row>
    <row r="417" spans="2:75" s="164" customFormat="1" ht="12.75" customHeight="1" x14ac:dyDescent="0.2">
      <c r="B417" s="175"/>
      <c r="F417" s="2"/>
      <c r="G417" s="859"/>
      <c r="H417" s="1427" t="s">
        <v>1508</v>
      </c>
      <c r="I417" s="243"/>
      <c r="J417" s="209"/>
      <c r="K417" s="209"/>
      <c r="L417" s="921"/>
      <c r="M417" s="921"/>
      <c r="N417" s="857"/>
      <c r="O417" s="1192"/>
      <c r="P417" s="550"/>
      <c r="Q417" s="1148"/>
      <c r="R417" s="874"/>
      <c r="S417" s="875"/>
      <c r="T417" s="875"/>
      <c r="U417" s="875"/>
      <c r="V417" s="875"/>
      <c r="W417" s="875"/>
      <c r="X417" s="1026"/>
      <c r="Y417" s="1754"/>
      <c r="Z417" s="1755"/>
      <c r="AA417" s="1775"/>
      <c r="AB417" s="1814"/>
      <c r="AC417" s="876"/>
      <c r="AD417" s="1295"/>
      <c r="AE417" s="1525"/>
      <c r="AF417" s="1525"/>
      <c r="AG417" s="1525"/>
      <c r="AH417" s="1525"/>
      <c r="AI417" s="1525"/>
      <c r="AJ417" s="1525"/>
      <c r="AK417" s="1525"/>
      <c r="AL417" s="1525"/>
      <c r="AM417" s="1525"/>
      <c r="AN417" s="1525"/>
      <c r="AO417" s="1525"/>
      <c r="AP417" s="1525"/>
      <c r="AQ417" s="1525"/>
      <c r="AR417" s="1525"/>
      <c r="AS417" s="1525"/>
      <c r="AU417" s="1525"/>
      <c r="AV417" s="1295"/>
      <c r="AW417" s="1525"/>
      <c r="AX417" s="1525"/>
      <c r="AY417" s="1525"/>
      <c r="AZ417" s="1525"/>
      <c r="BA417" s="1525"/>
      <c r="BB417" s="1525"/>
      <c r="BC417" s="1525"/>
      <c r="BD417" s="1525"/>
      <c r="BE417" s="1525"/>
      <c r="BF417" s="1525"/>
      <c r="BG417" s="1525"/>
      <c r="BH417" s="1525"/>
      <c r="BI417" s="1525"/>
      <c r="BJ417" s="1525"/>
      <c r="BK417" s="1525"/>
      <c r="BL417" s="1525"/>
      <c r="BM417" s="1525"/>
      <c r="BN417" s="1525"/>
      <c r="BO417" s="1525"/>
      <c r="BP417" s="1525"/>
      <c r="BQ417" s="1525"/>
      <c r="BR417" s="1525"/>
      <c r="BS417" s="1525"/>
      <c r="BT417" s="1670"/>
      <c r="BV417"/>
      <c r="BW417" s="859"/>
    </row>
    <row r="418" spans="2:75" s="164" customFormat="1" ht="12.75" customHeight="1" x14ac:dyDescent="0.15">
      <c r="B418" s="175"/>
      <c r="F418" s="2" t="s">
        <v>1359</v>
      </c>
      <c r="G418" s="859"/>
      <c r="H418" s="1413" t="s">
        <v>1508</v>
      </c>
      <c r="I418" s="171"/>
      <c r="J418" s="211"/>
      <c r="K418" s="211"/>
      <c r="L418" s="858"/>
      <c r="M418" s="858"/>
      <c r="N418" s="924"/>
      <c r="O418" s="1200"/>
      <c r="P418" s="550"/>
      <c r="Q418" s="1148"/>
      <c r="R418" s="874"/>
      <c r="S418" s="875"/>
      <c r="T418" s="875"/>
      <c r="U418" s="875"/>
      <c r="V418" s="875"/>
      <c r="W418" s="875"/>
      <c r="X418" s="1026"/>
      <c r="Y418" s="1754"/>
      <c r="Z418" s="1755"/>
      <c r="AA418" s="1775"/>
      <c r="AB418" s="1814"/>
      <c r="AC418" s="876"/>
      <c r="AD418" s="1295"/>
      <c r="AE418" s="1525"/>
      <c r="AF418" s="1525"/>
      <c r="AG418" s="1525"/>
      <c r="AH418" s="1525"/>
      <c r="AI418" s="1525"/>
      <c r="AJ418" s="1525"/>
      <c r="AK418" s="1525"/>
      <c r="AL418" s="1525"/>
      <c r="AM418" s="1525"/>
      <c r="AN418" s="1525"/>
      <c r="AO418" s="1525"/>
      <c r="AP418" s="1525"/>
      <c r="AQ418" s="1525"/>
      <c r="AR418" s="1525"/>
      <c r="AS418" s="1525"/>
      <c r="AU418" s="1525"/>
      <c r="AV418" s="1295"/>
      <c r="AW418" s="1525"/>
      <c r="AX418" s="1525"/>
      <c r="AY418" s="1525"/>
      <c r="AZ418" s="1525"/>
      <c r="BA418" s="1525"/>
      <c r="BB418" s="1525"/>
      <c r="BC418" s="1525"/>
      <c r="BD418" s="1525"/>
      <c r="BE418" s="1525"/>
      <c r="BF418" s="1525"/>
      <c r="BG418" s="1525"/>
      <c r="BH418" s="1525"/>
      <c r="BI418" s="1525"/>
      <c r="BJ418" s="1525"/>
      <c r="BK418" s="1525"/>
      <c r="BL418" s="1525"/>
      <c r="BM418" s="1525"/>
      <c r="BN418" s="1525"/>
      <c r="BO418" s="1525"/>
      <c r="BP418" s="1525"/>
      <c r="BQ418" s="1525"/>
      <c r="BR418" s="1525"/>
      <c r="BS418" s="1525"/>
      <c r="BT418" s="1670"/>
      <c r="BV418"/>
      <c r="BW418" s="859"/>
    </row>
    <row r="419" spans="2:75" s="164" customFormat="1" ht="12.75" customHeight="1" x14ac:dyDescent="0.2">
      <c r="B419" s="175"/>
      <c r="F419" s="1"/>
      <c r="G419" s="859"/>
      <c r="H419" s="1413" t="s">
        <v>1508</v>
      </c>
      <c r="I419" s="172"/>
      <c r="J419" s="168"/>
      <c r="K419" s="168"/>
      <c r="L419" s="858"/>
      <c r="M419" s="858"/>
      <c r="N419" s="857"/>
      <c r="O419" s="1192"/>
      <c r="P419" s="550"/>
      <c r="Q419" s="1148"/>
      <c r="R419" s="874"/>
      <c r="S419" s="875"/>
      <c r="T419" s="875"/>
      <c r="U419" s="875"/>
      <c r="V419" s="875"/>
      <c r="W419" s="875"/>
      <c r="X419" s="1026"/>
      <c r="Y419" s="1754"/>
      <c r="Z419" s="1755"/>
      <c r="AA419" s="1775"/>
      <c r="AB419" s="1814"/>
      <c r="AC419" s="876"/>
      <c r="AD419" s="1295"/>
      <c r="AE419" s="1525"/>
      <c r="AF419" s="1525"/>
      <c r="AG419" s="1525"/>
      <c r="AH419" s="1525"/>
      <c r="AI419" s="1525"/>
      <c r="AJ419" s="1525"/>
      <c r="AK419" s="1525"/>
      <c r="AL419" s="1525"/>
      <c r="AM419" s="1525"/>
      <c r="AN419" s="1525"/>
      <c r="AO419" s="1525"/>
      <c r="AP419" s="1525"/>
      <c r="AQ419" s="1525"/>
      <c r="AR419" s="1525"/>
      <c r="AS419" s="1525"/>
      <c r="AU419" s="1525"/>
      <c r="AV419" s="1295"/>
      <c r="AW419" s="1525"/>
      <c r="AX419" s="1525"/>
      <c r="AY419" s="1525"/>
      <c r="AZ419" s="1525"/>
      <c r="BA419" s="1525"/>
      <c r="BB419" s="1525"/>
      <c r="BC419" s="1525"/>
      <c r="BD419" s="1525"/>
      <c r="BE419" s="1525"/>
      <c r="BF419" s="1525"/>
      <c r="BG419" s="1525"/>
      <c r="BH419" s="1525"/>
      <c r="BI419" s="1525"/>
      <c r="BJ419" s="1525"/>
      <c r="BK419" s="1525"/>
      <c r="BL419" s="1525"/>
      <c r="BM419" s="1525"/>
      <c r="BN419" s="1525"/>
      <c r="BO419" s="1525"/>
      <c r="BP419" s="1525"/>
      <c r="BQ419" s="1525"/>
      <c r="BR419" s="1525"/>
      <c r="BS419" s="1525"/>
      <c r="BT419" s="1670"/>
      <c r="BV419"/>
      <c r="BW419" s="859"/>
    </row>
    <row r="420" spans="2:75" ht="12.75" customHeight="1" x14ac:dyDescent="0.2">
      <c r="B420" s="175">
        <f>B419+1</f>
        <v>1</v>
      </c>
      <c r="C420" s="219">
        <v>5</v>
      </c>
      <c r="E420" s="12" t="s">
        <v>647</v>
      </c>
      <c r="F420" s="4" t="s">
        <v>216</v>
      </c>
      <c r="G420" s="825" t="s">
        <v>1360</v>
      </c>
      <c r="H420" s="1413">
        <v>101605</v>
      </c>
      <c r="I420" s="200" t="s">
        <v>351</v>
      </c>
      <c r="J420" s="174"/>
      <c r="K420" s="174"/>
      <c r="L420" s="861">
        <v>1</v>
      </c>
      <c r="M420" s="858">
        <f>K420+L420</f>
        <v>1</v>
      </c>
      <c r="N420" s="857" t="s">
        <v>1326</v>
      </c>
      <c r="O420" s="1196">
        <v>18175</v>
      </c>
      <c r="P420" s="1218">
        <f ca="1">YEARFRAC(TODAY(),O420)</f>
        <v>67.99444444444444</v>
      </c>
      <c r="Q420" s="1148">
        <v>46750</v>
      </c>
      <c r="R420" s="874">
        <f>Q420*0.1</f>
        <v>4675</v>
      </c>
      <c r="S420" s="875">
        <v>3000</v>
      </c>
      <c r="T420" s="875">
        <v>32700</v>
      </c>
      <c r="U420" s="875"/>
      <c r="V420" s="875"/>
      <c r="W420" s="875"/>
      <c r="X420" s="1026">
        <f>(Q420+R420+S420+T420+U420+V420+W420)*M420</f>
        <v>87125</v>
      </c>
      <c r="Y420" s="1512">
        <f>(T420+U420)*M420/(X420-M420*(T420+U420))</f>
        <v>0.60082682590721181</v>
      </c>
      <c r="Z420" s="1741">
        <f>M420*(1+Y420)</f>
        <v>1.6008268259072118</v>
      </c>
      <c r="AA420" s="1749">
        <f>SUM(AD420:AS420)</f>
        <v>0.7</v>
      </c>
      <c r="AB420" s="1810">
        <f t="shared" ref="AB420:AB422" si="257">100*AA420/Z420</f>
        <v>43.727403156384504</v>
      </c>
      <c r="AC420" s="876"/>
      <c r="AD420" s="1525">
        <f t="shared" ref="AD420:AS422" si="258">SUMIF($AV$6:$BS$6,AD$5,$AV420:$BS420)</f>
        <v>0</v>
      </c>
      <c r="AE420" s="1525">
        <f t="shared" si="258"/>
        <v>0</v>
      </c>
      <c r="AF420" s="1525">
        <f t="shared" si="258"/>
        <v>0</v>
      </c>
      <c r="AG420" s="1525">
        <f t="shared" si="258"/>
        <v>0</v>
      </c>
      <c r="AH420" s="1525">
        <f t="shared" si="258"/>
        <v>0</v>
      </c>
      <c r="AI420" s="1525">
        <f t="shared" si="258"/>
        <v>0</v>
      </c>
      <c r="AJ420" s="1525">
        <f t="shared" si="258"/>
        <v>0</v>
      </c>
      <c r="AK420" s="1525">
        <f t="shared" si="258"/>
        <v>0</v>
      </c>
      <c r="AL420" s="1525">
        <f t="shared" si="258"/>
        <v>0</v>
      </c>
      <c r="AM420" s="1525">
        <f t="shared" si="258"/>
        <v>0</v>
      </c>
      <c r="AN420" s="1525">
        <f t="shared" si="258"/>
        <v>0</v>
      </c>
      <c r="AO420" s="1525">
        <f t="shared" si="258"/>
        <v>0</v>
      </c>
      <c r="AP420" s="1525">
        <f t="shared" si="258"/>
        <v>0</v>
      </c>
      <c r="AQ420" s="1525">
        <f t="shared" si="258"/>
        <v>0</v>
      </c>
      <c r="AR420" s="1525">
        <f t="shared" si="258"/>
        <v>0.7</v>
      </c>
      <c r="AS420" s="1525">
        <f t="shared" si="258"/>
        <v>0</v>
      </c>
      <c r="AU420" s="1525"/>
      <c r="AV420" s="1291"/>
      <c r="AW420" s="1292"/>
      <c r="AX420" s="1292"/>
      <c r="AY420" s="1292"/>
      <c r="AZ420" s="1292"/>
      <c r="BA420" s="1292"/>
      <c r="BB420" s="1292"/>
      <c r="BC420" s="1292"/>
      <c r="BD420" s="1292"/>
      <c r="BE420" s="1292"/>
      <c r="BF420" s="1292"/>
      <c r="BG420" s="1292"/>
      <c r="BH420" s="1292"/>
      <c r="BI420" s="1292"/>
      <c r="BJ420" s="1292"/>
      <c r="BK420" s="1292"/>
      <c r="BL420" s="1292">
        <v>0.7</v>
      </c>
      <c r="BM420" s="1292"/>
      <c r="BN420" s="1292"/>
      <c r="BO420" s="1292"/>
      <c r="BP420" s="1292"/>
      <c r="BQ420" s="1292"/>
      <c r="BR420" s="1292"/>
      <c r="BS420" s="1292"/>
      <c r="BT420" s="1670">
        <f t="shared" ref="BT420:BT422" si="259">SUM(AV420:BS420)</f>
        <v>0.7</v>
      </c>
      <c r="BW420" s="825" t="s">
        <v>1360</v>
      </c>
    </row>
    <row r="421" spans="2:75" ht="12.75" customHeight="1" x14ac:dyDescent="0.2">
      <c r="B421" s="175">
        <f>B420+1</f>
        <v>2</v>
      </c>
      <c r="C421" s="219">
        <v>7</v>
      </c>
      <c r="E421" s="12" t="s">
        <v>647</v>
      </c>
      <c r="F421" s="67" t="s">
        <v>1334</v>
      </c>
      <c r="G421" s="825" t="s">
        <v>627</v>
      </c>
      <c r="H421" s="1412">
        <v>3354</v>
      </c>
      <c r="I421" s="197" t="s">
        <v>351</v>
      </c>
      <c r="J421" s="174"/>
      <c r="K421" s="174"/>
      <c r="L421" s="861">
        <v>1</v>
      </c>
      <c r="M421" s="861">
        <f>K421+L421</f>
        <v>1</v>
      </c>
      <c r="N421" s="836" t="s">
        <v>1326</v>
      </c>
      <c r="O421" s="1196">
        <v>14526</v>
      </c>
      <c r="P421" s="1218">
        <f ca="1">YEARFRAC(TODAY(),O421)</f>
        <v>77.983333333333334</v>
      </c>
      <c r="Q421" s="1148">
        <v>35300</v>
      </c>
      <c r="R421" s="874">
        <f>Q421*0.1</f>
        <v>3530</v>
      </c>
      <c r="S421" s="875">
        <v>3000</v>
      </c>
      <c r="T421" s="875">
        <v>3000</v>
      </c>
      <c r="U421" s="875">
        <v>2500</v>
      </c>
      <c r="V421" s="875"/>
      <c r="W421" s="875"/>
      <c r="X421" s="1026">
        <f>(Q421+R421+S421+T421+U421+V421+W421)*M421</f>
        <v>47330</v>
      </c>
      <c r="Y421" s="1512">
        <f>(T421+U421)*M421/(X421-M421*(T421+U421))</f>
        <v>0.13148458044465694</v>
      </c>
      <c r="Z421" s="1741">
        <f>M421*(1+Y421)</f>
        <v>1.1314845804446569</v>
      </c>
      <c r="AA421" s="1749">
        <f>SUM(AD421:AS421)</f>
        <v>1</v>
      </c>
      <c r="AB421" s="1810">
        <f t="shared" si="257"/>
        <v>88.379463342488904</v>
      </c>
      <c r="AC421" s="876"/>
      <c r="AD421" s="1525">
        <f t="shared" si="258"/>
        <v>0</v>
      </c>
      <c r="AE421" s="1525">
        <f t="shared" si="258"/>
        <v>0</v>
      </c>
      <c r="AF421" s="1525">
        <f t="shared" si="258"/>
        <v>0</v>
      </c>
      <c r="AG421" s="1525">
        <f t="shared" si="258"/>
        <v>0</v>
      </c>
      <c r="AH421" s="1525">
        <f t="shared" si="258"/>
        <v>0</v>
      </c>
      <c r="AI421" s="1525">
        <f t="shared" si="258"/>
        <v>0</v>
      </c>
      <c r="AJ421" s="1525">
        <f t="shared" si="258"/>
        <v>0</v>
      </c>
      <c r="AK421" s="1525">
        <f t="shared" si="258"/>
        <v>0</v>
      </c>
      <c r="AL421" s="1525">
        <f t="shared" si="258"/>
        <v>0</v>
      </c>
      <c r="AM421" s="1525">
        <f t="shared" si="258"/>
        <v>0</v>
      </c>
      <c r="AN421" s="1525">
        <f t="shared" si="258"/>
        <v>0</v>
      </c>
      <c r="AO421" s="1525">
        <f t="shared" si="258"/>
        <v>0</v>
      </c>
      <c r="AP421" s="1525">
        <f t="shared" si="258"/>
        <v>0</v>
      </c>
      <c r="AQ421" s="1525">
        <f t="shared" si="258"/>
        <v>0</v>
      </c>
      <c r="AR421" s="1525">
        <f t="shared" si="258"/>
        <v>1</v>
      </c>
      <c r="AS421" s="1525">
        <f t="shared" si="258"/>
        <v>0</v>
      </c>
      <c r="AU421" s="1525"/>
      <c r="AV421" s="1291"/>
      <c r="AW421" s="1292"/>
      <c r="AX421" s="1292"/>
      <c r="AY421" s="1292"/>
      <c r="AZ421" s="1292"/>
      <c r="BA421" s="1292"/>
      <c r="BB421" s="1292"/>
      <c r="BC421" s="1292"/>
      <c r="BD421" s="1292"/>
      <c r="BE421" s="1292"/>
      <c r="BF421" s="1292"/>
      <c r="BG421" s="1292"/>
      <c r="BH421" s="1292"/>
      <c r="BI421" s="1292"/>
      <c r="BJ421" s="1292"/>
      <c r="BK421" s="1292"/>
      <c r="BL421" s="1292">
        <v>1</v>
      </c>
      <c r="BM421" s="1292"/>
      <c r="BN421" s="1292"/>
      <c r="BO421" s="1292"/>
      <c r="BP421" s="1292"/>
      <c r="BQ421" s="1292"/>
      <c r="BR421" s="1292"/>
      <c r="BS421" s="1292"/>
      <c r="BT421" s="1670">
        <f t="shared" si="259"/>
        <v>1</v>
      </c>
      <c r="BW421" s="825" t="s">
        <v>627</v>
      </c>
    </row>
    <row r="422" spans="2:75" ht="12.75" customHeight="1" x14ac:dyDescent="0.2">
      <c r="B422" s="175">
        <f>B421+1</f>
        <v>3</v>
      </c>
      <c r="C422" s="219">
        <v>13</v>
      </c>
      <c r="E422" s="12" t="s">
        <v>647</v>
      </c>
      <c r="F422" s="4" t="s">
        <v>1272</v>
      </c>
      <c r="G422" s="825" t="s">
        <v>731</v>
      </c>
      <c r="H422" s="1412">
        <v>143309</v>
      </c>
      <c r="I422" s="197"/>
      <c r="J422" s="174">
        <v>1</v>
      </c>
      <c r="K422" s="174"/>
      <c r="L422" s="861">
        <v>0.5</v>
      </c>
      <c r="M422" s="861">
        <v>0.5</v>
      </c>
      <c r="N422" s="836" t="s">
        <v>1326</v>
      </c>
      <c r="O422" s="1196">
        <v>29562</v>
      </c>
      <c r="P422" s="1218">
        <f ca="1">YEARFRAC(TODAY(),O422)</f>
        <v>36.819444444444443</v>
      </c>
      <c r="Q422" s="1148">
        <v>25000</v>
      </c>
      <c r="R422" s="874">
        <f>Q422*0.1</f>
        <v>2500</v>
      </c>
      <c r="S422" s="875"/>
      <c r="T422" s="875"/>
      <c r="U422" s="875"/>
      <c r="V422" s="875"/>
      <c r="W422" s="875"/>
      <c r="X422" s="1026">
        <f>(Q422+R422+S422+T422+U422+V422+W422)*M422</f>
        <v>13750</v>
      </c>
      <c r="Y422" s="1512">
        <f>(T422+U422)*M422/(X422-M422*(T422+U422))</f>
        <v>0</v>
      </c>
      <c r="Z422" s="1741">
        <f>M422*(1+Y422)</f>
        <v>0.5</v>
      </c>
      <c r="AA422" s="1749">
        <f>SUM(AD422:AS422)</f>
        <v>0.5</v>
      </c>
      <c r="AB422" s="1810">
        <f t="shared" si="257"/>
        <v>100</v>
      </c>
      <c r="AC422" s="876"/>
      <c r="AD422" s="1525">
        <f t="shared" si="258"/>
        <v>0</v>
      </c>
      <c r="AE422" s="1525">
        <f t="shared" si="258"/>
        <v>0</v>
      </c>
      <c r="AF422" s="1525">
        <f t="shared" si="258"/>
        <v>0</v>
      </c>
      <c r="AG422" s="1525">
        <f t="shared" si="258"/>
        <v>0</v>
      </c>
      <c r="AH422" s="1525">
        <f t="shared" si="258"/>
        <v>0</v>
      </c>
      <c r="AI422" s="1525">
        <f t="shared" si="258"/>
        <v>0</v>
      </c>
      <c r="AJ422" s="1525">
        <f t="shared" si="258"/>
        <v>0</v>
      </c>
      <c r="AK422" s="1525">
        <f t="shared" si="258"/>
        <v>0</v>
      </c>
      <c r="AL422" s="1525">
        <f t="shared" si="258"/>
        <v>0</v>
      </c>
      <c r="AM422" s="1525">
        <f t="shared" si="258"/>
        <v>0</v>
      </c>
      <c r="AN422" s="1525">
        <f t="shared" si="258"/>
        <v>0</v>
      </c>
      <c r="AO422" s="1525">
        <f t="shared" si="258"/>
        <v>0</v>
      </c>
      <c r="AP422" s="1525">
        <f t="shared" si="258"/>
        <v>0</v>
      </c>
      <c r="AQ422" s="1525">
        <f t="shared" si="258"/>
        <v>0</v>
      </c>
      <c r="AR422" s="1525">
        <f t="shared" si="258"/>
        <v>0.5</v>
      </c>
      <c r="AS422" s="1525">
        <f t="shared" si="258"/>
        <v>0</v>
      </c>
      <c r="AU422" s="1525"/>
      <c r="AV422" s="1291"/>
      <c r="AW422" s="1292"/>
      <c r="AX422" s="1292"/>
      <c r="AY422" s="1292"/>
      <c r="AZ422" s="1292"/>
      <c r="BA422" s="1292"/>
      <c r="BB422" s="1292"/>
      <c r="BC422" s="1292"/>
      <c r="BD422" s="1292"/>
      <c r="BE422" s="1292"/>
      <c r="BF422" s="1292"/>
      <c r="BG422" s="1292"/>
      <c r="BH422" s="1292"/>
      <c r="BI422" s="1292"/>
      <c r="BJ422" s="1292"/>
      <c r="BK422" s="1292"/>
      <c r="BL422" s="1292">
        <v>0.5</v>
      </c>
      <c r="BM422" s="1292"/>
      <c r="BN422" s="1292"/>
      <c r="BO422" s="1292"/>
      <c r="BP422" s="1292"/>
      <c r="BQ422" s="1292"/>
      <c r="BR422" s="1292"/>
      <c r="BS422" s="1292"/>
      <c r="BT422" s="1670">
        <f t="shared" si="259"/>
        <v>0.5</v>
      </c>
      <c r="BW422" s="825" t="s">
        <v>731</v>
      </c>
    </row>
    <row r="423" spans="2:75" s="164" customFormat="1" ht="12.75" customHeight="1" x14ac:dyDescent="0.2">
      <c r="B423" s="175"/>
      <c r="C423" s="219" t="s">
        <v>1120</v>
      </c>
      <c r="F423" s="330" t="s">
        <v>379</v>
      </c>
      <c r="G423" s="904"/>
      <c r="H423" s="1423" t="s">
        <v>1508</v>
      </c>
      <c r="I423" s="331"/>
      <c r="J423" s="329"/>
      <c r="K423" s="449">
        <f>SUM(K420:K421)</f>
        <v>0</v>
      </c>
      <c r="L423" s="903">
        <f>SUM(L420:L422)</f>
        <v>2.5</v>
      </c>
      <c r="M423" s="903">
        <f>SUM(M420:M422)</f>
        <v>2.5</v>
      </c>
      <c r="N423" s="836"/>
      <c r="O423" s="1192"/>
      <c r="P423" s="550"/>
      <c r="Q423" s="1153"/>
      <c r="R423" s="884"/>
      <c r="S423" s="876"/>
      <c r="T423" s="876"/>
      <c r="U423" s="876"/>
      <c r="V423" s="876"/>
      <c r="W423" s="876"/>
      <c r="X423" s="1026"/>
      <c r="Y423" s="1335"/>
      <c r="Z423" s="1335"/>
      <c r="AA423" s="1775"/>
      <c r="AB423" s="1814"/>
      <c r="AC423" s="876"/>
      <c r="AD423" s="1295"/>
      <c r="AE423" s="1525"/>
      <c r="AF423" s="1525"/>
      <c r="AG423" s="1525"/>
      <c r="AH423" s="1525"/>
      <c r="AI423" s="1525"/>
      <c r="AJ423" s="1525"/>
      <c r="AK423" s="1525"/>
      <c r="AL423" s="1525"/>
      <c r="AM423" s="1525"/>
      <c r="AN423" s="1525"/>
      <c r="AO423" s="1525"/>
      <c r="AP423" s="1525"/>
      <c r="AQ423" s="1525"/>
      <c r="AR423" s="1525"/>
      <c r="AS423" s="1525"/>
      <c r="AU423" s="1525"/>
      <c r="AV423" s="1295"/>
      <c r="AW423" s="1525"/>
      <c r="AX423" s="1525"/>
      <c r="AY423" s="1525"/>
      <c r="AZ423" s="1525"/>
      <c r="BA423" s="1525"/>
      <c r="BB423" s="1525"/>
      <c r="BC423" s="1525"/>
      <c r="BD423" s="1525"/>
      <c r="BE423" s="1525"/>
      <c r="BF423" s="1525"/>
      <c r="BG423" s="1525"/>
      <c r="BH423" s="1525"/>
      <c r="BI423" s="1525"/>
      <c r="BJ423" s="1525"/>
      <c r="BK423" s="1525"/>
      <c r="BL423" s="1525"/>
      <c r="BM423" s="1525"/>
      <c r="BN423" s="1525"/>
      <c r="BO423" s="1525"/>
      <c r="BP423" s="1525"/>
      <c r="BQ423" s="1525"/>
      <c r="BR423" s="1525"/>
      <c r="BS423" s="1525"/>
      <c r="BT423" s="1670"/>
      <c r="BV423"/>
      <c r="BW423" s="904"/>
    </row>
    <row r="424" spans="2:75" s="164" customFormat="1" ht="12.75" customHeight="1" x14ac:dyDescent="0.2">
      <c r="B424" s="175"/>
      <c r="F424" s="4"/>
      <c r="G424" s="825"/>
      <c r="H424" s="1412" t="s">
        <v>1508</v>
      </c>
      <c r="I424" s="197"/>
      <c r="J424" s="174"/>
      <c r="K424" s="174"/>
      <c r="L424" s="861"/>
      <c r="M424" s="861"/>
      <c r="N424" s="857"/>
      <c r="O424" s="1192"/>
      <c r="P424" s="550"/>
      <c r="Q424" s="1148"/>
      <c r="R424" s="874"/>
      <c r="S424" s="875"/>
      <c r="T424" s="875"/>
      <c r="U424" s="875"/>
      <c r="V424" s="875"/>
      <c r="W424" s="875"/>
      <c r="X424" s="1026"/>
      <c r="Y424" s="1754"/>
      <c r="Z424" s="1755"/>
      <c r="AA424" s="1775"/>
      <c r="AB424" s="1814"/>
      <c r="AC424" s="876"/>
      <c r="AD424" s="1295"/>
      <c r="AE424" s="1525"/>
      <c r="AF424" s="1525"/>
      <c r="AG424" s="1525"/>
      <c r="AH424" s="1525"/>
      <c r="AI424" s="1525"/>
      <c r="AJ424" s="1525"/>
      <c r="AK424" s="1525"/>
      <c r="AL424" s="1525"/>
      <c r="AM424" s="1525"/>
      <c r="AN424" s="1525"/>
      <c r="AO424" s="1525"/>
      <c r="AP424" s="1525"/>
      <c r="AQ424" s="1525"/>
      <c r="AR424" s="1525"/>
      <c r="AS424" s="1525"/>
      <c r="AU424" s="1525"/>
      <c r="AV424" s="1295"/>
      <c r="AW424" s="1525"/>
      <c r="AX424" s="1525"/>
      <c r="AY424" s="1525"/>
      <c r="AZ424" s="1525"/>
      <c r="BA424" s="1525"/>
      <c r="BB424" s="1525"/>
      <c r="BC424" s="1525"/>
      <c r="BD424" s="1525"/>
      <c r="BE424" s="1525"/>
      <c r="BF424" s="1525"/>
      <c r="BG424" s="1525"/>
      <c r="BH424" s="1525"/>
      <c r="BI424" s="1525"/>
      <c r="BJ424" s="1525"/>
      <c r="BK424" s="1525"/>
      <c r="BL424" s="1525"/>
      <c r="BM424" s="1525"/>
      <c r="BN424" s="1525"/>
      <c r="BO424" s="1525"/>
      <c r="BP424" s="1525"/>
      <c r="BQ424" s="1525"/>
      <c r="BR424" s="1525"/>
      <c r="BS424" s="1525"/>
      <c r="BT424" s="1670"/>
      <c r="BV424"/>
      <c r="BW424" s="825"/>
    </row>
    <row r="425" spans="2:75" s="164" customFormat="1" ht="12.75" customHeight="1" x14ac:dyDescent="0.2">
      <c r="B425" s="175"/>
      <c r="F425" s="4" t="s">
        <v>537</v>
      </c>
      <c r="G425" s="825"/>
      <c r="H425" s="1412" t="s">
        <v>1508</v>
      </c>
      <c r="I425" s="212"/>
      <c r="J425" s="246"/>
      <c r="K425" s="246"/>
      <c r="L425" s="861"/>
      <c r="M425" s="861"/>
      <c r="N425" s="857"/>
      <c r="O425" s="1192"/>
      <c r="P425" s="550"/>
      <c r="Q425" s="1148"/>
      <c r="R425" s="874"/>
      <c r="S425" s="875"/>
      <c r="T425" s="875"/>
      <c r="U425" s="875"/>
      <c r="V425" s="875"/>
      <c r="W425" s="875"/>
      <c r="X425" s="1026"/>
      <c r="Y425" s="1754"/>
      <c r="Z425" s="1755"/>
      <c r="AA425" s="1775"/>
      <c r="AB425" s="1814"/>
      <c r="AC425" s="876"/>
      <c r="AD425" s="1295"/>
      <c r="AE425" s="1525"/>
      <c r="AF425" s="1525"/>
      <c r="AG425" s="1525"/>
      <c r="AH425" s="1525"/>
      <c r="AI425" s="1525"/>
      <c r="AJ425" s="1525"/>
      <c r="AK425" s="1525"/>
      <c r="AL425" s="1525"/>
      <c r="AM425" s="1525"/>
      <c r="AN425" s="1525"/>
      <c r="AO425" s="1525"/>
      <c r="AP425" s="1525"/>
      <c r="AQ425" s="1525"/>
      <c r="AR425" s="1525"/>
      <c r="AS425" s="1525"/>
      <c r="AU425" s="1525"/>
      <c r="AV425" s="1295"/>
      <c r="AW425" s="1525"/>
      <c r="AX425" s="1525"/>
      <c r="AY425" s="1525"/>
      <c r="AZ425" s="1525"/>
      <c r="BA425" s="1525"/>
      <c r="BB425" s="1525"/>
      <c r="BC425" s="1525"/>
      <c r="BD425" s="1525"/>
      <c r="BE425" s="1525"/>
      <c r="BF425" s="1525"/>
      <c r="BG425" s="1525"/>
      <c r="BH425" s="1525"/>
      <c r="BI425" s="1525"/>
      <c r="BJ425" s="1525"/>
      <c r="BK425" s="1525"/>
      <c r="BL425" s="1525"/>
      <c r="BM425" s="1525"/>
      <c r="BN425" s="1525"/>
      <c r="BO425" s="1525"/>
      <c r="BP425" s="1525"/>
      <c r="BQ425" s="1525"/>
      <c r="BR425" s="1525"/>
      <c r="BS425" s="1525"/>
      <c r="BT425" s="1670"/>
      <c r="BV425"/>
      <c r="BW425" s="825"/>
    </row>
    <row r="426" spans="2:75" s="164" customFormat="1" ht="12.75" customHeight="1" x14ac:dyDescent="0.2">
      <c r="B426" s="175"/>
      <c r="F426" s="4"/>
      <c r="G426" s="825"/>
      <c r="H426" s="1412" t="s">
        <v>1508</v>
      </c>
      <c r="I426" s="197"/>
      <c r="J426" s="174"/>
      <c r="K426" s="174"/>
      <c r="L426" s="861"/>
      <c r="M426" s="861"/>
      <c r="N426" s="857"/>
      <c r="O426" s="1192"/>
      <c r="P426" s="550"/>
      <c r="Q426" s="1148"/>
      <c r="R426" s="874"/>
      <c r="S426" s="875"/>
      <c r="T426" s="875"/>
      <c r="U426" s="875"/>
      <c r="V426" s="875"/>
      <c r="W426" s="875"/>
      <c r="X426" s="1026"/>
      <c r="Y426" s="1754"/>
      <c r="Z426" s="1755"/>
      <c r="AA426" s="1775"/>
      <c r="AB426" s="1814"/>
      <c r="AC426" s="876"/>
      <c r="AD426" s="1295"/>
      <c r="AE426" s="1525"/>
      <c r="AF426" s="1525"/>
      <c r="AG426" s="1525"/>
      <c r="AH426" s="1525"/>
      <c r="AI426" s="1525"/>
      <c r="AJ426" s="1525"/>
      <c r="AK426" s="1525"/>
      <c r="AL426" s="1525"/>
      <c r="AM426" s="1525"/>
      <c r="AN426" s="1525"/>
      <c r="AO426" s="1525"/>
      <c r="AP426" s="1525"/>
      <c r="AQ426" s="1525"/>
      <c r="AR426" s="1525"/>
      <c r="AS426" s="1525"/>
      <c r="AU426" s="1525"/>
      <c r="AV426" s="1295"/>
      <c r="AW426" s="1525"/>
      <c r="AX426" s="1525"/>
      <c r="AY426" s="1525"/>
      <c r="AZ426" s="1525"/>
      <c r="BA426" s="1525"/>
      <c r="BB426" s="1525"/>
      <c r="BC426" s="1525"/>
      <c r="BD426" s="1525"/>
      <c r="BE426" s="1525"/>
      <c r="BF426" s="1525"/>
      <c r="BG426" s="1525"/>
      <c r="BH426" s="1525"/>
      <c r="BI426" s="1525"/>
      <c r="BJ426" s="1525"/>
      <c r="BK426" s="1525"/>
      <c r="BL426" s="1525"/>
      <c r="BM426" s="1525"/>
      <c r="BN426" s="1525"/>
      <c r="BO426" s="1525"/>
      <c r="BP426" s="1525"/>
      <c r="BQ426" s="1525"/>
      <c r="BR426" s="1525"/>
      <c r="BS426" s="1525"/>
      <c r="BT426" s="1670"/>
      <c r="BV426"/>
      <c r="BW426" s="825"/>
    </row>
    <row r="427" spans="2:75" ht="12.75" customHeight="1" x14ac:dyDescent="0.2">
      <c r="B427" s="175">
        <f>B426+1</f>
        <v>1</v>
      </c>
      <c r="C427" s="219">
        <v>11</v>
      </c>
      <c r="E427" s="12" t="s">
        <v>647</v>
      </c>
      <c r="F427" s="4" t="s">
        <v>824</v>
      </c>
      <c r="G427" s="825" t="s">
        <v>538</v>
      </c>
      <c r="H427" s="1413">
        <v>3389</v>
      </c>
      <c r="I427" s="197" t="s">
        <v>161</v>
      </c>
      <c r="J427" s="174"/>
      <c r="K427" s="174"/>
      <c r="L427" s="861">
        <v>1</v>
      </c>
      <c r="M427" s="858">
        <f>K427+L427</f>
        <v>1</v>
      </c>
      <c r="N427" s="857" t="s">
        <v>1326</v>
      </c>
      <c r="O427" s="1196">
        <v>16298</v>
      </c>
      <c r="P427" s="1218">
        <f t="shared" ref="P427:P433" ca="1" si="260">YEARFRAC(TODAY(),O427)</f>
        <v>73.13333333333334</v>
      </c>
      <c r="Q427" s="1148">
        <v>34000</v>
      </c>
      <c r="R427" s="874">
        <f>Q427*0.1</f>
        <v>3400</v>
      </c>
      <c r="S427" s="875"/>
      <c r="T427" s="875"/>
      <c r="U427" s="875"/>
      <c r="V427" s="875"/>
      <c r="W427" s="875"/>
      <c r="X427" s="1026">
        <f t="shared" ref="X427:X433" si="261">(Q427+R427+S427+T427+U427+V427+W427)*M427</f>
        <v>37400</v>
      </c>
      <c r="Y427" s="1512">
        <f t="shared" ref="Y427:Y433" si="262">(T427+U427)*M427/(X427-M427*(T427+U427))</f>
        <v>0</v>
      </c>
      <c r="Z427" s="1741">
        <f t="shared" ref="Z427:Z433" si="263">M427*(1+Y427)</f>
        <v>1</v>
      </c>
      <c r="AA427" s="1749">
        <f t="shared" ref="AA427:AA433" si="264">SUM(AD427:AS427)</f>
        <v>0.7</v>
      </c>
      <c r="AB427" s="1810">
        <f t="shared" ref="AB427:AB433" si="265">100*AA427/Z427</f>
        <v>70</v>
      </c>
      <c r="AC427" s="876"/>
      <c r="AD427" s="1525">
        <f t="shared" ref="AD427:AS433" si="266">SUMIF($AV$6:$BS$6,AD$5,$AV427:$BS427)</f>
        <v>0</v>
      </c>
      <c r="AE427" s="1525">
        <f t="shared" si="266"/>
        <v>0</v>
      </c>
      <c r="AF427" s="1525">
        <f t="shared" si="266"/>
        <v>0</v>
      </c>
      <c r="AG427" s="1525">
        <f t="shared" si="266"/>
        <v>0</v>
      </c>
      <c r="AH427" s="1525">
        <f t="shared" si="266"/>
        <v>0</v>
      </c>
      <c r="AI427" s="1525">
        <f t="shared" si="266"/>
        <v>0</v>
      </c>
      <c r="AJ427" s="1525">
        <f t="shared" si="266"/>
        <v>0</v>
      </c>
      <c r="AK427" s="1525">
        <f t="shared" si="266"/>
        <v>0</v>
      </c>
      <c r="AL427" s="1525">
        <f t="shared" si="266"/>
        <v>0</v>
      </c>
      <c r="AM427" s="1525">
        <f t="shared" si="266"/>
        <v>0</v>
      </c>
      <c r="AN427" s="1525">
        <f t="shared" si="266"/>
        <v>0</v>
      </c>
      <c r="AO427" s="1525">
        <f t="shared" si="266"/>
        <v>0</v>
      </c>
      <c r="AP427" s="1525">
        <f t="shared" si="266"/>
        <v>0</v>
      </c>
      <c r="AQ427" s="1525">
        <f t="shared" si="266"/>
        <v>0</v>
      </c>
      <c r="AR427" s="1525">
        <f t="shared" si="266"/>
        <v>0.7</v>
      </c>
      <c r="AS427" s="1525">
        <f t="shared" si="266"/>
        <v>0</v>
      </c>
      <c r="AU427" s="1525"/>
      <c r="AV427" s="1291"/>
      <c r="AW427" s="1292"/>
      <c r="AX427" s="1292"/>
      <c r="AY427" s="1292"/>
      <c r="AZ427" s="1292"/>
      <c r="BA427" s="1292"/>
      <c r="BB427" s="1292"/>
      <c r="BC427" s="1292"/>
      <c r="BD427" s="1292"/>
      <c r="BE427" s="1292"/>
      <c r="BF427" s="1292"/>
      <c r="BG427" s="1292"/>
      <c r="BH427" s="1292"/>
      <c r="BI427" s="1292"/>
      <c r="BJ427" s="1292"/>
      <c r="BK427" s="1292"/>
      <c r="BL427" s="1292">
        <v>0.7</v>
      </c>
      <c r="BM427" s="1292"/>
      <c r="BN427" s="1292"/>
      <c r="BO427" s="1292"/>
      <c r="BP427" s="1292"/>
      <c r="BQ427" s="1292"/>
      <c r="BR427" s="1292"/>
      <c r="BS427" s="1292"/>
      <c r="BT427" s="1670">
        <f t="shared" ref="BT427:BT433" si="267">SUM(AV427:BS427)</f>
        <v>0.7</v>
      </c>
      <c r="BW427" s="825" t="s">
        <v>538</v>
      </c>
    </row>
    <row r="428" spans="2:75" ht="12.75" customHeight="1" x14ac:dyDescent="0.2">
      <c r="B428" s="175">
        <f t="shared" ref="B428:B433" si="268">B427+1</f>
        <v>2</v>
      </c>
      <c r="C428" s="219">
        <v>12</v>
      </c>
      <c r="E428" s="12" t="s">
        <v>647</v>
      </c>
      <c r="F428" s="4" t="s">
        <v>1235</v>
      </c>
      <c r="G428" s="825" t="s">
        <v>539</v>
      </c>
      <c r="H428" s="1413">
        <v>3383</v>
      </c>
      <c r="I428" s="197" t="s">
        <v>583</v>
      </c>
      <c r="J428" s="174"/>
      <c r="K428" s="174"/>
      <c r="L428" s="861">
        <v>1</v>
      </c>
      <c r="M428" s="858">
        <f>K428+L428</f>
        <v>1</v>
      </c>
      <c r="N428" s="836" t="s">
        <v>1326</v>
      </c>
      <c r="O428" s="1196">
        <v>17964</v>
      </c>
      <c r="P428" s="1218">
        <f t="shared" ca="1" si="260"/>
        <v>68.569444444444443</v>
      </c>
      <c r="Q428" s="1148">
        <v>26500</v>
      </c>
      <c r="R428" s="874">
        <f>Q428*0.1</f>
        <v>2650</v>
      </c>
      <c r="S428" s="875"/>
      <c r="T428" s="875"/>
      <c r="U428" s="875"/>
      <c r="V428" s="875"/>
      <c r="W428" s="875"/>
      <c r="X428" s="1026">
        <f t="shared" si="261"/>
        <v>29150</v>
      </c>
      <c r="Y428" s="1512">
        <f t="shared" si="262"/>
        <v>0</v>
      </c>
      <c r="Z428" s="1741">
        <f t="shared" si="263"/>
        <v>1</v>
      </c>
      <c r="AA428" s="1749">
        <f t="shared" si="264"/>
        <v>1</v>
      </c>
      <c r="AB428" s="1810">
        <f t="shared" si="265"/>
        <v>100</v>
      </c>
      <c r="AC428" s="876"/>
      <c r="AD428" s="1525">
        <f t="shared" si="266"/>
        <v>0</v>
      </c>
      <c r="AE428" s="1525">
        <f t="shared" si="266"/>
        <v>0</v>
      </c>
      <c r="AF428" s="1525">
        <f t="shared" si="266"/>
        <v>0</v>
      </c>
      <c r="AG428" s="1525">
        <f t="shared" si="266"/>
        <v>0</v>
      </c>
      <c r="AH428" s="1525">
        <f t="shared" si="266"/>
        <v>0</v>
      </c>
      <c r="AI428" s="1525">
        <f t="shared" si="266"/>
        <v>0</v>
      </c>
      <c r="AJ428" s="1525">
        <f t="shared" si="266"/>
        <v>0</v>
      </c>
      <c r="AK428" s="1525">
        <f t="shared" si="266"/>
        <v>0</v>
      </c>
      <c r="AL428" s="1525">
        <f t="shared" si="266"/>
        <v>0</v>
      </c>
      <c r="AM428" s="1525">
        <f t="shared" si="266"/>
        <v>0</v>
      </c>
      <c r="AN428" s="1525">
        <f t="shared" si="266"/>
        <v>0</v>
      </c>
      <c r="AO428" s="1525">
        <f t="shared" si="266"/>
        <v>0</v>
      </c>
      <c r="AP428" s="1525">
        <f t="shared" si="266"/>
        <v>0</v>
      </c>
      <c r="AQ428" s="1525">
        <f t="shared" si="266"/>
        <v>0</v>
      </c>
      <c r="AR428" s="1525">
        <f t="shared" si="266"/>
        <v>1</v>
      </c>
      <c r="AS428" s="1525">
        <f t="shared" si="266"/>
        <v>0</v>
      </c>
      <c r="AU428" s="1525"/>
      <c r="AV428" s="1291"/>
      <c r="AW428" s="1292"/>
      <c r="AX428" s="1292"/>
      <c r="AY428" s="1292"/>
      <c r="AZ428" s="1292"/>
      <c r="BA428" s="1292"/>
      <c r="BB428" s="1292"/>
      <c r="BC428" s="1292"/>
      <c r="BD428" s="1292"/>
      <c r="BE428" s="1292"/>
      <c r="BF428" s="1292"/>
      <c r="BG428" s="1292"/>
      <c r="BH428" s="1292"/>
      <c r="BI428" s="1292"/>
      <c r="BJ428" s="1292"/>
      <c r="BK428" s="1292"/>
      <c r="BL428" s="1292">
        <v>1</v>
      </c>
      <c r="BM428" s="1292"/>
      <c r="BN428" s="1292"/>
      <c r="BO428" s="1292"/>
      <c r="BP428" s="1292"/>
      <c r="BQ428" s="1292"/>
      <c r="BR428" s="1292"/>
      <c r="BS428" s="1292"/>
      <c r="BT428" s="1670">
        <f t="shared" si="267"/>
        <v>1</v>
      </c>
      <c r="BW428" s="825" t="s">
        <v>539</v>
      </c>
    </row>
    <row r="429" spans="2:75" ht="12.75" customHeight="1" x14ac:dyDescent="0.2">
      <c r="B429" s="175">
        <f t="shared" si="268"/>
        <v>3</v>
      </c>
      <c r="C429" s="219">
        <v>13</v>
      </c>
      <c r="E429" s="12" t="s">
        <v>647</v>
      </c>
      <c r="F429" s="4" t="s">
        <v>48</v>
      </c>
      <c r="G429" s="859" t="s">
        <v>45</v>
      </c>
      <c r="H429" s="1413">
        <v>124697</v>
      </c>
      <c r="I429" s="197" t="s">
        <v>1584</v>
      </c>
      <c r="J429" s="174"/>
      <c r="K429" s="174"/>
      <c r="L429" s="861">
        <v>1</v>
      </c>
      <c r="M429" s="858">
        <v>1</v>
      </c>
      <c r="N429" s="857" t="s">
        <v>416</v>
      </c>
      <c r="O429" s="1196">
        <v>22700</v>
      </c>
      <c r="P429" s="1218">
        <f ca="1">YEARFRAC(TODAY(),O429)</f>
        <v>55.608333333333334</v>
      </c>
      <c r="Q429" s="1148">
        <v>26000</v>
      </c>
      <c r="R429" s="1035">
        <f>Q429*0.15</f>
        <v>3900</v>
      </c>
      <c r="S429" s="875"/>
      <c r="T429" s="875">
        <v>2500</v>
      </c>
      <c r="U429" s="875"/>
      <c r="V429" s="875"/>
      <c r="W429" s="875"/>
      <c r="X429" s="1026">
        <f t="shared" si="261"/>
        <v>32400</v>
      </c>
      <c r="Y429" s="1512">
        <f t="shared" si="262"/>
        <v>8.3612040133779264E-2</v>
      </c>
      <c r="Z429" s="1741">
        <f t="shared" si="263"/>
        <v>1.0836120401337792</v>
      </c>
      <c r="AA429" s="1749">
        <f t="shared" si="264"/>
        <v>0</v>
      </c>
      <c r="AB429" s="1810">
        <f t="shared" si="265"/>
        <v>0</v>
      </c>
      <c r="AC429" s="876"/>
      <c r="AD429" s="1525">
        <f t="shared" si="266"/>
        <v>0</v>
      </c>
      <c r="AE429" s="1525">
        <f t="shared" si="266"/>
        <v>0</v>
      </c>
      <c r="AF429" s="1525">
        <f t="shared" si="266"/>
        <v>0</v>
      </c>
      <c r="AG429" s="1525">
        <f t="shared" si="266"/>
        <v>0</v>
      </c>
      <c r="AH429" s="1525">
        <f t="shared" si="266"/>
        <v>0</v>
      </c>
      <c r="AI429" s="1525">
        <f t="shared" si="266"/>
        <v>0</v>
      </c>
      <c r="AJ429" s="1525">
        <f t="shared" si="266"/>
        <v>0</v>
      </c>
      <c r="AK429" s="1525">
        <f t="shared" si="266"/>
        <v>0</v>
      </c>
      <c r="AL429" s="1525">
        <f t="shared" si="266"/>
        <v>0</v>
      </c>
      <c r="AM429" s="1525">
        <f t="shared" si="266"/>
        <v>0</v>
      </c>
      <c r="AN429" s="1525">
        <f t="shared" si="266"/>
        <v>0</v>
      </c>
      <c r="AO429" s="1525">
        <f t="shared" si="266"/>
        <v>0</v>
      </c>
      <c r="AP429" s="1525">
        <f t="shared" si="266"/>
        <v>0</v>
      </c>
      <c r="AQ429" s="1525">
        <f t="shared" si="266"/>
        <v>0</v>
      </c>
      <c r="AR429" s="1525">
        <f t="shared" si="266"/>
        <v>0</v>
      </c>
      <c r="AS429" s="1525">
        <f t="shared" si="266"/>
        <v>0</v>
      </c>
      <c r="AU429" s="1525"/>
      <c r="AV429" s="1291"/>
      <c r="AW429" s="1292"/>
      <c r="AX429" s="1292"/>
      <c r="AY429" s="1292"/>
      <c r="AZ429" s="1292"/>
      <c r="BA429" s="1292"/>
      <c r="BB429" s="1292"/>
      <c r="BC429" s="1292"/>
      <c r="BD429" s="1292"/>
      <c r="BE429" s="1292"/>
      <c r="BF429" s="1292"/>
      <c r="BG429" s="1292"/>
      <c r="BH429" s="1292"/>
      <c r="BI429" s="1292"/>
      <c r="BJ429" s="1292"/>
      <c r="BK429" s="1292"/>
      <c r="BL429" s="1292"/>
      <c r="BM429" s="1292"/>
      <c r="BN429" s="1292"/>
      <c r="BO429" s="1292"/>
      <c r="BP429" s="1292"/>
      <c r="BQ429" s="1292"/>
      <c r="BR429" s="1292"/>
      <c r="BS429" s="1292"/>
      <c r="BT429" s="1670">
        <f t="shared" si="267"/>
        <v>0</v>
      </c>
      <c r="BW429" s="859" t="s">
        <v>45</v>
      </c>
    </row>
    <row r="430" spans="2:75" ht="12.75" customHeight="1" x14ac:dyDescent="0.2">
      <c r="B430" s="175">
        <f t="shared" si="268"/>
        <v>4</v>
      </c>
      <c r="C430" s="219">
        <v>14</v>
      </c>
      <c r="E430" s="12" t="s">
        <v>647</v>
      </c>
      <c r="F430" s="4" t="s">
        <v>626</v>
      </c>
      <c r="G430" s="825" t="s">
        <v>1741</v>
      </c>
      <c r="H430" s="1413">
        <v>152285</v>
      </c>
      <c r="I430" s="197" t="s">
        <v>583</v>
      </c>
      <c r="J430" s="174">
        <v>1</v>
      </c>
      <c r="K430" s="174"/>
      <c r="L430" s="861">
        <v>0.5</v>
      </c>
      <c r="M430" s="858">
        <v>0.5</v>
      </c>
      <c r="N430" s="836" t="s">
        <v>892</v>
      </c>
      <c r="O430" s="1196">
        <v>30546</v>
      </c>
      <c r="P430" s="1218">
        <f t="shared" ca="1" si="260"/>
        <v>34.12222222222222</v>
      </c>
      <c r="Q430" s="1148">
        <v>23200</v>
      </c>
      <c r="R430" s="874"/>
      <c r="S430" s="875"/>
      <c r="T430" s="875"/>
      <c r="U430" s="875"/>
      <c r="V430" s="875"/>
      <c r="W430" s="875"/>
      <c r="X430" s="1026">
        <f t="shared" si="261"/>
        <v>11600</v>
      </c>
      <c r="Y430" s="1512">
        <f t="shared" si="262"/>
        <v>0</v>
      </c>
      <c r="Z430" s="1741">
        <f t="shared" si="263"/>
        <v>0.5</v>
      </c>
      <c r="AA430" s="1749">
        <f t="shared" si="264"/>
        <v>0.5</v>
      </c>
      <c r="AB430" s="1810">
        <f t="shared" si="265"/>
        <v>100</v>
      </c>
      <c r="AC430" s="876"/>
      <c r="AD430" s="1525">
        <f t="shared" si="266"/>
        <v>0</v>
      </c>
      <c r="AE430" s="1525">
        <f t="shared" si="266"/>
        <v>0</v>
      </c>
      <c r="AF430" s="1525">
        <f t="shared" si="266"/>
        <v>0</v>
      </c>
      <c r="AG430" s="1525">
        <f t="shared" si="266"/>
        <v>0</v>
      </c>
      <c r="AH430" s="1525">
        <f t="shared" si="266"/>
        <v>0</v>
      </c>
      <c r="AI430" s="1525">
        <f t="shared" si="266"/>
        <v>0</v>
      </c>
      <c r="AJ430" s="1525">
        <f t="shared" si="266"/>
        <v>0</v>
      </c>
      <c r="AK430" s="1525">
        <f t="shared" si="266"/>
        <v>0</v>
      </c>
      <c r="AL430" s="1525">
        <f t="shared" si="266"/>
        <v>0</v>
      </c>
      <c r="AM430" s="1525">
        <f t="shared" si="266"/>
        <v>0</v>
      </c>
      <c r="AN430" s="1525">
        <f t="shared" si="266"/>
        <v>0</v>
      </c>
      <c r="AO430" s="1525">
        <f t="shared" si="266"/>
        <v>0</v>
      </c>
      <c r="AP430" s="1525">
        <f t="shared" si="266"/>
        <v>0</v>
      </c>
      <c r="AQ430" s="1525">
        <f t="shared" si="266"/>
        <v>0</v>
      </c>
      <c r="AR430" s="1525">
        <f t="shared" si="266"/>
        <v>0.5</v>
      </c>
      <c r="AS430" s="1525">
        <f t="shared" si="266"/>
        <v>0</v>
      </c>
      <c r="AU430" s="1525"/>
      <c r="AV430" s="1291"/>
      <c r="AW430" s="1292"/>
      <c r="AX430" s="1292"/>
      <c r="AY430" s="1292"/>
      <c r="AZ430" s="1292"/>
      <c r="BA430" s="1292"/>
      <c r="BB430" s="1292"/>
      <c r="BC430" s="1292"/>
      <c r="BD430" s="1292"/>
      <c r="BE430" s="1292"/>
      <c r="BF430" s="1292"/>
      <c r="BG430" s="1292"/>
      <c r="BH430" s="1292"/>
      <c r="BI430" s="1292"/>
      <c r="BJ430" s="1292"/>
      <c r="BK430" s="1292"/>
      <c r="BL430" s="1292">
        <v>0.5</v>
      </c>
      <c r="BM430" s="1292"/>
      <c r="BN430" s="1292"/>
      <c r="BO430" s="1292"/>
      <c r="BP430" s="1292"/>
      <c r="BQ430" s="1292"/>
      <c r="BR430" s="1292"/>
      <c r="BS430" s="1292"/>
      <c r="BT430" s="1670">
        <f t="shared" si="267"/>
        <v>0.5</v>
      </c>
      <c r="BW430" s="825" t="s">
        <v>1741</v>
      </c>
    </row>
    <row r="431" spans="2:75" ht="12.75" customHeight="1" x14ac:dyDescent="0.2">
      <c r="B431" s="175">
        <f t="shared" si="268"/>
        <v>5</v>
      </c>
      <c r="C431" s="219">
        <v>14</v>
      </c>
      <c r="E431" s="12" t="s">
        <v>647</v>
      </c>
      <c r="F431" s="4" t="s">
        <v>626</v>
      </c>
      <c r="G431" s="825" t="s">
        <v>46</v>
      </c>
      <c r="H431" s="1413">
        <v>146710</v>
      </c>
      <c r="I431" s="197" t="s">
        <v>583</v>
      </c>
      <c r="J431" s="174">
        <v>1</v>
      </c>
      <c r="K431" s="174"/>
      <c r="L431" s="861">
        <v>0.5</v>
      </c>
      <c r="M431" s="858">
        <f>K431+L431</f>
        <v>0.5</v>
      </c>
      <c r="N431" s="836" t="s">
        <v>892</v>
      </c>
      <c r="O431" s="1196">
        <v>30394</v>
      </c>
      <c r="P431" s="1218">
        <f t="shared" ca="1" si="260"/>
        <v>34.536111111111111</v>
      </c>
      <c r="Q431" s="1148">
        <v>23200</v>
      </c>
      <c r="R431" s="874"/>
      <c r="S431" s="875"/>
      <c r="T431" s="875"/>
      <c r="U431" s="875"/>
      <c r="V431" s="875"/>
      <c r="W431" s="875"/>
      <c r="X431" s="1026">
        <f t="shared" si="261"/>
        <v>11600</v>
      </c>
      <c r="Y431" s="1512">
        <f t="shared" si="262"/>
        <v>0</v>
      </c>
      <c r="Z431" s="1741">
        <f t="shared" si="263"/>
        <v>0.5</v>
      </c>
      <c r="AA431" s="1749">
        <f t="shared" si="264"/>
        <v>0.5</v>
      </c>
      <c r="AB431" s="1810">
        <f t="shared" si="265"/>
        <v>100</v>
      </c>
      <c r="AC431" s="876"/>
      <c r="AD431" s="1525">
        <f t="shared" si="266"/>
        <v>0</v>
      </c>
      <c r="AE431" s="1525">
        <f t="shared" si="266"/>
        <v>0</v>
      </c>
      <c r="AF431" s="1525">
        <f t="shared" si="266"/>
        <v>0</v>
      </c>
      <c r="AG431" s="1525">
        <f t="shared" si="266"/>
        <v>0</v>
      </c>
      <c r="AH431" s="1525">
        <f t="shared" si="266"/>
        <v>0</v>
      </c>
      <c r="AI431" s="1525">
        <f t="shared" si="266"/>
        <v>0</v>
      </c>
      <c r="AJ431" s="1525">
        <f t="shared" si="266"/>
        <v>0</v>
      </c>
      <c r="AK431" s="1525">
        <f t="shared" si="266"/>
        <v>0</v>
      </c>
      <c r="AL431" s="1525">
        <f t="shared" si="266"/>
        <v>0</v>
      </c>
      <c r="AM431" s="1525">
        <f t="shared" si="266"/>
        <v>0</v>
      </c>
      <c r="AN431" s="1525">
        <f t="shared" si="266"/>
        <v>0</v>
      </c>
      <c r="AO431" s="1525">
        <f t="shared" si="266"/>
        <v>0</v>
      </c>
      <c r="AP431" s="1525">
        <f t="shared" si="266"/>
        <v>0</v>
      </c>
      <c r="AQ431" s="1525">
        <f t="shared" si="266"/>
        <v>0</v>
      </c>
      <c r="AR431" s="1525">
        <f t="shared" si="266"/>
        <v>0.5</v>
      </c>
      <c r="AS431" s="1525">
        <f t="shared" si="266"/>
        <v>0</v>
      </c>
      <c r="AU431" s="1525"/>
      <c r="AV431" s="1291"/>
      <c r="AW431" s="1292"/>
      <c r="AX431" s="1292"/>
      <c r="AY431" s="1292"/>
      <c r="AZ431" s="1292"/>
      <c r="BA431" s="1292"/>
      <c r="BB431" s="1292"/>
      <c r="BC431" s="1292"/>
      <c r="BD431" s="1292"/>
      <c r="BE431" s="1292"/>
      <c r="BF431" s="1292"/>
      <c r="BG431" s="1292"/>
      <c r="BH431" s="1292"/>
      <c r="BI431" s="1292"/>
      <c r="BJ431" s="1292"/>
      <c r="BK431" s="1292"/>
      <c r="BL431" s="1292">
        <v>0.5</v>
      </c>
      <c r="BM431" s="1292"/>
      <c r="BN431" s="1292"/>
      <c r="BO431" s="1292"/>
      <c r="BP431" s="1292"/>
      <c r="BQ431" s="1292"/>
      <c r="BR431" s="1292"/>
      <c r="BS431" s="1292"/>
      <c r="BT431" s="1670">
        <f t="shared" si="267"/>
        <v>0.5</v>
      </c>
      <c r="BW431" s="825" t="s">
        <v>46</v>
      </c>
    </row>
    <row r="432" spans="2:75" ht="12.75" customHeight="1" x14ac:dyDescent="0.2">
      <c r="B432" s="175">
        <f>B431+1</f>
        <v>6</v>
      </c>
      <c r="C432" s="219">
        <v>14</v>
      </c>
      <c r="E432" s="12" t="s">
        <v>647</v>
      </c>
      <c r="F432" s="4" t="s">
        <v>626</v>
      </c>
      <c r="G432" s="859" t="s">
        <v>541</v>
      </c>
      <c r="H432" s="1413">
        <v>3063</v>
      </c>
      <c r="I432" s="197" t="s">
        <v>583</v>
      </c>
      <c r="J432" s="174"/>
      <c r="K432" s="174"/>
      <c r="L432" s="861">
        <v>0.5</v>
      </c>
      <c r="M432" s="858">
        <f>K432+L432</f>
        <v>0.5</v>
      </c>
      <c r="N432" s="857" t="s">
        <v>892</v>
      </c>
      <c r="O432" s="1196">
        <v>19145</v>
      </c>
      <c r="P432" s="1218">
        <f t="shared" ca="1" si="260"/>
        <v>65.338888888888889</v>
      </c>
      <c r="Q432" s="1148">
        <v>24500</v>
      </c>
      <c r="R432" s="874"/>
      <c r="S432" s="875"/>
      <c r="T432" s="875"/>
      <c r="U432" s="875">
        <v>2000</v>
      </c>
      <c r="V432" s="875"/>
      <c r="W432" s="875"/>
      <c r="X432" s="1026">
        <f t="shared" si="261"/>
        <v>13250</v>
      </c>
      <c r="Y432" s="1512">
        <f t="shared" si="262"/>
        <v>8.1632653061224483E-2</v>
      </c>
      <c r="Z432" s="1741">
        <f t="shared" si="263"/>
        <v>0.54081632653061229</v>
      </c>
      <c r="AA432" s="1749">
        <f t="shared" si="264"/>
        <v>0</v>
      </c>
      <c r="AB432" s="1810">
        <f t="shared" si="265"/>
        <v>0</v>
      </c>
      <c r="AC432" s="876"/>
      <c r="AD432" s="1525">
        <f t="shared" si="266"/>
        <v>0</v>
      </c>
      <c r="AE432" s="1525">
        <f t="shared" si="266"/>
        <v>0</v>
      </c>
      <c r="AF432" s="1525">
        <f t="shared" si="266"/>
        <v>0</v>
      </c>
      <c r="AG432" s="1525">
        <f t="shared" si="266"/>
        <v>0</v>
      </c>
      <c r="AH432" s="1525">
        <f t="shared" si="266"/>
        <v>0</v>
      </c>
      <c r="AI432" s="1525">
        <f t="shared" si="266"/>
        <v>0</v>
      </c>
      <c r="AJ432" s="1525">
        <f t="shared" si="266"/>
        <v>0</v>
      </c>
      <c r="AK432" s="1525">
        <f t="shared" si="266"/>
        <v>0</v>
      </c>
      <c r="AL432" s="1525">
        <f t="shared" si="266"/>
        <v>0</v>
      </c>
      <c r="AM432" s="1525">
        <f t="shared" si="266"/>
        <v>0</v>
      </c>
      <c r="AN432" s="1525">
        <f t="shared" si="266"/>
        <v>0</v>
      </c>
      <c r="AO432" s="1525">
        <f t="shared" si="266"/>
        <v>0</v>
      </c>
      <c r="AP432" s="1525">
        <f t="shared" si="266"/>
        <v>0</v>
      </c>
      <c r="AQ432" s="1525">
        <f t="shared" si="266"/>
        <v>0</v>
      </c>
      <c r="AR432" s="1525">
        <f t="shared" si="266"/>
        <v>0</v>
      </c>
      <c r="AS432" s="1525">
        <f t="shared" si="266"/>
        <v>0</v>
      </c>
      <c r="AU432" s="1525"/>
      <c r="AV432" s="1291"/>
      <c r="AW432" s="1292"/>
      <c r="AX432" s="1292"/>
      <c r="AY432" s="1292"/>
      <c r="AZ432" s="1292"/>
      <c r="BA432" s="1292"/>
      <c r="BB432" s="1292"/>
      <c r="BC432" s="1292"/>
      <c r="BD432" s="1292"/>
      <c r="BE432" s="1292"/>
      <c r="BF432" s="1292"/>
      <c r="BG432" s="1292"/>
      <c r="BH432" s="1292"/>
      <c r="BI432" s="1292"/>
      <c r="BJ432" s="1292"/>
      <c r="BK432" s="1292"/>
      <c r="BL432" s="1292"/>
      <c r="BM432" s="1292"/>
      <c r="BN432" s="1292"/>
      <c r="BO432" s="1292"/>
      <c r="BP432" s="1292"/>
      <c r="BQ432" s="1292"/>
      <c r="BR432" s="1292"/>
      <c r="BS432" s="1292"/>
      <c r="BT432" s="1670">
        <f t="shared" si="267"/>
        <v>0</v>
      </c>
      <c r="BW432" s="859" t="s">
        <v>541</v>
      </c>
    </row>
    <row r="433" spans="2:75" ht="12.75" customHeight="1" x14ac:dyDescent="0.2">
      <c r="B433" s="175">
        <f t="shared" si="268"/>
        <v>7</v>
      </c>
      <c r="C433" s="219">
        <v>14</v>
      </c>
      <c r="E433" s="12" t="s">
        <v>647</v>
      </c>
      <c r="F433" s="26" t="s">
        <v>626</v>
      </c>
      <c r="G433" s="830" t="s">
        <v>540</v>
      </c>
      <c r="H433" s="1414">
        <v>3396</v>
      </c>
      <c r="I433" s="196" t="s">
        <v>583</v>
      </c>
      <c r="J433" s="174"/>
      <c r="K433" s="195"/>
      <c r="L433" s="873">
        <v>1</v>
      </c>
      <c r="M433" s="873">
        <f>K433+L433</f>
        <v>1</v>
      </c>
      <c r="N433" s="872" t="s">
        <v>892</v>
      </c>
      <c r="O433" s="1196">
        <v>15215</v>
      </c>
      <c r="P433" s="1218">
        <f t="shared" ca="1" si="260"/>
        <v>76.097222222222229</v>
      </c>
      <c r="Q433" s="1148">
        <v>24000</v>
      </c>
      <c r="R433" s="874"/>
      <c r="S433" s="875"/>
      <c r="T433" s="875"/>
      <c r="U433" s="875"/>
      <c r="V433" s="875"/>
      <c r="W433" s="875"/>
      <c r="X433" s="1026">
        <f t="shared" si="261"/>
        <v>24000</v>
      </c>
      <c r="Y433" s="1512">
        <f t="shared" si="262"/>
        <v>0</v>
      </c>
      <c r="Z433" s="1741">
        <f t="shared" si="263"/>
        <v>1</v>
      </c>
      <c r="AA433" s="1749">
        <f t="shared" si="264"/>
        <v>1</v>
      </c>
      <c r="AB433" s="1810">
        <f t="shared" si="265"/>
        <v>100</v>
      </c>
      <c r="AC433" s="876"/>
      <c r="AD433" s="1525">
        <f t="shared" si="266"/>
        <v>0</v>
      </c>
      <c r="AE433" s="1525">
        <f t="shared" si="266"/>
        <v>0</v>
      </c>
      <c r="AF433" s="1525">
        <f t="shared" si="266"/>
        <v>0</v>
      </c>
      <c r="AG433" s="1525">
        <f t="shared" si="266"/>
        <v>0</v>
      </c>
      <c r="AH433" s="1525">
        <f t="shared" si="266"/>
        <v>0</v>
      </c>
      <c r="AI433" s="1525">
        <f t="shared" si="266"/>
        <v>0</v>
      </c>
      <c r="AJ433" s="1525">
        <f t="shared" si="266"/>
        <v>0</v>
      </c>
      <c r="AK433" s="1525">
        <f t="shared" si="266"/>
        <v>0</v>
      </c>
      <c r="AL433" s="1525">
        <f t="shared" si="266"/>
        <v>0</v>
      </c>
      <c r="AM433" s="1525">
        <f t="shared" si="266"/>
        <v>0</v>
      </c>
      <c r="AN433" s="1525">
        <f t="shared" si="266"/>
        <v>0</v>
      </c>
      <c r="AO433" s="1525">
        <f t="shared" si="266"/>
        <v>0</v>
      </c>
      <c r="AP433" s="1525">
        <f t="shared" si="266"/>
        <v>0</v>
      </c>
      <c r="AQ433" s="1525">
        <f t="shared" si="266"/>
        <v>0</v>
      </c>
      <c r="AR433" s="1525">
        <f t="shared" si="266"/>
        <v>1</v>
      </c>
      <c r="AS433" s="1525">
        <f t="shared" si="266"/>
        <v>0</v>
      </c>
      <c r="AU433" s="1525"/>
      <c r="AV433" s="1291"/>
      <c r="AW433" s="1292"/>
      <c r="AX433" s="1292"/>
      <c r="AY433" s="1292"/>
      <c r="AZ433" s="1292"/>
      <c r="BA433" s="1292"/>
      <c r="BB433" s="1292"/>
      <c r="BC433" s="1292"/>
      <c r="BD433" s="1292"/>
      <c r="BE433" s="1292"/>
      <c r="BF433" s="1292"/>
      <c r="BG433" s="1292"/>
      <c r="BH433" s="1292"/>
      <c r="BI433" s="1292"/>
      <c r="BJ433" s="1292"/>
      <c r="BK433" s="1292"/>
      <c r="BL433" s="1292">
        <v>1</v>
      </c>
      <c r="BM433" s="1292"/>
      <c r="BN433" s="1292"/>
      <c r="BO433" s="1292"/>
      <c r="BP433" s="1292"/>
      <c r="BQ433" s="1292"/>
      <c r="BR433" s="1292"/>
      <c r="BS433" s="1292"/>
      <c r="BT433" s="1670">
        <f t="shared" si="267"/>
        <v>1</v>
      </c>
      <c r="BW433" s="830" t="s">
        <v>540</v>
      </c>
    </row>
    <row r="434" spans="2:75" s="164" customFormat="1" ht="12.75" customHeight="1" x14ac:dyDescent="0.2">
      <c r="B434" s="175"/>
      <c r="C434" s="219" t="s">
        <v>1120</v>
      </c>
      <c r="F434" s="4" t="s">
        <v>1238</v>
      </c>
      <c r="G434" s="825"/>
      <c r="H434" s="1412" t="s">
        <v>1508</v>
      </c>
      <c r="I434" s="197"/>
      <c r="J434" s="174"/>
      <c r="K434" s="192">
        <f>SUM(K427:K432)</f>
        <v>0</v>
      </c>
      <c r="L434" s="861">
        <f>SUM(L427:L433)</f>
        <v>5.5</v>
      </c>
      <c r="M434" s="861">
        <f>SUM(M427:M433)</f>
        <v>5.5</v>
      </c>
      <c r="N434" s="857"/>
      <c r="O434" s="1192"/>
      <c r="P434" s="550"/>
      <c r="Q434" s="1153"/>
      <c r="R434" s="877"/>
      <c r="S434" s="875"/>
      <c r="T434" s="875"/>
      <c r="U434" s="875"/>
      <c r="V434" s="875"/>
      <c r="W434" s="875"/>
      <c r="X434" s="1026"/>
      <c r="Y434" s="1335"/>
      <c r="Z434" s="1335"/>
      <c r="AA434" s="1775"/>
      <c r="AB434" s="1814"/>
      <c r="AC434" s="876"/>
      <c r="AD434" s="1295"/>
      <c r="AE434" s="1525"/>
      <c r="AF434" s="1525"/>
      <c r="AG434" s="1525"/>
      <c r="AH434" s="1525"/>
      <c r="AI434" s="1525"/>
      <c r="AJ434" s="1525"/>
      <c r="AK434" s="1525"/>
      <c r="AL434" s="1525"/>
      <c r="AM434" s="1525"/>
      <c r="AN434" s="1525"/>
      <c r="AO434" s="1525"/>
      <c r="AP434" s="1525"/>
      <c r="AQ434" s="1525"/>
      <c r="AR434" s="1525"/>
      <c r="AS434" s="1525"/>
      <c r="AU434" s="1525"/>
      <c r="AV434" s="1295"/>
      <c r="AW434" s="1525"/>
      <c r="AX434" s="1525"/>
      <c r="AY434" s="1525"/>
      <c r="AZ434" s="1525"/>
      <c r="BA434" s="1525"/>
      <c r="BB434" s="1525"/>
      <c r="BC434" s="1525"/>
      <c r="BD434" s="1525"/>
      <c r="BE434" s="1525"/>
      <c r="BF434" s="1525"/>
      <c r="BG434" s="1525"/>
      <c r="BH434" s="1525"/>
      <c r="BI434" s="1525"/>
      <c r="BJ434" s="1525"/>
      <c r="BK434" s="1525"/>
      <c r="BL434" s="1525"/>
      <c r="BM434" s="1525"/>
      <c r="BN434" s="1525"/>
      <c r="BO434" s="1525"/>
      <c r="BP434" s="1525"/>
      <c r="BQ434" s="1525"/>
      <c r="BR434" s="1525"/>
      <c r="BS434" s="1525"/>
      <c r="BT434" s="1670"/>
      <c r="BV434"/>
      <c r="BW434" s="825"/>
    </row>
    <row r="435" spans="2:75" s="164" customFormat="1" ht="12.75" customHeight="1" x14ac:dyDescent="0.2">
      <c r="B435" s="175"/>
      <c r="F435" s="4"/>
      <c r="G435" s="825"/>
      <c r="H435" s="1412" t="s">
        <v>1508</v>
      </c>
      <c r="I435" s="197"/>
      <c r="J435" s="174"/>
      <c r="K435" s="174"/>
      <c r="L435" s="861"/>
      <c r="M435" s="861"/>
      <c r="N435" s="857"/>
      <c r="O435" s="1192"/>
      <c r="P435" s="550"/>
      <c r="Q435" s="1148"/>
      <c r="R435" s="874"/>
      <c r="S435" s="875"/>
      <c r="T435" s="875"/>
      <c r="U435" s="875"/>
      <c r="V435" s="875"/>
      <c r="W435" s="875"/>
      <c r="X435" s="1026"/>
      <c r="Y435" s="1754"/>
      <c r="Z435" s="1755"/>
      <c r="AA435" s="1775"/>
      <c r="AB435" s="1814"/>
      <c r="AC435" s="876"/>
      <c r="AD435" s="1295"/>
      <c r="AE435" s="1525"/>
      <c r="AF435" s="1525"/>
      <c r="AG435" s="1525"/>
      <c r="AH435" s="1525"/>
      <c r="AI435" s="1525"/>
      <c r="AJ435" s="1525"/>
      <c r="AK435" s="1525"/>
      <c r="AL435" s="1525"/>
      <c r="AM435" s="1525"/>
      <c r="AN435" s="1525"/>
      <c r="AO435" s="1525"/>
      <c r="AP435" s="1525"/>
      <c r="AQ435" s="1525"/>
      <c r="AR435" s="1525"/>
      <c r="AS435" s="1525"/>
      <c r="AU435" s="1525"/>
      <c r="AV435" s="1295"/>
      <c r="AW435" s="1525"/>
      <c r="AX435" s="1525"/>
      <c r="AY435" s="1525"/>
      <c r="AZ435" s="1525"/>
      <c r="BA435" s="1525"/>
      <c r="BB435" s="1525"/>
      <c r="BC435" s="1525"/>
      <c r="BD435" s="1525"/>
      <c r="BE435" s="1525"/>
      <c r="BF435" s="1525"/>
      <c r="BG435" s="1525"/>
      <c r="BH435" s="1525"/>
      <c r="BI435" s="1525"/>
      <c r="BJ435" s="1525"/>
      <c r="BK435" s="1525"/>
      <c r="BL435" s="1525"/>
      <c r="BM435" s="1525"/>
      <c r="BN435" s="1525"/>
      <c r="BO435" s="1525"/>
      <c r="BP435" s="1525"/>
      <c r="BQ435" s="1525"/>
      <c r="BR435" s="1525"/>
      <c r="BS435" s="1525"/>
      <c r="BT435" s="1670"/>
      <c r="BV435"/>
      <c r="BW435" s="825"/>
    </row>
    <row r="436" spans="2:75" s="164" customFormat="1" ht="12.75" customHeight="1" x14ac:dyDescent="0.2">
      <c r="B436" s="175"/>
      <c r="F436" s="4" t="s">
        <v>630</v>
      </c>
      <c r="G436" s="825"/>
      <c r="H436" s="1412" t="s">
        <v>1508</v>
      </c>
      <c r="I436" s="212"/>
      <c r="J436" s="246"/>
      <c r="K436" s="246"/>
      <c r="L436" s="861"/>
      <c r="M436" s="861"/>
      <c r="N436" s="857"/>
      <c r="O436" s="1192"/>
      <c r="P436" s="550"/>
      <c r="Q436" s="1148"/>
      <c r="R436" s="874"/>
      <c r="S436" s="875"/>
      <c r="T436" s="875"/>
      <c r="U436" s="875"/>
      <c r="V436" s="875"/>
      <c r="W436" s="875"/>
      <c r="X436" s="1026"/>
      <c r="Y436" s="1754"/>
      <c r="Z436" s="1755"/>
      <c r="AA436" s="1775"/>
      <c r="AB436" s="1814"/>
      <c r="AC436" s="876"/>
      <c r="AD436" s="1295"/>
      <c r="AE436" s="1525"/>
      <c r="AF436" s="1525"/>
      <c r="AG436" s="1525"/>
      <c r="AH436" s="1525"/>
      <c r="AI436" s="1525"/>
      <c r="AJ436" s="1525"/>
      <c r="AK436" s="1525"/>
      <c r="AL436" s="1525"/>
      <c r="AM436" s="1525"/>
      <c r="AN436" s="1525"/>
      <c r="AO436" s="1525"/>
      <c r="AP436" s="1525"/>
      <c r="AQ436" s="1525"/>
      <c r="AR436" s="1525"/>
      <c r="AS436" s="1525"/>
      <c r="AU436" s="1525"/>
      <c r="AV436" s="1295"/>
      <c r="AW436" s="1525"/>
      <c r="AX436" s="1525"/>
      <c r="AY436" s="1525"/>
      <c r="AZ436" s="1525"/>
      <c r="BA436" s="1525"/>
      <c r="BB436" s="1525"/>
      <c r="BC436" s="1525"/>
      <c r="BD436" s="1525"/>
      <c r="BE436" s="1525"/>
      <c r="BF436" s="1525"/>
      <c r="BG436" s="1525"/>
      <c r="BH436" s="1525"/>
      <c r="BI436" s="1525"/>
      <c r="BJ436" s="1525"/>
      <c r="BK436" s="1525"/>
      <c r="BL436" s="1525"/>
      <c r="BM436" s="1525"/>
      <c r="BN436" s="1525"/>
      <c r="BO436" s="1525"/>
      <c r="BP436" s="1525"/>
      <c r="BQ436" s="1525"/>
      <c r="BR436" s="1525"/>
      <c r="BS436" s="1525"/>
      <c r="BT436" s="1670"/>
      <c r="BV436"/>
      <c r="BW436" s="825"/>
    </row>
    <row r="437" spans="2:75" s="164" customFormat="1" ht="12.75" customHeight="1" x14ac:dyDescent="0.2">
      <c r="B437" s="175"/>
      <c r="F437" s="4"/>
      <c r="G437" s="825"/>
      <c r="H437" s="1412" t="s">
        <v>1508</v>
      </c>
      <c r="I437" s="212"/>
      <c r="J437" s="246"/>
      <c r="K437" s="246"/>
      <c r="L437" s="861"/>
      <c r="M437" s="861"/>
      <c r="N437" s="857"/>
      <c r="O437" s="1192"/>
      <c r="P437" s="550"/>
      <c r="Q437" s="1148"/>
      <c r="R437" s="874"/>
      <c r="S437" s="875"/>
      <c r="T437" s="875"/>
      <c r="U437" s="875"/>
      <c r="V437" s="875"/>
      <c r="W437" s="875"/>
      <c r="X437" s="1026"/>
      <c r="Y437" s="1754"/>
      <c r="Z437" s="1755"/>
      <c r="AA437" s="1775"/>
      <c r="AB437" s="1814"/>
      <c r="AC437" s="876"/>
      <c r="AD437" s="1295"/>
      <c r="AE437" s="1525"/>
      <c r="AF437" s="1525"/>
      <c r="AG437" s="1525"/>
      <c r="AH437" s="1525"/>
      <c r="AI437" s="1525"/>
      <c r="AJ437" s="1525"/>
      <c r="AK437" s="1525"/>
      <c r="AL437" s="1525"/>
      <c r="AM437" s="1525"/>
      <c r="AN437" s="1525"/>
      <c r="AO437" s="1525"/>
      <c r="AP437" s="1525"/>
      <c r="AQ437" s="1525"/>
      <c r="AR437" s="1525"/>
      <c r="AS437" s="1525"/>
      <c r="AU437" s="1525"/>
      <c r="AV437" s="1295"/>
      <c r="AW437" s="1525"/>
      <c r="AX437" s="1525"/>
      <c r="AY437" s="1525"/>
      <c r="AZ437" s="1525"/>
      <c r="BA437" s="1525"/>
      <c r="BB437" s="1525"/>
      <c r="BC437" s="1525"/>
      <c r="BD437" s="1525"/>
      <c r="BE437" s="1525"/>
      <c r="BF437" s="1525"/>
      <c r="BG437" s="1525"/>
      <c r="BH437" s="1525"/>
      <c r="BI437" s="1525"/>
      <c r="BJ437" s="1525"/>
      <c r="BK437" s="1525"/>
      <c r="BL437" s="1525"/>
      <c r="BM437" s="1525"/>
      <c r="BN437" s="1525"/>
      <c r="BO437" s="1525"/>
      <c r="BP437" s="1525"/>
      <c r="BQ437" s="1525"/>
      <c r="BR437" s="1525"/>
      <c r="BS437" s="1525"/>
      <c r="BT437" s="1670"/>
      <c r="BV437"/>
      <c r="BW437" s="825"/>
    </row>
    <row r="438" spans="2:75" ht="12.75" customHeight="1" x14ac:dyDescent="0.2">
      <c r="B438" s="175">
        <f>B437+1</f>
        <v>1</v>
      </c>
      <c r="C438" s="219">
        <v>14</v>
      </c>
      <c r="E438" s="12" t="s">
        <v>647</v>
      </c>
      <c r="F438" s="4" t="s">
        <v>626</v>
      </c>
      <c r="G438" s="825" t="s">
        <v>740</v>
      </c>
      <c r="H438" s="1412">
        <v>100178</v>
      </c>
      <c r="I438" s="212" t="s">
        <v>583</v>
      </c>
      <c r="J438" s="246"/>
      <c r="K438" s="246"/>
      <c r="L438" s="861">
        <v>1</v>
      </c>
      <c r="M438" s="861">
        <v>1</v>
      </c>
      <c r="N438" s="857" t="s">
        <v>892</v>
      </c>
      <c r="O438" s="1196">
        <v>29942</v>
      </c>
      <c r="P438" s="1218">
        <f ca="1">YEARFRAC(TODAY(),O438)</f>
        <v>35.777777777777779</v>
      </c>
      <c r="Q438" s="1148">
        <v>27000</v>
      </c>
      <c r="R438" s="874"/>
      <c r="S438" s="875"/>
      <c r="T438" s="875"/>
      <c r="U438" s="875"/>
      <c r="V438" s="875"/>
      <c r="W438" s="875"/>
      <c r="X438" s="1026">
        <f>(Q438+R438+S438+T438+U438+V438+W438)*M438</f>
        <v>27000</v>
      </c>
      <c r="Y438" s="1512">
        <f>(T438+U438)*M438/(X438-M438*(T438+U438))</f>
        <v>0</v>
      </c>
      <c r="Z438" s="1741">
        <f>M438*(1+Y438)</f>
        <v>1</v>
      </c>
      <c r="AA438" s="1749">
        <f>SUM(AD438:AS438)</f>
        <v>1</v>
      </c>
      <c r="AB438" s="1810">
        <f t="shared" ref="AB438:AB442" si="269">100*AA438/Z438</f>
        <v>100</v>
      </c>
      <c r="AC438" s="876"/>
      <c r="AD438" s="1525">
        <f t="shared" ref="AD438:AS442" si="270">SUMIF($AV$6:$BS$6,AD$5,$AV438:$BS438)</f>
        <v>0</v>
      </c>
      <c r="AE438" s="1525">
        <f t="shared" si="270"/>
        <v>0</v>
      </c>
      <c r="AF438" s="1525">
        <f t="shared" si="270"/>
        <v>0</v>
      </c>
      <c r="AG438" s="1525">
        <f t="shared" si="270"/>
        <v>0</v>
      </c>
      <c r="AH438" s="1525">
        <f t="shared" si="270"/>
        <v>0</v>
      </c>
      <c r="AI438" s="1525">
        <f t="shared" si="270"/>
        <v>0</v>
      </c>
      <c r="AJ438" s="1525">
        <f t="shared" si="270"/>
        <v>0</v>
      </c>
      <c r="AK438" s="1525">
        <f t="shared" si="270"/>
        <v>0</v>
      </c>
      <c r="AL438" s="1525">
        <f t="shared" si="270"/>
        <v>0</v>
      </c>
      <c r="AM438" s="1525">
        <f t="shared" si="270"/>
        <v>0</v>
      </c>
      <c r="AN438" s="1525">
        <f t="shared" si="270"/>
        <v>0</v>
      </c>
      <c r="AO438" s="1525">
        <f t="shared" si="270"/>
        <v>0</v>
      </c>
      <c r="AP438" s="1525">
        <f t="shared" si="270"/>
        <v>0</v>
      </c>
      <c r="AQ438" s="1525">
        <f t="shared" si="270"/>
        <v>0</v>
      </c>
      <c r="AR438" s="1525">
        <f t="shared" si="270"/>
        <v>1</v>
      </c>
      <c r="AS438" s="1525">
        <f t="shared" si="270"/>
        <v>0</v>
      </c>
      <c r="AU438" s="1525"/>
      <c r="AV438" s="1291"/>
      <c r="AW438" s="1292"/>
      <c r="AX438" s="1292"/>
      <c r="AY438" s="1292"/>
      <c r="AZ438" s="1292"/>
      <c r="BA438" s="1292"/>
      <c r="BB438" s="1292"/>
      <c r="BC438" s="1292"/>
      <c r="BD438" s="1292"/>
      <c r="BE438" s="1292"/>
      <c r="BF438" s="1292"/>
      <c r="BG438" s="1292"/>
      <c r="BH438" s="1292"/>
      <c r="BI438" s="1292"/>
      <c r="BJ438" s="1292"/>
      <c r="BK438" s="1292"/>
      <c r="BL438" s="1292">
        <v>1</v>
      </c>
      <c r="BM438" s="1292"/>
      <c r="BN438" s="1292"/>
      <c r="BO438" s="1292"/>
      <c r="BP438" s="1292"/>
      <c r="BQ438" s="1292"/>
      <c r="BR438" s="1292"/>
      <c r="BS438" s="1292"/>
      <c r="BT438" s="1670">
        <f t="shared" ref="BT438:BT442" si="271">SUM(AV438:BS438)</f>
        <v>1</v>
      </c>
      <c r="BW438" s="825" t="s">
        <v>740</v>
      </c>
    </row>
    <row r="439" spans="2:75" ht="12.75" customHeight="1" x14ac:dyDescent="0.2">
      <c r="B439" s="175">
        <f>B438+1</f>
        <v>2</v>
      </c>
      <c r="C439" s="219">
        <v>15</v>
      </c>
      <c r="E439" s="12" t="s">
        <v>647</v>
      </c>
      <c r="F439" s="4" t="s">
        <v>631</v>
      </c>
      <c r="G439" s="825" t="s">
        <v>1862</v>
      </c>
      <c r="H439" s="1413">
        <v>3353</v>
      </c>
      <c r="I439" s="200" t="s">
        <v>583</v>
      </c>
      <c r="J439" s="189"/>
      <c r="K439" s="189"/>
      <c r="L439" s="858">
        <v>1</v>
      </c>
      <c r="M439" s="858">
        <f>K439+L439</f>
        <v>1</v>
      </c>
      <c r="N439" s="836" t="s">
        <v>892</v>
      </c>
      <c r="O439" s="1196">
        <v>18895</v>
      </c>
      <c r="P439" s="1218">
        <f ca="1">YEARFRAC(TODAY(),O439)</f>
        <v>66.022222222222226</v>
      </c>
      <c r="Q439" s="1148">
        <v>16700</v>
      </c>
      <c r="R439" s="874"/>
      <c r="S439" s="875"/>
      <c r="T439" s="875"/>
      <c r="U439" s="875"/>
      <c r="V439" s="875"/>
      <c r="W439" s="875"/>
      <c r="X439" s="1026">
        <f>(Q439+R439+S439+T439+U439+V439+W439)*M439</f>
        <v>16700</v>
      </c>
      <c r="Y439" s="1512">
        <f>(T439+U439)*M439/(X439-M439*(T439+U439))</f>
        <v>0</v>
      </c>
      <c r="Z439" s="1741">
        <f>M439*(1+Y439)</f>
        <v>1</v>
      </c>
      <c r="AA439" s="1749">
        <f>SUM(AD439:AS439)</f>
        <v>0</v>
      </c>
      <c r="AB439" s="1810">
        <f t="shared" si="269"/>
        <v>0</v>
      </c>
      <c r="AC439" s="876"/>
      <c r="AD439" s="1525">
        <f t="shared" si="270"/>
        <v>0</v>
      </c>
      <c r="AE439" s="1525">
        <f t="shared" si="270"/>
        <v>0</v>
      </c>
      <c r="AF439" s="1525">
        <f t="shared" si="270"/>
        <v>0</v>
      </c>
      <c r="AG439" s="1525">
        <f t="shared" si="270"/>
        <v>0</v>
      </c>
      <c r="AH439" s="1525">
        <f t="shared" si="270"/>
        <v>0</v>
      </c>
      <c r="AI439" s="1525">
        <f t="shared" si="270"/>
        <v>0</v>
      </c>
      <c r="AJ439" s="1525">
        <f t="shared" si="270"/>
        <v>0</v>
      </c>
      <c r="AK439" s="1525">
        <f t="shared" si="270"/>
        <v>0</v>
      </c>
      <c r="AL439" s="1525">
        <f t="shared" si="270"/>
        <v>0</v>
      </c>
      <c r="AM439" s="1525">
        <f t="shared" si="270"/>
        <v>0</v>
      </c>
      <c r="AN439" s="1525">
        <f t="shared" si="270"/>
        <v>0</v>
      </c>
      <c r="AO439" s="1525">
        <f t="shared" si="270"/>
        <v>0</v>
      </c>
      <c r="AP439" s="1525">
        <f t="shared" si="270"/>
        <v>0</v>
      </c>
      <c r="AQ439" s="1525">
        <f t="shared" si="270"/>
        <v>0</v>
      </c>
      <c r="AR439" s="1525">
        <f t="shared" si="270"/>
        <v>0</v>
      </c>
      <c r="AS439" s="1525">
        <f t="shared" si="270"/>
        <v>0</v>
      </c>
      <c r="AU439" s="1525"/>
      <c r="AV439" s="1291"/>
      <c r="AW439" s="1292"/>
      <c r="AX439" s="1292"/>
      <c r="AY439" s="1292"/>
      <c r="AZ439" s="1292"/>
      <c r="BA439" s="1292"/>
      <c r="BB439" s="1292"/>
      <c r="BC439" s="1292"/>
      <c r="BD439" s="1292"/>
      <c r="BE439" s="1292"/>
      <c r="BF439" s="1292"/>
      <c r="BG439" s="1292"/>
      <c r="BH439" s="1292"/>
      <c r="BI439" s="1292"/>
      <c r="BJ439" s="1292"/>
      <c r="BK439" s="1292"/>
      <c r="BL439" s="1292"/>
      <c r="BM439" s="1292"/>
      <c r="BN439" s="1292"/>
      <c r="BO439" s="1292"/>
      <c r="BP439" s="1292"/>
      <c r="BQ439" s="1292"/>
      <c r="BR439" s="1292"/>
      <c r="BS439" s="1292"/>
      <c r="BT439" s="1670">
        <f t="shared" si="271"/>
        <v>0</v>
      </c>
      <c r="BW439" s="825" t="s">
        <v>1862</v>
      </c>
    </row>
    <row r="440" spans="2:75" ht="12.75" customHeight="1" x14ac:dyDescent="0.2">
      <c r="B440" s="175">
        <f>B441+1</f>
        <v>4</v>
      </c>
      <c r="C440" s="219">
        <v>15</v>
      </c>
      <c r="E440" s="12" t="s">
        <v>647</v>
      </c>
      <c r="F440" s="4" t="s">
        <v>631</v>
      </c>
      <c r="G440" s="825" t="s">
        <v>1187</v>
      </c>
      <c r="H440" s="1413">
        <v>272666</v>
      </c>
      <c r="I440" s="200" t="s">
        <v>583</v>
      </c>
      <c r="J440" s="189"/>
      <c r="K440" s="189"/>
      <c r="L440" s="858">
        <v>1</v>
      </c>
      <c r="M440" s="858">
        <v>1</v>
      </c>
      <c r="N440" s="857" t="s">
        <v>892</v>
      </c>
      <c r="O440" s="1196">
        <v>32446</v>
      </c>
      <c r="P440" s="1218">
        <f ca="1">YEARFRAC(TODAY(),O440)</f>
        <v>28.922222222222221</v>
      </c>
      <c r="Q440" s="1148">
        <v>27000</v>
      </c>
      <c r="R440" s="874"/>
      <c r="S440" s="875"/>
      <c r="T440" s="875"/>
      <c r="U440" s="875"/>
      <c r="V440" s="875"/>
      <c r="W440" s="875"/>
      <c r="X440" s="1026">
        <f>(Q440+R440+S440+T440+U440+V440+W440)*M440</f>
        <v>27000</v>
      </c>
      <c r="Y440" s="1512">
        <f>(T440+U440)*M440/(X440-M440*(T440+U440))</f>
        <v>0</v>
      </c>
      <c r="Z440" s="1741">
        <f>M440*(1+Y440)</f>
        <v>1</v>
      </c>
      <c r="AA440" s="1749">
        <f>SUM(AD440:AS440)</f>
        <v>1</v>
      </c>
      <c r="AB440" s="1810">
        <f t="shared" si="269"/>
        <v>100</v>
      </c>
      <c r="AC440" s="876"/>
      <c r="AD440" s="1525">
        <f t="shared" si="270"/>
        <v>0</v>
      </c>
      <c r="AE440" s="1525">
        <f t="shared" si="270"/>
        <v>0</v>
      </c>
      <c r="AF440" s="1525">
        <f t="shared" si="270"/>
        <v>0</v>
      </c>
      <c r="AG440" s="1525">
        <f t="shared" si="270"/>
        <v>0</v>
      </c>
      <c r="AH440" s="1525">
        <f t="shared" si="270"/>
        <v>0</v>
      </c>
      <c r="AI440" s="1525">
        <f t="shared" si="270"/>
        <v>0</v>
      </c>
      <c r="AJ440" s="1525">
        <f t="shared" si="270"/>
        <v>0</v>
      </c>
      <c r="AK440" s="1525">
        <f t="shared" si="270"/>
        <v>0</v>
      </c>
      <c r="AL440" s="1525">
        <f t="shared" si="270"/>
        <v>0</v>
      </c>
      <c r="AM440" s="1525">
        <f t="shared" si="270"/>
        <v>0</v>
      </c>
      <c r="AN440" s="1525">
        <f t="shared" si="270"/>
        <v>0</v>
      </c>
      <c r="AO440" s="1525">
        <f t="shared" si="270"/>
        <v>0</v>
      </c>
      <c r="AP440" s="1525">
        <f t="shared" si="270"/>
        <v>0</v>
      </c>
      <c r="AQ440" s="1525">
        <f t="shared" si="270"/>
        <v>0</v>
      </c>
      <c r="AR440" s="1525">
        <f t="shared" si="270"/>
        <v>1</v>
      </c>
      <c r="AS440" s="1525">
        <f t="shared" si="270"/>
        <v>0</v>
      </c>
      <c r="AU440" s="1525"/>
      <c r="AV440" s="1291"/>
      <c r="AW440" s="1292"/>
      <c r="AX440" s="1292"/>
      <c r="AY440" s="1292"/>
      <c r="AZ440" s="1292"/>
      <c r="BA440" s="1292"/>
      <c r="BB440" s="1292"/>
      <c r="BC440" s="1292"/>
      <c r="BD440" s="1292"/>
      <c r="BE440" s="1292"/>
      <c r="BF440" s="1292"/>
      <c r="BG440" s="1292"/>
      <c r="BH440" s="1292"/>
      <c r="BI440" s="1292"/>
      <c r="BJ440" s="1292"/>
      <c r="BK440" s="1292"/>
      <c r="BL440" s="1292">
        <v>1</v>
      </c>
      <c r="BM440" s="1292"/>
      <c r="BN440" s="1292"/>
      <c r="BO440" s="1292"/>
      <c r="BP440" s="1292"/>
      <c r="BQ440" s="1292"/>
      <c r="BR440" s="1292"/>
      <c r="BS440" s="1292"/>
      <c r="BT440" s="1670">
        <f t="shared" si="271"/>
        <v>1</v>
      </c>
      <c r="BW440" s="825" t="s">
        <v>1187</v>
      </c>
    </row>
    <row r="441" spans="2:75" ht="12.75" customHeight="1" x14ac:dyDescent="0.2">
      <c r="B441" s="320">
        <f>B439+1</f>
        <v>3</v>
      </c>
      <c r="C441" s="219">
        <v>15</v>
      </c>
      <c r="E441" s="12" t="s">
        <v>647</v>
      </c>
      <c r="F441" s="4" t="s">
        <v>631</v>
      </c>
      <c r="G441" s="825" t="s">
        <v>1180</v>
      </c>
      <c r="H441" s="1413">
        <v>3363</v>
      </c>
      <c r="I441" s="200" t="s">
        <v>583</v>
      </c>
      <c r="J441" s="189"/>
      <c r="K441" s="189"/>
      <c r="L441" s="858">
        <v>1</v>
      </c>
      <c r="M441" s="858">
        <f>K441+L441</f>
        <v>1</v>
      </c>
      <c r="N441" s="857" t="s">
        <v>892</v>
      </c>
      <c r="O441" s="1196">
        <v>18454</v>
      </c>
      <c r="P441" s="1218">
        <f ca="1">YEARFRAC(TODAY(),O441)</f>
        <v>67.227777777777774</v>
      </c>
      <c r="Q441" s="1148">
        <v>16700</v>
      </c>
      <c r="R441" s="874"/>
      <c r="S441" s="875"/>
      <c r="T441" s="875"/>
      <c r="U441" s="875"/>
      <c r="V441" s="875"/>
      <c r="W441" s="875"/>
      <c r="X441" s="1026">
        <f>(Q441+R441+S441+T441+U441+V441+W441)*M441</f>
        <v>16700</v>
      </c>
      <c r="Y441" s="1512">
        <f>(T441+U441)*M441/(X441-M441*(T441+U441))</f>
        <v>0</v>
      </c>
      <c r="Z441" s="1741">
        <f>M441*(1+Y441)</f>
        <v>1</v>
      </c>
      <c r="AA441" s="1749">
        <f>SUM(AD441:AS441)</f>
        <v>0</v>
      </c>
      <c r="AB441" s="1810">
        <f t="shared" si="269"/>
        <v>0</v>
      </c>
      <c r="AC441" s="876"/>
      <c r="AD441" s="1525">
        <f t="shared" si="270"/>
        <v>0</v>
      </c>
      <c r="AE441" s="1525">
        <f t="shared" si="270"/>
        <v>0</v>
      </c>
      <c r="AF441" s="1525">
        <f t="shared" si="270"/>
        <v>0</v>
      </c>
      <c r="AG441" s="1525">
        <f t="shared" si="270"/>
        <v>0</v>
      </c>
      <c r="AH441" s="1525">
        <f t="shared" si="270"/>
        <v>0</v>
      </c>
      <c r="AI441" s="1525">
        <f t="shared" si="270"/>
        <v>0</v>
      </c>
      <c r="AJ441" s="1525">
        <f t="shared" si="270"/>
        <v>0</v>
      </c>
      <c r="AK441" s="1525">
        <f t="shared" si="270"/>
        <v>0</v>
      </c>
      <c r="AL441" s="1525">
        <f t="shared" si="270"/>
        <v>0</v>
      </c>
      <c r="AM441" s="1525">
        <f t="shared" si="270"/>
        <v>0</v>
      </c>
      <c r="AN441" s="1525">
        <f t="shared" si="270"/>
        <v>0</v>
      </c>
      <c r="AO441" s="1525">
        <f t="shared" si="270"/>
        <v>0</v>
      </c>
      <c r="AP441" s="1525">
        <f t="shared" si="270"/>
        <v>0</v>
      </c>
      <c r="AQ441" s="1525">
        <f t="shared" si="270"/>
        <v>0</v>
      </c>
      <c r="AR441" s="1525">
        <f t="shared" si="270"/>
        <v>0</v>
      </c>
      <c r="AS441" s="1525">
        <f t="shared" si="270"/>
        <v>0</v>
      </c>
      <c r="AU441" s="1525"/>
      <c r="AV441" s="1291"/>
      <c r="AW441" s="1292"/>
      <c r="AX441" s="1292"/>
      <c r="AY441" s="1292"/>
      <c r="AZ441" s="1292"/>
      <c r="BA441" s="1292"/>
      <c r="BB441" s="1292"/>
      <c r="BC441" s="1292"/>
      <c r="BD441" s="1292"/>
      <c r="BE441" s="1292"/>
      <c r="BF441" s="1292"/>
      <c r="BG441" s="1292"/>
      <c r="BH441" s="1292"/>
      <c r="BI441" s="1292"/>
      <c r="BJ441" s="1292"/>
      <c r="BK441" s="1292"/>
      <c r="BL441" s="1292"/>
      <c r="BM441" s="1292"/>
      <c r="BN441" s="1292"/>
      <c r="BO441" s="1292"/>
      <c r="BP441" s="1292"/>
      <c r="BQ441" s="1292"/>
      <c r="BR441" s="1292"/>
      <c r="BS441" s="1292"/>
      <c r="BT441" s="1670">
        <f t="shared" si="271"/>
        <v>0</v>
      </c>
      <c r="BW441" s="825" t="s">
        <v>1180</v>
      </c>
    </row>
    <row r="442" spans="2:75" ht="12.75" customHeight="1" x14ac:dyDescent="0.2">
      <c r="B442" s="175">
        <f>B440+1</f>
        <v>5</v>
      </c>
      <c r="C442" s="219">
        <v>18</v>
      </c>
      <c r="E442" s="12" t="s">
        <v>647</v>
      </c>
      <c r="F442" s="4" t="s">
        <v>1181</v>
      </c>
      <c r="G442" s="825" t="s">
        <v>900</v>
      </c>
      <c r="H442" s="1413">
        <v>66392</v>
      </c>
      <c r="I442" s="197" t="s">
        <v>1442</v>
      </c>
      <c r="J442" s="174"/>
      <c r="K442" s="174"/>
      <c r="L442" s="858">
        <v>1</v>
      </c>
      <c r="M442" s="858">
        <f>K442+L442</f>
        <v>1</v>
      </c>
      <c r="N442" s="857" t="s">
        <v>1326</v>
      </c>
      <c r="O442" s="1196">
        <v>18588</v>
      </c>
      <c r="P442" s="1218">
        <f ca="1">YEARFRAC(TODAY(),O442)</f>
        <v>66.863888888888894</v>
      </c>
      <c r="Q442" s="1148">
        <v>27000</v>
      </c>
      <c r="R442" s="874">
        <f>Q442*0.1</f>
        <v>2700</v>
      </c>
      <c r="S442" s="875"/>
      <c r="T442" s="875"/>
      <c r="U442" s="875"/>
      <c r="V442" s="1036"/>
      <c r="W442" s="875"/>
      <c r="X442" s="1026">
        <f>(Q442+R442+S442+T442+U442+V442+W442)*M442</f>
        <v>29700</v>
      </c>
      <c r="Y442" s="1512">
        <f>(T442+U442)*M442/(X442-M442*(T442+U442))</f>
        <v>0</v>
      </c>
      <c r="Z442" s="1741">
        <f>M442*(1+Y442)</f>
        <v>1</v>
      </c>
      <c r="AA442" s="1749">
        <f>SUM(AD442:AS442)</f>
        <v>1</v>
      </c>
      <c r="AB442" s="1810">
        <f t="shared" si="269"/>
        <v>100</v>
      </c>
      <c r="AC442" s="876"/>
      <c r="AD442" s="1525">
        <f t="shared" si="270"/>
        <v>0</v>
      </c>
      <c r="AE442" s="1525">
        <f t="shared" si="270"/>
        <v>0</v>
      </c>
      <c r="AF442" s="1525">
        <f t="shared" si="270"/>
        <v>0</v>
      </c>
      <c r="AG442" s="1525">
        <f t="shared" si="270"/>
        <v>0</v>
      </c>
      <c r="AH442" s="1525">
        <f t="shared" si="270"/>
        <v>0</v>
      </c>
      <c r="AI442" s="1525">
        <f t="shared" si="270"/>
        <v>0</v>
      </c>
      <c r="AJ442" s="1525">
        <f t="shared" si="270"/>
        <v>0</v>
      </c>
      <c r="AK442" s="1525">
        <f t="shared" si="270"/>
        <v>0</v>
      </c>
      <c r="AL442" s="1525">
        <f t="shared" si="270"/>
        <v>0</v>
      </c>
      <c r="AM442" s="1525">
        <f t="shared" si="270"/>
        <v>0</v>
      </c>
      <c r="AN442" s="1525">
        <f t="shared" si="270"/>
        <v>0</v>
      </c>
      <c r="AO442" s="1525">
        <f t="shared" si="270"/>
        <v>0</v>
      </c>
      <c r="AP442" s="1525">
        <f t="shared" si="270"/>
        <v>0</v>
      </c>
      <c r="AQ442" s="1525">
        <f t="shared" si="270"/>
        <v>0</v>
      </c>
      <c r="AR442" s="1525">
        <f t="shared" si="270"/>
        <v>1</v>
      </c>
      <c r="AS442" s="1525">
        <f t="shared" si="270"/>
        <v>0</v>
      </c>
      <c r="AU442" s="1525"/>
      <c r="AV442" s="1291"/>
      <c r="AW442" s="1292"/>
      <c r="AX442" s="1292"/>
      <c r="AY442" s="1292"/>
      <c r="AZ442" s="1292"/>
      <c r="BA442" s="1292"/>
      <c r="BB442" s="1292"/>
      <c r="BC442" s="1292"/>
      <c r="BD442" s="1292"/>
      <c r="BE442" s="1292"/>
      <c r="BF442" s="1292"/>
      <c r="BG442" s="1292"/>
      <c r="BH442" s="1292"/>
      <c r="BI442" s="1292"/>
      <c r="BJ442" s="1292"/>
      <c r="BK442" s="1292"/>
      <c r="BL442" s="1292">
        <v>1</v>
      </c>
      <c r="BM442" s="1292"/>
      <c r="BN442" s="1292"/>
      <c r="BO442" s="1292"/>
      <c r="BP442" s="1292"/>
      <c r="BQ442" s="1292"/>
      <c r="BR442" s="1292"/>
      <c r="BS442" s="1292"/>
      <c r="BT442" s="1670">
        <f t="shared" si="271"/>
        <v>1</v>
      </c>
      <c r="BW442" s="825" t="s">
        <v>900</v>
      </c>
    </row>
    <row r="443" spans="2:75" ht="12.75" customHeight="1" x14ac:dyDescent="0.2">
      <c r="B443" s="175"/>
      <c r="C443" s="219"/>
      <c r="E443" s="12"/>
      <c r="F443" s="26"/>
      <c r="G443" s="830"/>
      <c r="H443" s="1354" t="s">
        <v>1508</v>
      </c>
      <c r="I443" s="196"/>
      <c r="J443" s="195"/>
      <c r="K443" s="195"/>
      <c r="L443" s="873"/>
      <c r="M443" s="873"/>
      <c r="N443" s="872"/>
      <c r="O443" s="1196" t="s">
        <v>1508</v>
      </c>
      <c r="P443" s="1218"/>
      <c r="Q443" s="1148"/>
      <c r="R443" s="874"/>
      <c r="S443" s="875"/>
      <c r="T443" s="875"/>
      <c r="U443" s="875"/>
      <c r="V443" s="875"/>
      <c r="W443" s="1036"/>
      <c r="X443" s="1026"/>
      <c r="Y443" s="1754"/>
      <c r="Z443" s="1755"/>
      <c r="AA443" s="1775"/>
      <c r="AB443" s="1814"/>
      <c r="AC443" s="876"/>
      <c r="AD443" s="1295"/>
      <c r="AE443" s="1525"/>
      <c r="AF443" s="1525"/>
      <c r="AG443" s="1525"/>
      <c r="AH443" s="1525"/>
      <c r="AI443" s="1525"/>
      <c r="AJ443" s="1525"/>
      <c r="AK443" s="1525"/>
      <c r="AL443" s="1525"/>
      <c r="AM443" s="1525"/>
      <c r="AN443" s="1525"/>
      <c r="AO443" s="1525"/>
      <c r="AP443" s="1525"/>
      <c r="AQ443" s="1525"/>
      <c r="AR443" s="1525"/>
      <c r="AS443" s="1525"/>
      <c r="AU443" s="1525"/>
      <c r="AV443" s="1291"/>
      <c r="AW443" s="1292"/>
      <c r="AX443" s="1292"/>
      <c r="AY443" s="1292"/>
      <c r="AZ443" s="1292"/>
      <c r="BA443" s="1292"/>
      <c r="BB443" s="1292"/>
      <c r="BC443" s="1292"/>
      <c r="BD443" s="1292"/>
      <c r="BE443" s="1292"/>
      <c r="BF443" s="1292"/>
      <c r="BG443" s="1292"/>
      <c r="BH443" s="1292"/>
      <c r="BI443" s="1292"/>
      <c r="BJ443" s="1292"/>
      <c r="BK443" s="1292"/>
      <c r="BL443" s="1292"/>
      <c r="BM443" s="1292"/>
      <c r="BN443" s="1292"/>
      <c r="BO443" s="1292"/>
      <c r="BP443" s="1292"/>
      <c r="BQ443" s="1292"/>
      <c r="BR443" s="1292"/>
      <c r="BS443" s="1292"/>
      <c r="BT443" s="1670"/>
      <c r="BW443" s="830"/>
    </row>
    <row r="444" spans="2:75" s="164" customFormat="1" ht="12.75" customHeight="1" x14ac:dyDescent="0.2">
      <c r="B444" s="316"/>
      <c r="C444" s="219" t="s">
        <v>1120</v>
      </c>
      <c r="F444" s="4" t="s">
        <v>1188</v>
      </c>
      <c r="G444" s="856"/>
      <c r="H444" s="1364" t="s">
        <v>1508</v>
      </c>
      <c r="I444" s="172"/>
      <c r="J444" s="168"/>
      <c r="K444" s="167">
        <f>SUM(K438:K443)</f>
        <v>0</v>
      </c>
      <c r="L444" s="841">
        <f>SUM(L438:L443)</f>
        <v>5</v>
      </c>
      <c r="M444" s="841">
        <f>SUM(M438:M443)</f>
        <v>5</v>
      </c>
      <c r="N444" s="855"/>
      <c r="O444" s="1192"/>
      <c r="P444" s="550"/>
      <c r="Q444" s="1153"/>
      <c r="R444" s="877"/>
      <c r="S444" s="875"/>
      <c r="T444" s="875"/>
      <c r="U444" s="875"/>
      <c r="V444" s="875"/>
      <c r="W444" s="875"/>
      <c r="X444" s="1026"/>
      <c r="Y444" s="1335"/>
      <c r="Z444" s="1335"/>
      <c r="AA444" s="1775"/>
      <c r="AB444" s="1814"/>
      <c r="AC444" s="876"/>
      <c r="AD444" s="1295"/>
      <c r="AE444" s="1525"/>
      <c r="AF444" s="1525"/>
      <c r="AG444" s="1525"/>
      <c r="AH444" s="1525"/>
      <c r="AI444" s="1525"/>
      <c r="AJ444" s="1525"/>
      <c r="AK444" s="1525"/>
      <c r="AL444" s="1525"/>
      <c r="AM444" s="1525"/>
      <c r="AN444" s="1525"/>
      <c r="AO444" s="1525"/>
      <c r="AP444" s="1525"/>
      <c r="AQ444" s="1525"/>
      <c r="AR444" s="1525"/>
      <c r="AS444" s="1525"/>
      <c r="AU444" s="1525"/>
      <c r="AV444" s="1295"/>
      <c r="AW444" s="1525"/>
      <c r="AX444" s="1525"/>
      <c r="AY444" s="1525"/>
      <c r="AZ444" s="1525"/>
      <c r="BA444" s="1525"/>
      <c r="BB444" s="1525"/>
      <c r="BC444" s="1525"/>
      <c r="BD444" s="1525"/>
      <c r="BE444" s="1525"/>
      <c r="BF444" s="1525"/>
      <c r="BG444" s="1525"/>
      <c r="BH444" s="1525"/>
      <c r="BI444" s="1525"/>
      <c r="BJ444" s="1525"/>
      <c r="BK444" s="1525"/>
      <c r="BL444" s="1525"/>
      <c r="BM444" s="1525"/>
      <c r="BN444" s="1525"/>
      <c r="BO444" s="1525"/>
      <c r="BP444" s="1525"/>
      <c r="BQ444" s="1525"/>
      <c r="BR444" s="1525"/>
      <c r="BS444" s="1525"/>
      <c r="BT444" s="1670"/>
      <c r="BV444"/>
      <c r="BW444" s="856"/>
    </row>
    <row r="445" spans="2:75" s="164" customFormat="1" ht="12.75" customHeight="1" x14ac:dyDescent="0.2">
      <c r="B445" s="175"/>
      <c r="F445" s="4"/>
      <c r="G445" s="856"/>
      <c r="H445" s="1364" t="s">
        <v>1508</v>
      </c>
      <c r="I445" s="172"/>
      <c r="J445" s="168"/>
      <c r="K445" s="168"/>
      <c r="L445" s="841"/>
      <c r="M445" s="841"/>
      <c r="N445" s="855"/>
      <c r="O445" s="1192"/>
      <c r="P445" s="550"/>
      <c r="Q445" s="1148"/>
      <c r="R445" s="874"/>
      <c r="S445" s="875"/>
      <c r="T445" s="875"/>
      <c r="U445" s="875"/>
      <c r="V445" s="875"/>
      <c r="W445" s="875"/>
      <c r="X445" s="1026"/>
      <c r="Y445" s="1754"/>
      <c r="Z445" s="1755"/>
      <c r="AA445" s="1775"/>
      <c r="AB445" s="1814"/>
      <c r="AC445" s="876"/>
      <c r="AD445" s="1295"/>
      <c r="AE445" s="1525"/>
      <c r="AF445" s="1525"/>
      <c r="AG445" s="1525"/>
      <c r="AH445" s="1525"/>
      <c r="AI445" s="1525"/>
      <c r="AJ445" s="1525"/>
      <c r="AK445" s="1525"/>
      <c r="AL445" s="1525"/>
      <c r="AM445" s="1525"/>
      <c r="AN445" s="1525"/>
      <c r="AO445" s="1525"/>
      <c r="AP445" s="1525"/>
      <c r="AQ445" s="1525"/>
      <c r="AR445" s="1525"/>
      <c r="AS445" s="1525"/>
      <c r="AU445" s="1525"/>
      <c r="AV445" s="1295"/>
      <c r="AW445" s="1525"/>
      <c r="AX445" s="1525"/>
      <c r="AY445" s="1525"/>
      <c r="AZ445" s="1525"/>
      <c r="BA445" s="1525"/>
      <c r="BB445" s="1525"/>
      <c r="BC445" s="1525"/>
      <c r="BD445" s="1525"/>
      <c r="BE445" s="1525"/>
      <c r="BF445" s="1525"/>
      <c r="BG445" s="1525"/>
      <c r="BH445" s="1525"/>
      <c r="BI445" s="1525"/>
      <c r="BJ445" s="1525"/>
      <c r="BK445" s="1525"/>
      <c r="BL445" s="1525"/>
      <c r="BM445" s="1525"/>
      <c r="BN445" s="1525"/>
      <c r="BO445" s="1525"/>
      <c r="BP445" s="1525"/>
      <c r="BQ445" s="1525"/>
      <c r="BR445" s="1525"/>
      <c r="BS445" s="1525"/>
      <c r="BT445" s="1670"/>
      <c r="BV445"/>
      <c r="BW445" s="856"/>
    </row>
    <row r="446" spans="2:75" s="164" customFormat="1" ht="12.75" customHeight="1" x14ac:dyDescent="0.2">
      <c r="B446" s="175"/>
      <c r="F446" s="26"/>
      <c r="G446" s="830"/>
      <c r="H446" s="1354" t="s">
        <v>1508</v>
      </c>
      <c r="I446" s="196"/>
      <c r="J446" s="195"/>
      <c r="K446" s="195"/>
      <c r="L446" s="873"/>
      <c r="M446" s="873"/>
      <c r="N446" s="872"/>
      <c r="O446" s="1192"/>
      <c r="P446" s="550"/>
      <c r="Q446" s="1148"/>
      <c r="R446" s="874"/>
      <c r="S446" s="875"/>
      <c r="T446" s="875"/>
      <c r="U446" s="875"/>
      <c r="V446" s="875"/>
      <c r="W446" s="875"/>
      <c r="X446" s="1026"/>
      <c r="Y446" s="1754"/>
      <c r="Z446" s="1755"/>
      <c r="AA446" s="1775"/>
      <c r="AB446" s="1814"/>
      <c r="AC446" s="876"/>
      <c r="AD446" s="1295"/>
      <c r="AE446" s="1525"/>
      <c r="AF446" s="1525"/>
      <c r="AG446" s="1525"/>
      <c r="AH446" s="1525"/>
      <c r="AI446" s="1525"/>
      <c r="AJ446" s="1525"/>
      <c r="AK446" s="1525"/>
      <c r="AL446" s="1525"/>
      <c r="AM446" s="1525"/>
      <c r="AN446" s="1525"/>
      <c r="AO446" s="1525"/>
      <c r="AP446" s="1525"/>
      <c r="AQ446" s="1525"/>
      <c r="AR446" s="1525"/>
      <c r="AS446" s="1525"/>
      <c r="AU446" s="1525"/>
      <c r="AV446" s="1295"/>
      <c r="AW446" s="1525"/>
      <c r="AX446" s="1525"/>
      <c r="AY446" s="1525"/>
      <c r="AZ446" s="1525"/>
      <c r="BA446" s="1525"/>
      <c r="BB446" s="1525"/>
      <c r="BC446" s="1525"/>
      <c r="BD446" s="1525"/>
      <c r="BE446" s="1525"/>
      <c r="BF446" s="1525"/>
      <c r="BG446" s="1525"/>
      <c r="BH446" s="1525"/>
      <c r="BI446" s="1525"/>
      <c r="BJ446" s="1525"/>
      <c r="BK446" s="1525"/>
      <c r="BL446" s="1525"/>
      <c r="BM446" s="1525"/>
      <c r="BN446" s="1525"/>
      <c r="BO446" s="1525"/>
      <c r="BP446" s="1525"/>
      <c r="BQ446" s="1525"/>
      <c r="BR446" s="1525"/>
      <c r="BS446" s="1525"/>
      <c r="BT446" s="1670"/>
      <c r="BV446"/>
      <c r="BW446" s="830"/>
    </row>
    <row r="447" spans="2:75" s="164" customFormat="1" ht="12.75" customHeight="1" x14ac:dyDescent="0.2">
      <c r="B447" s="175"/>
      <c r="C447" s="219" t="s">
        <v>1120</v>
      </c>
      <c r="F447" s="37" t="s">
        <v>1144</v>
      </c>
      <c r="G447" s="913"/>
      <c r="H447" s="1351" t="s">
        <v>1508</v>
      </c>
      <c r="I447" s="180"/>
      <c r="J447" s="173"/>
      <c r="K447" s="446">
        <f>K423+K434+K444+K449</f>
        <v>0</v>
      </c>
      <c r="L447" s="892">
        <f>L423+L434+L444</f>
        <v>13</v>
      </c>
      <c r="M447" s="892">
        <f>M423+M434+M444+M449</f>
        <v>13</v>
      </c>
      <c r="N447" s="832"/>
      <c r="O447" s="1192"/>
      <c r="P447" s="550"/>
      <c r="Q447" s="1153"/>
      <c r="R447" s="877"/>
      <c r="S447" s="875"/>
      <c r="T447" s="875"/>
      <c r="U447" s="875"/>
      <c r="V447" s="875"/>
      <c r="W447" s="875"/>
      <c r="X447" s="1026"/>
      <c r="Y447" s="1335"/>
      <c r="Z447" s="1335"/>
      <c r="AA447" s="1775"/>
      <c r="AB447" s="1814"/>
      <c r="AC447" s="876"/>
      <c r="AD447" s="1295"/>
      <c r="AE447" s="1525"/>
      <c r="AF447" s="1525"/>
      <c r="AG447" s="1525"/>
      <c r="AH447" s="1525"/>
      <c r="AI447" s="1525"/>
      <c r="AJ447" s="1525"/>
      <c r="AK447" s="1525"/>
      <c r="AL447" s="1525"/>
      <c r="AM447" s="1525"/>
      <c r="AN447" s="1525"/>
      <c r="AO447" s="1525"/>
      <c r="AP447" s="1525"/>
      <c r="AQ447" s="1525"/>
      <c r="AR447" s="1525"/>
      <c r="AS447" s="1525"/>
      <c r="AU447" s="1525"/>
      <c r="AV447" s="1295"/>
      <c r="AW447" s="1525"/>
      <c r="AX447" s="1525"/>
      <c r="AY447" s="1525"/>
      <c r="AZ447" s="1525"/>
      <c r="BA447" s="1525"/>
      <c r="BB447" s="1525"/>
      <c r="BC447" s="1525"/>
      <c r="BD447" s="1525"/>
      <c r="BE447" s="1525"/>
      <c r="BF447" s="1525"/>
      <c r="BG447" s="1525"/>
      <c r="BH447" s="1525"/>
      <c r="BI447" s="1525"/>
      <c r="BJ447" s="1525"/>
      <c r="BK447" s="1525"/>
      <c r="BL447" s="1525"/>
      <c r="BM447" s="1525"/>
      <c r="BN447" s="1525"/>
      <c r="BO447" s="1525"/>
      <c r="BP447" s="1525"/>
      <c r="BQ447" s="1525"/>
      <c r="BR447" s="1525"/>
      <c r="BS447" s="1525"/>
      <c r="BT447" s="1670"/>
      <c r="BV447"/>
      <c r="BW447" s="913"/>
    </row>
    <row r="448" spans="2:75" s="164" customFormat="1" ht="12.75" customHeight="1" x14ac:dyDescent="0.2">
      <c r="B448" s="175"/>
      <c r="F448" s="37"/>
      <c r="G448" s="913"/>
      <c r="H448" s="1347" t="s">
        <v>1508</v>
      </c>
      <c r="I448" s="180"/>
      <c r="J448" s="173"/>
      <c r="K448" s="192"/>
      <c r="L448" s="861"/>
      <c r="M448" s="861"/>
      <c r="N448" s="832"/>
      <c r="O448" s="1192"/>
      <c r="P448" s="1294"/>
      <c r="Q448" s="1148"/>
      <c r="R448" s="874"/>
      <c r="S448" s="875"/>
      <c r="T448" s="875"/>
      <c r="U448" s="875"/>
      <c r="V448" s="875"/>
      <c r="W448" s="875"/>
      <c r="X448" s="1026"/>
      <c r="Y448" s="1754"/>
      <c r="Z448" s="1755"/>
      <c r="AA448" s="1775"/>
      <c r="AB448" s="1814"/>
      <c r="AC448" s="876"/>
      <c r="AD448" s="1295"/>
      <c r="AE448" s="1525"/>
      <c r="AF448" s="1525"/>
      <c r="AG448" s="1525"/>
      <c r="AH448" s="1525"/>
      <c r="AI448" s="1525"/>
      <c r="AJ448" s="1525"/>
      <c r="AK448" s="1525"/>
      <c r="AL448" s="1525"/>
      <c r="AM448" s="1525"/>
      <c r="AN448" s="1525"/>
      <c r="AO448" s="1525"/>
      <c r="AP448" s="1525"/>
      <c r="AQ448" s="1525"/>
      <c r="AR448" s="1525"/>
      <c r="AS448" s="1525"/>
      <c r="AU448" s="1525"/>
      <c r="AV448" s="1295"/>
      <c r="AW448" s="1525"/>
      <c r="AX448" s="1525"/>
      <c r="AY448" s="1525"/>
      <c r="AZ448" s="1525"/>
      <c r="BA448" s="1525"/>
      <c r="BB448" s="1525"/>
      <c r="BC448" s="1525"/>
      <c r="BD448" s="1525"/>
      <c r="BE448" s="1525"/>
      <c r="BF448" s="1525"/>
      <c r="BG448" s="1525"/>
      <c r="BH448" s="1525"/>
      <c r="BI448" s="1525"/>
      <c r="BJ448" s="1525"/>
      <c r="BK448" s="1525"/>
      <c r="BL448" s="1525"/>
      <c r="BM448" s="1525"/>
      <c r="BN448" s="1525"/>
      <c r="BO448" s="1525"/>
      <c r="BP448" s="1525"/>
      <c r="BQ448" s="1525"/>
      <c r="BR448" s="1525"/>
      <c r="BS448" s="1525"/>
      <c r="BT448" s="1670"/>
      <c r="BV448"/>
      <c r="BW448" s="913"/>
    </row>
    <row r="449" spans="1:75" s="6" customFormat="1" ht="12.75" customHeight="1" x14ac:dyDescent="0.2">
      <c r="A449" s="164"/>
      <c r="B449" s="175"/>
      <c r="C449" s="1209"/>
      <c r="D449" s="1209"/>
      <c r="E449" s="366"/>
      <c r="F449" s="4"/>
      <c r="G449" s="862"/>
      <c r="H449" s="1347" t="s">
        <v>1508</v>
      </c>
      <c r="I449" s="197"/>
      <c r="J449" s="174"/>
      <c r="K449" s="192"/>
      <c r="L449" s="861"/>
      <c r="M449" s="861"/>
      <c r="N449" s="836"/>
      <c r="O449" s="1197"/>
      <c r="P449" s="1219"/>
      <c r="Q449" s="1148"/>
      <c r="R449" s="874"/>
      <c r="S449" s="876"/>
      <c r="T449" s="876"/>
      <c r="U449" s="876"/>
      <c r="V449" s="876"/>
      <c r="W449" s="876"/>
      <c r="X449" s="1026"/>
      <c r="Y449" s="1754"/>
      <c r="Z449" s="1755"/>
      <c r="AA449" s="1775"/>
      <c r="AB449" s="1815"/>
      <c r="AC449" s="876"/>
      <c r="AD449" s="1529"/>
      <c r="AE449" s="1530"/>
      <c r="AF449" s="1530"/>
      <c r="AG449" s="1530"/>
      <c r="AH449" s="1530"/>
      <c r="AI449" s="1530"/>
      <c r="AJ449" s="1530"/>
      <c r="AK449" s="1530"/>
      <c r="AL449" s="1530"/>
      <c r="AM449" s="1530"/>
      <c r="AN449" s="1530"/>
      <c r="AO449" s="1530"/>
      <c r="AP449" s="1530"/>
      <c r="AQ449" s="1530"/>
      <c r="AR449" s="1530"/>
      <c r="AS449" s="1530"/>
      <c r="AU449" s="1525"/>
      <c r="AV449" s="1529"/>
      <c r="AW449" s="1530"/>
      <c r="AX449" s="1530"/>
      <c r="AY449" s="1530"/>
      <c r="AZ449" s="1530"/>
      <c r="BA449" s="1530"/>
      <c r="BB449" s="1530"/>
      <c r="BC449" s="1530"/>
      <c r="BD449" s="1530"/>
      <c r="BE449" s="1530"/>
      <c r="BF449" s="1530"/>
      <c r="BG449" s="1530"/>
      <c r="BH449" s="1530"/>
      <c r="BI449" s="1530"/>
      <c r="BJ449" s="1530"/>
      <c r="BK449" s="1530"/>
      <c r="BL449" s="1530"/>
      <c r="BM449" s="1530"/>
      <c r="BN449" s="1530"/>
      <c r="BO449" s="1530"/>
      <c r="BP449" s="1530"/>
      <c r="BQ449" s="1530"/>
      <c r="BR449" s="1530"/>
      <c r="BS449" s="1530"/>
      <c r="BT449" s="1674"/>
      <c r="BV449"/>
      <c r="BW449" s="862"/>
    </row>
    <row r="450" spans="1:75" s="164" customFormat="1" ht="12.75" customHeight="1" x14ac:dyDescent="0.2">
      <c r="B450" s="175"/>
      <c r="F450" s="37"/>
      <c r="G450" s="913"/>
      <c r="H450" s="1347" t="s">
        <v>1508</v>
      </c>
      <c r="I450" s="180"/>
      <c r="J450" s="173"/>
      <c r="K450" s="192"/>
      <c r="L450" s="861"/>
      <c r="M450" s="861"/>
      <c r="N450" s="832"/>
      <c r="O450" s="1192"/>
      <c r="P450" s="550"/>
      <c r="Q450" s="1148"/>
      <c r="R450" s="874"/>
      <c r="S450" s="875"/>
      <c r="T450" s="875"/>
      <c r="U450" s="875"/>
      <c r="V450" s="875"/>
      <c r="W450" s="875"/>
      <c r="X450" s="1026"/>
      <c r="Y450" s="1754"/>
      <c r="Z450" s="1755"/>
      <c r="AA450" s="1775"/>
      <c r="AB450" s="1814"/>
      <c r="AC450" s="876"/>
      <c r="AD450" s="1295"/>
      <c r="AE450" s="1525"/>
      <c r="AF450" s="1525"/>
      <c r="AG450" s="1525"/>
      <c r="AH450" s="1525"/>
      <c r="AI450" s="1525"/>
      <c r="AJ450" s="1525"/>
      <c r="AK450" s="1525"/>
      <c r="AL450" s="1525"/>
      <c r="AM450" s="1525"/>
      <c r="AN450" s="1525"/>
      <c r="AO450" s="1525"/>
      <c r="AP450" s="1525"/>
      <c r="AQ450" s="1525"/>
      <c r="AR450" s="1525"/>
      <c r="AS450" s="1525"/>
      <c r="AU450" s="1525"/>
      <c r="AV450" s="1295"/>
      <c r="AW450" s="1525"/>
      <c r="AX450" s="1525"/>
      <c r="AY450" s="1525"/>
      <c r="AZ450" s="1525"/>
      <c r="BA450" s="1525"/>
      <c r="BB450" s="1525"/>
      <c r="BC450" s="1525"/>
      <c r="BD450" s="1525"/>
      <c r="BE450" s="1525"/>
      <c r="BF450" s="1525"/>
      <c r="BG450" s="1525"/>
      <c r="BH450" s="1525"/>
      <c r="BI450" s="1525"/>
      <c r="BJ450" s="1525"/>
      <c r="BK450" s="1525"/>
      <c r="BL450" s="1525"/>
      <c r="BM450" s="1525"/>
      <c r="BN450" s="1525"/>
      <c r="BO450" s="1525"/>
      <c r="BP450" s="1525"/>
      <c r="BQ450" s="1525"/>
      <c r="BR450" s="1525"/>
      <c r="BS450" s="1525"/>
      <c r="BT450" s="1670"/>
      <c r="BV450"/>
      <c r="BW450" s="913"/>
    </row>
    <row r="451" spans="1:75" s="164" customFormat="1" ht="12.75" customHeight="1" x14ac:dyDescent="0.2">
      <c r="B451" s="175"/>
      <c r="C451" s="644" t="s">
        <v>344</v>
      </c>
      <c r="D451" s="577" t="s">
        <v>346</v>
      </c>
      <c r="E451" s="368" t="s">
        <v>647</v>
      </c>
      <c r="F451" s="624" t="s">
        <v>1145</v>
      </c>
      <c r="G451" s="863">
        <f>COUNTA(G330:G450)</f>
        <v>73</v>
      </c>
      <c r="H451" s="1348" t="s">
        <v>1508</v>
      </c>
      <c r="I451" s="626"/>
      <c r="J451" s="627"/>
      <c r="K451" s="628">
        <f>K332+K362+K391+K406+K416+K447</f>
        <v>0</v>
      </c>
      <c r="L451" s="863">
        <f>L332+L362+L391+L406+L416+L447</f>
        <v>66.25</v>
      </c>
      <c r="M451" s="863">
        <f>M332+M362+M391+M406+M416+M447</f>
        <v>66.25</v>
      </c>
      <c r="N451" s="840"/>
      <c r="O451" s="1201"/>
      <c r="P451" s="1222"/>
      <c r="Q451" s="1154"/>
      <c r="R451" s="887"/>
      <c r="S451" s="880"/>
      <c r="T451" s="880"/>
      <c r="U451" s="880"/>
      <c r="V451" s="880"/>
      <c r="W451" s="880"/>
      <c r="X451" s="1276">
        <f>SUM(X330:X449)</f>
        <v>2771447.75</v>
      </c>
      <c r="Y451" s="1276"/>
      <c r="Z451" s="1665">
        <f t="shared" ref="Z451:AA451" si="272">SUM(Z330:Z449)</f>
        <v>77.129237872589982</v>
      </c>
      <c r="AA451" s="1777">
        <f t="shared" si="272"/>
        <v>8.9</v>
      </c>
      <c r="AB451" s="1813">
        <f t="shared" ref="AB451" si="273">100*AA451/Z451</f>
        <v>11.53907421554189</v>
      </c>
      <c r="AC451" s="1721"/>
      <c r="AD451" s="1291"/>
      <c r="AE451" s="1292"/>
      <c r="AF451" s="1525"/>
      <c r="AG451" s="1525"/>
      <c r="AH451" s="1525"/>
      <c r="AI451" s="1525"/>
      <c r="AJ451" s="1525"/>
      <c r="AK451" s="1525"/>
      <c r="AL451" s="1525"/>
      <c r="AM451" s="1525"/>
      <c r="AN451" s="1525"/>
      <c r="AO451" s="1525"/>
      <c r="AP451" s="1525"/>
      <c r="AQ451" s="1525"/>
      <c r="AR451" s="1525"/>
      <c r="AS451" s="1525"/>
      <c r="AU451" s="1525"/>
      <c r="AV451" s="1295"/>
      <c r="AW451" s="1525"/>
      <c r="AX451" s="1525"/>
      <c r="AY451" s="1525"/>
      <c r="AZ451" s="1525"/>
      <c r="BA451" s="1525"/>
      <c r="BB451" s="1525"/>
      <c r="BC451" s="1525"/>
      <c r="BD451" s="1525"/>
      <c r="BE451" s="1525"/>
      <c r="BF451" s="1525"/>
      <c r="BG451" s="1525"/>
      <c r="BH451" s="1525"/>
      <c r="BI451" s="1525"/>
      <c r="BJ451" s="1525"/>
      <c r="BK451" s="1525"/>
      <c r="BL451" s="1525"/>
      <c r="BM451" s="1525"/>
      <c r="BN451" s="1525"/>
      <c r="BO451" s="1525"/>
      <c r="BP451" s="1525"/>
      <c r="BQ451" s="1525"/>
      <c r="BR451" s="1525"/>
      <c r="BS451" s="1525"/>
      <c r="BT451" s="1670"/>
      <c r="BV451"/>
      <c r="BW451" s="864"/>
    </row>
    <row r="452" spans="1:75" s="164" customFormat="1" ht="12.75" customHeight="1" x14ac:dyDescent="0.2">
      <c r="B452" s="175"/>
      <c r="C452" s="423" t="s">
        <v>136</v>
      </c>
      <c r="D452" s="423"/>
      <c r="E452" s="424" t="s">
        <v>647</v>
      </c>
      <c r="F452" s="424" t="s">
        <v>893</v>
      </c>
      <c r="G452" s="925"/>
      <c r="H452" s="1349" t="s">
        <v>1508</v>
      </c>
      <c r="I452" s="426"/>
      <c r="J452" s="425"/>
      <c r="K452" s="425"/>
      <c r="L452" s="866"/>
      <c r="M452" s="866"/>
      <c r="N452" s="926"/>
      <c r="O452" s="1191"/>
      <c r="P452" s="1223"/>
      <c r="Q452" s="1158"/>
      <c r="R452" s="1027"/>
      <c r="S452" s="1028"/>
      <c r="T452" s="1028"/>
      <c r="U452" s="1028"/>
      <c r="V452" s="1028"/>
      <c r="W452" s="1028"/>
      <c r="X452" s="1697">
        <v>58022</v>
      </c>
      <c r="Y452" s="1028"/>
      <c r="Z452" s="1800"/>
      <c r="AA452" s="1749"/>
      <c r="AB452" s="1812"/>
      <c r="AC452" s="876"/>
      <c r="AD452" s="1295"/>
      <c r="AE452" s="1525"/>
      <c r="AF452" s="1525"/>
      <c r="AG452" s="1525"/>
      <c r="AH452" s="1525"/>
      <c r="AI452" s="1525"/>
      <c r="AJ452" s="1525"/>
      <c r="AK452" s="1525"/>
      <c r="AL452" s="1525"/>
      <c r="AM452" s="1525"/>
      <c r="AN452" s="1525"/>
      <c r="AO452" s="1525"/>
      <c r="AP452" s="1525"/>
      <c r="AQ452" s="1525"/>
      <c r="AR452" s="1525"/>
      <c r="AS452" s="1525"/>
      <c r="AU452" s="1525"/>
      <c r="AV452" s="1295"/>
      <c r="AW452" s="1525"/>
      <c r="AX452" s="1525"/>
      <c r="AY452" s="1525"/>
      <c r="AZ452" s="1525"/>
      <c r="BA452" s="1525"/>
      <c r="BB452" s="1525"/>
      <c r="BC452" s="1525"/>
      <c r="BD452" s="1525"/>
      <c r="BE452" s="1525"/>
      <c r="BF452" s="1525"/>
      <c r="BG452" s="1525"/>
      <c r="BH452" s="1525"/>
      <c r="BI452" s="1525"/>
      <c r="BJ452" s="1525"/>
      <c r="BK452" s="1525"/>
      <c r="BL452" s="1525"/>
      <c r="BM452" s="1525"/>
      <c r="BN452" s="1525"/>
      <c r="BO452" s="1525"/>
      <c r="BP452" s="1525"/>
      <c r="BQ452" s="1525"/>
      <c r="BR452" s="1525"/>
      <c r="BS452" s="1525"/>
      <c r="BT452" s="1670"/>
      <c r="BV452"/>
      <c r="BW452" s="925"/>
    </row>
    <row r="453" spans="1:75" s="164" customFormat="1" ht="12.75" customHeight="1" x14ac:dyDescent="0.2">
      <c r="B453" s="175"/>
      <c r="C453" s="532" t="s">
        <v>794</v>
      </c>
      <c r="D453" s="457"/>
      <c r="E453" s="517" t="s">
        <v>647</v>
      </c>
      <c r="F453" s="517" t="s">
        <v>884</v>
      </c>
      <c r="G453" s="867"/>
      <c r="H453" s="1349" t="s">
        <v>1508</v>
      </c>
      <c r="I453" s="518"/>
      <c r="J453" s="519"/>
      <c r="K453" s="519"/>
      <c r="L453" s="851"/>
      <c r="M453" s="866"/>
      <c r="N453" s="865"/>
      <c r="O453" s="1203"/>
      <c r="P453" s="1229"/>
      <c r="Q453" s="1164"/>
      <c r="R453" s="1037"/>
      <c r="S453" s="1038"/>
      <c r="T453" s="1038"/>
      <c r="U453" s="1038"/>
      <c r="V453" s="1038"/>
      <c r="W453" s="1038"/>
      <c r="X453" s="1702"/>
      <c r="Y453" s="1506"/>
      <c r="Z453" s="1802"/>
      <c r="AA453" s="1749"/>
      <c r="AB453" s="1812"/>
      <c r="AC453" s="876"/>
      <c r="AD453" s="1295"/>
      <c r="AE453" s="1525"/>
      <c r="AF453" s="1525"/>
      <c r="AG453" s="1525"/>
      <c r="AH453" s="1525"/>
      <c r="AI453" s="1525"/>
      <c r="AJ453" s="1525"/>
      <c r="AK453" s="1525"/>
      <c r="AL453" s="1525"/>
      <c r="AM453" s="1525"/>
      <c r="AN453" s="1525"/>
      <c r="AO453" s="1525"/>
      <c r="AP453" s="1525"/>
      <c r="AQ453" s="1525"/>
      <c r="AR453" s="1525"/>
      <c r="AS453" s="1525"/>
      <c r="AU453" s="1525"/>
      <c r="AV453" s="1295"/>
      <c r="AW453" s="1525"/>
      <c r="AX453" s="1525"/>
      <c r="AY453" s="1525"/>
      <c r="AZ453" s="1525"/>
      <c r="BA453" s="1525"/>
      <c r="BB453" s="1525"/>
      <c r="BC453" s="1525"/>
      <c r="BD453" s="1525"/>
      <c r="BE453" s="1525"/>
      <c r="BF453" s="1525"/>
      <c r="BG453" s="1525"/>
      <c r="BH453" s="1525"/>
      <c r="BI453" s="1525"/>
      <c r="BJ453" s="1525"/>
      <c r="BK453" s="1525"/>
      <c r="BL453" s="1525"/>
      <c r="BM453" s="1525"/>
      <c r="BN453" s="1525"/>
      <c r="BO453" s="1525"/>
      <c r="BP453" s="1525"/>
      <c r="BQ453" s="1525"/>
      <c r="BR453" s="1525"/>
      <c r="BS453" s="1525"/>
      <c r="BT453" s="1670"/>
      <c r="BV453"/>
      <c r="BW453" s="867"/>
    </row>
    <row r="454" spans="1:75" s="210" customFormat="1" ht="12.75" customHeight="1" x14ac:dyDescent="0.2">
      <c r="B454" s="320"/>
      <c r="C454" s="1322"/>
      <c r="E454" s="4"/>
      <c r="F454" s="4"/>
      <c r="G454" s="862"/>
      <c r="H454" s="1347"/>
      <c r="I454" s="197"/>
      <c r="J454" s="174"/>
      <c r="K454" s="174"/>
      <c r="L454" s="861"/>
      <c r="M454" s="861"/>
      <c r="N454" s="836"/>
      <c r="O454" s="1197"/>
      <c r="P454" s="1245"/>
      <c r="Q454" s="1148"/>
      <c r="R454" s="874"/>
      <c r="S454" s="876"/>
      <c r="T454" s="876"/>
      <c r="U454" s="876"/>
      <c r="V454" s="876"/>
      <c r="W454" s="876"/>
      <c r="X454" s="1026"/>
      <c r="Y454" s="1757"/>
      <c r="Z454" s="1755"/>
      <c r="AA454" s="1775"/>
      <c r="AB454" s="1814"/>
      <c r="AC454" s="876"/>
      <c r="AD454" s="1291"/>
      <c r="AE454" s="1292"/>
      <c r="AF454" s="1292"/>
      <c r="AG454" s="1292"/>
      <c r="AH454" s="1292"/>
      <c r="AI454" s="1292"/>
      <c r="AJ454" s="1292"/>
      <c r="AK454" s="1292"/>
      <c r="AL454" s="1292"/>
      <c r="AM454" s="1292"/>
      <c r="AN454" s="1292"/>
      <c r="AO454" s="1292"/>
      <c r="AP454" s="1292"/>
      <c r="AQ454" s="1292"/>
      <c r="AR454" s="1292"/>
      <c r="AS454" s="1292"/>
      <c r="AU454" s="1292"/>
      <c r="AV454" s="1291"/>
      <c r="AW454" s="1292"/>
      <c r="AX454" s="1292"/>
      <c r="AY454" s="1292"/>
      <c r="AZ454" s="1292"/>
      <c r="BA454" s="1292"/>
      <c r="BB454" s="1292"/>
      <c r="BC454" s="1292"/>
      <c r="BD454" s="1292"/>
      <c r="BE454" s="1292"/>
      <c r="BF454" s="1292"/>
      <c r="BG454" s="1292"/>
      <c r="BH454" s="1292"/>
      <c r="BI454" s="1292"/>
      <c r="BJ454" s="1292"/>
      <c r="BK454" s="1292"/>
      <c r="BL454" s="1292"/>
      <c r="BM454" s="1292"/>
      <c r="BN454" s="1292"/>
      <c r="BO454" s="1292"/>
      <c r="BP454" s="1292"/>
      <c r="BQ454" s="1292"/>
      <c r="BR454" s="1292"/>
      <c r="BS454" s="1292"/>
      <c r="BT454" s="1670"/>
      <c r="BV454"/>
      <c r="BW454" s="862"/>
    </row>
    <row r="455" spans="1:75" s="164" customFormat="1" ht="12.75" customHeight="1" x14ac:dyDescent="0.15">
      <c r="B455" s="175"/>
      <c r="F455" s="2" t="s">
        <v>1071</v>
      </c>
      <c r="G455" s="854"/>
      <c r="H455" s="1345" t="s">
        <v>1508</v>
      </c>
      <c r="I455" s="243"/>
      <c r="J455" s="209"/>
      <c r="K455" s="209"/>
      <c r="L455" s="846"/>
      <c r="M455" s="846"/>
      <c r="N455" s="853"/>
      <c r="O455" s="1200"/>
      <c r="P455" s="550"/>
      <c r="Q455" s="1148"/>
      <c r="R455" s="874"/>
      <c r="S455" s="875"/>
      <c r="T455" s="875"/>
      <c r="U455" s="875"/>
      <c r="V455" s="875"/>
      <c r="W455" s="875"/>
      <c r="X455" s="1026"/>
      <c r="Y455" s="1757"/>
      <c r="Z455" s="1755"/>
      <c r="AA455" s="1775"/>
      <c r="AB455" s="1814"/>
      <c r="AC455" s="1026"/>
      <c r="AD455" s="1295"/>
      <c r="AE455" s="1525"/>
      <c r="AF455" s="1525"/>
      <c r="AG455" s="1525"/>
      <c r="AH455" s="1525"/>
      <c r="AI455" s="1525"/>
      <c r="AJ455" s="1525"/>
      <c r="AK455" s="1525"/>
      <c r="AL455" s="1525"/>
      <c r="AM455" s="1525"/>
      <c r="AN455" s="1525"/>
      <c r="AO455" s="1525"/>
      <c r="AP455" s="1525"/>
      <c r="AQ455" s="1525"/>
      <c r="AR455" s="1525"/>
      <c r="AS455" s="1525"/>
      <c r="AU455" s="1525"/>
      <c r="AV455" s="1295"/>
      <c r="AW455" s="1525"/>
      <c r="AX455" s="1525"/>
      <c r="AY455" s="1525"/>
      <c r="AZ455" s="1525"/>
      <c r="BA455" s="1525"/>
      <c r="BB455" s="1525"/>
      <c r="BC455" s="1525"/>
      <c r="BD455" s="1525"/>
      <c r="BE455" s="1525"/>
      <c r="BF455" s="1525"/>
      <c r="BG455" s="1525"/>
      <c r="BH455" s="1525"/>
      <c r="BI455" s="1525"/>
      <c r="BJ455" s="1525"/>
      <c r="BK455" s="1525"/>
      <c r="BL455" s="1525"/>
      <c r="BM455" s="1525"/>
      <c r="BN455" s="1525"/>
      <c r="BO455" s="1525"/>
      <c r="BP455" s="1525"/>
      <c r="BQ455" s="1525"/>
      <c r="BR455" s="1525"/>
      <c r="BS455" s="1525"/>
      <c r="BT455" s="1670"/>
      <c r="BV455"/>
      <c r="BW455" s="854"/>
    </row>
    <row r="456" spans="1:75" ht="12.75" customHeight="1" x14ac:dyDescent="0.2">
      <c r="B456" s="175">
        <f t="shared" ref="B456:B484" si="274">B455+1</f>
        <v>1</v>
      </c>
      <c r="C456" s="236">
        <v>4</v>
      </c>
      <c r="D456" s="218"/>
      <c r="E456" s="166" t="s">
        <v>648</v>
      </c>
      <c r="F456" s="24" t="s">
        <v>629</v>
      </c>
      <c r="G456" s="859" t="s">
        <v>69</v>
      </c>
      <c r="H456" s="902">
        <v>6256</v>
      </c>
      <c r="I456" s="200" t="s">
        <v>351</v>
      </c>
      <c r="J456" s="189"/>
      <c r="K456" s="318"/>
      <c r="L456" s="902">
        <v>1</v>
      </c>
      <c r="M456" s="902">
        <f>K456+L456</f>
        <v>1</v>
      </c>
      <c r="N456" s="857" t="s">
        <v>1326</v>
      </c>
      <c r="O456" s="1196">
        <v>17022</v>
      </c>
      <c r="P456" s="1218">
        <f ca="1">YEARFRAC(TODAY(),O456)</f>
        <v>71.150000000000006</v>
      </c>
      <c r="Q456" s="1148">
        <v>73400</v>
      </c>
      <c r="R456" s="874">
        <f>Q456*0.1</f>
        <v>7340</v>
      </c>
      <c r="S456" s="875"/>
      <c r="T456" s="875">
        <v>31000</v>
      </c>
      <c r="U456" s="875"/>
      <c r="V456" s="875"/>
      <c r="W456" s="875"/>
      <c r="X456" s="1026">
        <f>(Q456+R456+S456+T456+U456+V456+W456)*M456</f>
        <v>111740</v>
      </c>
      <c r="Y456" s="1512">
        <f>(T456+U456)*M456/(X456-M456*(T456+U456))</f>
        <v>0.38394847659152836</v>
      </c>
      <c r="Z456" s="1741">
        <f>M456*(1+Y456)</f>
        <v>1.3839484765915284</v>
      </c>
      <c r="AA456" s="1749">
        <f t="shared" ref="AA456:AA460" si="275">SUM(AD456:AP456)</f>
        <v>0</v>
      </c>
      <c r="AB456" s="1810">
        <f t="shared" ref="AB456" si="276">100*AA456/Z456</f>
        <v>0</v>
      </c>
      <c r="AC456" s="876"/>
      <c r="AD456" s="1525">
        <f t="shared" ref="AD456:AS456" si="277">SUMIF($AV$6:$BS$6,AD$5,$AV456:$BS456)</f>
        <v>0</v>
      </c>
      <c r="AE456" s="1525">
        <f t="shared" si="277"/>
        <v>0</v>
      </c>
      <c r="AF456" s="1525">
        <f t="shared" si="277"/>
        <v>0</v>
      </c>
      <c r="AG456" s="1525">
        <f t="shared" si="277"/>
        <v>0</v>
      </c>
      <c r="AH456" s="1525">
        <f t="shared" si="277"/>
        <v>0</v>
      </c>
      <c r="AI456" s="1525">
        <f t="shared" si="277"/>
        <v>0</v>
      </c>
      <c r="AJ456" s="1525">
        <f t="shared" si="277"/>
        <v>0</v>
      </c>
      <c r="AK456" s="1525">
        <f t="shared" si="277"/>
        <v>0</v>
      </c>
      <c r="AL456" s="1525">
        <f t="shared" si="277"/>
        <v>0</v>
      </c>
      <c r="AM456" s="1525">
        <f t="shared" si="277"/>
        <v>0</v>
      </c>
      <c r="AN456" s="1525">
        <f t="shared" si="277"/>
        <v>0</v>
      </c>
      <c r="AO456" s="1525">
        <f t="shared" si="277"/>
        <v>0</v>
      </c>
      <c r="AP456" s="1525">
        <f t="shared" si="277"/>
        <v>0</v>
      </c>
      <c r="AQ456" s="1525">
        <f t="shared" si="277"/>
        <v>0</v>
      </c>
      <c r="AR456" s="1525">
        <f t="shared" si="277"/>
        <v>0</v>
      </c>
      <c r="AS456" s="1525">
        <f t="shared" si="277"/>
        <v>0</v>
      </c>
      <c r="AU456" s="1525"/>
      <c r="AV456" s="1291"/>
      <c r="AW456" s="1292"/>
      <c r="AX456" s="1292"/>
      <c r="AY456" s="1292"/>
      <c r="AZ456" s="1292"/>
      <c r="BA456" s="1292"/>
      <c r="BB456" s="1292"/>
      <c r="BC456" s="1292"/>
      <c r="BD456" s="1292"/>
      <c r="BE456" s="1292"/>
      <c r="BF456" s="1292"/>
      <c r="BG456" s="1292"/>
      <c r="BH456" s="1292"/>
      <c r="BI456" s="1292"/>
      <c r="BJ456" s="1292"/>
      <c r="BK456" s="1292"/>
      <c r="BL456" s="1292"/>
      <c r="BM456" s="1292"/>
      <c r="BN456" s="1292"/>
      <c r="BO456" s="1292"/>
      <c r="BP456" s="1292"/>
      <c r="BQ456" s="1292"/>
      <c r="BR456" s="1292"/>
      <c r="BS456" s="1292"/>
      <c r="BT456" s="1670">
        <f>SUM(AV456:BS456)</f>
        <v>0</v>
      </c>
      <c r="BW456" s="859" t="s">
        <v>69</v>
      </c>
    </row>
    <row r="457" spans="1:75" s="164" customFormat="1" ht="12.75" customHeight="1" x14ac:dyDescent="0.2">
      <c r="B457" s="175"/>
      <c r="F457" s="4"/>
      <c r="G457" s="862"/>
      <c r="H457" s="1347" t="s">
        <v>1508</v>
      </c>
      <c r="I457" s="197"/>
      <c r="J457" s="189"/>
      <c r="K457" s="174"/>
      <c r="L457" s="861"/>
      <c r="M457" s="861"/>
      <c r="N457" s="857"/>
      <c r="O457" s="1192"/>
      <c r="P457" s="550"/>
      <c r="Q457" s="1148"/>
      <c r="R457" s="874"/>
      <c r="S457" s="875"/>
      <c r="T457" s="875"/>
      <c r="U457" s="875"/>
      <c r="V457" s="875"/>
      <c r="W457" s="875"/>
      <c r="X457" s="1026"/>
      <c r="Y457" s="1754"/>
      <c r="Z457" s="1755"/>
      <c r="AA457" s="1775"/>
      <c r="AB457" s="1814"/>
      <c r="AC457" s="876"/>
      <c r="AD457" s="1295"/>
      <c r="AE457" s="1525"/>
      <c r="AF457" s="1525"/>
      <c r="AG457" s="1525"/>
      <c r="AH457" s="1525"/>
      <c r="AI457" s="1525"/>
      <c r="AJ457" s="1525"/>
      <c r="AK457" s="1525"/>
      <c r="AL457" s="1525"/>
      <c r="AM457" s="1525"/>
      <c r="AN457" s="1525"/>
      <c r="AO457" s="1525"/>
      <c r="AP457" s="1525"/>
      <c r="AQ457" s="1525"/>
      <c r="AR457" s="1525"/>
      <c r="AS457" s="1525"/>
      <c r="AU457" s="1525"/>
      <c r="AV457" s="1295"/>
      <c r="AW457" s="1525"/>
      <c r="AX457" s="1525"/>
      <c r="AY457" s="1525"/>
      <c r="AZ457" s="1525"/>
      <c r="BA457" s="1525"/>
      <c r="BB457" s="1525"/>
      <c r="BC457" s="1525"/>
      <c r="BD457" s="1525"/>
      <c r="BE457" s="1525"/>
      <c r="BF457" s="1525"/>
      <c r="BG457" s="1525"/>
      <c r="BH457" s="1525"/>
      <c r="BI457" s="1525"/>
      <c r="BJ457" s="1525"/>
      <c r="BK457" s="1525"/>
      <c r="BL457" s="1525"/>
      <c r="BM457" s="1525"/>
      <c r="BN457" s="1525"/>
      <c r="BO457" s="1525"/>
      <c r="BP457" s="1525"/>
      <c r="BQ457" s="1525"/>
      <c r="BR457" s="1525"/>
      <c r="BS457" s="1525"/>
      <c r="BT457" s="1670"/>
      <c r="BV457"/>
      <c r="BW457" s="862"/>
    </row>
    <row r="458" spans="1:75" s="164" customFormat="1" ht="12.75" customHeight="1" x14ac:dyDescent="0.2">
      <c r="B458" s="175"/>
      <c r="F458" s="21" t="s">
        <v>479</v>
      </c>
      <c r="G458" s="898"/>
      <c r="H458" s="1346" t="s">
        <v>1508</v>
      </c>
      <c r="I458" s="200"/>
      <c r="J458" s="189"/>
      <c r="K458" s="189"/>
      <c r="L458" s="858"/>
      <c r="M458" s="858"/>
      <c r="N458" s="857"/>
      <c r="O458" s="1192"/>
      <c r="P458" s="550"/>
      <c r="Q458" s="1148"/>
      <c r="R458" s="874"/>
      <c r="S458" s="875"/>
      <c r="T458" s="875"/>
      <c r="U458" s="875"/>
      <c r="V458" s="875"/>
      <c r="W458" s="875"/>
      <c r="X458" s="1026"/>
      <c r="Y458" s="1754"/>
      <c r="Z458" s="1755"/>
      <c r="AA458" s="1775"/>
      <c r="AB458" s="1814"/>
      <c r="AC458" s="876"/>
      <c r="AD458" s="1295"/>
      <c r="AE458" s="1525"/>
      <c r="AF458" s="1525"/>
      <c r="AG458" s="1525"/>
      <c r="AH458" s="1525"/>
      <c r="AI458" s="1525"/>
      <c r="AJ458" s="1525"/>
      <c r="AK458" s="1525"/>
      <c r="AL458" s="1525"/>
      <c r="AM458" s="1525"/>
      <c r="AN458" s="1525"/>
      <c r="AO458" s="1525"/>
      <c r="AP458" s="1525"/>
      <c r="AQ458" s="1525"/>
      <c r="AR458" s="1525"/>
      <c r="AS458" s="1525"/>
      <c r="AU458" s="1525"/>
      <c r="AV458" s="1295"/>
      <c r="AW458" s="1525"/>
      <c r="AX458" s="1525"/>
      <c r="AY458" s="1525"/>
      <c r="AZ458" s="1525"/>
      <c r="BA458" s="1525"/>
      <c r="BB458" s="1525"/>
      <c r="BC458" s="1525"/>
      <c r="BD458" s="1525"/>
      <c r="BE458" s="1525"/>
      <c r="BF458" s="1525"/>
      <c r="BG458" s="1525"/>
      <c r="BH458" s="1525"/>
      <c r="BI458" s="1525"/>
      <c r="BJ458" s="1525"/>
      <c r="BK458" s="1525"/>
      <c r="BL458" s="1525"/>
      <c r="BM458" s="1525"/>
      <c r="BN458" s="1525"/>
      <c r="BO458" s="1525"/>
      <c r="BP458" s="1525"/>
      <c r="BQ458" s="1525"/>
      <c r="BR458" s="1525"/>
      <c r="BS458" s="1525"/>
      <c r="BT458" s="1670"/>
      <c r="BV458"/>
      <c r="BW458" s="898"/>
    </row>
    <row r="459" spans="1:75" s="164" customFormat="1" ht="12.75" customHeight="1" x14ac:dyDescent="0.15">
      <c r="B459" s="175"/>
      <c r="F459" s="24" t="s">
        <v>1534</v>
      </c>
      <c r="G459" s="859"/>
      <c r="H459" s="1346" t="s">
        <v>1508</v>
      </c>
      <c r="I459" s="200"/>
      <c r="J459" s="189"/>
      <c r="K459" s="189"/>
      <c r="L459" s="858"/>
      <c r="M459" s="858"/>
      <c r="N459" s="857"/>
      <c r="O459" s="1200"/>
      <c r="P459" s="550"/>
      <c r="Q459" s="1148"/>
      <c r="R459" s="874"/>
      <c r="S459" s="875"/>
      <c r="T459" s="875"/>
      <c r="U459" s="875"/>
      <c r="V459" s="875"/>
      <c r="W459" s="875"/>
      <c r="X459" s="1026"/>
      <c r="Y459" s="1754"/>
      <c r="Z459" s="1755"/>
      <c r="AA459" s="1775"/>
      <c r="AB459" s="1814"/>
      <c r="AC459" s="876"/>
      <c r="AD459" s="1295"/>
      <c r="AE459" s="1525"/>
      <c r="AF459" s="1525"/>
      <c r="AG459" s="1525"/>
      <c r="AH459" s="1525"/>
      <c r="AI459" s="1525"/>
      <c r="AJ459" s="1525"/>
      <c r="AK459" s="1525"/>
      <c r="AL459" s="1525"/>
      <c r="AM459" s="1525"/>
      <c r="AN459" s="1525"/>
      <c r="AO459" s="1525"/>
      <c r="AP459" s="1525"/>
      <c r="AQ459" s="1525"/>
      <c r="AR459" s="1525"/>
      <c r="AS459" s="1525"/>
      <c r="AU459" s="1525"/>
      <c r="AV459" s="1295"/>
      <c r="AW459" s="1525"/>
      <c r="AX459" s="1525"/>
      <c r="AY459" s="1525"/>
      <c r="AZ459" s="1525"/>
      <c r="BA459" s="1525"/>
      <c r="BB459" s="1525"/>
      <c r="BC459" s="1525"/>
      <c r="BD459" s="1525"/>
      <c r="BE459" s="1525"/>
      <c r="BF459" s="1525"/>
      <c r="BG459" s="1525"/>
      <c r="BH459" s="1525"/>
      <c r="BI459" s="1525"/>
      <c r="BJ459" s="1525"/>
      <c r="BK459" s="1525"/>
      <c r="BL459" s="1525"/>
      <c r="BM459" s="1525"/>
      <c r="BN459" s="1525"/>
      <c r="BO459" s="1525"/>
      <c r="BP459" s="1525"/>
      <c r="BQ459" s="1525"/>
      <c r="BR459" s="1525"/>
      <c r="BS459" s="1525"/>
      <c r="BT459" s="1670"/>
      <c r="BV459"/>
      <c r="BW459" s="859"/>
    </row>
    <row r="460" spans="1:75" ht="12.75" customHeight="1" x14ac:dyDescent="0.2">
      <c r="B460" s="175">
        <f t="shared" si="274"/>
        <v>1</v>
      </c>
      <c r="C460" s="219">
        <v>12</v>
      </c>
      <c r="E460" s="12" t="s">
        <v>648</v>
      </c>
      <c r="F460" s="24" t="s">
        <v>1235</v>
      </c>
      <c r="G460" s="859" t="s">
        <v>1166</v>
      </c>
      <c r="H460" s="858">
        <v>285240</v>
      </c>
      <c r="I460" s="200" t="s">
        <v>583</v>
      </c>
      <c r="J460" s="189"/>
      <c r="K460" s="189"/>
      <c r="L460" s="858">
        <v>1</v>
      </c>
      <c r="M460" s="858">
        <v>1</v>
      </c>
      <c r="N460" s="857" t="s">
        <v>1326</v>
      </c>
      <c r="O460" s="1196">
        <v>20575</v>
      </c>
      <c r="P460" s="1218">
        <f ca="1">YEARFRAC(TODAY(),O460)</f>
        <v>61.422222222222224</v>
      </c>
      <c r="Q460" s="1148">
        <v>28000</v>
      </c>
      <c r="R460" s="874">
        <f>Q460*0.1</f>
        <v>2800</v>
      </c>
      <c r="S460" s="875"/>
      <c r="T460" s="875">
        <v>6000</v>
      </c>
      <c r="U460" s="875"/>
      <c r="V460" s="875"/>
      <c r="W460" s="875"/>
      <c r="X460" s="1026">
        <f>(Q460+R460+S460+T460+U460+V460+W460)*M460</f>
        <v>36800</v>
      </c>
      <c r="Y460" s="1512">
        <f>(T460+U460)*M460/(X460-M460*(T460+U460))</f>
        <v>0.19480519480519481</v>
      </c>
      <c r="Z460" s="1741">
        <f>M460*(1+Y460)</f>
        <v>1.1948051948051948</v>
      </c>
      <c r="AA460" s="1749">
        <f t="shared" si="275"/>
        <v>0</v>
      </c>
      <c r="AB460" s="1810">
        <f t="shared" ref="AB460" si="278">100*AA460/Z460</f>
        <v>0</v>
      </c>
      <c r="AC460" s="876"/>
      <c r="AD460" s="1525">
        <f t="shared" ref="AD460:AS460" si="279">SUMIF($AV$6:$BS$6,AD$5,$AV460:$BS460)</f>
        <v>0</v>
      </c>
      <c r="AE460" s="1525">
        <f t="shared" si="279"/>
        <v>0</v>
      </c>
      <c r="AF460" s="1525">
        <f t="shared" si="279"/>
        <v>0</v>
      </c>
      <c r="AG460" s="1525">
        <f t="shared" si="279"/>
        <v>0</v>
      </c>
      <c r="AH460" s="1525">
        <f t="shared" si="279"/>
        <v>0</v>
      </c>
      <c r="AI460" s="1525">
        <f t="shared" si="279"/>
        <v>0</v>
      </c>
      <c r="AJ460" s="1525">
        <f t="shared" si="279"/>
        <v>0</v>
      </c>
      <c r="AK460" s="1525">
        <f t="shared" si="279"/>
        <v>0</v>
      </c>
      <c r="AL460" s="1525">
        <f t="shared" si="279"/>
        <v>0</v>
      </c>
      <c r="AM460" s="1525">
        <f t="shared" si="279"/>
        <v>0</v>
      </c>
      <c r="AN460" s="1525">
        <f t="shared" si="279"/>
        <v>0</v>
      </c>
      <c r="AO460" s="1525">
        <f t="shared" si="279"/>
        <v>0</v>
      </c>
      <c r="AP460" s="1525">
        <f t="shared" si="279"/>
        <v>0</v>
      </c>
      <c r="AQ460" s="1525">
        <f t="shared" si="279"/>
        <v>0</v>
      </c>
      <c r="AR460" s="1525">
        <f t="shared" si="279"/>
        <v>0</v>
      </c>
      <c r="AS460" s="1525">
        <f t="shared" si="279"/>
        <v>0</v>
      </c>
      <c r="AU460" s="1525"/>
      <c r="AV460" s="1291"/>
      <c r="AW460" s="1292"/>
      <c r="AX460" s="1292"/>
      <c r="AY460" s="1292"/>
      <c r="AZ460" s="1292"/>
      <c r="BA460" s="1292"/>
      <c r="BB460" s="1292"/>
      <c r="BC460" s="1292"/>
      <c r="BD460" s="1292"/>
      <c r="BE460" s="1292"/>
      <c r="BF460" s="1292"/>
      <c r="BG460" s="1292"/>
      <c r="BH460" s="1292"/>
      <c r="BI460" s="1292"/>
      <c r="BJ460" s="1292"/>
      <c r="BK460" s="1292"/>
      <c r="BL460" s="1292"/>
      <c r="BM460" s="1292"/>
      <c r="BN460" s="1292"/>
      <c r="BO460" s="1292"/>
      <c r="BP460" s="1292"/>
      <c r="BQ460" s="1292"/>
      <c r="BR460" s="1292"/>
      <c r="BS460" s="1292"/>
      <c r="BT460" s="1670">
        <f>SUM(AV460:BS460)</f>
        <v>0</v>
      </c>
      <c r="BW460" s="859" t="s">
        <v>1166</v>
      </c>
    </row>
    <row r="461" spans="1:75" s="164" customFormat="1" ht="12.75" customHeight="1" x14ac:dyDescent="0.15">
      <c r="B461" s="175"/>
      <c r="F461" s="24"/>
      <c r="G461" s="859"/>
      <c r="H461" s="1346" t="s">
        <v>1508</v>
      </c>
      <c r="I461" s="200"/>
      <c r="J461" s="189"/>
      <c r="K461" s="189"/>
      <c r="L461" s="858"/>
      <c r="M461" s="858"/>
      <c r="N461" s="857"/>
      <c r="O461" s="1200"/>
      <c r="P461" s="550"/>
      <c r="Q461" s="1148"/>
      <c r="R461" s="874"/>
      <c r="S461" s="875"/>
      <c r="T461" s="875"/>
      <c r="U461" s="875"/>
      <c r="V461" s="875"/>
      <c r="W461" s="875"/>
      <c r="X461" s="1026"/>
      <c r="Y461" s="1754"/>
      <c r="Z461" s="1755"/>
      <c r="AA461" s="1775"/>
      <c r="AB461" s="1814"/>
      <c r="AC461" s="876"/>
      <c r="AD461" s="1295"/>
      <c r="AE461" s="1525"/>
      <c r="AF461" s="1525"/>
      <c r="AG461" s="1525"/>
      <c r="AH461" s="1525"/>
      <c r="AI461" s="1525"/>
      <c r="AJ461" s="1525"/>
      <c r="AK461" s="1525"/>
      <c r="AL461" s="1525"/>
      <c r="AM461" s="1525"/>
      <c r="AN461" s="1525"/>
      <c r="AO461" s="1525"/>
      <c r="AP461" s="1525"/>
      <c r="AQ461" s="1525"/>
      <c r="AR461" s="1525"/>
      <c r="AS461" s="1525"/>
      <c r="AU461" s="1525"/>
      <c r="AV461" s="1295"/>
      <c r="AW461" s="1525"/>
      <c r="AX461" s="1525"/>
      <c r="AY461" s="1525"/>
      <c r="AZ461" s="1525"/>
      <c r="BA461" s="1525"/>
      <c r="BB461" s="1525"/>
      <c r="BC461" s="1525"/>
      <c r="BD461" s="1525"/>
      <c r="BE461" s="1525"/>
      <c r="BF461" s="1525"/>
      <c r="BG461" s="1525"/>
      <c r="BH461" s="1525"/>
      <c r="BI461" s="1525"/>
      <c r="BJ461" s="1525"/>
      <c r="BK461" s="1525"/>
      <c r="BL461" s="1525"/>
      <c r="BM461" s="1525"/>
      <c r="BN461" s="1525"/>
      <c r="BO461" s="1525"/>
      <c r="BP461" s="1525"/>
      <c r="BQ461" s="1525"/>
      <c r="BR461" s="1525"/>
      <c r="BS461" s="1525"/>
      <c r="BT461" s="1670"/>
      <c r="BV461"/>
      <c r="BW461" s="859"/>
    </row>
    <row r="462" spans="1:75" s="164" customFormat="1" ht="12.75" customHeight="1" x14ac:dyDescent="0.15">
      <c r="B462" s="175"/>
      <c r="F462" s="21" t="s">
        <v>950</v>
      </c>
      <c r="G462" s="859"/>
      <c r="H462" s="1346" t="s">
        <v>1508</v>
      </c>
      <c r="I462" s="200"/>
      <c r="J462" s="189"/>
      <c r="K462" s="189"/>
      <c r="L462" s="858"/>
      <c r="M462" s="858"/>
      <c r="N462" s="857"/>
      <c r="O462" s="1200"/>
      <c r="P462" s="550"/>
      <c r="Q462" s="1151"/>
      <c r="R462" s="876"/>
      <c r="S462" s="876"/>
      <c r="T462" s="876"/>
      <c r="U462" s="876"/>
      <c r="V462" s="876"/>
      <c r="W462" s="876"/>
      <c r="X462" s="1026"/>
      <c r="Y462" s="1754"/>
      <c r="Z462" s="1755"/>
      <c r="AA462" s="1775"/>
      <c r="AB462" s="1814"/>
      <c r="AC462" s="876"/>
      <c r="AD462" s="1295"/>
      <c r="AE462" s="1525"/>
      <c r="AF462" s="1525"/>
      <c r="AG462" s="1525"/>
      <c r="AH462" s="1525"/>
      <c r="AI462" s="1525"/>
      <c r="AJ462" s="1525"/>
      <c r="AK462" s="1525"/>
      <c r="AL462" s="1525"/>
      <c r="AM462" s="1525"/>
      <c r="AN462" s="1525"/>
      <c r="AO462" s="1525"/>
      <c r="AP462" s="1525"/>
      <c r="AQ462" s="1525"/>
      <c r="AR462" s="1525"/>
      <c r="AS462" s="1525"/>
      <c r="AU462" s="1525"/>
      <c r="AV462" s="1295"/>
      <c r="AW462" s="1525"/>
      <c r="AX462" s="1525"/>
      <c r="AY462" s="1525"/>
      <c r="AZ462" s="1525"/>
      <c r="BA462" s="1525"/>
      <c r="BB462" s="1525"/>
      <c r="BC462" s="1525"/>
      <c r="BD462" s="1525"/>
      <c r="BE462" s="1525"/>
      <c r="BF462" s="1525"/>
      <c r="BG462" s="1525"/>
      <c r="BH462" s="1525"/>
      <c r="BI462" s="1525"/>
      <c r="BJ462" s="1525"/>
      <c r="BK462" s="1525"/>
      <c r="BL462" s="1525"/>
      <c r="BM462" s="1525"/>
      <c r="BN462" s="1525"/>
      <c r="BO462" s="1525"/>
      <c r="BP462" s="1525"/>
      <c r="BQ462" s="1525"/>
      <c r="BR462" s="1525"/>
      <c r="BS462" s="1525"/>
      <c r="BT462" s="1670"/>
      <c r="BV462"/>
      <c r="BW462" s="859"/>
    </row>
    <row r="463" spans="1:75" s="164" customFormat="1" ht="12.75" customHeight="1" x14ac:dyDescent="0.15">
      <c r="B463" s="175"/>
      <c r="F463" s="466" t="s">
        <v>951</v>
      </c>
      <c r="G463" s="859"/>
      <c r="H463" s="1346" t="s">
        <v>1508</v>
      </c>
      <c r="I463" s="200"/>
      <c r="J463" s="189"/>
      <c r="K463" s="189"/>
      <c r="L463" s="858"/>
      <c r="M463" s="858"/>
      <c r="N463" s="857"/>
      <c r="O463" s="1200"/>
      <c r="P463" s="550"/>
      <c r="Q463" s="1151"/>
      <c r="R463" s="876"/>
      <c r="S463" s="876"/>
      <c r="T463" s="876"/>
      <c r="U463" s="876"/>
      <c r="V463" s="876"/>
      <c r="W463" s="876"/>
      <c r="X463" s="1026"/>
      <c r="Y463" s="1754"/>
      <c r="Z463" s="1755"/>
      <c r="AA463" s="1775"/>
      <c r="AB463" s="1814"/>
      <c r="AC463" s="876"/>
      <c r="AD463" s="1295"/>
      <c r="AE463" s="1525"/>
      <c r="AF463" s="1525"/>
      <c r="AG463" s="1525"/>
      <c r="AH463" s="1525"/>
      <c r="AI463" s="1525"/>
      <c r="AJ463" s="1525"/>
      <c r="AK463" s="1525"/>
      <c r="AL463" s="1525"/>
      <c r="AM463" s="1525"/>
      <c r="AN463" s="1525"/>
      <c r="AO463" s="1525"/>
      <c r="AP463" s="1525"/>
      <c r="AQ463" s="1525"/>
      <c r="AR463" s="1525"/>
      <c r="AS463" s="1525"/>
      <c r="AU463" s="1525"/>
      <c r="AV463" s="1295"/>
      <c r="AW463" s="1525"/>
      <c r="AX463" s="1525"/>
      <c r="AY463" s="1525"/>
      <c r="AZ463" s="1525"/>
      <c r="BA463" s="1525"/>
      <c r="BB463" s="1525"/>
      <c r="BC463" s="1525"/>
      <c r="BD463" s="1525"/>
      <c r="BE463" s="1525"/>
      <c r="BF463" s="1525"/>
      <c r="BG463" s="1525"/>
      <c r="BH463" s="1525"/>
      <c r="BI463" s="1525"/>
      <c r="BJ463" s="1525"/>
      <c r="BK463" s="1525"/>
      <c r="BL463" s="1525"/>
      <c r="BM463" s="1525"/>
      <c r="BN463" s="1525"/>
      <c r="BO463" s="1525"/>
      <c r="BP463" s="1525"/>
      <c r="BQ463" s="1525"/>
      <c r="BR463" s="1525"/>
      <c r="BS463" s="1525"/>
      <c r="BT463" s="1670"/>
      <c r="BV463"/>
      <c r="BW463" s="859"/>
    </row>
    <row r="464" spans="1:75" s="164" customFormat="1" ht="12.75" customHeight="1" x14ac:dyDescent="0.15">
      <c r="B464" s="175"/>
      <c r="F464" s="466"/>
      <c r="G464" s="859"/>
      <c r="H464" s="1346" t="s">
        <v>1508</v>
      </c>
      <c r="I464" s="200"/>
      <c r="J464" s="189"/>
      <c r="K464" s="189"/>
      <c r="L464" s="858"/>
      <c r="M464" s="858"/>
      <c r="N464" s="857"/>
      <c r="O464" s="1200"/>
      <c r="P464" s="550"/>
      <c r="Q464" s="1151"/>
      <c r="R464" s="876"/>
      <c r="S464" s="876"/>
      <c r="T464" s="876"/>
      <c r="U464" s="876"/>
      <c r="V464" s="876"/>
      <c r="W464" s="876"/>
      <c r="X464" s="1026"/>
      <c r="Y464" s="1754"/>
      <c r="Z464" s="1755"/>
      <c r="AA464" s="1775"/>
      <c r="AB464" s="1814"/>
      <c r="AC464" s="876"/>
      <c r="AD464" s="1295"/>
      <c r="AE464" s="1525"/>
      <c r="AF464" s="1525"/>
      <c r="AG464" s="1525"/>
      <c r="AH464" s="1525"/>
      <c r="AI464" s="1525"/>
      <c r="AJ464" s="1525"/>
      <c r="AK464" s="1525"/>
      <c r="AL464" s="1525"/>
      <c r="AM464" s="1525"/>
      <c r="AN464" s="1525"/>
      <c r="AO464" s="1525"/>
      <c r="AP464" s="1525"/>
      <c r="AQ464" s="1525"/>
      <c r="AR464" s="1525"/>
      <c r="AS464" s="1525"/>
      <c r="AU464" s="1525"/>
      <c r="AV464" s="1295"/>
      <c r="AW464" s="1525"/>
      <c r="AX464" s="1525"/>
      <c r="AY464" s="1525"/>
      <c r="AZ464" s="1525"/>
      <c r="BA464" s="1525"/>
      <c r="BB464" s="1525"/>
      <c r="BC464" s="1525"/>
      <c r="BD464" s="1525"/>
      <c r="BE464" s="1525"/>
      <c r="BF464" s="1525"/>
      <c r="BG464" s="1525"/>
      <c r="BH464" s="1525"/>
      <c r="BI464" s="1525"/>
      <c r="BJ464" s="1525"/>
      <c r="BK464" s="1525"/>
      <c r="BL464" s="1525"/>
      <c r="BM464" s="1525"/>
      <c r="BN464" s="1525"/>
      <c r="BO464" s="1525"/>
      <c r="BP464" s="1525"/>
      <c r="BQ464" s="1525"/>
      <c r="BR464" s="1525"/>
      <c r="BS464" s="1525"/>
      <c r="BT464" s="1670"/>
      <c r="BV464"/>
      <c r="BW464" s="859"/>
    </row>
    <row r="465" spans="2:75" ht="12.75" customHeight="1" x14ac:dyDescent="0.2">
      <c r="B465" s="175">
        <f t="shared" si="274"/>
        <v>1</v>
      </c>
      <c r="C465" s="219">
        <v>11</v>
      </c>
      <c r="E465" s="12" t="s">
        <v>648</v>
      </c>
      <c r="F465" s="467" t="s">
        <v>824</v>
      </c>
      <c r="G465" s="859" t="s">
        <v>453</v>
      </c>
      <c r="H465" s="858">
        <v>91482</v>
      </c>
      <c r="I465" s="200" t="s">
        <v>583</v>
      </c>
      <c r="J465" s="189"/>
      <c r="K465" s="189"/>
      <c r="L465" s="858">
        <v>1</v>
      </c>
      <c r="M465" s="858">
        <f t="shared" ref="M465:M475" si="280">K465+L465</f>
        <v>1</v>
      </c>
      <c r="N465" s="857" t="s">
        <v>1326</v>
      </c>
      <c r="O465" s="1196">
        <v>14836</v>
      </c>
      <c r="P465" s="1218">
        <f t="shared" ref="P465:P475" ca="1" si="281">YEARFRAC(TODAY(),O465)</f>
        <v>77.136111111111106</v>
      </c>
      <c r="Q465" s="1148">
        <v>40000</v>
      </c>
      <c r="R465" s="874">
        <f>Q465*0.1</f>
        <v>4000</v>
      </c>
      <c r="S465" s="875"/>
      <c r="T465" s="875">
        <v>26400</v>
      </c>
      <c r="U465" s="875"/>
      <c r="V465" s="875"/>
      <c r="W465" s="875"/>
      <c r="X465" s="1026">
        <f t="shared" ref="X465:X473" si="282">(Q465+R465+S465+T465+U465+V465+W465)*M465</f>
        <v>70400</v>
      </c>
      <c r="Y465" s="1512">
        <f t="shared" ref="Y465:Y473" si="283">(T465+U465)*M465/(X465-M465*(T465+U465))</f>
        <v>0.6</v>
      </c>
      <c r="Z465" s="1741">
        <f t="shared" ref="Z465:Z475" si="284">M465*(1+Y465)</f>
        <v>1.6</v>
      </c>
      <c r="AA465" s="1749">
        <f t="shared" ref="AA465:AA471" si="285">SUM(AD465:AS465)</f>
        <v>0</v>
      </c>
      <c r="AB465" s="1810">
        <f t="shared" ref="AB465:AB471" si="286">100*AA465/Z465</f>
        <v>0</v>
      </c>
      <c r="AC465" s="876"/>
      <c r="AD465" s="1525">
        <f t="shared" ref="AD465:AS473" si="287">SUMIF($AV$6:$BS$6,AD$5,$AV465:$BS465)</f>
        <v>0</v>
      </c>
      <c r="AE465" s="1525">
        <f t="shared" si="287"/>
        <v>0</v>
      </c>
      <c r="AF465" s="1525">
        <f t="shared" si="287"/>
        <v>0</v>
      </c>
      <c r="AG465" s="1525">
        <f t="shared" si="287"/>
        <v>0</v>
      </c>
      <c r="AH465" s="1525">
        <f t="shared" si="287"/>
        <v>0</v>
      </c>
      <c r="AI465" s="1525">
        <f t="shared" si="287"/>
        <v>0</v>
      </c>
      <c r="AJ465" s="1525">
        <f t="shared" si="287"/>
        <v>0</v>
      </c>
      <c r="AK465" s="1525">
        <f t="shared" si="287"/>
        <v>0</v>
      </c>
      <c r="AL465" s="1525">
        <f t="shared" si="287"/>
        <v>0</v>
      </c>
      <c r="AM465" s="1525">
        <f t="shared" si="287"/>
        <v>0</v>
      </c>
      <c r="AN465" s="1525">
        <f t="shared" si="287"/>
        <v>0</v>
      </c>
      <c r="AO465" s="1525">
        <f t="shared" si="287"/>
        <v>0</v>
      </c>
      <c r="AP465" s="1525">
        <f t="shared" si="287"/>
        <v>0</v>
      </c>
      <c r="AQ465" s="1525">
        <f t="shared" si="287"/>
        <v>0</v>
      </c>
      <c r="AR465" s="1525">
        <f t="shared" si="287"/>
        <v>0</v>
      </c>
      <c r="AS465" s="1525">
        <f t="shared" si="287"/>
        <v>0</v>
      </c>
      <c r="AU465" s="1525"/>
      <c r="AV465" s="1291"/>
      <c r="AW465" s="1292"/>
      <c r="AX465" s="1292"/>
      <c r="AY465" s="1292"/>
      <c r="AZ465" s="1292"/>
      <c r="BA465" s="1292"/>
      <c r="BB465" s="1292"/>
      <c r="BC465" s="1292"/>
      <c r="BD465" s="1292"/>
      <c r="BE465" s="1292"/>
      <c r="BF465" s="1292"/>
      <c r="BG465" s="1292"/>
      <c r="BH465" s="1292"/>
      <c r="BI465" s="1292"/>
      <c r="BJ465" s="1292"/>
      <c r="BK465" s="1292"/>
      <c r="BL465" s="1292"/>
      <c r="BM465" s="1292"/>
      <c r="BN465" s="1292"/>
      <c r="BO465" s="1292"/>
      <c r="BP465" s="1292"/>
      <c r="BQ465" s="1292"/>
      <c r="BR465" s="1292"/>
      <c r="BS465" s="1292"/>
      <c r="BT465" s="1670">
        <f t="shared" ref="BT465:BT475" si="288">SUM(AV465:BS465)</f>
        <v>0</v>
      </c>
      <c r="BW465" s="859" t="s">
        <v>453</v>
      </c>
    </row>
    <row r="466" spans="2:75" ht="12.75" customHeight="1" x14ac:dyDescent="0.2">
      <c r="B466" s="175">
        <f t="shared" si="274"/>
        <v>2</v>
      </c>
      <c r="C466" s="219">
        <v>12</v>
      </c>
      <c r="E466" s="12" t="s">
        <v>648</v>
      </c>
      <c r="F466" s="24" t="s">
        <v>1235</v>
      </c>
      <c r="G466" s="862" t="s">
        <v>637</v>
      </c>
      <c r="H466" s="861">
        <v>111792</v>
      </c>
      <c r="I466" s="197" t="s">
        <v>1584</v>
      </c>
      <c r="J466" s="174"/>
      <c r="K466" s="174"/>
      <c r="L466" s="861">
        <v>1</v>
      </c>
      <c r="M466" s="861">
        <f>K466+L466</f>
        <v>1</v>
      </c>
      <c r="N466" s="836" t="s">
        <v>1326</v>
      </c>
      <c r="O466" s="1196">
        <v>32380</v>
      </c>
      <c r="P466" s="1218">
        <f ca="1">YEARFRAC(TODAY(),O466)</f>
        <v>29.102777777777778</v>
      </c>
      <c r="Q466" s="1148">
        <v>42000</v>
      </c>
      <c r="R466" s="874">
        <f>Q466*0.1</f>
        <v>4200</v>
      </c>
      <c r="S466" s="875"/>
      <c r="T466" s="875">
        <v>8000</v>
      </c>
      <c r="U466" s="875"/>
      <c r="V466" s="875"/>
      <c r="W466" s="875"/>
      <c r="X466" s="1026">
        <f t="shared" si="282"/>
        <v>54200</v>
      </c>
      <c r="Y466" s="1512">
        <f t="shared" si="283"/>
        <v>0.17316017316017315</v>
      </c>
      <c r="Z466" s="1741">
        <f t="shared" si="284"/>
        <v>1.1731601731601731</v>
      </c>
      <c r="AA466" s="1749">
        <f t="shared" si="285"/>
        <v>0</v>
      </c>
      <c r="AB466" s="1810">
        <f t="shared" si="286"/>
        <v>0</v>
      </c>
      <c r="AC466" s="876"/>
      <c r="AD466" s="1525">
        <f t="shared" si="287"/>
        <v>0</v>
      </c>
      <c r="AE466" s="1525">
        <f t="shared" si="287"/>
        <v>0</v>
      </c>
      <c r="AF466" s="1525">
        <f t="shared" si="287"/>
        <v>0</v>
      </c>
      <c r="AG466" s="1525">
        <f t="shared" si="287"/>
        <v>0</v>
      </c>
      <c r="AH466" s="1525">
        <f t="shared" si="287"/>
        <v>0</v>
      </c>
      <c r="AI466" s="1525">
        <f t="shared" si="287"/>
        <v>0</v>
      </c>
      <c r="AJ466" s="1525">
        <f t="shared" si="287"/>
        <v>0</v>
      </c>
      <c r="AK466" s="1525">
        <f t="shared" si="287"/>
        <v>0</v>
      </c>
      <c r="AL466" s="1525">
        <f t="shared" si="287"/>
        <v>0</v>
      </c>
      <c r="AM466" s="1525">
        <f t="shared" si="287"/>
        <v>0</v>
      </c>
      <c r="AN466" s="1525">
        <f t="shared" si="287"/>
        <v>0</v>
      </c>
      <c r="AO466" s="1525">
        <f t="shared" si="287"/>
        <v>0</v>
      </c>
      <c r="AP466" s="1525">
        <f t="shared" si="287"/>
        <v>0</v>
      </c>
      <c r="AQ466" s="1525">
        <f t="shared" si="287"/>
        <v>0</v>
      </c>
      <c r="AR466" s="1525">
        <f t="shared" si="287"/>
        <v>0</v>
      </c>
      <c r="AS466" s="1525">
        <f t="shared" si="287"/>
        <v>0</v>
      </c>
      <c r="AU466" s="1525"/>
      <c r="AV466" s="1291"/>
      <c r="AW466" s="1292"/>
      <c r="AX466" s="1292"/>
      <c r="AY466" s="1292"/>
      <c r="AZ466" s="1292"/>
      <c r="BA466" s="1292"/>
      <c r="BB466" s="1292"/>
      <c r="BC466" s="1292"/>
      <c r="BD466" s="1292"/>
      <c r="BE466" s="1292"/>
      <c r="BF466" s="1292"/>
      <c r="BG466" s="1292"/>
      <c r="BH466" s="1292"/>
      <c r="BI466" s="1292"/>
      <c r="BJ466" s="1292"/>
      <c r="BK466" s="1292"/>
      <c r="BL466" s="1292"/>
      <c r="BM466" s="1292"/>
      <c r="BN466" s="1292"/>
      <c r="BO466" s="1292"/>
      <c r="BP466" s="1292"/>
      <c r="BQ466" s="1292"/>
      <c r="BR466" s="1292"/>
      <c r="BS466" s="1292"/>
      <c r="BT466" s="1670">
        <f t="shared" si="288"/>
        <v>0</v>
      </c>
      <c r="BW466" s="862" t="s">
        <v>637</v>
      </c>
    </row>
    <row r="467" spans="2:75" ht="12.75" customHeight="1" x14ac:dyDescent="0.2">
      <c r="B467" s="175">
        <f t="shared" si="274"/>
        <v>3</v>
      </c>
      <c r="C467" s="219">
        <v>12</v>
      </c>
      <c r="E467" s="12" t="s">
        <v>648</v>
      </c>
      <c r="F467" s="24" t="s">
        <v>1235</v>
      </c>
      <c r="G467" s="859" t="s">
        <v>1246</v>
      </c>
      <c r="H467" s="858">
        <v>50917</v>
      </c>
      <c r="I467" s="200" t="s">
        <v>583</v>
      </c>
      <c r="J467" s="189"/>
      <c r="K467" s="189"/>
      <c r="L467" s="858">
        <v>1</v>
      </c>
      <c r="M467" s="858">
        <f t="shared" si="280"/>
        <v>1</v>
      </c>
      <c r="N467" s="857" t="s">
        <v>1326</v>
      </c>
      <c r="O467" s="1196">
        <v>22699</v>
      </c>
      <c r="P467" s="1218">
        <f t="shared" ca="1" si="281"/>
        <v>55.611111111111114</v>
      </c>
      <c r="Q467" s="1148">
        <v>35000</v>
      </c>
      <c r="R467" s="874">
        <f>Q467*0.1</f>
        <v>3500</v>
      </c>
      <c r="S467" s="875"/>
      <c r="T467" s="875">
        <v>4000</v>
      </c>
      <c r="U467" s="875"/>
      <c r="V467" s="875"/>
      <c r="W467" s="875"/>
      <c r="X467" s="1026">
        <f t="shared" si="282"/>
        <v>42500</v>
      </c>
      <c r="Y467" s="1512">
        <f t="shared" si="283"/>
        <v>0.1038961038961039</v>
      </c>
      <c r="Z467" s="1741">
        <f t="shared" si="284"/>
        <v>1.1038961038961039</v>
      </c>
      <c r="AA467" s="1749">
        <f t="shared" si="285"/>
        <v>0</v>
      </c>
      <c r="AB467" s="1810">
        <f t="shared" si="286"/>
        <v>0</v>
      </c>
      <c r="AC467" s="876"/>
      <c r="AD467" s="1525">
        <f t="shared" si="287"/>
        <v>0</v>
      </c>
      <c r="AE467" s="1525">
        <f t="shared" si="287"/>
        <v>0</v>
      </c>
      <c r="AF467" s="1525">
        <f t="shared" si="287"/>
        <v>0</v>
      </c>
      <c r="AG467" s="1525">
        <f t="shared" si="287"/>
        <v>0</v>
      </c>
      <c r="AH467" s="1525">
        <f t="shared" si="287"/>
        <v>0</v>
      </c>
      <c r="AI467" s="1525">
        <f t="shared" si="287"/>
        <v>0</v>
      </c>
      <c r="AJ467" s="1525">
        <f t="shared" si="287"/>
        <v>0</v>
      </c>
      <c r="AK467" s="1525">
        <f t="shared" si="287"/>
        <v>0</v>
      </c>
      <c r="AL467" s="1525">
        <f t="shared" si="287"/>
        <v>0</v>
      </c>
      <c r="AM467" s="1525">
        <f t="shared" si="287"/>
        <v>0</v>
      </c>
      <c r="AN467" s="1525">
        <f t="shared" si="287"/>
        <v>0</v>
      </c>
      <c r="AO467" s="1525">
        <f t="shared" si="287"/>
        <v>0</v>
      </c>
      <c r="AP467" s="1525">
        <f t="shared" si="287"/>
        <v>0</v>
      </c>
      <c r="AQ467" s="1525">
        <f t="shared" si="287"/>
        <v>0</v>
      </c>
      <c r="AR467" s="1525">
        <f t="shared" si="287"/>
        <v>0</v>
      </c>
      <c r="AS467" s="1525">
        <f t="shared" si="287"/>
        <v>0</v>
      </c>
      <c r="AU467" s="1525"/>
      <c r="AV467" s="1291"/>
      <c r="AW467" s="1292"/>
      <c r="AX467" s="1292"/>
      <c r="AY467" s="1292"/>
      <c r="AZ467" s="1292"/>
      <c r="BA467" s="1292"/>
      <c r="BB467" s="1292"/>
      <c r="BC467" s="1292"/>
      <c r="BD467" s="1292"/>
      <c r="BE467" s="1292"/>
      <c r="BF467" s="1292"/>
      <c r="BG467" s="1292"/>
      <c r="BH467" s="1292"/>
      <c r="BI467" s="1292"/>
      <c r="BJ467" s="1292"/>
      <c r="BK467" s="1292"/>
      <c r="BL467" s="1292"/>
      <c r="BM467" s="1292"/>
      <c r="BN467" s="1292"/>
      <c r="BO467" s="1292"/>
      <c r="BP467" s="1292"/>
      <c r="BQ467" s="1292"/>
      <c r="BR467" s="1292"/>
      <c r="BS467" s="1292"/>
      <c r="BT467" s="1670">
        <f t="shared" si="288"/>
        <v>0</v>
      </c>
      <c r="BW467" s="859" t="s">
        <v>1246</v>
      </c>
    </row>
    <row r="468" spans="2:75" ht="12.75" customHeight="1" x14ac:dyDescent="0.2">
      <c r="B468" s="175">
        <f t="shared" si="274"/>
        <v>4</v>
      </c>
      <c r="C468" s="219">
        <v>25</v>
      </c>
      <c r="E468" s="12" t="s">
        <v>648</v>
      </c>
      <c r="F468" s="24" t="s">
        <v>1243</v>
      </c>
      <c r="G468" s="859" t="s">
        <v>1244</v>
      </c>
      <c r="H468" s="858">
        <v>6656</v>
      </c>
      <c r="I468" s="200" t="s">
        <v>1584</v>
      </c>
      <c r="J468" s="189"/>
      <c r="K468" s="189"/>
      <c r="L468" s="858">
        <v>0.5</v>
      </c>
      <c r="M468" s="858">
        <f t="shared" si="280"/>
        <v>0.5</v>
      </c>
      <c r="N468" s="857" t="s">
        <v>892</v>
      </c>
      <c r="O468" s="1196">
        <v>18549</v>
      </c>
      <c r="P468" s="1218">
        <f t="shared" ca="1" si="281"/>
        <v>66.969444444444449</v>
      </c>
      <c r="Q468" s="1148">
        <v>36000</v>
      </c>
      <c r="R468" s="874"/>
      <c r="S468" s="875"/>
      <c r="T468" s="875"/>
      <c r="U468" s="875"/>
      <c r="V468" s="875"/>
      <c r="W468" s="875"/>
      <c r="X468" s="1026">
        <f t="shared" si="282"/>
        <v>18000</v>
      </c>
      <c r="Y468" s="1512">
        <f t="shared" si="283"/>
        <v>0</v>
      </c>
      <c r="Z468" s="1741">
        <f t="shared" si="284"/>
        <v>0.5</v>
      </c>
      <c r="AA468" s="1749">
        <f t="shared" si="285"/>
        <v>0</v>
      </c>
      <c r="AB468" s="1810">
        <f t="shared" si="286"/>
        <v>0</v>
      </c>
      <c r="AC468" s="876"/>
      <c r="AD468" s="1525">
        <f t="shared" si="287"/>
        <v>0</v>
      </c>
      <c r="AE468" s="1525">
        <f t="shared" si="287"/>
        <v>0</v>
      </c>
      <c r="AF468" s="1525">
        <f t="shared" si="287"/>
        <v>0</v>
      </c>
      <c r="AG468" s="1525">
        <f t="shared" si="287"/>
        <v>0</v>
      </c>
      <c r="AH468" s="1525">
        <f t="shared" si="287"/>
        <v>0</v>
      </c>
      <c r="AI468" s="1525">
        <f t="shared" si="287"/>
        <v>0</v>
      </c>
      <c r="AJ468" s="1525">
        <f t="shared" si="287"/>
        <v>0</v>
      </c>
      <c r="AK468" s="1525">
        <f t="shared" si="287"/>
        <v>0</v>
      </c>
      <c r="AL468" s="1525">
        <f t="shared" si="287"/>
        <v>0</v>
      </c>
      <c r="AM468" s="1525">
        <f t="shared" si="287"/>
        <v>0</v>
      </c>
      <c r="AN468" s="1525">
        <f t="shared" si="287"/>
        <v>0</v>
      </c>
      <c r="AO468" s="1525">
        <f t="shared" si="287"/>
        <v>0</v>
      </c>
      <c r="AP468" s="1525">
        <f t="shared" si="287"/>
        <v>0</v>
      </c>
      <c r="AQ468" s="1525">
        <f t="shared" si="287"/>
        <v>0</v>
      </c>
      <c r="AR468" s="1525">
        <f t="shared" si="287"/>
        <v>0</v>
      </c>
      <c r="AS468" s="1525">
        <f t="shared" si="287"/>
        <v>0</v>
      </c>
      <c r="AU468" s="1525"/>
      <c r="AV468" s="1291"/>
      <c r="AW468" s="1292"/>
      <c r="AX468" s="1292"/>
      <c r="AY468" s="1292"/>
      <c r="AZ468" s="1292"/>
      <c r="BA468" s="1292"/>
      <c r="BB468" s="1292"/>
      <c r="BC468" s="1292"/>
      <c r="BD468" s="1292"/>
      <c r="BE468" s="1292"/>
      <c r="BF468" s="1292"/>
      <c r="BG468" s="1292"/>
      <c r="BH468" s="1292"/>
      <c r="BI468" s="1292"/>
      <c r="BJ468" s="1292"/>
      <c r="BK468" s="1292"/>
      <c r="BL468" s="1292"/>
      <c r="BM468" s="1292"/>
      <c r="BN468" s="1292"/>
      <c r="BO468" s="1292"/>
      <c r="BP468" s="1292"/>
      <c r="BQ468" s="1292"/>
      <c r="BR468" s="1292"/>
      <c r="BS468" s="1292"/>
      <c r="BT468" s="1670">
        <f t="shared" si="288"/>
        <v>0</v>
      </c>
      <c r="BW468" s="859" t="s">
        <v>1244</v>
      </c>
    </row>
    <row r="469" spans="2:75" ht="12.75" customHeight="1" x14ac:dyDescent="0.2">
      <c r="B469" s="175">
        <f t="shared" si="274"/>
        <v>5</v>
      </c>
      <c r="C469" s="219">
        <v>24</v>
      </c>
      <c r="E469" s="12" t="s">
        <v>648</v>
      </c>
      <c r="F469" s="24" t="s">
        <v>721</v>
      </c>
      <c r="G469" s="859" t="s">
        <v>1247</v>
      </c>
      <c r="H469" s="858">
        <v>81820</v>
      </c>
      <c r="I469" s="200" t="s">
        <v>1584</v>
      </c>
      <c r="J469" s="189"/>
      <c r="K469" s="189"/>
      <c r="L469" s="858">
        <v>1</v>
      </c>
      <c r="M469" s="858">
        <f t="shared" si="280"/>
        <v>1</v>
      </c>
      <c r="N469" s="857" t="s">
        <v>1326</v>
      </c>
      <c r="O469" s="1196">
        <v>22579</v>
      </c>
      <c r="P469" s="1218">
        <f t="shared" ca="1" si="281"/>
        <v>55.93611111111111</v>
      </c>
      <c r="Q469" s="1148">
        <v>25000</v>
      </c>
      <c r="R469" s="874">
        <f>Q469*0.1</f>
        <v>2500</v>
      </c>
      <c r="S469" s="875"/>
      <c r="T469" s="875"/>
      <c r="U469" s="875"/>
      <c r="V469" s="875"/>
      <c r="W469" s="875"/>
      <c r="X469" s="1026">
        <f t="shared" si="282"/>
        <v>27500</v>
      </c>
      <c r="Y469" s="1512">
        <f t="shared" si="283"/>
        <v>0</v>
      </c>
      <c r="Z469" s="1741">
        <f t="shared" si="284"/>
        <v>1</v>
      </c>
      <c r="AA469" s="1749">
        <f t="shared" si="285"/>
        <v>0</v>
      </c>
      <c r="AB469" s="1810">
        <f t="shared" si="286"/>
        <v>0</v>
      </c>
      <c r="AC469" s="876"/>
      <c r="AD469" s="1525">
        <f t="shared" si="287"/>
        <v>0</v>
      </c>
      <c r="AE469" s="1525">
        <f t="shared" si="287"/>
        <v>0</v>
      </c>
      <c r="AF469" s="1525">
        <f t="shared" si="287"/>
        <v>0</v>
      </c>
      <c r="AG469" s="1525">
        <f t="shared" si="287"/>
        <v>0</v>
      </c>
      <c r="AH469" s="1525">
        <f t="shared" si="287"/>
        <v>0</v>
      </c>
      <c r="AI469" s="1525">
        <f t="shared" si="287"/>
        <v>0</v>
      </c>
      <c r="AJ469" s="1525">
        <f t="shared" si="287"/>
        <v>0</v>
      </c>
      <c r="AK469" s="1525">
        <f t="shared" si="287"/>
        <v>0</v>
      </c>
      <c r="AL469" s="1525">
        <f t="shared" si="287"/>
        <v>0</v>
      </c>
      <c r="AM469" s="1525">
        <f t="shared" si="287"/>
        <v>0</v>
      </c>
      <c r="AN469" s="1525">
        <f t="shared" si="287"/>
        <v>0</v>
      </c>
      <c r="AO469" s="1525">
        <f t="shared" si="287"/>
        <v>0</v>
      </c>
      <c r="AP469" s="1525">
        <f t="shared" si="287"/>
        <v>0</v>
      </c>
      <c r="AQ469" s="1525">
        <f t="shared" si="287"/>
        <v>0</v>
      </c>
      <c r="AR469" s="1525">
        <f t="shared" si="287"/>
        <v>0</v>
      </c>
      <c r="AS469" s="1525">
        <f t="shared" si="287"/>
        <v>0</v>
      </c>
      <c r="AU469" s="1525"/>
      <c r="AV469" s="1291"/>
      <c r="AW469" s="1292"/>
      <c r="AX469" s="1292"/>
      <c r="AY469" s="1292"/>
      <c r="AZ469" s="1292"/>
      <c r="BA469" s="1292"/>
      <c r="BB469" s="1292"/>
      <c r="BC469" s="1292"/>
      <c r="BD469" s="1292"/>
      <c r="BE469" s="1292"/>
      <c r="BF469" s="1292"/>
      <c r="BG469" s="1292"/>
      <c r="BH469" s="1292"/>
      <c r="BI469" s="1292"/>
      <c r="BJ469" s="1292"/>
      <c r="BK469" s="1292"/>
      <c r="BL469" s="1292"/>
      <c r="BM469" s="1292"/>
      <c r="BN469" s="1292"/>
      <c r="BO469" s="1292"/>
      <c r="BP469" s="1292"/>
      <c r="BQ469" s="1292"/>
      <c r="BR469" s="1292"/>
      <c r="BS469" s="1292"/>
      <c r="BT469" s="1670">
        <f t="shared" si="288"/>
        <v>0</v>
      </c>
      <c r="BW469" s="859" t="s">
        <v>1247</v>
      </c>
    </row>
    <row r="470" spans="2:75" s="164" customFormat="1" ht="12.75" customHeight="1" x14ac:dyDescent="0.2">
      <c r="B470" s="175">
        <f t="shared" si="274"/>
        <v>6</v>
      </c>
      <c r="C470" s="219">
        <v>24</v>
      </c>
      <c r="E470" s="12" t="s">
        <v>648</v>
      </c>
      <c r="F470" s="24" t="s">
        <v>1245</v>
      </c>
      <c r="G470" s="859" t="s">
        <v>1164</v>
      </c>
      <c r="H470" s="858">
        <v>3467</v>
      </c>
      <c r="I470" s="200" t="s">
        <v>1584</v>
      </c>
      <c r="J470" s="189"/>
      <c r="K470" s="189"/>
      <c r="L470" s="858">
        <v>1</v>
      </c>
      <c r="M470" s="858">
        <f t="shared" si="280"/>
        <v>1</v>
      </c>
      <c r="N470" s="857" t="s">
        <v>892</v>
      </c>
      <c r="O470" s="1196">
        <v>17756</v>
      </c>
      <c r="P470" s="1218">
        <f t="shared" ca="1" si="281"/>
        <v>69.141666666666666</v>
      </c>
      <c r="Q470" s="1148">
        <v>22500</v>
      </c>
      <c r="R470" s="874"/>
      <c r="S470" s="875"/>
      <c r="T470" s="875"/>
      <c r="U470" s="875">
        <v>2500</v>
      </c>
      <c r="V470" s="875"/>
      <c r="W470" s="875"/>
      <c r="X470" s="1026">
        <f t="shared" si="282"/>
        <v>25000</v>
      </c>
      <c r="Y470" s="1512">
        <f t="shared" si="283"/>
        <v>0.1111111111111111</v>
      </c>
      <c r="Z470" s="1741">
        <f t="shared" si="284"/>
        <v>1.1111111111111112</v>
      </c>
      <c r="AA470" s="1749">
        <f t="shared" si="285"/>
        <v>0</v>
      </c>
      <c r="AB470" s="1810">
        <f t="shared" si="286"/>
        <v>0</v>
      </c>
      <c r="AC470" s="876"/>
      <c r="AD470" s="1525">
        <f t="shared" si="287"/>
        <v>0</v>
      </c>
      <c r="AE470" s="1525">
        <f t="shared" si="287"/>
        <v>0</v>
      </c>
      <c r="AF470" s="1525">
        <f t="shared" si="287"/>
        <v>0</v>
      </c>
      <c r="AG470" s="1525">
        <f t="shared" si="287"/>
        <v>0</v>
      </c>
      <c r="AH470" s="1525">
        <f t="shared" si="287"/>
        <v>0</v>
      </c>
      <c r="AI470" s="1525">
        <f t="shared" si="287"/>
        <v>0</v>
      </c>
      <c r="AJ470" s="1525">
        <f t="shared" si="287"/>
        <v>0</v>
      </c>
      <c r="AK470" s="1525">
        <f t="shared" si="287"/>
        <v>0</v>
      </c>
      <c r="AL470" s="1525">
        <f t="shared" si="287"/>
        <v>0</v>
      </c>
      <c r="AM470" s="1525">
        <f t="shared" si="287"/>
        <v>0</v>
      </c>
      <c r="AN470" s="1525">
        <f t="shared" si="287"/>
        <v>0</v>
      </c>
      <c r="AO470" s="1525">
        <f t="shared" si="287"/>
        <v>0</v>
      </c>
      <c r="AP470" s="1525">
        <f t="shared" si="287"/>
        <v>0</v>
      </c>
      <c r="AQ470" s="1525">
        <f t="shared" si="287"/>
        <v>0</v>
      </c>
      <c r="AR470" s="1525">
        <f t="shared" si="287"/>
        <v>0</v>
      </c>
      <c r="AS470" s="1525">
        <f t="shared" si="287"/>
        <v>0</v>
      </c>
      <c r="AU470" s="1525"/>
      <c r="AV470" s="1295"/>
      <c r="AW470" s="1525"/>
      <c r="AX470" s="1525"/>
      <c r="AY470" s="1525"/>
      <c r="AZ470" s="1525"/>
      <c r="BA470" s="1525"/>
      <c r="BB470" s="1525"/>
      <c r="BC470" s="1525"/>
      <c r="BD470" s="1525"/>
      <c r="BE470" s="1525"/>
      <c r="BF470" s="1525"/>
      <c r="BG470" s="1525"/>
      <c r="BH470" s="1525"/>
      <c r="BI470" s="1525"/>
      <c r="BJ470" s="1525"/>
      <c r="BK470" s="1525"/>
      <c r="BL470" s="1525"/>
      <c r="BM470" s="1525"/>
      <c r="BN470" s="1525"/>
      <c r="BO470" s="1525"/>
      <c r="BP470" s="1525"/>
      <c r="BQ470" s="1525"/>
      <c r="BR470" s="1525"/>
      <c r="BS470" s="1525"/>
      <c r="BT470" s="1670">
        <f t="shared" si="288"/>
        <v>0</v>
      </c>
      <c r="BV470"/>
      <c r="BW470" s="859" t="s">
        <v>1164</v>
      </c>
    </row>
    <row r="471" spans="2:75" ht="12.75" customHeight="1" x14ac:dyDescent="0.2">
      <c r="B471" s="175">
        <f t="shared" si="274"/>
        <v>7</v>
      </c>
      <c r="C471" s="219">
        <v>14</v>
      </c>
      <c r="E471" s="12" t="s">
        <v>648</v>
      </c>
      <c r="F471" s="24" t="s">
        <v>626</v>
      </c>
      <c r="G471" s="859" t="s">
        <v>458</v>
      </c>
      <c r="H471" s="858">
        <v>1893</v>
      </c>
      <c r="I471" s="200" t="s">
        <v>1584</v>
      </c>
      <c r="J471" s="189"/>
      <c r="K471" s="189"/>
      <c r="L471" s="858">
        <v>1</v>
      </c>
      <c r="M471" s="858">
        <f t="shared" si="280"/>
        <v>1</v>
      </c>
      <c r="N471" s="857" t="s">
        <v>892</v>
      </c>
      <c r="O471" s="1196">
        <v>18404</v>
      </c>
      <c r="P471" s="1218">
        <f t="shared" ca="1" si="281"/>
        <v>67.363888888888894</v>
      </c>
      <c r="Q471" s="1148">
        <v>25000</v>
      </c>
      <c r="R471" s="874"/>
      <c r="S471" s="875"/>
      <c r="T471" s="875">
        <v>2500</v>
      </c>
      <c r="U471" s="875">
        <v>2500</v>
      </c>
      <c r="V471" s="875"/>
      <c r="W471" s="875"/>
      <c r="X471" s="1026">
        <f t="shared" si="282"/>
        <v>30000</v>
      </c>
      <c r="Y471" s="1512">
        <f t="shared" si="283"/>
        <v>0.2</v>
      </c>
      <c r="Z471" s="1741">
        <f t="shared" si="284"/>
        <v>1.2</v>
      </c>
      <c r="AA471" s="1749">
        <f t="shared" si="285"/>
        <v>0</v>
      </c>
      <c r="AB471" s="1810">
        <f t="shared" si="286"/>
        <v>0</v>
      </c>
      <c r="AC471" s="876"/>
      <c r="AD471" s="1525">
        <f t="shared" si="287"/>
        <v>0</v>
      </c>
      <c r="AE471" s="1525">
        <f t="shared" si="287"/>
        <v>0</v>
      </c>
      <c r="AF471" s="1525">
        <f t="shared" si="287"/>
        <v>0</v>
      </c>
      <c r="AG471" s="1525">
        <f t="shared" si="287"/>
        <v>0</v>
      </c>
      <c r="AH471" s="1525">
        <f t="shared" si="287"/>
        <v>0</v>
      </c>
      <c r="AI471" s="1525">
        <f t="shared" si="287"/>
        <v>0</v>
      </c>
      <c r="AJ471" s="1525">
        <f t="shared" si="287"/>
        <v>0</v>
      </c>
      <c r="AK471" s="1525">
        <f t="shared" si="287"/>
        <v>0</v>
      </c>
      <c r="AL471" s="1525">
        <f t="shared" si="287"/>
        <v>0</v>
      </c>
      <c r="AM471" s="1525">
        <f t="shared" si="287"/>
        <v>0</v>
      </c>
      <c r="AN471" s="1525">
        <f t="shared" si="287"/>
        <v>0</v>
      </c>
      <c r="AO471" s="1525">
        <f t="shared" si="287"/>
        <v>0</v>
      </c>
      <c r="AP471" s="1525">
        <f t="shared" si="287"/>
        <v>0</v>
      </c>
      <c r="AQ471" s="1525">
        <f t="shared" si="287"/>
        <v>0</v>
      </c>
      <c r="AR471" s="1525">
        <f t="shared" si="287"/>
        <v>0</v>
      </c>
      <c r="AS471" s="1525">
        <f t="shared" si="287"/>
        <v>0</v>
      </c>
      <c r="AU471" s="1525"/>
      <c r="AV471" s="1291"/>
      <c r="AW471" s="1292"/>
      <c r="AX471" s="1292"/>
      <c r="AY471" s="1292"/>
      <c r="AZ471" s="1292"/>
      <c r="BA471" s="1292"/>
      <c r="BB471" s="1292"/>
      <c r="BC471" s="1292"/>
      <c r="BD471" s="1292"/>
      <c r="BE471" s="1292"/>
      <c r="BF471" s="1292"/>
      <c r="BG471" s="1292"/>
      <c r="BH471" s="1292"/>
      <c r="BI471" s="1292"/>
      <c r="BJ471" s="1292"/>
      <c r="BK471" s="1292"/>
      <c r="BL471" s="1292"/>
      <c r="BM471" s="1292"/>
      <c r="BN471" s="1292"/>
      <c r="BO471" s="1292"/>
      <c r="BP471" s="1292"/>
      <c r="BQ471" s="1292"/>
      <c r="BR471" s="1292"/>
      <c r="BS471" s="1292"/>
      <c r="BT471" s="1670">
        <f t="shared" si="288"/>
        <v>0</v>
      </c>
      <c r="BW471" s="859" t="s">
        <v>458</v>
      </c>
    </row>
    <row r="472" spans="2:75" ht="12.75" customHeight="1" x14ac:dyDescent="0.2">
      <c r="B472" s="175">
        <f t="shared" si="274"/>
        <v>8</v>
      </c>
      <c r="C472" s="219">
        <v>18</v>
      </c>
      <c r="D472" s="170"/>
      <c r="E472" s="12" t="s">
        <v>648</v>
      </c>
      <c r="F472" s="24" t="s">
        <v>584</v>
      </c>
      <c r="G472" s="859" t="s">
        <v>2026</v>
      </c>
      <c r="H472" s="858">
        <v>170747</v>
      </c>
      <c r="I472" s="200" t="s">
        <v>1584</v>
      </c>
      <c r="J472" s="189"/>
      <c r="K472" s="189"/>
      <c r="L472" s="858">
        <v>0.25</v>
      </c>
      <c r="M472" s="858">
        <f t="shared" si="280"/>
        <v>0.25</v>
      </c>
      <c r="N472" s="857" t="s">
        <v>892</v>
      </c>
      <c r="O472" s="1196">
        <v>34661</v>
      </c>
      <c r="P472" s="1218">
        <f t="shared" ca="1" si="281"/>
        <v>22.858333333333334</v>
      </c>
      <c r="Q472" s="1148">
        <v>16000</v>
      </c>
      <c r="R472" s="874"/>
      <c r="S472" s="875"/>
      <c r="T472" s="875"/>
      <c r="U472" s="875"/>
      <c r="V472" s="875"/>
      <c r="W472" s="875"/>
      <c r="X472" s="1026">
        <f t="shared" si="282"/>
        <v>4000</v>
      </c>
      <c r="Y472" s="1512">
        <f t="shared" si="283"/>
        <v>0</v>
      </c>
      <c r="Z472" s="1741">
        <f t="shared" si="284"/>
        <v>0.25</v>
      </c>
      <c r="AA472" s="1749">
        <f t="shared" ref="AA472:AA473" si="289">SUM(AD472:AS472)</f>
        <v>0</v>
      </c>
      <c r="AB472" s="1810">
        <f t="shared" ref="AB472:AB473" si="290">100*AA472/Z472</f>
        <v>0</v>
      </c>
      <c r="AC472" s="876"/>
      <c r="AD472" s="1525">
        <f t="shared" si="287"/>
        <v>0</v>
      </c>
      <c r="AE472" s="1525">
        <f t="shared" si="287"/>
        <v>0</v>
      </c>
      <c r="AF472" s="1525">
        <f t="shared" si="287"/>
        <v>0</v>
      </c>
      <c r="AG472" s="1525">
        <f t="shared" si="287"/>
        <v>0</v>
      </c>
      <c r="AH472" s="1525">
        <f t="shared" si="287"/>
        <v>0</v>
      </c>
      <c r="AI472" s="1525">
        <f t="shared" si="287"/>
        <v>0</v>
      </c>
      <c r="AJ472" s="1525">
        <f t="shared" si="287"/>
        <v>0</v>
      </c>
      <c r="AK472" s="1525">
        <f t="shared" si="287"/>
        <v>0</v>
      </c>
      <c r="AL472" s="1525">
        <f t="shared" si="287"/>
        <v>0</v>
      </c>
      <c r="AM472" s="1525">
        <f t="shared" si="287"/>
        <v>0</v>
      </c>
      <c r="AN472" s="1525">
        <f t="shared" si="287"/>
        <v>0</v>
      </c>
      <c r="AO472" s="1525">
        <f t="shared" si="287"/>
        <v>0</v>
      </c>
      <c r="AP472" s="1525">
        <f t="shared" si="287"/>
        <v>0</v>
      </c>
      <c r="AQ472" s="1525">
        <f t="shared" si="287"/>
        <v>0</v>
      </c>
      <c r="AR472" s="1525">
        <f t="shared" si="287"/>
        <v>0</v>
      </c>
      <c r="AS472" s="1525">
        <f t="shared" si="287"/>
        <v>0</v>
      </c>
      <c r="AU472" s="224"/>
      <c r="AV472" s="1292"/>
      <c r="AX472" s="1292"/>
      <c r="BT472" s="1671"/>
      <c r="BV472" s="224"/>
      <c r="BW472" s="224"/>
    </row>
    <row r="473" spans="2:75" ht="12.75" customHeight="1" x14ac:dyDescent="0.2">
      <c r="B473" s="175">
        <f t="shared" si="274"/>
        <v>9</v>
      </c>
      <c r="C473" s="219">
        <v>18</v>
      </c>
      <c r="D473" s="170"/>
      <c r="E473" s="12" t="s">
        <v>648</v>
      </c>
      <c r="F473" s="24" t="s">
        <v>584</v>
      </c>
      <c r="G473" s="859" t="s">
        <v>2027</v>
      </c>
      <c r="H473" s="858">
        <v>170054</v>
      </c>
      <c r="I473" s="200" t="s">
        <v>1584</v>
      </c>
      <c r="J473" s="189"/>
      <c r="K473" s="189"/>
      <c r="L473" s="858">
        <v>0.25</v>
      </c>
      <c r="M473" s="858">
        <f t="shared" si="280"/>
        <v>0.25</v>
      </c>
      <c r="N473" s="857" t="s">
        <v>892</v>
      </c>
      <c r="O473" s="1196">
        <v>35616</v>
      </c>
      <c r="P473" s="1218">
        <f t="shared" ca="1" si="281"/>
        <v>20.241666666666667</v>
      </c>
      <c r="Q473" s="1148">
        <v>16000</v>
      </c>
      <c r="R473" s="874"/>
      <c r="S473" s="875"/>
      <c r="T473" s="875"/>
      <c r="U473" s="875"/>
      <c r="V473" s="875"/>
      <c r="W473" s="875"/>
      <c r="X473" s="1026">
        <f t="shared" si="282"/>
        <v>4000</v>
      </c>
      <c r="Y473" s="1512">
        <f t="shared" si="283"/>
        <v>0</v>
      </c>
      <c r="Z473" s="1741">
        <f t="shared" si="284"/>
        <v>0.25</v>
      </c>
      <c r="AA473" s="1749">
        <f t="shared" si="289"/>
        <v>0</v>
      </c>
      <c r="AB473" s="1810">
        <f t="shared" si="290"/>
        <v>0</v>
      </c>
      <c r="AC473" s="876"/>
      <c r="AD473" s="1525">
        <f t="shared" si="287"/>
        <v>0</v>
      </c>
      <c r="AE473" s="1525">
        <f t="shared" si="287"/>
        <v>0</v>
      </c>
      <c r="AF473" s="1525">
        <f t="shared" si="287"/>
        <v>0</v>
      </c>
      <c r="AG473" s="1525">
        <f t="shared" si="287"/>
        <v>0</v>
      </c>
      <c r="AH473" s="1525">
        <f t="shared" si="287"/>
        <v>0</v>
      </c>
      <c r="AI473" s="1525">
        <f t="shared" si="287"/>
        <v>0</v>
      </c>
      <c r="AJ473" s="1525">
        <f t="shared" si="287"/>
        <v>0</v>
      </c>
      <c r="AK473" s="1525">
        <f t="shared" si="287"/>
        <v>0</v>
      </c>
      <c r="AL473" s="1525">
        <f t="shared" si="287"/>
        <v>0</v>
      </c>
      <c r="AM473" s="1525">
        <f t="shared" si="287"/>
        <v>0</v>
      </c>
      <c r="AN473" s="1525">
        <f t="shared" si="287"/>
        <v>0</v>
      </c>
      <c r="AO473" s="1525">
        <f t="shared" si="287"/>
        <v>0</v>
      </c>
      <c r="AP473" s="1525">
        <f t="shared" si="287"/>
        <v>0</v>
      </c>
      <c r="AQ473" s="1525">
        <f t="shared" si="287"/>
        <v>0</v>
      </c>
      <c r="AR473" s="1525">
        <f t="shared" si="287"/>
        <v>0</v>
      </c>
      <c r="AS473" s="1525">
        <f t="shared" si="287"/>
        <v>0</v>
      </c>
      <c r="AU473" s="224"/>
      <c r="AV473" s="1292"/>
      <c r="AX473" s="1292"/>
      <c r="BT473" s="1671"/>
      <c r="BV473" s="224"/>
      <c r="BW473" s="224"/>
    </row>
    <row r="474" spans="2:75" ht="12.75" customHeight="1" x14ac:dyDescent="0.2">
      <c r="B474" s="175">
        <f t="shared" si="274"/>
        <v>10</v>
      </c>
      <c r="C474" s="219">
        <v>18</v>
      </c>
      <c r="E474" s="12" t="s">
        <v>648</v>
      </c>
      <c r="F474" s="24" t="s">
        <v>584</v>
      </c>
      <c r="G474" s="859" t="s">
        <v>407</v>
      </c>
      <c r="H474" s="858">
        <v>120313</v>
      </c>
      <c r="I474" s="200" t="s">
        <v>1584</v>
      </c>
      <c r="J474" s="189"/>
      <c r="K474" s="189"/>
      <c r="L474" s="858">
        <v>1</v>
      </c>
      <c r="M474" s="858">
        <f t="shared" si="280"/>
        <v>1</v>
      </c>
      <c r="N474" s="857" t="s">
        <v>892</v>
      </c>
      <c r="O474" s="1196">
        <v>30918</v>
      </c>
      <c r="P474" s="1218">
        <f t="shared" ca="1" si="281"/>
        <v>33.105555555555554</v>
      </c>
      <c r="Q474" s="1148">
        <v>24000</v>
      </c>
      <c r="R474" s="874"/>
      <c r="S474" s="875"/>
      <c r="T474" s="875"/>
      <c r="U474" s="875"/>
      <c r="V474" s="875"/>
      <c r="W474" s="875"/>
      <c r="X474" s="1026">
        <f>(Q474+R474+S474+T474+U474+V474+W474)*M474</f>
        <v>24000</v>
      </c>
      <c r="Y474" s="1512">
        <f>(T474+U474)*M474/(X474-M474*(T474+U474))</f>
        <v>0</v>
      </c>
      <c r="Z474" s="1741">
        <f t="shared" si="284"/>
        <v>1</v>
      </c>
      <c r="AA474" s="1749">
        <f>SUM(AD474:AS474)</f>
        <v>0</v>
      </c>
      <c r="AB474" s="1810">
        <f t="shared" ref="AB474:AB475" si="291">100*AA474/Z474</f>
        <v>0</v>
      </c>
      <c r="AC474" s="876"/>
      <c r="AD474" s="1525">
        <f t="shared" ref="AD474:AS475" si="292">SUMIF($AV$6:$BS$6,AD$5,$AV474:$BS474)</f>
        <v>0</v>
      </c>
      <c r="AE474" s="1525">
        <f t="shared" si="292"/>
        <v>0</v>
      </c>
      <c r="AF474" s="1525">
        <f t="shared" si="292"/>
        <v>0</v>
      </c>
      <c r="AG474" s="1525">
        <f t="shared" si="292"/>
        <v>0</v>
      </c>
      <c r="AH474" s="1525">
        <f t="shared" si="292"/>
        <v>0</v>
      </c>
      <c r="AI474" s="1525">
        <f t="shared" si="292"/>
        <v>0</v>
      </c>
      <c r="AJ474" s="1525">
        <f t="shared" si="292"/>
        <v>0</v>
      </c>
      <c r="AK474" s="1525">
        <f t="shared" si="292"/>
        <v>0</v>
      </c>
      <c r="AL474" s="1525">
        <f t="shared" si="292"/>
        <v>0</v>
      </c>
      <c r="AM474" s="1525">
        <f t="shared" si="292"/>
        <v>0</v>
      </c>
      <c r="AN474" s="1525">
        <f t="shared" si="292"/>
        <v>0</v>
      </c>
      <c r="AO474" s="1525">
        <f t="shared" si="292"/>
        <v>0</v>
      </c>
      <c r="AP474" s="1525">
        <f t="shared" si="292"/>
        <v>0</v>
      </c>
      <c r="AQ474" s="1525">
        <f t="shared" si="292"/>
        <v>0</v>
      </c>
      <c r="AR474" s="1525">
        <f t="shared" si="292"/>
        <v>0</v>
      </c>
      <c r="AS474" s="1525">
        <f t="shared" si="292"/>
        <v>0</v>
      </c>
      <c r="AU474" s="1525"/>
      <c r="AV474" s="1291"/>
      <c r="AW474" s="1292"/>
      <c r="AX474" s="1292"/>
      <c r="AY474" s="1292"/>
      <c r="AZ474" s="1292"/>
      <c r="BA474" s="1292"/>
      <c r="BB474" s="1292"/>
      <c r="BC474" s="1292"/>
      <c r="BD474" s="1292"/>
      <c r="BE474" s="1292"/>
      <c r="BF474" s="1292"/>
      <c r="BG474" s="1292"/>
      <c r="BH474" s="1292"/>
      <c r="BI474" s="1292"/>
      <c r="BJ474" s="1292"/>
      <c r="BK474" s="1292"/>
      <c r="BL474" s="1292"/>
      <c r="BM474" s="1292"/>
      <c r="BN474" s="1292"/>
      <c r="BO474" s="1292"/>
      <c r="BP474" s="1292"/>
      <c r="BQ474" s="1292"/>
      <c r="BR474" s="1292"/>
      <c r="BS474" s="1292"/>
      <c r="BT474" s="1670">
        <f t="shared" si="288"/>
        <v>0</v>
      </c>
      <c r="BW474" s="859" t="s">
        <v>407</v>
      </c>
    </row>
    <row r="475" spans="2:75" s="164" customFormat="1" ht="12.75" customHeight="1" x14ac:dyDescent="0.2">
      <c r="B475" s="175">
        <f t="shared" si="274"/>
        <v>11</v>
      </c>
      <c r="C475" s="219">
        <v>18</v>
      </c>
      <c r="E475" s="12" t="s">
        <v>648</v>
      </c>
      <c r="F475" s="24" t="s">
        <v>584</v>
      </c>
      <c r="G475" s="860" t="s">
        <v>1742</v>
      </c>
      <c r="H475" s="858">
        <v>151490</v>
      </c>
      <c r="I475" s="200" t="s">
        <v>1584</v>
      </c>
      <c r="J475" s="208"/>
      <c r="K475" s="208"/>
      <c r="L475" s="858">
        <v>0.33</v>
      </c>
      <c r="M475" s="858">
        <f t="shared" si="280"/>
        <v>0.33</v>
      </c>
      <c r="N475" s="857" t="s">
        <v>892</v>
      </c>
      <c r="O475" s="1196">
        <v>34515</v>
      </c>
      <c r="P475" s="1218">
        <f t="shared" ca="1" si="281"/>
        <v>23.255555555555556</v>
      </c>
      <c r="Q475" s="1148">
        <v>26000</v>
      </c>
      <c r="R475" s="874"/>
      <c r="S475" s="875"/>
      <c r="T475" s="875"/>
      <c r="U475" s="875"/>
      <c r="V475" s="875"/>
      <c r="W475" s="875"/>
      <c r="X475" s="1026">
        <f>(Q475+R475+S475+T475+U475+V475+W475)*M475</f>
        <v>8580</v>
      </c>
      <c r="Y475" s="1512">
        <f>(T475+U475)*M475/(X475-M475*(T475+U475))</f>
        <v>0</v>
      </c>
      <c r="Z475" s="1741">
        <f t="shared" si="284"/>
        <v>0.33</v>
      </c>
      <c r="AA475" s="1749">
        <f>SUM(AD475:AS475)</f>
        <v>0</v>
      </c>
      <c r="AB475" s="1810">
        <f t="shared" si="291"/>
        <v>0</v>
      </c>
      <c r="AC475" s="876"/>
      <c r="AD475" s="1525">
        <f t="shared" si="292"/>
        <v>0</v>
      </c>
      <c r="AE475" s="1525">
        <f t="shared" si="292"/>
        <v>0</v>
      </c>
      <c r="AF475" s="1525">
        <f t="shared" si="292"/>
        <v>0</v>
      </c>
      <c r="AG475" s="1525">
        <f t="shared" si="292"/>
        <v>0</v>
      </c>
      <c r="AH475" s="1525">
        <f t="shared" si="292"/>
        <v>0</v>
      </c>
      <c r="AI475" s="1525">
        <f t="shared" si="292"/>
        <v>0</v>
      </c>
      <c r="AJ475" s="1525">
        <f t="shared" si="292"/>
        <v>0</v>
      </c>
      <c r="AK475" s="1525">
        <f t="shared" si="292"/>
        <v>0</v>
      </c>
      <c r="AL475" s="1525">
        <f t="shared" si="292"/>
        <v>0</v>
      </c>
      <c r="AM475" s="1525">
        <f t="shared" si="292"/>
        <v>0</v>
      </c>
      <c r="AN475" s="1525">
        <f t="shared" si="292"/>
        <v>0</v>
      </c>
      <c r="AO475" s="1525">
        <f t="shared" si="292"/>
        <v>0</v>
      </c>
      <c r="AP475" s="1525">
        <f t="shared" si="292"/>
        <v>0</v>
      </c>
      <c r="AQ475" s="1525">
        <f t="shared" si="292"/>
        <v>0</v>
      </c>
      <c r="AR475" s="1525">
        <f t="shared" si="292"/>
        <v>0</v>
      </c>
      <c r="AS475" s="1525">
        <f t="shared" si="292"/>
        <v>0</v>
      </c>
      <c r="AU475" s="1525"/>
      <c r="AV475" s="1295"/>
      <c r="AW475" s="1525"/>
      <c r="AX475" s="1525"/>
      <c r="AY475" s="1525"/>
      <c r="AZ475" s="1525"/>
      <c r="BA475" s="1525"/>
      <c r="BB475" s="1525"/>
      <c r="BC475" s="1525"/>
      <c r="BD475" s="1525"/>
      <c r="BE475" s="1525"/>
      <c r="BF475" s="1525"/>
      <c r="BG475" s="1525"/>
      <c r="BH475" s="1525"/>
      <c r="BI475" s="1525"/>
      <c r="BJ475" s="1525"/>
      <c r="BK475" s="1525"/>
      <c r="BL475" s="1525"/>
      <c r="BM475" s="1525"/>
      <c r="BN475" s="1525"/>
      <c r="BO475" s="1525"/>
      <c r="BP475" s="1525"/>
      <c r="BQ475" s="1525"/>
      <c r="BR475" s="1525"/>
      <c r="BS475" s="1525"/>
      <c r="BT475" s="1670">
        <f t="shared" si="288"/>
        <v>0</v>
      </c>
      <c r="BV475"/>
      <c r="BW475" s="860" t="s">
        <v>1742</v>
      </c>
    </row>
    <row r="476" spans="2:75" s="164" customFormat="1" ht="12.75" customHeight="1" x14ac:dyDescent="0.2">
      <c r="B476" s="175"/>
      <c r="C476" s="219"/>
      <c r="E476" s="12"/>
      <c r="F476" s="24"/>
      <c r="G476" s="860"/>
      <c r="H476" s="1346"/>
      <c r="I476" s="200"/>
      <c r="J476" s="208"/>
      <c r="K476" s="208"/>
      <c r="L476" s="858"/>
      <c r="M476" s="858"/>
      <c r="N476" s="857"/>
      <c r="O476" s="1196"/>
      <c r="P476" s="1218"/>
      <c r="Q476" s="1148"/>
      <c r="R476" s="874"/>
      <c r="S476" s="875"/>
      <c r="T476" s="875"/>
      <c r="U476" s="875"/>
      <c r="V476" s="875"/>
      <c r="W476" s="875"/>
      <c r="X476" s="1026"/>
      <c r="Y476" s="1754"/>
      <c r="Z476" s="1755"/>
      <c r="AA476" s="1775"/>
      <c r="AB476" s="1814"/>
      <c r="AC476" s="876"/>
      <c r="AD476" s="1295"/>
      <c r="AE476" s="1525"/>
      <c r="AF476" s="1525"/>
      <c r="AG476" s="1525"/>
      <c r="AH476" s="1525"/>
      <c r="AI476" s="1525"/>
      <c r="AJ476" s="1525"/>
      <c r="AK476" s="1525"/>
      <c r="AL476" s="1525"/>
      <c r="AM476" s="1525"/>
      <c r="AN476" s="1525"/>
      <c r="AO476" s="1525"/>
      <c r="AP476" s="1525"/>
      <c r="AQ476" s="1525"/>
      <c r="AR476" s="1525"/>
      <c r="AS476" s="1525"/>
      <c r="AU476" s="1525"/>
      <c r="AV476" s="1295"/>
      <c r="AW476" s="1525"/>
      <c r="AX476" s="1525"/>
      <c r="AY476" s="1525"/>
      <c r="AZ476" s="1525"/>
      <c r="BA476" s="1525"/>
      <c r="BB476" s="1525"/>
      <c r="BC476" s="1525"/>
      <c r="BD476" s="1525"/>
      <c r="BE476" s="1525"/>
      <c r="BF476" s="1525"/>
      <c r="BG476" s="1525"/>
      <c r="BH476" s="1525"/>
      <c r="BI476" s="1525"/>
      <c r="BJ476" s="1525"/>
      <c r="BK476" s="1525"/>
      <c r="BL476" s="1525"/>
      <c r="BM476" s="1525"/>
      <c r="BN476" s="1525"/>
      <c r="BO476" s="1525"/>
      <c r="BP476" s="1525"/>
      <c r="BQ476" s="1525"/>
      <c r="BR476" s="1525"/>
      <c r="BS476" s="1525"/>
      <c r="BT476" s="1670"/>
      <c r="BV476"/>
      <c r="BW476" s="860"/>
    </row>
    <row r="477" spans="2:75" s="164" customFormat="1" ht="12.75" customHeight="1" x14ac:dyDescent="0.2">
      <c r="B477" s="175"/>
      <c r="F477" s="21" t="s">
        <v>952</v>
      </c>
      <c r="G477" s="860"/>
      <c r="H477" s="1346" t="s">
        <v>1508</v>
      </c>
      <c r="I477" s="200"/>
      <c r="J477" s="208"/>
      <c r="K477" s="208"/>
      <c r="L477" s="858"/>
      <c r="M477" s="858"/>
      <c r="N477" s="857"/>
      <c r="O477" s="1193"/>
      <c r="P477" s="550"/>
      <c r="Q477" s="1148"/>
      <c r="R477" s="874"/>
      <c r="S477" s="875"/>
      <c r="T477" s="875"/>
      <c r="U477" s="875"/>
      <c r="V477" s="875"/>
      <c r="W477" s="875"/>
      <c r="X477" s="1026"/>
      <c r="Y477" s="1754"/>
      <c r="Z477" s="1755"/>
      <c r="AA477" s="1775"/>
      <c r="AB477" s="1814"/>
      <c r="AC477" s="876"/>
      <c r="AD477" s="1295"/>
      <c r="AE477" s="1525"/>
      <c r="AF477" s="1525"/>
      <c r="AG477" s="1525"/>
      <c r="AH477" s="1525"/>
      <c r="AI477" s="1525"/>
      <c r="AJ477" s="1525"/>
      <c r="AK477" s="1525"/>
      <c r="AL477" s="1525"/>
      <c r="AM477" s="1525"/>
      <c r="AN477" s="1525"/>
      <c r="AO477" s="1525"/>
      <c r="AP477" s="1525"/>
      <c r="AQ477" s="1525"/>
      <c r="AR477" s="1525"/>
      <c r="AS477" s="1525"/>
      <c r="AU477" s="1525"/>
      <c r="AV477" s="1295"/>
      <c r="AW477" s="1525"/>
      <c r="AX477" s="1525"/>
      <c r="AY477" s="1525"/>
      <c r="AZ477" s="1525"/>
      <c r="BA477" s="1525"/>
      <c r="BB477" s="1525"/>
      <c r="BC477" s="1525"/>
      <c r="BD477" s="1525"/>
      <c r="BE477" s="1525"/>
      <c r="BF477" s="1525"/>
      <c r="BG477" s="1525"/>
      <c r="BH477" s="1525"/>
      <c r="BI477" s="1525"/>
      <c r="BJ477" s="1525"/>
      <c r="BK477" s="1525"/>
      <c r="BL477" s="1525"/>
      <c r="BM477" s="1525"/>
      <c r="BN477" s="1525"/>
      <c r="BO477" s="1525"/>
      <c r="BP477" s="1525"/>
      <c r="BQ477" s="1525"/>
      <c r="BR477" s="1525"/>
      <c r="BS477" s="1525"/>
      <c r="BT477" s="1670"/>
      <c r="BV477"/>
      <c r="BW477" s="860"/>
    </row>
    <row r="478" spans="2:75" s="164" customFormat="1" ht="12.75" customHeight="1" x14ac:dyDescent="0.2">
      <c r="B478" s="175"/>
      <c r="F478" s="21" t="s">
        <v>2028</v>
      </c>
      <c r="G478" s="860"/>
      <c r="H478" s="1346" t="s">
        <v>1508</v>
      </c>
      <c r="I478" s="200"/>
      <c r="J478" s="208"/>
      <c r="K478" s="208"/>
      <c r="L478" s="858"/>
      <c r="M478" s="858"/>
      <c r="N478" s="857"/>
      <c r="O478" s="1193"/>
      <c r="P478" s="550"/>
      <c r="Q478" s="1148"/>
      <c r="R478" s="874"/>
      <c r="S478" s="875"/>
      <c r="T478" s="875"/>
      <c r="U478" s="875"/>
      <c r="V478" s="875"/>
      <c r="W478" s="875"/>
      <c r="X478" s="1026"/>
      <c r="Y478" s="1754"/>
      <c r="Z478" s="1755"/>
      <c r="AA478" s="1775"/>
      <c r="AB478" s="1814"/>
      <c r="AC478" s="876"/>
      <c r="AD478" s="1295"/>
      <c r="AE478" s="1525"/>
      <c r="AF478" s="1525"/>
      <c r="AG478" s="1525"/>
      <c r="AH478" s="1525"/>
      <c r="AI478" s="1525"/>
      <c r="AJ478" s="1525"/>
      <c r="AK478" s="1525"/>
      <c r="AL478" s="1525"/>
      <c r="AM478" s="1525"/>
      <c r="AN478" s="1525"/>
      <c r="AO478" s="1525"/>
      <c r="AP478" s="1525"/>
      <c r="AQ478" s="1525"/>
      <c r="AR478" s="1525"/>
      <c r="AS478" s="1525"/>
      <c r="AU478" s="1525"/>
      <c r="AV478" s="1295"/>
      <c r="AW478" s="1525"/>
      <c r="AX478" s="1525"/>
      <c r="AY478" s="1525"/>
      <c r="AZ478" s="1525"/>
      <c r="BA478" s="1525"/>
      <c r="BB478" s="1525"/>
      <c r="BC478" s="1525"/>
      <c r="BD478" s="1525"/>
      <c r="BE478" s="1525"/>
      <c r="BF478" s="1525"/>
      <c r="BG478" s="1525"/>
      <c r="BH478" s="1525"/>
      <c r="BI478" s="1525"/>
      <c r="BJ478" s="1525"/>
      <c r="BK478" s="1525"/>
      <c r="BL478" s="1525"/>
      <c r="BM478" s="1525"/>
      <c r="BN478" s="1525"/>
      <c r="BO478" s="1525"/>
      <c r="BP478" s="1525"/>
      <c r="BQ478" s="1525"/>
      <c r="BR478" s="1525"/>
      <c r="BS478" s="1525"/>
      <c r="BT478" s="1670"/>
      <c r="BV478"/>
      <c r="BW478" s="860"/>
    </row>
    <row r="479" spans="2:75" s="164" customFormat="1" ht="12.75" customHeight="1" x14ac:dyDescent="0.2">
      <c r="B479" s="175"/>
      <c r="F479" s="24"/>
      <c r="G479" s="860"/>
      <c r="H479" s="1346" t="s">
        <v>1508</v>
      </c>
      <c r="I479" s="200"/>
      <c r="J479" s="208"/>
      <c r="K479" s="208"/>
      <c r="L479" s="858"/>
      <c r="M479" s="858"/>
      <c r="N479" s="857"/>
      <c r="O479" s="1193"/>
      <c r="P479" s="550"/>
      <c r="Q479" s="1148"/>
      <c r="R479" s="874"/>
      <c r="S479" s="875"/>
      <c r="T479" s="875"/>
      <c r="U479" s="875"/>
      <c r="V479" s="875"/>
      <c r="W479" s="875"/>
      <c r="X479" s="1026"/>
      <c r="Y479" s="1754"/>
      <c r="Z479" s="1755"/>
      <c r="AA479" s="1775"/>
      <c r="AB479" s="1814"/>
      <c r="AC479" s="876"/>
      <c r="AD479" s="1295"/>
      <c r="AE479" s="1525"/>
      <c r="AF479" s="1525"/>
      <c r="AG479" s="1525"/>
      <c r="AH479" s="1525"/>
      <c r="AI479" s="1525"/>
      <c r="AJ479" s="1525"/>
      <c r="AK479" s="1525"/>
      <c r="AL479" s="1525"/>
      <c r="AM479" s="1525"/>
      <c r="AN479" s="1525"/>
      <c r="AO479" s="1525"/>
      <c r="AP479" s="1525"/>
      <c r="AQ479" s="1525"/>
      <c r="AR479" s="1525"/>
      <c r="AS479" s="1525"/>
      <c r="AU479" s="1525"/>
      <c r="AV479" s="1295"/>
      <c r="AW479" s="1525"/>
      <c r="AX479" s="1525"/>
      <c r="AY479" s="1525"/>
      <c r="AZ479" s="1525"/>
      <c r="BA479" s="1525"/>
      <c r="BB479" s="1525"/>
      <c r="BC479" s="1525"/>
      <c r="BD479" s="1525"/>
      <c r="BE479" s="1525"/>
      <c r="BF479" s="1525"/>
      <c r="BG479" s="1525"/>
      <c r="BH479" s="1525"/>
      <c r="BI479" s="1525"/>
      <c r="BJ479" s="1525"/>
      <c r="BK479" s="1525"/>
      <c r="BL479" s="1525"/>
      <c r="BM479" s="1525"/>
      <c r="BN479" s="1525"/>
      <c r="BO479" s="1525"/>
      <c r="BP479" s="1525"/>
      <c r="BQ479" s="1525"/>
      <c r="BR479" s="1525"/>
      <c r="BS479" s="1525"/>
      <c r="BT479" s="1670"/>
      <c r="BV479"/>
      <c r="BW479" s="860"/>
    </row>
    <row r="480" spans="2:75" ht="12.75" customHeight="1" x14ac:dyDescent="0.2">
      <c r="B480" s="175">
        <f t="shared" si="274"/>
        <v>1</v>
      </c>
      <c r="C480" s="236">
        <v>11</v>
      </c>
      <c r="D480" s="218"/>
      <c r="E480" s="166" t="s">
        <v>648</v>
      </c>
      <c r="F480" s="467" t="s">
        <v>824</v>
      </c>
      <c r="G480" s="859" t="s">
        <v>741</v>
      </c>
      <c r="H480" s="858">
        <v>291177</v>
      </c>
      <c r="I480" s="621" t="s">
        <v>583</v>
      </c>
      <c r="J480" s="625"/>
      <c r="K480" s="623"/>
      <c r="L480" s="858">
        <v>1</v>
      </c>
      <c r="M480" s="858">
        <v>1</v>
      </c>
      <c r="N480" s="857" t="s">
        <v>1326</v>
      </c>
      <c r="O480" s="1196">
        <v>21430</v>
      </c>
      <c r="P480" s="1218">
        <f ca="1">YEARFRAC(TODAY(),O480)</f>
        <v>59.083333333333336</v>
      </c>
      <c r="Q480" s="1148">
        <v>45000</v>
      </c>
      <c r="R480" s="874">
        <f>Q480*0.1</f>
        <v>4500</v>
      </c>
      <c r="S480" s="875"/>
      <c r="T480" s="875">
        <v>9000</v>
      </c>
      <c r="U480" s="875"/>
      <c r="V480" s="875"/>
      <c r="W480" s="875"/>
      <c r="X480" s="1026">
        <f>(Q480+R480+S480+T480+U480+V480+W480)*M480</f>
        <v>58500</v>
      </c>
      <c r="Y480" s="1512">
        <f>(T480+U480)*M480/(X480-M480*(T480+U480))</f>
        <v>0.18181818181818182</v>
      </c>
      <c r="Z480" s="1741">
        <f>M480*(1+Y480)</f>
        <v>1.1818181818181819</v>
      </c>
      <c r="AA480" s="1749">
        <f>SUM(AD480:AS480)</f>
        <v>0</v>
      </c>
      <c r="AB480" s="1810">
        <f t="shared" ref="AB480:AB484" si="293">100*AA480/Z480</f>
        <v>0</v>
      </c>
      <c r="AC480" s="876"/>
      <c r="AD480" s="1525">
        <f t="shared" ref="AD480:AS484" si="294">SUMIF($AV$6:$BS$6,AD$5,$AV480:$BS480)</f>
        <v>0</v>
      </c>
      <c r="AE480" s="1525">
        <f t="shared" si="294"/>
        <v>0</v>
      </c>
      <c r="AF480" s="1525">
        <f t="shared" si="294"/>
        <v>0</v>
      </c>
      <c r="AG480" s="1525">
        <f t="shared" si="294"/>
        <v>0</v>
      </c>
      <c r="AH480" s="1525">
        <f t="shared" si="294"/>
        <v>0</v>
      </c>
      <c r="AI480" s="1525">
        <f t="shared" si="294"/>
        <v>0</v>
      </c>
      <c r="AJ480" s="1525">
        <f t="shared" si="294"/>
        <v>0</v>
      </c>
      <c r="AK480" s="1525">
        <f t="shared" si="294"/>
        <v>0</v>
      </c>
      <c r="AL480" s="1525">
        <f t="shared" si="294"/>
        <v>0</v>
      </c>
      <c r="AM480" s="1525">
        <f t="shared" si="294"/>
        <v>0</v>
      </c>
      <c r="AN480" s="1525">
        <f t="shared" si="294"/>
        <v>0</v>
      </c>
      <c r="AO480" s="1525">
        <f t="shared" si="294"/>
        <v>0</v>
      </c>
      <c r="AP480" s="1525">
        <f t="shared" si="294"/>
        <v>0</v>
      </c>
      <c r="AQ480" s="1525">
        <f t="shared" si="294"/>
        <v>0</v>
      </c>
      <c r="AR480" s="1525">
        <f t="shared" si="294"/>
        <v>0</v>
      </c>
      <c r="AS480" s="1525">
        <f t="shared" si="294"/>
        <v>0</v>
      </c>
      <c r="AU480" s="1525"/>
      <c r="AV480" s="1291"/>
      <c r="AW480" s="1292"/>
      <c r="AX480" s="1292"/>
      <c r="AY480" s="1292"/>
      <c r="AZ480" s="1292"/>
      <c r="BA480" s="1292"/>
      <c r="BB480" s="1292"/>
      <c r="BC480" s="1292"/>
      <c r="BD480" s="1292"/>
      <c r="BE480" s="1292"/>
      <c r="BF480" s="1292"/>
      <c r="BG480" s="1292"/>
      <c r="BH480" s="1292"/>
      <c r="BI480" s="1292"/>
      <c r="BJ480" s="1292"/>
      <c r="BK480" s="1292"/>
      <c r="BL480" s="1292"/>
      <c r="BM480" s="1292"/>
      <c r="BN480" s="1292"/>
      <c r="BO480" s="1292"/>
      <c r="BP480" s="1292"/>
      <c r="BQ480" s="1292"/>
      <c r="BR480" s="1292"/>
      <c r="BS480" s="1292"/>
      <c r="BT480" s="1670">
        <f t="shared" ref="BT480:BT484" si="295">SUM(AV480:BS480)</f>
        <v>0</v>
      </c>
      <c r="BW480" s="859" t="s">
        <v>741</v>
      </c>
    </row>
    <row r="481" spans="2:75" ht="12.75" customHeight="1" x14ac:dyDescent="0.2">
      <c r="B481" s="175">
        <f t="shared" si="274"/>
        <v>2</v>
      </c>
      <c r="C481" s="219">
        <v>12</v>
      </c>
      <c r="E481" s="12" t="s">
        <v>648</v>
      </c>
      <c r="F481" s="24" t="s">
        <v>1235</v>
      </c>
      <c r="G481" s="859" t="s">
        <v>1167</v>
      </c>
      <c r="H481" s="858">
        <v>133251</v>
      </c>
      <c r="I481" s="200" t="s">
        <v>1584</v>
      </c>
      <c r="J481" s="189"/>
      <c r="K481" s="189"/>
      <c r="L481" s="858">
        <v>1</v>
      </c>
      <c r="M481" s="858">
        <f>K481+L481</f>
        <v>1</v>
      </c>
      <c r="N481" s="857" t="s">
        <v>1326</v>
      </c>
      <c r="O481" s="1196">
        <v>21690</v>
      </c>
      <c r="P481" s="1218">
        <f ca="1">YEARFRAC(TODAY(),O481)</f>
        <v>58.366666666666667</v>
      </c>
      <c r="Q481" s="1148">
        <v>35000</v>
      </c>
      <c r="R481" s="874">
        <f>Q481*0.1</f>
        <v>3500</v>
      </c>
      <c r="S481" s="875"/>
      <c r="T481" s="875">
        <v>4500</v>
      </c>
      <c r="U481" s="875"/>
      <c r="V481" s="875"/>
      <c r="W481" s="875"/>
      <c r="X481" s="1026">
        <f>(Q481+R481+S481+T481+U481+V481+W481)*M481</f>
        <v>43000</v>
      </c>
      <c r="Y481" s="1512">
        <f>(T481+U481)*M481/(X481-M481*(T481+U481))</f>
        <v>0.11688311688311688</v>
      </c>
      <c r="Z481" s="1741">
        <f>M481*(1+Y481)</f>
        <v>1.1168831168831168</v>
      </c>
      <c r="AA481" s="1749">
        <f>SUM(AD481:AS481)</f>
        <v>0</v>
      </c>
      <c r="AB481" s="1810">
        <f t="shared" si="293"/>
        <v>0</v>
      </c>
      <c r="AC481" s="876"/>
      <c r="AD481" s="1525">
        <f t="shared" si="294"/>
        <v>0</v>
      </c>
      <c r="AE481" s="1525">
        <f t="shared" si="294"/>
        <v>0</v>
      </c>
      <c r="AF481" s="1525">
        <f t="shared" si="294"/>
        <v>0</v>
      </c>
      <c r="AG481" s="1525">
        <f t="shared" si="294"/>
        <v>0</v>
      </c>
      <c r="AH481" s="1525">
        <f t="shared" si="294"/>
        <v>0</v>
      </c>
      <c r="AI481" s="1525">
        <f t="shared" si="294"/>
        <v>0</v>
      </c>
      <c r="AJ481" s="1525">
        <f t="shared" si="294"/>
        <v>0</v>
      </c>
      <c r="AK481" s="1525">
        <f t="shared" si="294"/>
        <v>0</v>
      </c>
      <c r="AL481" s="1525">
        <f t="shared" si="294"/>
        <v>0</v>
      </c>
      <c r="AM481" s="1525">
        <f t="shared" si="294"/>
        <v>0</v>
      </c>
      <c r="AN481" s="1525">
        <f t="shared" si="294"/>
        <v>0</v>
      </c>
      <c r="AO481" s="1525">
        <f t="shared" si="294"/>
        <v>0</v>
      </c>
      <c r="AP481" s="1525">
        <f t="shared" si="294"/>
        <v>0</v>
      </c>
      <c r="AQ481" s="1525">
        <f t="shared" si="294"/>
        <v>0</v>
      </c>
      <c r="AR481" s="1525">
        <f t="shared" si="294"/>
        <v>0</v>
      </c>
      <c r="AS481" s="1525">
        <f t="shared" si="294"/>
        <v>0</v>
      </c>
      <c r="AU481" s="1525"/>
      <c r="AV481" s="1291"/>
      <c r="AW481" s="1292"/>
      <c r="AX481" s="1292"/>
      <c r="AY481" s="1292"/>
      <c r="AZ481" s="1292"/>
      <c r="BA481" s="1292"/>
      <c r="BB481" s="1292"/>
      <c r="BC481" s="1292"/>
      <c r="BD481" s="1292"/>
      <c r="BE481" s="1292"/>
      <c r="BF481" s="1292"/>
      <c r="BG481" s="1292"/>
      <c r="BH481" s="1292"/>
      <c r="BI481" s="1292"/>
      <c r="BJ481" s="1292"/>
      <c r="BK481" s="1292"/>
      <c r="BL481" s="1292"/>
      <c r="BM481" s="1292"/>
      <c r="BN481" s="1292"/>
      <c r="BO481" s="1292"/>
      <c r="BP481" s="1292"/>
      <c r="BQ481" s="1292"/>
      <c r="BR481" s="1292"/>
      <c r="BS481" s="1292"/>
      <c r="BT481" s="1670">
        <f t="shared" si="295"/>
        <v>0</v>
      </c>
      <c r="BW481" s="859" t="s">
        <v>1167</v>
      </c>
    </row>
    <row r="482" spans="2:75" ht="12.75" customHeight="1" x14ac:dyDescent="0.2">
      <c r="B482" s="175">
        <f t="shared" si="274"/>
        <v>3</v>
      </c>
      <c r="C482" s="219">
        <v>12</v>
      </c>
      <c r="E482" s="12" t="s">
        <v>648</v>
      </c>
      <c r="F482" s="24" t="s">
        <v>1235</v>
      </c>
      <c r="G482" s="859" t="s">
        <v>459</v>
      </c>
      <c r="H482" s="858">
        <v>65434</v>
      </c>
      <c r="I482" s="200" t="s">
        <v>1584</v>
      </c>
      <c r="J482" s="189"/>
      <c r="K482" s="189"/>
      <c r="L482" s="858">
        <v>1</v>
      </c>
      <c r="M482" s="858">
        <f>K482+L482</f>
        <v>1</v>
      </c>
      <c r="N482" s="857" t="s">
        <v>1326</v>
      </c>
      <c r="O482" s="1196">
        <v>21835</v>
      </c>
      <c r="P482" s="1218">
        <f ca="1">YEARFRAC(TODAY(),O482)</f>
        <v>57.972222222222221</v>
      </c>
      <c r="Q482" s="1148">
        <v>28000</v>
      </c>
      <c r="R482" s="874">
        <f>Q482*0.1</f>
        <v>2800</v>
      </c>
      <c r="S482" s="875"/>
      <c r="T482" s="875"/>
      <c r="U482" s="875">
        <v>4000</v>
      </c>
      <c r="V482" s="875"/>
      <c r="W482" s="875"/>
      <c r="X482" s="1026">
        <f>(Q482+R482+S482+T482+U482+V482+W482)*M482</f>
        <v>34800</v>
      </c>
      <c r="Y482" s="1512">
        <f>(T482+U482)*M482/(X482-M482*(T482+U482))</f>
        <v>0.12987012987012986</v>
      </c>
      <c r="Z482" s="1741">
        <f>M482*(1+Y482)</f>
        <v>1.1298701298701299</v>
      </c>
      <c r="AA482" s="1749">
        <f>SUM(AD482:AS482)</f>
        <v>0</v>
      </c>
      <c r="AB482" s="1810">
        <f t="shared" si="293"/>
        <v>0</v>
      </c>
      <c r="AC482" s="876"/>
      <c r="AD482" s="1525">
        <f t="shared" si="294"/>
        <v>0</v>
      </c>
      <c r="AE482" s="1525">
        <f t="shared" si="294"/>
        <v>0</v>
      </c>
      <c r="AF482" s="1525">
        <f t="shared" si="294"/>
        <v>0</v>
      </c>
      <c r="AG482" s="1525">
        <f t="shared" si="294"/>
        <v>0</v>
      </c>
      <c r="AH482" s="1525">
        <f t="shared" si="294"/>
        <v>0</v>
      </c>
      <c r="AI482" s="1525">
        <f t="shared" si="294"/>
        <v>0</v>
      </c>
      <c r="AJ482" s="1525">
        <f t="shared" si="294"/>
        <v>0</v>
      </c>
      <c r="AK482" s="1525">
        <f t="shared" si="294"/>
        <v>0</v>
      </c>
      <c r="AL482" s="1525">
        <f t="shared" si="294"/>
        <v>0</v>
      </c>
      <c r="AM482" s="1525">
        <f t="shared" si="294"/>
        <v>0</v>
      </c>
      <c r="AN482" s="1525">
        <f t="shared" si="294"/>
        <v>0</v>
      </c>
      <c r="AO482" s="1525">
        <f t="shared" si="294"/>
        <v>0</v>
      </c>
      <c r="AP482" s="1525">
        <f t="shared" si="294"/>
        <v>0</v>
      </c>
      <c r="AQ482" s="1525">
        <f t="shared" si="294"/>
        <v>0</v>
      </c>
      <c r="AR482" s="1525">
        <f t="shared" si="294"/>
        <v>0</v>
      </c>
      <c r="AS482" s="1525">
        <f t="shared" si="294"/>
        <v>0</v>
      </c>
      <c r="AU482" s="1525"/>
      <c r="AV482" s="1291"/>
      <c r="AW482" s="1292"/>
      <c r="AX482" s="1292"/>
      <c r="AY482" s="1292"/>
      <c r="AZ482" s="1292"/>
      <c r="BA482" s="1292"/>
      <c r="BB482" s="1292"/>
      <c r="BC482" s="1292"/>
      <c r="BD482" s="1292"/>
      <c r="BE482" s="1292"/>
      <c r="BF482" s="1292"/>
      <c r="BG482" s="1292"/>
      <c r="BH482" s="1292"/>
      <c r="BI482" s="1292"/>
      <c r="BJ482" s="1292"/>
      <c r="BK482" s="1292"/>
      <c r="BL482" s="1292"/>
      <c r="BM482" s="1292"/>
      <c r="BN482" s="1292"/>
      <c r="BO482" s="1292"/>
      <c r="BP482" s="1292"/>
      <c r="BQ482" s="1292"/>
      <c r="BR482" s="1292"/>
      <c r="BS482" s="1292"/>
      <c r="BT482" s="1670">
        <f t="shared" si="295"/>
        <v>0</v>
      </c>
      <c r="BW482" s="859" t="s">
        <v>459</v>
      </c>
    </row>
    <row r="483" spans="2:75" ht="12.75" customHeight="1" x14ac:dyDescent="0.2">
      <c r="B483" s="175">
        <f t="shared" si="274"/>
        <v>4</v>
      </c>
      <c r="C483" s="219">
        <v>18</v>
      </c>
      <c r="E483" s="12" t="s">
        <v>648</v>
      </c>
      <c r="F483" s="24" t="s">
        <v>460</v>
      </c>
      <c r="G483" s="859" t="s">
        <v>461</v>
      </c>
      <c r="H483" s="858">
        <v>6049</v>
      </c>
      <c r="I483" s="200" t="s">
        <v>998</v>
      </c>
      <c r="J483" s="189"/>
      <c r="K483" s="189"/>
      <c r="L483" s="858">
        <v>1</v>
      </c>
      <c r="M483" s="858">
        <f>K483+L483</f>
        <v>1</v>
      </c>
      <c r="N483" s="857" t="s">
        <v>1326</v>
      </c>
      <c r="O483" s="1196">
        <v>17953</v>
      </c>
      <c r="P483" s="1218">
        <f ca="1">YEARFRAC(TODAY(),O483)</f>
        <v>68.605555555555554</v>
      </c>
      <c r="Q483" s="1148">
        <v>26000</v>
      </c>
      <c r="R483" s="874">
        <f>Q483*0.1</f>
        <v>2600</v>
      </c>
      <c r="S483" s="875"/>
      <c r="T483" s="875"/>
      <c r="U483" s="875"/>
      <c r="V483" s="875"/>
      <c r="W483" s="875"/>
      <c r="X483" s="1026">
        <f>(Q483+R483+S483+T483+U483+V483+W483)*M483</f>
        <v>28600</v>
      </c>
      <c r="Y483" s="1512">
        <f>(T483+U483)*M483/(X483-M483*(T483+U483))</f>
        <v>0</v>
      </c>
      <c r="Z483" s="1741">
        <f>M483*(1+Y483)</f>
        <v>1</v>
      </c>
      <c r="AA483" s="1749">
        <f>SUM(AD483:AS483)</f>
        <v>0</v>
      </c>
      <c r="AB483" s="1810">
        <f t="shared" si="293"/>
        <v>0</v>
      </c>
      <c r="AC483" s="876"/>
      <c r="AD483" s="1525">
        <f t="shared" si="294"/>
        <v>0</v>
      </c>
      <c r="AE483" s="1525">
        <f t="shared" si="294"/>
        <v>0</v>
      </c>
      <c r="AF483" s="1525">
        <f t="shared" si="294"/>
        <v>0</v>
      </c>
      <c r="AG483" s="1525">
        <f t="shared" si="294"/>
        <v>0</v>
      </c>
      <c r="AH483" s="1525">
        <f t="shared" si="294"/>
        <v>0</v>
      </c>
      <c r="AI483" s="1525">
        <f t="shared" si="294"/>
        <v>0</v>
      </c>
      <c r="AJ483" s="1525">
        <f t="shared" si="294"/>
        <v>0</v>
      </c>
      <c r="AK483" s="1525">
        <f t="shared" si="294"/>
        <v>0</v>
      </c>
      <c r="AL483" s="1525">
        <f t="shared" si="294"/>
        <v>0</v>
      </c>
      <c r="AM483" s="1525">
        <f t="shared" si="294"/>
        <v>0</v>
      </c>
      <c r="AN483" s="1525">
        <f t="shared" si="294"/>
        <v>0</v>
      </c>
      <c r="AO483" s="1525">
        <f t="shared" si="294"/>
        <v>0</v>
      </c>
      <c r="AP483" s="1525">
        <f t="shared" si="294"/>
        <v>0</v>
      </c>
      <c r="AQ483" s="1525">
        <f t="shared" si="294"/>
        <v>0</v>
      </c>
      <c r="AR483" s="1525">
        <f t="shared" si="294"/>
        <v>0</v>
      </c>
      <c r="AS483" s="1525">
        <f t="shared" si="294"/>
        <v>0</v>
      </c>
      <c r="AU483" s="1525"/>
      <c r="AV483" s="1291"/>
      <c r="AW483" s="1292"/>
      <c r="AX483" s="1292"/>
      <c r="AY483" s="1292"/>
      <c r="AZ483" s="1292"/>
      <c r="BA483" s="1292"/>
      <c r="BB483" s="1292"/>
      <c r="BC483" s="1292"/>
      <c r="BD483" s="1292"/>
      <c r="BE483" s="1292"/>
      <c r="BF483" s="1292"/>
      <c r="BG483" s="1292"/>
      <c r="BH483" s="1292"/>
      <c r="BI483" s="1292"/>
      <c r="BJ483" s="1292"/>
      <c r="BK483" s="1292"/>
      <c r="BL483" s="1292"/>
      <c r="BM483" s="1292"/>
      <c r="BN483" s="1292"/>
      <c r="BO483" s="1292"/>
      <c r="BP483" s="1292"/>
      <c r="BQ483" s="1292"/>
      <c r="BR483" s="1292"/>
      <c r="BS483" s="1292"/>
      <c r="BT483" s="1670">
        <f t="shared" si="295"/>
        <v>0</v>
      </c>
      <c r="BW483" s="859" t="s">
        <v>461</v>
      </c>
    </row>
    <row r="484" spans="2:75" ht="12.75" customHeight="1" x14ac:dyDescent="0.2">
      <c r="B484" s="175">
        <f t="shared" si="274"/>
        <v>5</v>
      </c>
      <c r="C484" s="219">
        <v>18</v>
      </c>
      <c r="E484" s="12" t="s">
        <v>648</v>
      </c>
      <c r="F484" s="24" t="s">
        <v>1620</v>
      </c>
      <c r="G484" s="859" t="s">
        <v>1626</v>
      </c>
      <c r="H484" s="858">
        <v>104036</v>
      </c>
      <c r="I484" s="200" t="s">
        <v>998</v>
      </c>
      <c r="J484" s="189"/>
      <c r="K484" s="189"/>
      <c r="L484" s="858">
        <v>1</v>
      </c>
      <c r="M484" s="858">
        <v>1</v>
      </c>
      <c r="N484" s="857" t="s">
        <v>1326</v>
      </c>
      <c r="O484" s="1196">
        <v>33088</v>
      </c>
      <c r="P484" s="1218">
        <f ca="1">YEARFRAC(TODAY(),O484)</f>
        <v>27.163888888888888</v>
      </c>
      <c r="Q484" s="1148">
        <v>26000</v>
      </c>
      <c r="R484" s="874">
        <f>Q484*0.1</f>
        <v>2600</v>
      </c>
      <c r="S484" s="875"/>
      <c r="T484" s="875"/>
      <c r="U484" s="875"/>
      <c r="V484" s="875"/>
      <c r="W484" s="875"/>
      <c r="X484" s="1026">
        <f>(Q484+R484+S484+T484+U484+V484+W484)*M484</f>
        <v>28600</v>
      </c>
      <c r="Y484" s="1512">
        <f>(T484+U484)*M484/(X484-M484*(T484+U484))</f>
        <v>0</v>
      </c>
      <c r="Z484" s="1741">
        <f>M484*(1+Y484)</f>
        <v>1</v>
      </c>
      <c r="AA484" s="1749">
        <f>SUM(AD484:AS484)</f>
        <v>0</v>
      </c>
      <c r="AB484" s="1810">
        <f t="shared" si="293"/>
        <v>0</v>
      </c>
      <c r="AC484" s="876"/>
      <c r="AD484" s="1525">
        <f t="shared" si="294"/>
        <v>0</v>
      </c>
      <c r="AE484" s="1525">
        <f t="shared" si="294"/>
        <v>0</v>
      </c>
      <c r="AF484" s="1525">
        <f t="shared" si="294"/>
        <v>0</v>
      </c>
      <c r="AG484" s="1525">
        <f t="shared" si="294"/>
        <v>0</v>
      </c>
      <c r="AH484" s="1525">
        <f t="shared" si="294"/>
        <v>0</v>
      </c>
      <c r="AI484" s="1525">
        <f t="shared" si="294"/>
        <v>0</v>
      </c>
      <c r="AJ484" s="1525">
        <f t="shared" si="294"/>
        <v>0</v>
      </c>
      <c r="AK484" s="1525">
        <f t="shared" si="294"/>
        <v>0</v>
      </c>
      <c r="AL484" s="1525">
        <f t="shared" si="294"/>
        <v>0</v>
      </c>
      <c r="AM484" s="1525">
        <f t="shared" si="294"/>
        <v>0</v>
      </c>
      <c r="AN484" s="1525">
        <f t="shared" si="294"/>
        <v>0</v>
      </c>
      <c r="AO484" s="1525">
        <f t="shared" si="294"/>
        <v>0</v>
      </c>
      <c r="AP484" s="1525">
        <f t="shared" si="294"/>
        <v>0</v>
      </c>
      <c r="AQ484" s="1525">
        <f t="shared" si="294"/>
        <v>0</v>
      </c>
      <c r="AR484" s="1525">
        <f t="shared" si="294"/>
        <v>0</v>
      </c>
      <c r="AS484" s="1525">
        <f t="shared" si="294"/>
        <v>0</v>
      </c>
      <c r="AU484" s="1525"/>
      <c r="AV484" s="1291"/>
      <c r="AW484" s="1292"/>
      <c r="AX484" s="1292"/>
      <c r="AY484" s="1292"/>
      <c r="AZ484" s="1292"/>
      <c r="BA484" s="1292"/>
      <c r="BB484" s="1292"/>
      <c r="BC484" s="1292"/>
      <c r="BD484" s="1292"/>
      <c r="BE484" s="1292"/>
      <c r="BF484" s="1292"/>
      <c r="BG484" s="1292"/>
      <c r="BH484" s="1292"/>
      <c r="BI484" s="1292"/>
      <c r="BJ484" s="1292"/>
      <c r="BK484" s="1292"/>
      <c r="BL484" s="1292"/>
      <c r="BM484" s="1292"/>
      <c r="BN484" s="1292"/>
      <c r="BO484" s="1292"/>
      <c r="BP484" s="1292"/>
      <c r="BQ484" s="1292"/>
      <c r="BR484" s="1292"/>
      <c r="BS484" s="1292"/>
      <c r="BT484" s="1670">
        <f t="shared" si="295"/>
        <v>0</v>
      </c>
      <c r="BW484" s="859" t="s">
        <v>1626</v>
      </c>
    </row>
    <row r="485" spans="2:75" s="164" customFormat="1" ht="12.75" customHeight="1" x14ac:dyDescent="0.2">
      <c r="B485" s="175"/>
      <c r="C485" s="219" t="s">
        <v>1120</v>
      </c>
      <c r="F485" s="1" t="s">
        <v>1125</v>
      </c>
      <c r="G485" s="859"/>
      <c r="H485" s="1361" t="s">
        <v>1508</v>
      </c>
      <c r="I485" s="172"/>
      <c r="J485" s="168"/>
      <c r="K485" s="448">
        <f>SUM(K460:K484)</f>
        <v>0</v>
      </c>
      <c r="L485" s="902">
        <f>SUM(L460:L484)</f>
        <v>14.33</v>
      </c>
      <c r="M485" s="902">
        <f>SUM(M460:M484)</f>
        <v>14.33</v>
      </c>
      <c r="N485" s="857"/>
      <c r="O485" s="1192"/>
      <c r="P485" s="550"/>
      <c r="Q485" s="1153"/>
      <c r="R485" s="877"/>
      <c r="S485" s="875"/>
      <c r="T485" s="875"/>
      <c r="U485" s="875"/>
      <c r="V485" s="875"/>
      <c r="W485" s="875"/>
      <c r="X485" s="1026"/>
      <c r="Y485" s="1335"/>
      <c r="Z485" s="1335"/>
      <c r="AA485" s="1775"/>
      <c r="AB485" s="1814"/>
      <c r="AC485" s="876"/>
      <c r="AD485" s="1295"/>
      <c r="AE485" s="1525"/>
      <c r="AF485" s="1525"/>
      <c r="AG485" s="1525"/>
      <c r="AH485" s="1525"/>
      <c r="AI485" s="1525"/>
      <c r="AJ485" s="1525"/>
      <c r="AK485" s="1525"/>
      <c r="AL485" s="1525"/>
      <c r="AM485" s="1525"/>
      <c r="AN485" s="1525"/>
      <c r="AO485" s="1525"/>
      <c r="AP485" s="1525"/>
      <c r="AQ485" s="1525"/>
      <c r="AR485" s="1525"/>
      <c r="AS485" s="1525"/>
      <c r="AU485" s="1525"/>
      <c r="AV485" s="1295"/>
      <c r="AW485" s="1525"/>
      <c r="AX485" s="1525"/>
      <c r="AY485" s="1525"/>
      <c r="AZ485" s="1525"/>
      <c r="BA485" s="1525"/>
      <c r="BB485" s="1525"/>
      <c r="BC485" s="1525"/>
      <c r="BD485" s="1525"/>
      <c r="BE485" s="1525"/>
      <c r="BF485" s="1525"/>
      <c r="BG485" s="1525"/>
      <c r="BH485" s="1525"/>
      <c r="BI485" s="1525"/>
      <c r="BJ485" s="1525"/>
      <c r="BK485" s="1525"/>
      <c r="BL485" s="1525"/>
      <c r="BM485" s="1525"/>
      <c r="BN485" s="1525"/>
      <c r="BO485" s="1525"/>
      <c r="BP485" s="1525"/>
      <c r="BQ485" s="1525"/>
      <c r="BR485" s="1525"/>
      <c r="BS485" s="1525"/>
      <c r="BT485" s="1670"/>
      <c r="BV485"/>
      <c r="BW485" s="859"/>
    </row>
    <row r="486" spans="2:75" s="164" customFormat="1" ht="12.75" customHeight="1" x14ac:dyDescent="0.2">
      <c r="B486" s="175"/>
      <c r="F486" s="1"/>
      <c r="G486" s="859"/>
      <c r="H486" s="1346" t="s">
        <v>1508</v>
      </c>
      <c r="I486" s="172"/>
      <c r="J486" s="168"/>
      <c r="K486" s="168"/>
      <c r="L486" s="858"/>
      <c r="M486" s="858"/>
      <c r="N486" s="857"/>
      <c r="O486" s="1192"/>
      <c r="P486" s="550"/>
      <c r="Q486" s="1148"/>
      <c r="R486" s="874"/>
      <c r="S486" s="875"/>
      <c r="T486" s="875"/>
      <c r="U486" s="875"/>
      <c r="V486" s="875"/>
      <c r="W486" s="875"/>
      <c r="X486" s="1026"/>
      <c r="Y486" s="1754"/>
      <c r="Z486" s="1755"/>
      <c r="AA486" s="1775"/>
      <c r="AB486" s="1814"/>
      <c r="AC486" s="876"/>
      <c r="AD486" s="1295"/>
      <c r="AE486" s="1525"/>
      <c r="AF486" s="1525"/>
      <c r="AG486" s="1525"/>
      <c r="AH486" s="1525"/>
      <c r="AI486" s="1525"/>
      <c r="AJ486" s="1525"/>
      <c r="AK486" s="1525"/>
      <c r="AL486" s="1525"/>
      <c r="AM486" s="1525"/>
      <c r="AN486" s="1525"/>
      <c r="AO486" s="1525"/>
      <c r="AP486" s="1525"/>
      <c r="AQ486" s="1525"/>
      <c r="AR486" s="1525"/>
      <c r="AS486" s="1525"/>
      <c r="AU486" s="1525"/>
      <c r="AV486" s="1295"/>
      <c r="AW486" s="1525"/>
      <c r="AX486" s="1525"/>
      <c r="AY486" s="1525"/>
      <c r="AZ486" s="1525"/>
      <c r="BA486" s="1525"/>
      <c r="BB486" s="1525"/>
      <c r="BC486" s="1525"/>
      <c r="BD486" s="1525"/>
      <c r="BE486" s="1525"/>
      <c r="BF486" s="1525"/>
      <c r="BG486" s="1525"/>
      <c r="BH486" s="1525"/>
      <c r="BI486" s="1525"/>
      <c r="BJ486" s="1525"/>
      <c r="BK486" s="1525"/>
      <c r="BL486" s="1525"/>
      <c r="BM486" s="1525"/>
      <c r="BN486" s="1525"/>
      <c r="BO486" s="1525"/>
      <c r="BP486" s="1525"/>
      <c r="BQ486" s="1525"/>
      <c r="BR486" s="1525"/>
      <c r="BS486" s="1525"/>
      <c r="BT486" s="1670"/>
      <c r="BV486"/>
      <c r="BW486" s="859"/>
    </row>
    <row r="487" spans="2:75" s="164" customFormat="1" ht="12.75" customHeight="1" x14ac:dyDescent="0.2">
      <c r="B487" s="175"/>
      <c r="F487" s="21" t="s">
        <v>462</v>
      </c>
      <c r="G487" s="898"/>
      <c r="H487" s="1346" t="s">
        <v>1508</v>
      </c>
      <c r="I487" s="200"/>
      <c r="J487" s="189"/>
      <c r="K487" s="189"/>
      <c r="L487" s="858"/>
      <c r="M487" s="858"/>
      <c r="N487" s="857"/>
      <c r="O487" s="1192"/>
      <c r="P487" s="550"/>
      <c r="Q487" s="1148"/>
      <c r="R487" s="874"/>
      <c r="S487" s="875"/>
      <c r="T487" s="875"/>
      <c r="U487" s="875"/>
      <c r="V487" s="875"/>
      <c r="W487" s="875"/>
      <c r="X487" s="1026"/>
      <c r="Y487" s="1754"/>
      <c r="Z487" s="1755"/>
      <c r="AA487" s="1775"/>
      <c r="AB487" s="1814"/>
      <c r="AC487" s="876"/>
      <c r="AD487" s="1295"/>
      <c r="AE487" s="1525"/>
      <c r="AF487" s="1525"/>
      <c r="AG487" s="1525"/>
      <c r="AH487" s="1525"/>
      <c r="AI487" s="1525"/>
      <c r="AJ487" s="1525"/>
      <c r="AK487" s="1525"/>
      <c r="AL487" s="1525"/>
      <c r="AM487" s="1525"/>
      <c r="AN487" s="1525"/>
      <c r="AO487" s="1525"/>
      <c r="AP487" s="1525"/>
      <c r="AQ487" s="1525"/>
      <c r="AR487" s="1525"/>
      <c r="AS487" s="1525"/>
      <c r="AU487" s="1525"/>
      <c r="AV487" s="1295"/>
      <c r="AW487" s="1525"/>
      <c r="AX487" s="1525"/>
      <c r="AY487" s="1525"/>
      <c r="AZ487" s="1525"/>
      <c r="BA487" s="1525"/>
      <c r="BB487" s="1525"/>
      <c r="BC487" s="1525"/>
      <c r="BD487" s="1525"/>
      <c r="BE487" s="1525"/>
      <c r="BF487" s="1525"/>
      <c r="BG487" s="1525"/>
      <c r="BH487" s="1525"/>
      <c r="BI487" s="1525"/>
      <c r="BJ487" s="1525"/>
      <c r="BK487" s="1525"/>
      <c r="BL487" s="1525"/>
      <c r="BM487" s="1525"/>
      <c r="BN487" s="1525"/>
      <c r="BO487" s="1525"/>
      <c r="BP487" s="1525"/>
      <c r="BQ487" s="1525"/>
      <c r="BR487" s="1525"/>
      <c r="BS487" s="1525"/>
      <c r="BT487" s="1670"/>
      <c r="BV487"/>
      <c r="BW487" s="898"/>
    </row>
    <row r="488" spans="2:75" s="164" customFormat="1" ht="12.75" customHeight="1" x14ac:dyDescent="0.2">
      <c r="B488" s="175"/>
      <c r="F488" s="21" t="s">
        <v>1161</v>
      </c>
      <c r="G488" s="859"/>
      <c r="H488" s="1346" t="s">
        <v>1508</v>
      </c>
      <c r="I488" s="200"/>
      <c r="J488" s="189"/>
      <c r="K488" s="189"/>
      <c r="L488" s="858"/>
      <c r="M488" s="858"/>
      <c r="N488" s="857"/>
      <c r="O488" s="1192"/>
      <c r="P488" s="550"/>
      <c r="Q488" s="1148"/>
      <c r="R488" s="874"/>
      <c r="S488" s="875"/>
      <c r="T488" s="875"/>
      <c r="U488" s="875"/>
      <c r="V488" s="875"/>
      <c r="W488" s="875"/>
      <c r="X488" s="1026"/>
      <c r="Y488" s="1754"/>
      <c r="Z488" s="1755"/>
      <c r="AA488" s="1775"/>
      <c r="AB488" s="1814"/>
      <c r="AC488" s="876"/>
      <c r="AD488" s="1295"/>
      <c r="AE488" s="1525"/>
      <c r="AF488" s="1525"/>
      <c r="AG488" s="1525"/>
      <c r="AH488" s="1525"/>
      <c r="AI488" s="1525"/>
      <c r="AJ488" s="1525"/>
      <c r="AK488" s="1525"/>
      <c r="AL488" s="1525"/>
      <c r="AM488" s="1525"/>
      <c r="AN488" s="1525"/>
      <c r="AO488" s="1525"/>
      <c r="AP488" s="1525"/>
      <c r="AQ488" s="1525"/>
      <c r="AR488" s="1525"/>
      <c r="AS488" s="1525"/>
      <c r="AU488" s="1525"/>
      <c r="AV488" s="1295"/>
      <c r="AW488" s="1525"/>
      <c r="AX488" s="1525"/>
      <c r="AY488" s="1525"/>
      <c r="AZ488" s="1525"/>
      <c r="BA488" s="1525"/>
      <c r="BB488" s="1525"/>
      <c r="BC488" s="1525"/>
      <c r="BD488" s="1525"/>
      <c r="BE488" s="1525"/>
      <c r="BF488" s="1525"/>
      <c r="BG488" s="1525"/>
      <c r="BH488" s="1525"/>
      <c r="BI488" s="1525"/>
      <c r="BJ488" s="1525"/>
      <c r="BK488" s="1525"/>
      <c r="BL488" s="1525"/>
      <c r="BM488" s="1525"/>
      <c r="BN488" s="1525"/>
      <c r="BO488" s="1525"/>
      <c r="BP488" s="1525"/>
      <c r="BQ488" s="1525"/>
      <c r="BR488" s="1525"/>
      <c r="BS488" s="1525"/>
      <c r="BT488" s="1670"/>
      <c r="BV488"/>
      <c r="BW488" s="859"/>
    </row>
    <row r="489" spans="2:75" s="164" customFormat="1" ht="12.75" customHeight="1" x14ac:dyDescent="0.2">
      <c r="B489" s="175"/>
      <c r="C489" s="170"/>
      <c r="D489" s="170"/>
      <c r="E489" s="170"/>
      <c r="F489" s="4" t="s">
        <v>1162</v>
      </c>
      <c r="G489" s="862"/>
      <c r="H489" s="1347" t="s">
        <v>1508</v>
      </c>
      <c r="I489" s="197"/>
      <c r="J489" s="174"/>
      <c r="K489" s="174"/>
      <c r="L489" s="861"/>
      <c r="M489" s="861"/>
      <c r="N489" s="836"/>
      <c r="O489" s="1192"/>
      <c r="P489" s="1294"/>
      <c r="Q489" s="1148"/>
      <c r="R489" s="874"/>
      <c r="S489" s="876"/>
      <c r="T489" s="876"/>
      <c r="U489" s="876"/>
      <c r="V489" s="876"/>
      <c r="W489" s="876"/>
      <c r="X489" s="1026"/>
      <c r="Y489" s="1754"/>
      <c r="Z489" s="1755"/>
      <c r="AA489" s="1775"/>
      <c r="AB489" s="1814"/>
      <c r="AC489" s="876"/>
      <c r="AD489" s="1295"/>
      <c r="AE489" s="1525"/>
      <c r="AF489" s="1525"/>
      <c r="AG489" s="1525"/>
      <c r="AH489" s="1525"/>
      <c r="AI489" s="1525"/>
      <c r="AJ489" s="1525"/>
      <c r="AK489" s="1525"/>
      <c r="AL489" s="1525"/>
      <c r="AM489" s="1525"/>
      <c r="AN489" s="1525"/>
      <c r="AO489" s="1525"/>
      <c r="AP489" s="1525"/>
      <c r="AQ489" s="1525"/>
      <c r="AR489" s="1525"/>
      <c r="AS489" s="1525"/>
      <c r="AU489" s="1525"/>
      <c r="AV489" s="1295"/>
      <c r="AW489" s="1525"/>
      <c r="AX489" s="1525"/>
      <c r="AY489" s="1525"/>
      <c r="AZ489" s="1525"/>
      <c r="BA489" s="1525"/>
      <c r="BB489" s="1525"/>
      <c r="BC489" s="1525"/>
      <c r="BD489" s="1525"/>
      <c r="BE489" s="1525"/>
      <c r="BF489" s="1525"/>
      <c r="BG489" s="1525"/>
      <c r="BH489" s="1525"/>
      <c r="BI489" s="1525"/>
      <c r="BJ489" s="1525"/>
      <c r="BK489" s="1525"/>
      <c r="BL489" s="1525"/>
      <c r="BM489" s="1525"/>
      <c r="BN489" s="1525"/>
      <c r="BO489" s="1525"/>
      <c r="BP489" s="1525"/>
      <c r="BQ489" s="1525"/>
      <c r="BR489" s="1525"/>
      <c r="BS489" s="1525"/>
      <c r="BT489" s="1670"/>
      <c r="BV489"/>
      <c r="BW489" s="862"/>
    </row>
    <row r="490" spans="2:75" s="164" customFormat="1" ht="12.75" customHeight="1" x14ac:dyDescent="0.2">
      <c r="B490" s="175"/>
      <c r="F490" s="24"/>
      <c r="G490" s="859"/>
      <c r="H490" s="1346" t="s">
        <v>1508</v>
      </c>
      <c r="I490" s="200"/>
      <c r="J490" s="189"/>
      <c r="K490" s="189"/>
      <c r="L490" s="858"/>
      <c r="M490" s="858"/>
      <c r="N490" s="857"/>
      <c r="O490" s="1192"/>
      <c r="P490" s="550"/>
      <c r="Q490" s="1148"/>
      <c r="R490" s="874"/>
      <c r="S490" s="875"/>
      <c r="T490" s="875"/>
      <c r="U490" s="875"/>
      <c r="V490" s="875"/>
      <c r="W490" s="875"/>
      <c r="X490" s="1026"/>
      <c r="Y490" s="1754"/>
      <c r="Z490" s="1755"/>
      <c r="AA490" s="1775"/>
      <c r="AB490" s="1814"/>
      <c r="AC490" s="876"/>
      <c r="AD490" s="1295"/>
      <c r="AE490" s="1525"/>
      <c r="AF490" s="1525"/>
      <c r="AG490" s="1525"/>
      <c r="AH490" s="1525"/>
      <c r="AI490" s="1525"/>
      <c r="AJ490" s="1525"/>
      <c r="AK490" s="1525"/>
      <c r="AL490" s="1525"/>
      <c r="AM490" s="1525"/>
      <c r="AN490" s="1525"/>
      <c r="AO490" s="1525"/>
      <c r="AP490" s="1525"/>
      <c r="AQ490" s="1525"/>
      <c r="AR490" s="1525"/>
      <c r="AS490" s="1525"/>
      <c r="AU490" s="1525"/>
      <c r="AV490" s="1295"/>
      <c r="AW490" s="1525"/>
      <c r="AX490" s="1525"/>
      <c r="AY490" s="1525"/>
      <c r="AZ490" s="1525"/>
      <c r="BA490" s="1525"/>
      <c r="BB490" s="1525"/>
      <c r="BC490" s="1525"/>
      <c r="BD490" s="1525"/>
      <c r="BE490" s="1525"/>
      <c r="BF490" s="1525"/>
      <c r="BG490" s="1525"/>
      <c r="BH490" s="1525"/>
      <c r="BI490" s="1525"/>
      <c r="BJ490" s="1525"/>
      <c r="BK490" s="1525"/>
      <c r="BL490" s="1525"/>
      <c r="BM490" s="1525"/>
      <c r="BN490" s="1525"/>
      <c r="BO490" s="1525"/>
      <c r="BP490" s="1525"/>
      <c r="BQ490" s="1525"/>
      <c r="BR490" s="1525"/>
      <c r="BS490" s="1525"/>
      <c r="BT490" s="1670"/>
      <c r="BV490"/>
      <c r="BW490" s="859"/>
    </row>
    <row r="491" spans="2:75" ht="12.75" customHeight="1" x14ac:dyDescent="0.2">
      <c r="B491" s="175">
        <f t="shared" ref="B491:B546" si="296">B490+1</f>
        <v>1</v>
      </c>
      <c r="C491" s="219">
        <v>8</v>
      </c>
      <c r="E491" s="12" t="s">
        <v>648</v>
      </c>
      <c r="F491" s="4" t="s">
        <v>353</v>
      </c>
      <c r="G491" s="922" t="s">
        <v>654</v>
      </c>
      <c r="H491" s="861">
        <v>264189</v>
      </c>
      <c r="I491" s="197" t="s">
        <v>351</v>
      </c>
      <c r="J491" s="174">
        <v>1</v>
      </c>
      <c r="K491" s="174"/>
      <c r="L491" s="861">
        <v>0.5</v>
      </c>
      <c r="M491" s="861">
        <f>K491+L491</f>
        <v>0.5</v>
      </c>
      <c r="N491" s="836" t="s">
        <v>892</v>
      </c>
      <c r="O491" s="1196">
        <v>16714</v>
      </c>
      <c r="P491" s="1218">
        <f ca="1">YEARFRAC(TODAY(),O491)</f>
        <v>71.99444444444444</v>
      </c>
      <c r="Q491" s="1148">
        <v>33300</v>
      </c>
      <c r="R491" s="874"/>
      <c r="S491" s="876"/>
      <c r="T491" s="876"/>
      <c r="U491" s="876"/>
      <c r="V491" s="876"/>
      <c r="W491" s="876"/>
      <c r="X491" s="1026">
        <f>(Q491+R491+S491+T491+U491+V491+W491)*M491</f>
        <v>16650</v>
      </c>
      <c r="Y491" s="1512">
        <f>(T491+U491)*M491/(X491-M491*(T491+U491))</f>
        <v>0</v>
      </c>
      <c r="Z491" s="1741">
        <f>M491*(1+Y491)</f>
        <v>0.5</v>
      </c>
      <c r="AA491" s="1749">
        <f>SUM(AD491:AS491)</f>
        <v>0</v>
      </c>
      <c r="AB491" s="1810">
        <f t="shared" ref="AB491:AB494" si="297">100*AA491/Z491</f>
        <v>0</v>
      </c>
      <c r="AC491" s="876"/>
      <c r="AD491" s="1525">
        <f t="shared" ref="AD491:AS494" si="298">SUMIF($AV$6:$BS$6,AD$5,$AV491:$BS491)</f>
        <v>0</v>
      </c>
      <c r="AE491" s="1525">
        <f t="shared" si="298"/>
        <v>0</v>
      </c>
      <c r="AF491" s="1525">
        <f t="shared" si="298"/>
        <v>0</v>
      </c>
      <c r="AG491" s="1525">
        <f t="shared" si="298"/>
        <v>0</v>
      </c>
      <c r="AH491" s="1525">
        <f t="shared" si="298"/>
        <v>0</v>
      </c>
      <c r="AI491" s="1525">
        <f t="shared" si="298"/>
        <v>0</v>
      </c>
      <c r="AJ491" s="1525">
        <f t="shared" si="298"/>
        <v>0</v>
      </c>
      <c r="AK491" s="1525">
        <f t="shared" si="298"/>
        <v>0</v>
      </c>
      <c r="AL491" s="1525">
        <f t="shared" si="298"/>
        <v>0</v>
      </c>
      <c r="AM491" s="1525">
        <f t="shared" si="298"/>
        <v>0</v>
      </c>
      <c r="AN491" s="1525">
        <f t="shared" si="298"/>
        <v>0</v>
      </c>
      <c r="AO491" s="1525">
        <f t="shared" si="298"/>
        <v>0</v>
      </c>
      <c r="AP491" s="1525">
        <f t="shared" si="298"/>
        <v>0</v>
      </c>
      <c r="AQ491" s="1525">
        <f t="shared" si="298"/>
        <v>0</v>
      </c>
      <c r="AR491" s="1525">
        <f t="shared" si="298"/>
        <v>0</v>
      </c>
      <c r="AS491" s="1525">
        <f t="shared" si="298"/>
        <v>0</v>
      </c>
      <c r="AU491" s="1525"/>
      <c r="AV491" s="1291"/>
      <c r="AW491" s="1292"/>
      <c r="AX491" s="1292"/>
      <c r="AY491" s="1292"/>
      <c r="AZ491" s="1292"/>
      <c r="BA491" s="1292"/>
      <c r="BB491" s="1292"/>
      <c r="BC491" s="1292"/>
      <c r="BD491" s="1292"/>
      <c r="BE491" s="1292"/>
      <c r="BF491" s="1292"/>
      <c r="BG491" s="1292"/>
      <c r="BH491" s="1292"/>
      <c r="BI491" s="1292"/>
      <c r="BJ491" s="1292"/>
      <c r="BK491" s="1292"/>
      <c r="BL491" s="1292"/>
      <c r="BM491" s="1292"/>
      <c r="BN491" s="1292"/>
      <c r="BO491" s="1292"/>
      <c r="BP491" s="1292"/>
      <c r="BQ491" s="1292"/>
      <c r="BR491" s="1292"/>
      <c r="BS491" s="1292"/>
      <c r="BT491" s="1670">
        <f t="shared" ref="BT491:BT494" si="299">SUM(AV491:BS491)</f>
        <v>0</v>
      </c>
      <c r="BW491" s="922" t="s">
        <v>654</v>
      </c>
    </row>
    <row r="492" spans="2:75" ht="12.75" customHeight="1" x14ac:dyDescent="0.2">
      <c r="B492" s="175">
        <f t="shared" si="296"/>
        <v>2</v>
      </c>
      <c r="C492" s="219">
        <v>23</v>
      </c>
      <c r="E492" s="12" t="s">
        <v>648</v>
      </c>
      <c r="F492" s="24" t="s">
        <v>1406</v>
      </c>
      <c r="G492" s="859" t="s">
        <v>1163</v>
      </c>
      <c r="H492" s="858">
        <v>6255</v>
      </c>
      <c r="I492" s="200" t="s">
        <v>1584</v>
      </c>
      <c r="J492" s="189"/>
      <c r="K492" s="189"/>
      <c r="L492" s="858">
        <v>1</v>
      </c>
      <c r="M492" s="858">
        <f>K492+L492</f>
        <v>1</v>
      </c>
      <c r="N492" s="857" t="s">
        <v>1326</v>
      </c>
      <c r="O492" s="1196">
        <v>13721</v>
      </c>
      <c r="P492" s="1218">
        <f ca="1">YEARFRAC(TODAY(),O492)</f>
        <v>80.186111111111117</v>
      </c>
      <c r="Q492" s="1148">
        <v>35000</v>
      </c>
      <c r="R492" s="874">
        <f>Q492*0.1</f>
        <v>3500</v>
      </c>
      <c r="S492" s="875"/>
      <c r="T492" s="875">
        <v>2000</v>
      </c>
      <c r="U492" s="875">
        <v>2500</v>
      </c>
      <c r="V492" s="875"/>
      <c r="W492" s="875"/>
      <c r="X492" s="1026">
        <f>(Q492+R492+S492+T492+U492+V492+W492)*M492</f>
        <v>43000</v>
      </c>
      <c r="Y492" s="1512">
        <f>(T492+U492)*M492/(X492-M492*(T492+U492))</f>
        <v>0.11688311688311688</v>
      </c>
      <c r="Z492" s="1741">
        <f>M492*(1+Y492)</f>
        <v>1.1168831168831168</v>
      </c>
      <c r="AA492" s="1749">
        <f>SUM(AD492:AS492)</f>
        <v>0</v>
      </c>
      <c r="AB492" s="1810">
        <f t="shared" si="297"/>
        <v>0</v>
      </c>
      <c r="AC492" s="876"/>
      <c r="AD492" s="1525">
        <f t="shared" si="298"/>
        <v>0</v>
      </c>
      <c r="AE492" s="1525">
        <f t="shared" si="298"/>
        <v>0</v>
      </c>
      <c r="AF492" s="1525">
        <f t="shared" si="298"/>
        <v>0</v>
      </c>
      <c r="AG492" s="1525">
        <f t="shared" si="298"/>
        <v>0</v>
      </c>
      <c r="AH492" s="1525">
        <f t="shared" si="298"/>
        <v>0</v>
      </c>
      <c r="AI492" s="1525">
        <f t="shared" si="298"/>
        <v>0</v>
      </c>
      <c r="AJ492" s="1525">
        <f t="shared" si="298"/>
        <v>0</v>
      </c>
      <c r="AK492" s="1525">
        <f t="shared" si="298"/>
        <v>0</v>
      </c>
      <c r="AL492" s="1525">
        <f t="shared" si="298"/>
        <v>0</v>
      </c>
      <c r="AM492" s="1525">
        <f t="shared" si="298"/>
        <v>0</v>
      </c>
      <c r="AN492" s="1525">
        <f t="shared" si="298"/>
        <v>0</v>
      </c>
      <c r="AO492" s="1525">
        <f t="shared" si="298"/>
        <v>0</v>
      </c>
      <c r="AP492" s="1525">
        <f t="shared" si="298"/>
        <v>0</v>
      </c>
      <c r="AQ492" s="1525">
        <f t="shared" si="298"/>
        <v>0</v>
      </c>
      <c r="AR492" s="1525">
        <f t="shared" si="298"/>
        <v>0</v>
      </c>
      <c r="AS492" s="1525">
        <f t="shared" si="298"/>
        <v>0</v>
      </c>
      <c r="AU492" s="1525"/>
      <c r="AV492" s="1291"/>
      <c r="AW492" s="1292"/>
      <c r="AX492" s="1292"/>
      <c r="AY492" s="1292"/>
      <c r="AZ492" s="1292"/>
      <c r="BA492" s="1292"/>
      <c r="BB492" s="1292"/>
      <c r="BC492" s="1292"/>
      <c r="BD492" s="1292"/>
      <c r="BE492" s="1292"/>
      <c r="BF492" s="1292"/>
      <c r="BG492" s="1292"/>
      <c r="BH492" s="1292"/>
      <c r="BI492" s="1292"/>
      <c r="BJ492" s="1292"/>
      <c r="BK492" s="1292"/>
      <c r="BL492" s="1292"/>
      <c r="BM492" s="1292"/>
      <c r="BN492" s="1292"/>
      <c r="BO492" s="1292"/>
      <c r="BP492" s="1292"/>
      <c r="BQ492" s="1292"/>
      <c r="BR492" s="1292"/>
      <c r="BS492" s="1292"/>
      <c r="BT492" s="1670">
        <f t="shared" si="299"/>
        <v>0</v>
      </c>
      <c r="BW492" s="859" t="s">
        <v>1163</v>
      </c>
    </row>
    <row r="493" spans="2:75" ht="12.75" customHeight="1" x14ac:dyDescent="0.2">
      <c r="B493" s="175">
        <f t="shared" si="296"/>
        <v>3</v>
      </c>
      <c r="C493" s="219">
        <v>24</v>
      </c>
      <c r="E493" s="12" t="s">
        <v>648</v>
      </c>
      <c r="F493" s="24" t="s">
        <v>1248</v>
      </c>
      <c r="G493" s="859" t="s">
        <v>1915</v>
      </c>
      <c r="H493" s="858">
        <v>231119</v>
      </c>
      <c r="I493" s="200" t="s">
        <v>1584</v>
      </c>
      <c r="J493" s="189"/>
      <c r="K493" s="189"/>
      <c r="L493" s="858">
        <v>1</v>
      </c>
      <c r="M493" s="858">
        <f>K493+L493</f>
        <v>1</v>
      </c>
      <c r="N493" s="857" t="s">
        <v>1326</v>
      </c>
      <c r="O493" s="1196">
        <v>22358</v>
      </c>
      <c r="P493" s="1218">
        <f ca="1">YEARFRAC(TODAY(),O493)</f>
        <v>56.538888888888891</v>
      </c>
      <c r="Q493" s="1148">
        <v>26000</v>
      </c>
      <c r="R493" s="874">
        <f>Q493*0.1</f>
        <v>2600</v>
      </c>
      <c r="S493" s="875"/>
      <c r="T493" s="875"/>
      <c r="U493" s="875">
        <v>2500</v>
      </c>
      <c r="V493" s="875"/>
      <c r="W493" s="875"/>
      <c r="X493" s="1026">
        <f>(Q493+R493+S493+T493+U493+V493+W493)*M493</f>
        <v>31100</v>
      </c>
      <c r="Y493" s="1512">
        <f>(T493+U493)*M493/(X493-M493*(T493+U493))</f>
        <v>8.7412587412587409E-2</v>
      </c>
      <c r="Z493" s="1741">
        <f>M493*(1+Y493)</f>
        <v>1.0874125874125875</v>
      </c>
      <c r="AA493" s="1749">
        <f>SUM(AD493:AS493)</f>
        <v>0</v>
      </c>
      <c r="AB493" s="1810">
        <f t="shared" si="297"/>
        <v>0</v>
      </c>
      <c r="AC493" s="876"/>
      <c r="AD493" s="1525">
        <f t="shared" si="298"/>
        <v>0</v>
      </c>
      <c r="AE493" s="1525">
        <f t="shared" si="298"/>
        <v>0</v>
      </c>
      <c r="AF493" s="1525">
        <f t="shared" si="298"/>
        <v>0</v>
      </c>
      <c r="AG493" s="1525">
        <f t="shared" si="298"/>
        <v>0</v>
      </c>
      <c r="AH493" s="1525">
        <f t="shared" si="298"/>
        <v>0</v>
      </c>
      <c r="AI493" s="1525">
        <f t="shared" si="298"/>
        <v>0</v>
      </c>
      <c r="AJ493" s="1525">
        <f t="shared" si="298"/>
        <v>0</v>
      </c>
      <c r="AK493" s="1525">
        <f t="shared" si="298"/>
        <v>0</v>
      </c>
      <c r="AL493" s="1525">
        <f t="shared" si="298"/>
        <v>0</v>
      </c>
      <c r="AM493" s="1525">
        <f t="shared" si="298"/>
        <v>0</v>
      </c>
      <c r="AN493" s="1525">
        <f t="shared" si="298"/>
        <v>0</v>
      </c>
      <c r="AO493" s="1525">
        <f t="shared" si="298"/>
        <v>0</v>
      </c>
      <c r="AP493" s="1525">
        <f t="shared" si="298"/>
        <v>0</v>
      </c>
      <c r="AQ493" s="1525">
        <f t="shared" si="298"/>
        <v>0</v>
      </c>
      <c r="AR493" s="1525">
        <f t="shared" si="298"/>
        <v>0</v>
      </c>
      <c r="AS493" s="1525">
        <f t="shared" si="298"/>
        <v>0</v>
      </c>
      <c r="AU493" s="1525"/>
      <c r="AV493" s="1291"/>
      <c r="AW493" s="1292"/>
      <c r="AX493" s="1292"/>
      <c r="AY493" s="1292"/>
      <c r="AZ493" s="1292"/>
      <c r="BA493" s="1292"/>
      <c r="BB493" s="1292"/>
      <c r="BC493" s="1292"/>
      <c r="BD493" s="1292"/>
      <c r="BE493" s="1292"/>
      <c r="BF493" s="1292"/>
      <c r="BG493" s="1292"/>
      <c r="BH493" s="1292"/>
      <c r="BI493" s="1292"/>
      <c r="BJ493" s="1292"/>
      <c r="BK493" s="1292"/>
      <c r="BL493" s="1292"/>
      <c r="BM493" s="1292"/>
      <c r="BN493" s="1292"/>
      <c r="BO493" s="1292"/>
      <c r="BP493" s="1292"/>
      <c r="BQ493" s="1292"/>
      <c r="BR493" s="1292"/>
      <c r="BS493" s="1292"/>
      <c r="BT493" s="1670">
        <f t="shared" si="299"/>
        <v>0</v>
      </c>
      <c r="BW493" s="859" t="s">
        <v>1915</v>
      </c>
    </row>
    <row r="494" spans="2:75" ht="12.75" customHeight="1" x14ac:dyDescent="0.2">
      <c r="B494" s="175">
        <f t="shared" si="296"/>
        <v>4</v>
      </c>
      <c r="C494" s="219">
        <v>24</v>
      </c>
      <c r="E494" s="12" t="s">
        <v>648</v>
      </c>
      <c r="F494" s="24" t="s">
        <v>1248</v>
      </c>
      <c r="G494" s="859" t="s">
        <v>1472</v>
      </c>
      <c r="H494" s="858">
        <v>294140</v>
      </c>
      <c r="I494" s="200" t="s">
        <v>1584</v>
      </c>
      <c r="J494" s="189"/>
      <c r="K494" s="189"/>
      <c r="L494" s="858">
        <v>1</v>
      </c>
      <c r="M494" s="858">
        <v>1</v>
      </c>
      <c r="N494" s="857" t="s">
        <v>1326</v>
      </c>
      <c r="O494" s="1196">
        <v>29622</v>
      </c>
      <c r="P494" s="1218">
        <f ca="1">YEARFRAC(TODAY(),O494)</f>
        <v>36.658333333333331</v>
      </c>
      <c r="Q494" s="1148">
        <v>30000</v>
      </c>
      <c r="R494" s="874">
        <f>Q494*0.1</f>
        <v>3000</v>
      </c>
      <c r="S494" s="875"/>
      <c r="T494" s="875"/>
      <c r="U494" s="875"/>
      <c r="V494" s="875"/>
      <c r="W494" s="875"/>
      <c r="X494" s="1026">
        <f>(Q494+R494+S494+T494+U494+V494+W494)*M494</f>
        <v>33000</v>
      </c>
      <c r="Y494" s="1512">
        <f>(T494+U494)*M494/(X494-M494*(T494+U494))</f>
        <v>0</v>
      </c>
      <c r="Z494" s="1741">
        <f>M494*(1+Y494)</f>
        <v>1</v>
      </c>
      <c r="AA494" s="1749">
        <f>SUM(AD494:AS494)</f>
        <v>0</v>
      </c>
      <c r="AB494" s="1810">
        <f t="shared" si="297"/>
        <v>0</v>
      </c>
      <c r="AC494" s="876"/>
      <c r="AD494" s="1525">
        <f t="shared" si="298"/>
        <v>0</v>
      </c>
      <c r="AE494" s="1525">
        <f t="shared" si="298"/>
        <v>0</v>
      </c>
      <c r="AF494" s="1525">
        <f t="shared" si="298"/>
        <v>0</v>
      </c>
      <c r="AG494" s="1525">
        <f t="shared" si="298"/>
        <v>0</v>
      </c>
      <c r="AH494" s="1525">
        <f t="shared" si="298"/>
        <v>0</v>
      </c>
      <c r="AI494" s="1525">
        <f t="shared" si="298"/>
        <v>0</v>
      </c>
      <c r="AJ494" s="1525">
        <f t="shared" si="298"/>
        <v>0</v>
      </c>
      <c r="AK494" s="1525">
        <f t="shared" si="298"/>
        <v>0</v>
      </c>
      <c r="AL494" s="1525">
        <f t="shared" si="298"/>
        <v>0</v>
      </c>
      <c r="AM494" s="1525">
        <f t="shared" si="298"/>
        <v>0</v>
      </c>
      <c r="AN494" s="1525">
        <f t="shared" si="298"/>
        <v>0</v>
      </c>
      <c r="AO494" s="1525">
        <f t="shared" si="298"/>
        <v>0</v>
      </c>
      <c r="AP494" s="1525">
        <f t="shared" si="298"/>
        <v>0</v>
      </c>
      <c r="AQ494" s="1525">
        <f t="shared" si="298"/>
        <v>0</v>
      </c>
      <c r="AR494" s="1525">
        <f t="shared" si="298"/>
        <v>0</v>
      </c>
      <c r="AS494" s="1525">
        <f t="shared" si="298"/>
        <v>0</v>
      </c>
      <c r="AU494" s="1525"/>
      <c r="AV494" s="1291"/>
      <c r="AW494" s="1292"/>
      <c r="AX494" s="1292"/>
      <c r="AY494" s="1292"/>
      <c r="AZ494" s="1292"/>
      <c r="BA494" s="1292"/>
      <c r="BB494" s="1292"/>
      <c r="BC494" s="1292"/>
      <c r="BD494" s="1292"/>
      <c r="BE494" s="1292"/>
      <c r="BF494" s="1292"/>
      <c r="BG494" s="1292"/>
      <c r="BH494" s="1292"/>
      <c r="BI494" s="1292"/>
      <c r="BJ494" s="1292"/>
      <c r="BK494" s="1292"/>
      <c r="BL494" s="1292"/>
      <c r="BM494" s="1292"/>
      <c r="BN494" s="1292"/>
      <c r="BO494" s="1292"/>
      <c r="BP494" s="1292"/>
      <c r="BQ494" s="1292"/>
      <c r="BR494" s="1292"/>
      <c r="BS494" s="1292"/>
      <c r="BT494" s="1670">
        <f t="shared" si="299"/>
        <v>0</v>
      </c>
      <c r="BW494" s="859" t="s">
        <v>1472</v>
      </c>
    </row>
    <row r="495" spans="2:75" s="164" customFormat="1" ht="12.75" customHeight="1" x14ac:dyDescent="0.15">
      <c r="B495" s="175"/>
      <c r="C495" s="219" t="s">
        <v>1120</v>
      </c>
      <c r="F495" s="325" t="s">
        <v>1238</v>
      </c>
      <c r="G495" s="799"/>
      <c r="H495" s="1351" t="s">
        <v>1508</v>
      </c>
      <c r="I495" s="327"/>
      <c r="J495" s="326"/>
      <c r="K495" s="449">
        <f>SUM(K491:K494)</f>
        <v>0</v>
      </c>
      <c r="L495" s="903">
        <f>SUM(L491:L494)</f>
        <v>3.5</v>
      </c>
      <c r="M495" s="903">
        <f>SUM(M491:M494)</f>
        <v>3.5</v>
      </c>
      <c r="N495" s="799"/>
      <c r="O495" s="1200"/>
      <c r="P495" s="550"/>
      <c r="Q495" s="1151"/>
      <c r="R495" s="875"/>
      <c r="S495" s="875"/>
      <c r="T495" s="877"/>
      <c r="U495" s="877"/>
      <c r="V495" s="877"/>
      <c r="W495" s="875"/>
      <c r="X495" s="1026"/>
      <c r="Y495" s="875"/>
      <c r="Z495" s="1803"/>
      <c r="AA495" s="1775"/>
      <c r="AB495" s="1814"/>
      <c r="AC495" s="876"/>
      <c r="AD495" s="1295"/>
      <c r="AE495" s="1525"/>
      <c r="AF495" s="1525"/>
      <c r="AG495" s="1525"/>
      <c r="AH495" s="1525"/>
      <c r="AI495" s="1525"/>
      <c r="AJ495" s="1525"/>
      <c r="AK495" s="1525"/>
      <c r="AL495" s="1525"/>
      <c r="AM495" s="1525"/>
      <c r="AN495" s="1525"/>
      <c r="AO495" s="1525"/>
      <c r="AP495" s="1525"/>
      <c r="AQ495" s="1525"/>
      <c r="AR495" s="1525"/>
      <c r="AS495" s="1525"/>
      <c r="AU495" s="1525"/>
      <c r="AV495" s="1295"/>
      <c r="AW495" s="1525"/>
      <c r="AX495" s="1525"/>
      <c r="AY495" s="1525"/>
      <c r="AZ495" s="1525"/>
      <c r="BA495" s="1525"/>
      <c r="BB495" s="1525"/>
      <c r="BC495" s="1525"/>
      <c r="BD495" s="1525"/>
      <c r="BE495" s="1525"/>
      <c r="BF495" s="1525"/>
      <c r="BG495" s="1525"/>
      <c r="BH495" s="1525"/>
      <c r="BI495" s="1525"/>
      <c r="BJ495" s="1525"/>
      <c r="BK495" s="1525"/>
      <c r="BL495" s="1525"/>
      <c r="BM495" s="1525"/>
      <c r="BN495" s="1525"/>
      <c r="BO495" s="1525"/>
      <c r="BP495" s="1525"/>
      <c r="BQ495" s="1525"/>
      <c r="BR495" s="1525"/>
      <c r="BS495" s="1525"/>
      <c r="BT495" s="1670"/>
      <c r="BV495"/>
      <c r="BW495" s="799"/>
    </row>
    <row r="496" spans="2:75" s="164" customFormat="1" ht="12.75" customHeight="1" x14ac:dyDescent="0.2">
      <c r="B496" s="175"/>
      <c r="F496" s="325"/>
      <c r="G496" s="928"/>
      <c r="H496" s="1371" t="s">
        <v>1508</v>
      </c>
      <c r="I496" s="327"/>
      <c r="J496" s="326"/>
      <c r="K496" s="328"/>
      <c r="L496" s="927"/>
      <c r="M496" s="927"/>
      <c r="N496" s="905"/>
      <c r="O496" s="1192"/>
      <c r="P496" s="550"/>
      <c r="Q496" s="1148"/>
      <c r="R496" s="874"/>
      <c r="S496" s="875"/>
      <c r="T496" s="875"/>
      <c r="U496" s="875"/>
      <c r="V496" s="875"/>
      <c r="W496" s="875"/>
      <c r="X496" s="1026"/>
      <c r="Y496" s="1757"/>
      <c r="Z496" s="1755"/>
      <c r="AA496" s="1775"/>
      <c r="AB496" s="1814"/>
      <c r="AC496" s="876"/>
      <c r="AD496" s="1295"/>
      <c r="AE496" s="1525"/>
      <c r="AF496" s="1525"/>
      <c r="AG496" s="1525"/>
      <c r="AH496" s="1525"/>
      <c r="AI496" s="1525"/>
      <c r="AJ496" s="1525"/>
      <c r="AK496" s="1525"/>
      <c r="AL496" s="1525"/>
      <c r="AM496" s="1525"/>
      <c r="AN496" s="1525"/>
      <c r="AO496" s="1525"/>
      <c r="AP496" s="1525"/>
      <c r="AQ496" s="1525"/>
      <c r="AR496" s="1525"/>
      <c r="AS496" s="1525"/>
      <c r="AU496" s="1525"/>
      <c r="AV496" s="1295"/>
      <c r="AW496" s="1525"/>
      <c r="AX496" s="1525"/>
      <c r="AY496" s="1525"/>
      <c r="AZ496" s="1525"/>
      <c r="BA496" s="1525"/>
      <c r="BB496" s="1525"/>
      <c r="BC496" s="1525"/>
      <c r="BD496" s="1525"/>
      <c r="BE496" s="1525"/>
      <c r="BF496" s="1525"/>
      <c r="BG496" s="1525"/>
      <c r="BH496" s="1525"/>
      <c r="BI496" s="1525"/>
      <c r="BJ496" s="1525"/>
      <c r="BK496" s="1525"/>
      <c r="BL496" s="1525"/>
      <c r="BM496" s="1525"/>
      <c r="BN496" s="1525"/>
      <c r="BO496" s="1525"/>
      <c r="BP496" s="1525"/>
      <c r="BQ496" s="1525"/>
      <c r="BR496" s="1525"/>
      <c r="BS496" s="1525"/>
      <c r="BT496" s="1670"/>
      <c r="BV496"/>
      <c r="BW496" s="928"/>
    </row>
    <row r="497" spans="2:75" s="164" customFormat="1" ht="12.75" customHeight="1" x14ac:dyDescent="0.2">
      <c r="B497" s="175"/>
      <c r="C497" s="644" t="s">
        <v>344</v>
      </c>
      <c r="D497" s="577" t="s">
        <v>346</v>
      </c>
      <c r="E497" s="368" t="s">
        <v>648</v>
      </c>
      <c r="F497" s="343" t="s">
        <v>1056</v>
      </c>
      <c r="G497" s="863">
        <f>COUNTA(G456:G496)</f>
        <v>22</v>
      </c>
      <c r="H497" s="1348" t="s">
        <v>1508</v>
      </c>
      <c r="I497" s="378"/>
      <c r="J497" s="377"/>
      <c r="K497" s="379">
        <f>K485+K495+K456</f>
        <v>0</v>
      </c>
      <c r="L497" s="863">
        <f>L485+L495+L456</f>
        <v>18.829999999999998</v>
      </c>
      <c r="M497" s="863">
        <f>M485+M495+M456</f>
        <v>18.829999999999998</v>
      </c>
      <c r="N497" s="840"/>
      <c r="O497" s="1201"/>
      <c r="P497" s="1222"/>
      <c r="Q497" s="1154"/>
      <c r="R497" s="887"/>
      <c r="S497" s="880"/>
      <c r="T497" s="880"/>
      <c r="U497" s="880"/>
      <c r="V497" s="880"/>
      <c r="W497" s="880"/>
      <c r="X497" s="1276">
        <f>SUM(X456:X496)</f>
        <v>773970</v>
      </c>
      <c r="Y497" s="1276"/>
      <c r="Z497" s="1665">
        <f t="shared" ref="Z497:AA497" si="300">SUM(Z456:Z496)</f>
        <v>21.229788192431243</v>
      </c>
      <c r="AA497" s="1777">
        <f t="shared" si="300"/>
        <v>0</v>
      </c>
      <c r="AB497" s="1813">
        <f t="shared" ref="AB497" si="301">100*AA497/Z497</f>
        <v>0</v>
      </c>
      <c r="AC497" s="1721"/>
      <c r="AD497" s="1291"/>
      <c r="AE497" s="1292"/>
      <c r="AF497" s="1525"/>
      <c r="AG497" s="1525"/>
      <c r="AH497" s="1525"/>
      <c r="AI497" s="1525"/>
      <c r="AJ497" s="1525"/>
      <c r="AK497" s="1525"/>
      <c r="AL497" s="1525"/>
      <c r="AM497" s="1525"/>
      <c r="AN497" s="1525"/>
      <c r="AO497" s="1525"/>
      <c r="AP497" s="1525"/>
      <c r="AQ497" s="1525"/>
      <c r="AR497" s="1525"/>
      <c r="AS497" s="1525"/>
      <c r="AU497" s="1525"/>
      <c r="AV497" s="1295"/>
      <c r="AW497" s="1525"/>
      <c r="AX497" s="1525"/>
      <c r="AY497" s="1525"/>
      <c r="AZ497" s="1525"/>
      <c r="BA497" s="1525"/>
      <c r="BB497" s="1525"/>
      <c r="BC497" s="1525"/>
      <c r="BD497" s="1525"/>
      <c r="BE497" s="1525"/>
      <c r="BF497" s="1525"/>
      <c r="BG497" s="1525"/>
      <c r="BH497" s="1525"/>
      <c r="BI497" s="1525"/>
      <c r="BJ497" s="1525"/>
      <c r="BK497" s="1525"/>
      <c r="BL497" s="1525"/>
      <c r="BM497" s="1525"/>
      <c r="BN497" s="1525"/>
      <c r="BO497" s="1525"/>
      <c r="BP497" s="1525"/>
      <c r="BQ497" s="1525"/>
      <c r="BR497" s="1525"/>
      <c r="BS497" s="1525"/>
      <c r="BT497" s="1670"/>
      <c r="BV497"/>
      <c r="BW497" s="929"/>
    </row>
    <row r="498" spans="2:75" s="164" customFormat="1" ht="12.75" customHeight="1" x14ac:dyDescent="0.2">
      <c r="B498" s="175"/>
      <c r="C498" s="508" t="s">
        <v>136</v>
      </c>
      <c r="D498" s="508"/>
      <c r="E498" s="509" t="s">
        <v>648</v>
      </c>
      <c r="F498" s="509" t="s">
        <v>893</v>
      </c>
      <c r="G498" s="930"/>
      <c r="H498" s="1351" t="s">
        <v>1508</v>
      </c>
      <c r="I498" s="510"/>
      <c r="J498" s="511"/>
      <c r="K498" s="511"/>
      <c r="L498" s="903"/>
      <c r="M498" s="903"/>
      <c r="N498" s="931"/>
      <c r="O498" s="1191"/>
      <c r="P498" s="1230"/>
      <c r="Q498" s="1156"/>
      <c r="R498" s="1039"/>
      <c r="S498" s="1040"/>
      <c r="T498" s="1040"/>
      <c r="U498" s="1040"/>
      <c r="V498" s="1040"/>
      <c r="W498" s="1040"/>
      <c r="X498" s="1695">
        <v>78105</v>
      </c>
      <c r="Y498" s="1040"/>
      <c r="Z498" s="1796"/>
      <c r="AA498" s="1775"/>
      <c r="AB498" s="1812"/>
      <c r="AC498" s="876"/>
      <c r="AD498" s="1295"/>
      <c r="AE498" s="1525"/>
      <c r="AF498" s="1525"/>
      <c r="AG498" s="1525"/>
      <c r="AH498" s="1525"/>
      <c r="AI498" s="1525"/>
      <c r="AJ498" s="1525"/>
      <c r="AK498" s="1525"/>
      <c r="AL498" s="1525"/>
      <c r="AM498" s="1525"/>
      <c r="AN498" s="1525"/>
      <c r="AO498" s="1525"/>
      <c r="AP498" s="1525"/>
      <c r="AQ498" s="1525"/>
      <c r="AR498" s="1525"/>
      <c r="AS498" s="1525"/>
      <c r="AU498" s="1525"/>
      <c r="AV498" s="1295"/>
      <c r="AW498" s="1525"/>
      <c r="AX498" s="1525"/>
      <c r="AY498" s="1525"/>
      <c r="AZ498" s="1525"/>
      <c r="BA498" s="1525"/>
      <c r="BB498" s="1525"/>
      <c r="BC498" s="1525"/>
      <c r="BD498" s="1525"/>
      <c r="BE498" s="1525"/>
      <c r="BF498" s="1525"/>
      <c r="BG498" s="1525"/>
      <c r="BH498" s="1525"/>
      <c r="BI498" s="1525"/>
      <c r="BJ498" s="1525"/>
      <c r="BK498" s="1525"/>
      <c r="BL498" s="1525"/>
      <c r="BM498" s="1525"/>
      <c r="BN498" s="1525"/>
      <c r="BO498" s="1525"/>
      <c r="BP498" s="1525"/>
      <c r="BQ498" s="1525"/>
      <c r="BR498" s="1525"/>
      <c r="BS498" s="1525"/>
      <c r="BT498" s="1670"/>
      <c r="BV498"/>
      <c r="BW498" s="930"/>
    </row>
    <row r="499" spans="2:75" s="164" customFormat="1" ht="12.75" customHeight="1" x14ac:dyDescent="0.15">
      <c r="B499" s="175"/>
      <c r="C499" s="737" t="s">
        <v>794</v>
      </c>
      <c r="D499" s="738"/>
      <c r="E499" s="524" t="s">
        <v>648</v>
      </c>
      <c r="F499" s="629" t="s">
        <v>884</v>
      </c>
      <c r="G499" s="933"/>
      <c r="H499" s="1372" t="s">
        <v>1508</v>
      </c>
      <c r="I499" s="630"/>
      <c r="J499" s="631"/>
      <c r="K499" s="631"/>
      <c r="L499" s="932"/>
      <c r="M499" s="932"/>
      <c r="N499" s="934"/>
      <c r="O499" s="1202"/>
      <c r="P499" s="1231"/>
      <c r="Q499" s="1165"/>
      <c r="R499" s="1041"/>
      <c r="S499" s="1042"/>
      <c r="T499" s="1042"/>
      <c r="U499" s="1042"/>
      <c r="V499" s="1042"/>
      <c r="W499" s="1042"/>
      <c r="X499" s="1703"/>
      <c r="Y499" s="1507"/>
      <c r="Z499" s="1804"/>
      <c r="AA499" s="1775"/>
      <c r="AB499" s="1812"/>
      <c r="AC499" s="876"/>
      <c r="AD499" s="1295"/>
      <c r="AE499" s="1525"/>
      <c r="AF499" s="1525"/>
      <c r="AG499" s="1525"/>
      <c r="AH499" s="1525"/>
      <c r="AI499" s="1525"/>
      <c r="AJ499" s="1525"/>
      <c r="AK499" s="1525"/>
      <c r="AL499" s="1525"/>
      <c r="AM499" s="1525"/>
      <c r="AN499" s="1525"/>
      <c r="AO499" s="1525"/>
      <c r="AP499" s="1525"/>
      <c r="AQ499" s="1525"/>
      <c r="AR499" s="1525"/>
      <c r="AS499" s="1525"/>
      <c r="AU499" s="1525"/>
      <c r="AV499" s="1295"/>
      <c r="AW499" s="1525"/>
      <c r="AX499" s="1525"/>
      <c r="AY499" s="1525"/>
      <c r="AZ499" s="1525"/>
      <c r="BA499" s="1525"/>
      <c r="BB499" s="1525"/>
      <c r="BC499" s="1525"/>
      <c r="BD499" s="1525"/>
      <c r="BE499" s="1525"/>
      <c r="BF499" s="1525"/>
      <c r="BG499" s="1525"/>
      <c r="BH499" s="1525"/>
      <c r="BI499" s="1525"/>
      <c r="BJ499" s="1525"/>
      <c r="BK499" s="1525"/>
      <c r="BL499" s="1525"/>
      <c r="BM499" s="1525"/>
      <c r="BN499" s="1525"/>
      <c r="BO499" s="1525"/>
      <c r="BP499" s="1525"/>
      <c r="BQ499" s="1525"/>
      <c r="BR499" s="1525"/>
      <c r="BS499" s="1525"/>
      <c r="BT499" s="1670"/>
      <c r="BV499"/>
      <c r="BW499" s="933"/>
    </row>
    <row r="500" spans="2:75" s="164" customFormat="1" ht="12.75" customHeight="1" x14ac:dyDescent="0.15">
      <c r="B500" s="175"/>
      <c r="F500" s="37"/>
      <c r="G500" s="913"/>
      <c r="H500" s="1358" t="s">
        <v>1508</v>
      </c>
      <c r="I500" s="180"/>
      <c r="J500" s="173"/>
      <c r="K500" s="173"/>
      <c r="L500" s="893"/>
      <c r="M500" s="893"/>
      <c r="N500" s="832"/>
      <c r="O500" s="1200"/>
      <c r="P500" s="550"/>
      <c r="Q500" s="1148"/>
      <c r="R500" s="874"/>
      <c r="S500" s="876"/>
      <c r="T500" s="876"/>
      <c r="U500" s="876"/>
      <c r="V500" s="876"/>
      <c r="W500" s="876"/>
      <c r="X500" s="1026"/>
      <c r="Y500" s="1757"/>
      <c r="Z500" s="1755"/>
      <c r="AA500" s="1775"/>
      <c r="AB500" s="1814"/>
      <c r="AC500" s="876"/>
      <c r="AD500" s="1295"/>
      <c r="AE500" s="1525"/>
      <c r="AF500" s="1525"/>
      <c r="AG500" s="1525"/>
      <c r="AH500" s="1525"/>
      <c r="AI500" s="1525"/>
      <c r="AJ500" s="1525"/>
      <c r="AK500" s="1525"/>
      <c r="AL500" s="1525"/>
      <c r="AM500" s="1525"/>
      <c r="AN500" s="1525"/>
      <c r="AO500" s="1525"/>
      <c r="AP500" s="1525"/>
      <c r="AQ500" s="1525"/>
      <c r="AR500" s="1525"/>
      <c r="AS500" s="1525"/>
      <c r="AU500" s="1525"/>
      <c r="AV500" s="1295"/>
      <c r="AW500" s="1525"/>
      <c r="AX500" s="1525"/>
      <c r="AY500" s="1525"/>
      <c r="AZ500" s="1525"/>
      <c r="BA500" s="1525"/>
      <c r="BB500" s="1525"/>
      <c r="BC500" s="1525"/>
      <c r="BD500" s="1525"/>
      <c r="BE500" s="1525"/>
      <c r="BF500" s="1525"/>
      <c r="BG500" s="1525"/>
      <c r="BH500" s="1525"/>
      <c r="BI500" s="1525"/>
      <c r="BJ500" s="1525"/>
      <c r="BK500" s="1525"/>
      <c r="BL500" s="1525"/>
      <c r="BM500" s="1525"/>
      <c r="BN500" s="1525"/>
      <c r="BO500" s="1525"/>
      <c r="BP500" s="1525"/>
      <c r="BQ500" s="1525"/>
      <c r="BR500" s="1525"/>
      <c r="BS500" s="1525"/>
      <c r="BT500" s="1670"/>
      <c r="BV500"/>
      <c r="BW500" s="913"/>
    </row>
    <row r="501" spans="2:75" s="164" customFormat="1" ht="12.75" customHeight="1" x14ac:dyDescent="0.15">
      <c r="B501" s="175"/>
      <c r="F501" s="1"/>
      <c r="G501" s="856"/>
      <c r="H501" s="1364" t="s">
        <v>1508</v>
      </c>
      <c r="I501" s="172"/>
      <c r="J501" s="168"/>
      <c r="K501" s="168"/>
      <c r="L501" s="841"/>
      <c r="M501" s="841"/>
      <c r="N501" s="855"/>
      <c r="O501" s="1200"/>
      <c r="P501" s="550"/>
      <c r="Q501" s="1148"/>
      <c r="R501" s="874"/>
      <c r="S501" s="875"/>
      <c r="T501" s="875"/>
      <c r="U501" s="875"/>
      <c r="V501" s="875"/>
      <c r="W501" s="875"/>
      <c r="X501" s="1026"/>
      <c r="Y501" s="1757"/>
      <c r="Z501" s="1755"/>
      <c r="AA501" s="1775"/>
      <c r="AB501" s="1814"/>
      <c r="AC501" s="876"/>
      <c r="AD501" s="1295"/>
      <c r="AE501" s="1525"/>
      <c r="AF501" s="1525"/>
      <c r="AG501" s="1525"/>
      <c r="AH501" s="1525"/>
      <c r="AI501" s="1525"/>
      <c r="AJ501" s="1525"/>
      <c r="AK501" s="1525"/>
      <c r="AL501" s="1525"/>
      <c r="AM501" s="1525"/>
      <c r="AN501" s="1525"/>
      <c r="AO501" s="1525"/>
      <c r="AP501" s="1525"/>
      <c r="AQ501" s="1525"/>
      <c r="AR501" s="1525"/>
      <c r="AS501" s="1525"/>
      <c r="AU501" s="1525"/>
      <c r="AV501" s="1295"/>
      <c r="AW501" s="1525"/>
      <c r="AX501" s="1525"/>
      <c r="AY501" s="1525"/>
      <c r="AZ501" s="1525"/>
      <c r="BA501" s="1525"/>
      <c r="BB501" s="1525"/>
      <c r="BC501" s="1525"/>
      <c r="BD501" s="1525"/>
      <c r="BE501" s="1525"/>
      <c r="BF501" s="1525"/>
      <c r="BG501" s="1525"/>
      <c r="BH501" s="1525"/>
      <c r="BI501" s="1525"/>
      <c r="BJ501" s="1525"/>
      <c r="BK501" s="1525"/>
      <c r="BL501" s="1525"/>
      <c r="BM501" s="1525"/>
      <c r="BN501" s="1525"/>
      <c r="BO501" s="1525"/>
      <c r="BP501" s="1525"/>
      <c r="BQ501" s="1525"/>
      <c r="BR501" s="1525"/>
      <c r="BS501" s="1525"/>
      <c r="BT501" s="1670"/>
      <c r="BV501"/>
      <c r="BW501" s="856"/>
    </row>
    <row r="502" spans="2:75" s="164" customFormat="1" ht="12.75" customHeight="1" x14ac:dyDescent="0.2">
      <c r="B502" s="175"/>
      <c r="F502" s="21" t="s">
        <v>580</v>
      </c>
      <c r="G502" s="935"/>
      <c r="H502" s="1346" t="s">
        <v>1508</v>
      </c>
      <c r="I502" s="200"/>
      <c r="J502" s="189"/>
      <c r="K502" s="189"/>
      <c r="L502" s="858"/>
      <c r="M502" s="858"/>
      <c r="N502" s="857"/>
      <c r="O502" s="1192"/>
      <c r="P502" s="550"/>
      <c r="Q502" s="1151"/>
      <c r="R502" s="876"/>
      <c r="S502" s="876"/>
      <c r="T502" s="876"/>
      <c r="U502" s="876"/>
      <c r="V502" s="876"/>
      <c r="W502" s="876"/>
      <c r="X502" s="1026"/>
      <c r="Y502" s="1757"/>
      <c r="Z502" s="1755"/>
      <c r="AA502" s="1775"/>
      <c r="AB502" s="1814"/>
      <c r="AC502" s="876"/>
      <c r="AD502" s="1295"/>
      <c r="AE502" s="1525"/>
      <c r="AF502" s="1525"/>
      <c r="AG502" s="1525"/>
      <c r="AH502" s="1525"/>
      <c r="AI502" s="1525"/>
      <c r="AJ502" s="1525"/>
      <c r="AK502" s="1525"/>
      <c r="AL502" s="1525"/>
      <c r="AM502" s="1525"/>
      <c r="AN502" s="1525"/>
      <c r="AO502" s="1525"/>
      <c r="AP502" s="1525"/>
      <c r="AQ502" s="1525"/>
      <c r="AR502" s="1525"/>
      <c r="AS502" s="1525"/>
      <c r="AU502" s="1525"/>
      <c r="AV502" s="1295"/>
      <c r="AW502" s="1525"/>
      <c r="AX502" s="1525"/>
      <c r="AY502" s="1525"/>
      <c r="AZ502" s="1525"/>
      <c r="BA502" s="1525"/>
      <c r="BB502" s="1525"/>
      <c r="BC502" s="1525"/>
      <c r="BD502" s="1525"/>
      <c r="BE502" s="1525"/>
      <c r="BF502" s="1525"/>
      <c r="BG502" s="1525"/>
      <c r="BH502" s="1525"/>
      <c r="BI502" s="1525"/>
      <c r="BJ502" s="1525"/>
      <c r="BK502" s="1525"/>
      <c r="BL502" s="1525"/>
      <c r="BM502" s="1525"/>
      <c r="BN502" s="1525"/>
      <c r="BO502" s="1525"/>
      <c r="BP502" s="1525"/>
      <c r="BQ502" s="1525"/>
      <c r="BR502" s="1525"/>
      <c r="BS502" s="1525"/>
      <c r="BT502" s="1670"/>
      <c r="BV502"/>
      <c r="BW502" s="935"/>
    </row>
    <row r="503" spans="2:75" s="164" customFormat="1" ht="12.75" customHeight="1" x14ac:dyDescent="0.2">
      <c r="B503" s="175"/>
      <c r="F503" s="1"/>
      <c r="G503" s="859"/>
      <c r="H503" s="1346" t="s">
        <v>1508</v>
      </c>
      <c r="I503" s="172"/>
      <c r="J503" s="168"/>
      <c r="K503" s="168"/>
      <c r="L503" s="858"/>
      <c r="M503" s="858"/>
      <c r="N503" s="857"/>
      <c r="O503" s="1192"/>
      <c r="P503" s="550"/>
      <c r="Q503" s="1151"/>
      <c r="R503" s="876"/>
      <c r="S503" s="876"/>
      <c r="T503" s="876"/>
      <c r="U503" s="876"/>
      <c r="V503" s="876"/>
      <c r="W503" s="876"/>
      <c r="X503" s="1026"/>
      <c r="Y503" s="1757"/>
      <c r="Z503" s="1755"/>
      <c r="AA503" s="1775"/>
      <c r="AB503" s="1814"/>
      <c r="AC503" s="876"/>
      <c r="AD503" s="1295"/>
      <c r="AE503" s="1525"/>
      <c r="AF503" s="1525"/>
      <c r="AG503" s="1525"/>
      <c r="AH503" s="1525"/>
      <c r="AI503" s="1525"/>
      <c r="AJ503" s="1525"/>
      <c r="AK503" s="1525"/>
      <c r="AL503" s="1525"/>
      <c r="AM503" s="1525"/>
      <c r="AN503" s="1525"/>
      <c r="AO503" s="1525"/>
      <c r="AP503" s="1525"/>
      <c r="AQ503" s="1525"/>
      <c r="AR503" s="1525"/>
      <c r="AS503" s="1525"/>
      <c r="AU503" s="1525"/>
      <c r="AV503" s="1295"/>
      <c r="AW503" s="1525"/>
      <c r="AX503" s="1525"/>
      <c r="AY503" s="1525"/>
      <c r="AZ503" s="1525"/>
      <c r="BA503" s="1525"/>
      <c r="BB503" s="1525"/>
      <c r="BC503" s="1525"/>
      <c r="BD503" s="1525"/>
      <c r="BE503" s="1525"/>
      <c r="BF503" s="1525"/>
      <c r="BG503" s="1525"/>
      <c r="BH503" s="1525"/>
      <c r="BI503" s="1525"/>
      <c r="BJ503" s="1525"/>
      <c r="BK503" s="1525"/>
      <c r="BL503" s="1525"/>
      <c r="BM503" s="1525"/>
      <c r="BN503" s="1525"/>
      <c r="BO503" s="1525"/>
      <c r="BP503" s="1525"/>
      <c r="BQ503" s="1525"/>
      <c r="BR503" s="1525"/>
      <c r="BS503" s="1525"/>
      <c r="BT503" s="1670"/>
      <c r="BV503"/>
      <c r="BW503" s="859"/>
    </row>
    <row r="504" spans="2:75" ht="12.75" customHeight="1" x14ac:dyDescent="0.2">
      <c r="B504" s="175">
        <f t="shared" si="296"/>
        <v>1</v>
      </c>
      <c r="C504" s="282">
        <v>4</v>
      </c>
      <c r="D504" s="464"/>
      <c r="E504" s="474" t="s">
        <v>288</v>
      </c>
      <c r="F504" s="24" t="s">
        <v>629</v>
      </c>
      <c r="G504" s="859" t="s">
        <v>1057</v>
      </c>
      <c r="H504" s="858">
        <v>80734</v>
      </c>
      <c r="I504" s="200" t="s">
        <v>351</v>
      </c>
      <c r="J504" s="189"/>
      <c r="K504" s="189"/>
      <c r="L504" s="858">
        <v>1</v>
      </c>
      <c r="M504" s="858">
        <f>K504+L504</f>
        <v>1</v>
      </c>
      <c r="N504" s="857" t="s">
        <v>1326</v>
      </c>
      <c r="O504" s="1196">
        <v>23963</v>
      </c>
      <c r="P504" s="1218">
        <f ca="1">YEARFRAC(TODAY(),O504)</f>
        <v>52.147222222222226</v>
      </c>
      <c r="Q504" s="1148">
        <v>78900</v>
      </c>
      <c r="R504" s="874">
        <f>Q504*0.1</f>
        <v>7890</v>
      </c>
      <c r="S504" s="875">
        <v>3000</v>
      </c>
      <c r="T504" s="875">
        <v>35000</v>
      </c>
      <c r="U504" s="875"/>
      <c r="V504" s="875"/>
      <c r="W504" s="875"/>
      <c r="X504" s="1026">
        <f>(Q504+R504+S504+T504+U504+V504+W504)*M504</f>
        <v>124790</v>
      </c>
      <c r="Y504" s="1512">
        <f>(T504+U504)*M504/(X504-M504*(T504+U504))</f>
        <v>0.38979841853213054</v>
      </c>
      <c r="Z504" s="1741">
        <f>M504*(1+Y504)</f>
        <v>1.3897984185321306</v>
      </c>
      <c r="AA504" s="1749">
        <f>SUM(AD504:AS504)</f>
        <v>0</v>
      </c>
      <c r="AB504" s="1810">
        <f t="shared" ref="AB504:AB506" si="302">100*AA504/Z504</f>
        <v>0</v>
      </c>
      <c r="AC504" s="876"/>
      <c r="AD504" s="1525">
        <f t="shared" ref="AD504:AS507" si="303">SUMIF($AV$6:$BS$6,AD$5,$AV504:$BS504)</f>
        <v>0</v>
      </c>
      <c r="AE504" s="1525">
        <f t="shared" si="303"/>
        <v>0</v>
      </c>
      <c r="AF504" s="1525">
        <f t="shared" si="303"/>
        <v>0</v>
      </c>
      <c r="AG504" s="1525">
        <f t="shared" si="303"/>
        <v>0</v>
      </c>
      <c r="AH504" s="1525">
        <f t="shared" si="303"/>
        <v>0</v>
      </c>
      <c r="AI504" s="1525">
        <f t="shared" si="303"/>
        <v>0</v>
      </c>
      <c r="AJ504" s="1525">
        <f t="shared" si="303"/>
        <v>0</v>
      </c>
      <c r="AK504" s="1525">
        <f t="shared" si="303"/>
        <v>0</v>
      </c>
      <c r="AL504" s="1525">
        <f t="shared" si="303"/>
        <v>0</v>
      </c>
      <c r="AM504" s="1525">
        <f t="shared" si="303"/>
        <v>0</v>
      </c>
      <c r="AN504" s="1525">
        <f t="shared" si="303"/>
        <v>0</v>
      </c>
      <c r="AO504" s="1525">
        <f t="shared" si="303"/>
        <v>0</v>
      </c>
      <c r="AP504" s="1525">
        <f t="shared" si="303"/>
        <v>0</v>
      </c>
      <c r="AQ504" s="1525">
        <f t="shared" si="303"/>
        <v>0</v>
      </c>
      <c r="AR504" s="1525">
        <f t="shared" si="303"/>
        <v>0</v>
      </c>
      <c r="AS504" s="1525">
        <f t="shared" si="303"/>
        <v>0</v>
      </c>
      <c r="AU504" s="1525"/>
      <c r="AV504" s="1291"/>
      <c r="AW504" s="1292"/>
      <c r="AX504" s="1292"/>
      <c r="AY504" s="1292"/>
      <c r="AZ504" s="1292"/>
      <c r="BA504" s="1292"/>
      <c r="BB504" s="1292"/>
      <c r="BC504" s="1292"/>
      <c r="BD504" s="1292"/>
      <c r="BE504" s="1292"/>
      <c r="BF504" s="1292"/>
      <c r="BG504" s="1292"/>
      <c r="BH504" s="1292"/>
      <c r="BI504" s="1292"/>
      <c r="BJ504" s="1292"/>
      <c r="BK504" s="1292"/>
      <c r="BL504" s="1292"/>
      <c r="BM504" s="1292"/>
      <c r="BN504" s="1292"/>
      <c r="BO504" s="1292"/>
      <c r="BP504" s="1292"/>
      <c r="BQ504" s="1292"/>
      <c r="BR504" s="1292"/>
      <c r="BS504" s="1292"/>
      <c r="BT504" s="1670">
        <f t="shared" ref="BT504:BT508" si="304">SUM(AV504:BS504)</f>
        <v>0</v>
      </c>
      <c r="BW504" s="859" t="s">
        <v>1057</v>
      </c>
    </row>
    <row r="505" spans="2:75" ht="12.75" customHeight="1" x14ac:dyDescent="0.2">
      <c r="B505" s="175">
        <f t="shared" si="296"/>
        <v>2</v>
      </c>
      <c r="C505" s="219">
        <v>8</v>
      </c>
      <c r="D505" s="464"/>
      <c r="E505" s="474" t="s">
        <v>288</v>
      </c>
      <c r="F505" s="24" t="s">
        <v>1630</v>
      </c>
      <c r="G505" s="859" t="s">
        <v>1850</v>
      </c>
      <c r="H505" s="858">
        <v>27977</v>
      </c>
      <c r="I505" s="200" t="s">
        <v>351</v>
      </c>
      <c r="J505" s="189"/>
      <c r="K505" s="189"/>
      <c r="L505" s="858">
        <v>0.5</v>
      </c>
      <c r="M505" s="858">
        <v>0.5</v>
      </c>
      <c r="N505" s="857" t="s">
        <v>892</v>
      </c>
      <c r="O505" s="1196">
        <v>13707</v>
      </c>
      <c r="P505" s="1218">
        <f ca="1">YEARFRAC(TODAY(),O505)</f>
        <v>80.224999999999994</v>
      </c>
      <c r="Q505" s="1148">
        <v>26850</v>
      </c>
      <c r="R505" s="874"/>
      <c r="S505" s="875">
        <v>7000</v>
      </c>
      <c r="T505" s="875"/>
      <c r="U505" s="875">
        <v>1400</v>
      </c>
      <c r="V505" s="875"/>
      <c r="W505" s="875"/>
      <c r="X505" s="1026">
        <f>(Q505+R505+S505+T505+U505+V505+W505)*M505</f>
        <v>17625</v>
      </c>
      <c r="Y505" s="1512">
        <f>(T505+U505)*M505/(X505-M505*(T505+U505))</f>
        <v>4.1358936484490398E-2</v>
      </c>
      <c r="Z505" s="1741">
        <f>M505*(1+Y505)</f>
        <v>0.5206794682422452</v>
      </c>
      <c r="AA505" s="1749">
        <f>SUM(AD505:AS505)</f>
        <v>0</v>
      </c>
      <c r="AB505" s="1810">
        <f t="shared" si="302"/>
        <v>0</v>
      </c>
      <c r="AC505" s="876"/>
      <c r="AD505" s="1525">
        <f t="shared" si="303"/>
        <v>0</v>
      </c>
      <c r="AE505" s="1525">
        <f t="shared" si="303"/>
        <v>0</v>
      </c>
      <c r="AF505" s="1525">
        <f t="shared" si="303"/>
        <v>0</v>
      </c>
      <c r="AG505" s="1525">
        <f t="shared" si="303"/>
        <v>0</v>
      </c>
      <c r="AH505" s="1525">
        <f t="shared" si="303"/>
        <v>0</v>
      </c>
      <c r="AI505" s="1525">
        <f t="shared" si="303"/>
        <v>0</v>
      </c>
      <c r="AJ505" s="1525">
        <f t="shared" si="303"/>
        <v>0</v>
      </c>
      <c r="AK505" s="1525">
        <f t="shared" si="303"/>
        <v>0</v>
      </c>
      <c r="AL505" s="1525">
        <f t="shared" si="303"/>
        <v>0</v>
      </c>
      <c r="AM505" s="1525">
        <f t="shared" si="303"/>
        <v>0</v>
      </c>
      <c r="AN505" s="1525">
        <f t="shared" si="303"/>
        <v>0</v>
      </c>
      <c r="AO505" s="1525">
        <f t="shared" si="303"/>
        <v>0</v>
      </c>
      <c r="AP505" s="1525">
        <f t="shared" si="303"/>
        <v>0</v>
      </c>
      <c r="AQ505" s="1525">
        <f t="shared" si="303"/>
        <v>0</v>
      </c>
      <c r="AR505" s="1525">
        <f t="shared" si="303"/>
        <v>0</v>
      </c>
      <c r="AS505" s="1525">
        <f t="shared" si="303"/>
        <v>0</v>
      </c>
      <c r="AU505" s="1525"/>
      <c r="AV505" s="1291"/>
      <c r="AW505" s="1292"/>
      <c r="AX505" s="1292"/>
      <c r="AY505" s="1292"/>
      <c r="AZ505" s="1292"/>
      <c r="BA505" s="1292"/>
      <c r="BB505" s="1292"/>
      <c r="BC505" s="1292"/>
      <c r="BD505" s="1292"/>
      <c r="BE505" s="1292"/>
      <c r="BF505" s="1292"/>
      <c r="BG505" s="1292"/>
      <c r="BH505" s="1292"/>
      <c r="BI505" s="1292"/>
      <c r="BJ505" s="1292"/>
      <c r="BK505" s="1292"/>
      <c r="BL505" s="1292"/>
      <c r="BM505" s="1292"/>
      <c r="BN505" s="1292"/>
      <c r="BO505" s="1292"/>
      <c r="BP505" s="1292"/>
      <c r="BQ505" s="1292"/>
      <c r="BR505" s="1292"/>
      <c r="BS505" s="1292"/>
      <c r="BT505" s="1670">
        <f t="shared" si="304"/>
        <v>0</v>
      </c>
      <c r="BW505" s="859" t="s">
        <v>1850</v>
      </c>
    </row>
    <row r="506" spans="2:75" ht="12.75" customHeight="1" x14ac:dyDescent="0.2">
      <c r="B506" s="175">
        <f t="shared" si="296"/>
        <v>3</v>
      </c>
      <c r="C506" s="219">
        <v>13</v>
      </c>
      <c r="D506" s="464"/>
      <c r="E506" s="474" t="s">
        <v>288</v>
      </c>
      <c r="F506" s="4" t="s">
        <v>792</v>
      </c>
      <c r="G506" s="862" t="s">
        <v>836</v>
      </c>
      <c r="H506" s="858">
        <v>6663</v>
      </c>
      <c r="I506" s="197" t="s">
        <v>1584</v>
      </c>
      <c r="J506" s="189"/>
      <c r="K506" s="189"/>
      <c r="L506" s="858">
        <v>1</v>
      </c>
      <c r="M506" s="858">
        <v>1</v>
      </c>
      <c r="N506" s="857" t="s">
        <v>892</v>
      </c>
      <c r="O506" s="1196">
        <v>19148</v>
      </c>
      <c r="P506" s="1218">
        <f ca="1">YEARFRAC(TODAY(),O506)</f>
        <v>65.330555555555549</v>
      </c>
      <c r="Q506" s="1148">
        <v>21700</v>
      </c>
      <c r="R506" s="874"/>
      <c r="S506" s="875"/>
      <c r="T506" s="875"/>
      <c r="U506" s="875"/>
      <c r="V506" s="875"/>
      <c r="W506" s="875"/>
      <c r="X506" s="1026">
        <f>(Q506+R506+S506+T506+U506+V506+W506)*M506</f>
        <v>21700</v>
      </c>
      <c r="Y506" s="1512">
        <f t="shared" ref="Y506:Y508" si="305">(T506+U506)*M506/(X506-M506*(T506+U506))</f>
        <v>0</v>
      </c>
      <c r="Z506" s="1741">
        <f>M506*(1+Y506)</f>
        <v>1</v>
      </c>
      <c r="AA506" s="1749">
        <f>SUM(AD506:AS506)</f>
        <v>0</v>
      </c>
      <c r="AB506" s="1810">
        <f t="shared" si="302"/>
        <v>0</v>
      </c>
      <c r="AC506" s="876"/>
      <c r="AD506" s="1525">
        <f t="shared" si="303"/>
        <v>0</v>
      </c>
      <c r="AE506" s="1525">
        <f t="shared" si="303"/>
        <v>0</v>
      </c>
      <c r="AF506" s="1525">
        <f t="shared" si="303"/>
        <v>0</v>
      </c>
      <c r="AG506" s="1525">
        <f t="shared" si="303"/>
        <v>0</v>
      </c>
      <c r="AH506" s="1525">
        <f t="shared" si="303"/>
        <v>0</v>
      </c>
      <c r="AI506" s="1525">
        <f t="shared" si="303"/>
        <v>0</v>
      </c>
      <c r="AJ506" s="1525">
        <f t="shared" si="303"/>
        <v>0</v>
      </c>
      <c r="AK506" s="1525">
        <f t="shared" si="303"/>
        <v>0</v>
      </c>
      <c r="AL506" s="1525">
        <f t="shared" si="303"/>
        <v>0</v>
      </c>
      <c r="AM506" s="1525">
        <f t="shared" si="303"/>
        <v>0</v>
      </c>
      <c r="AN506" s="1525">
        <f t="shared" si="303"/>
        <v>0</v>
      </c>
      <c r="AO506" s="1525">
        <f t="shared" si="303"/>
        <v>0</v>
      </c>
      <c r="AP506" s="1525">
        <f t="shared" si="303"/>
        <v>0</v>
      </c>
      <c r="AQ506" s="1525">
        <f t="shared" si="303"/>
        <v>0</v>
      </c>
      <c r="AR506" s="1525">
        <f t="shared" si="303"/>
        <v>0</v>
      </c>
      <c r="AS506" s="1525">
        <f t="shared" si="303"/>
        <v>0</v>
      </c>
      <c r="AU506" s="1525"/>
      <c r="AV506" s="1291"/>
      <c r="AW506" s="1292"/>
      <c r="AX506" s="1292"/>
      <c r="AY506" s="1292"/>
      <c r="AZ506" s="1292"/>
      <c r="BA506" s="1292"/>
      <c r="BB506" s="1292"/>
      <c r="BC506" s="1292"/>
      <c r="BD506" s="1292"/>
      <c r="BE506" s="1292"/>
      <c r="BF506" s="1292"/>
      <c r="BG506" s="1292"/>
      <c r="BH506" s="1292"/>
      <c r="BI506" s="1292"/>
      <c r="BJ506" s="1292"/>
      <c r="BK506" s="1292"/>
      <c r="BL506" s="1292"/>
      <c r="BM506" s="1292"/>
      <c r="BN506" s="1292"/>
      <c r="BO506" s="1292"/>
      <c r="BP506" s="1292"/>
      <c r="BQ506" s="1292"/>
      <c r="BR506" s="1292"/>
      <c r="BS506" s="1292"/>
      <c r="BT506" s="1670">
        <f t="shared" si="304"/>
        <v>0</v>
      </c>
      <c r="BW506" s="862" t="s">
        <v>836</v>
      </c>
    </row>
    <row r="507" spans="2:75" ht="12.75" customHeight="1" x14ac:dyDescent="0.2">
      <c r="B507" s="175">
        <f t="shared" si="296"/>
        <v>4</v>
      </c>
      <c r="C507" s="219">
        <v>15</v>
      </c>
      <c r="D507" s="1575"/>
      <c r="E507" s="387" t="s">
        <v>288</v>
      </c>
      <c r="F507" s="4" t="s">
        <v>2029</v>
      </c>
      <c r="G507" s="862" t="s">
        <v>2030</v>
      </c>
      <c r="H507" s="858">
        <v>165816</v>
      </c>
      <c r="I507" s="197" t="s">
        <v>1584</v>
      </c>
      <c r="J507" s="189"/>
      <c r="K507" s="189"/>
      <c r="L507" s="858">
        <v>1</v>
      </c>
      <c r="M507" s="858">
        <v>1</v>
      </c>
      <c r="N507" s="857" t="s">
        <v>892</v>
      </c>
      <c r="O507" s="1196">
        <v>27245</v>
      </c>
      <c r="P507" s="1218">
        <f ca="1">YEARFRAC(TODAY(),O507)</f>
        <v>43.161111111111111</v>
      </c>
      <c r="Q507" s="1148">
        <v>22000</v>
      </c>
      <c r="R507" s="874"/>
      <c r="S507" s="875"/>
      <c r="T507" s="875"/>
      <c r="U507" s="875"/>
      <c r="V507" s="875"/>
      <c r="W507" s="875"/>
      <c r="X507" s="1026">
        <f>(Q507+R507+S507+T507+U507+V507+W507)*M507</f>
        <v>22000</v>
      </c>
      <c r="Y507" s="1512">
        <f t="shared" si="305"/>
        <v>0</v>
      </c>
      <c r="Z507" s="1741">
        <f t="shared" ref="Z507:Z508" si="306">M507*(1+Y507)</f>
        <v>1</v>
      </c>
      <c r="AA507" s="1749">
        <f>SUM(AD507:AS507)</f>
        <v>0</v>
      </c>
      <c r="AB507" s="1810">
        <f t="shared" ref="AB507" si="307">100*AA507/Z507</f>
        <v>0</v>
      </c>
      <c r="AC507" s="876"/>
      <c r="AD507" s="1525">
        <f t="shared" si="303"/>
        <v>0</v>
      </c>
      <c r="AE507" s="1525">
        <f t="shared" si="303"/>
        <v>0</v>
      </c>
      <c r="AF507" s="1525">
        <f t="shared" si="303"/>
        <v>0</v>
      </c>
      <c r="AG507" s="1525">
        <f t="shared" si="303"/>
        <v>0</v>
      </c>
      <c r="AH507" s="1525">
        <f t="shared" si="303"/>
        <v>0</v>
      </c>
      <c r="AI507" s="1525">
        <f t="shared" si="303"/>
        <v>0</v>
      </c>
      <c r="AJ507" s="1525">
        <f t="shared" si="303"/>
        <v>0</v>
      </c>
      <c r="AK507" s="1525">
        <f t="shared" si="303"/>
        <v>0</v>
      </c>
      <c r="AL507" s="1525">
        <f t="shared" si="303"/>
        <v>0</v>
      </c>
      <c r="AM507" s="1525">
        <f t="shared" si="303"/>
        <v>0</v>
      </c>
      <c r="AN507" s="1525">
        <f t="shared" si="303"/>
        <v>0</v>
      </c>
      <c r="AO507" s="1525">
        <f t="shared" si="303"/>
        <v>0</v>
      </c>
      <c r="AP507" s="1525">
        <f t="shared" si="303"/>
        <v>0</v>
      </c>
      <c r="AQ507" s="1525">
        <f t="shared" si="303"/>
        <v>0</v>
      </c>
      <c r="AR507" s="1525">
        <f t="shared" si="303"/>
        <v>0</v>
      </c>
      <c r="AS507" s="1525">
        <f t="shared" si="303"/>
        <v>0</v>
      </c>
      <c r="AU507" s="224"/>
      <c r="AV507" s="1292"/>
      <c r="AX507" s="1292"/>
      <c r="BT507" s="1671"/>
      <c r="BV507" s="224"/>
      <c r="BW507" s="224"/>
    </row>
    <row r="508" spans="2:75" ht="12.75" customHeight="1" x14ac:dyDescent="0.2">
      <c r="B508" s="175">
        <f t="shared" si="296"/>
        <v>5</v>
      </c>
      <c r="C508" s="219">
        <v>21</v>
      </c>
      <c r="E508" s="12" t="s">
        <v>288</v>
      </c>
      <c r="F508" s="26" t="s">
        <v>1583</v>
      </c>
      <c r="G508" s="910" t="s">
        <v>1059</v>
      </c>
      <c r="H508" s="873">
        <v>6515</v>
      </c>
      <c r="I508" s="196" t="s">
        <v>1584</v>
      </c>
      <c r="J508" s="195"/>
      <c r="K508" s="195"/>
      <c r="L508" s="873">
        <v>1</v>
      </c>
      <c r="M508" s="873">
        <f>K508+L508</f>
        <v>1</v>
      </c>
      <c r="N508" s="872" t="s">
        <v>892</v>
      </c>
      <c r="O508" s="1196">
        <v>19875</v>
      </c>
      <c r="P508" s="1218">
        <f ca="1">YEARFRAC(TODAY(),O508)</f>
        <v>63.338888888888889</v>
      </c>
      <c r="Q508" s="1148">
        <v>22800</v>
      </c>
      <c r="R508" s="874"/>
      <c r="S508" s="875"/>
      <c r="T508" s="875"/>
      <c r="U508" s="875"/>
      <c r="V508" s="875"/>
      <c r="W508" s="875"/>
      <c r="X508" s="1026">
        <f>(Q508+R508+S508+T508+U508+V508+W508)*M508</f>
        <v>22800</v>
      </c>
      <c r="Y508" s="1512">
        <f t="shared" si="305"/>
        <v>0</v>
      </c>
      <c r="Z508" s="1741">
        <f t="shared" si="306"/>
        <v>1</v>
      </c>
      <c r="AA508" s="1749">
        <f>SUM(AD508:AS508)</f>
        <v>0</v>
      </c>
      <c r="AB508" s="1810">
        <f t="shared" ref="AB508" si="308">100*AA508/Z508</f>
        <v>0</v>
      </c>
      <c r="AC508" s="876"/>
      <c r="AD508" s="1525">
        <f t="shared" ref="AD508:AS508" si="309">SUMIF($AV$6:$BS$6,AD$5,$AV508:$BS508)</f>
        <v>0</v>
      </c>
      <c r="AE508" s="1525">
        <f t="shared" si="309"/>
        <v>0</v>
      </c>
      <c r="AF508" s="1525">
        <f t="shared" si="309"/>
        <v>0</v>
      </c>
      <c r="AG508" s="1525">
        <f t="shared" si="309"/>
        <v>0</v>
      </c>
      <c r="AH508" s="1525">
        <f t="shared" si="309"/>
        <v>0</v>
      </c>
      <c r="AI508" s="1525">
        <f t="shared" si="309"/>
        <v>0</v>
      </c>
      <c r="AJ508" s="1525">
        <f t="shared" si="309"/>
        <v>0</v>
      </c>
      <c r="AK508" s="1525">
        <f t="shared" si="309"/>
        <v>0</v>
      </c>
      <c r="AL508" s="1525">
        <f t="shared" si="309"/>
        <v>0</v>
      </c>
      <c r="AM508" s="1525">
        <f t="shared" si="309"/>
        <v>0</v>
      </c>
      <c r="AN508" s="1525">
        <f t="shared" si="309"/>
        <v>0</v>
      </c>
      <c r="AO508" s="1525">
        <f t="shared" si="309"/>
        <v>0</v>
      </c>
      <c r="AP508" s="1525">
        <f t="shared" si="309"/>
        <v>0</v>
      </c>
      <c r="AQ508" s="1525">
        <f t="shared" si="309"/>
        <v>0</v>
      </c>
      <c r="AR508" s="1525">
        <f t="shared" si="309"/>
        <v>0</v>
      </c>
      <c r="AS508" s="1525">
        <f t="shared" si="309"/>
        <v>0</v>
      </c>
      <c r="AU508" s="1525"/>
      <c r="AV508" s="1291"/>
      <c r="AW508" s="1292"/>
      <c r="AX508" s="1292"/>
      <c r="AY508" s="1292"/>
      <c r="AZ508" s="1292"/>
      <c r="BA508" s="1292"/>
      <c r="BB508" s="1292"/>
      <c r="BC508" s="1292"/>
      <c r="BD508" s="1292"/>
      <c r="BE508" s="1292"/>
      <c r="BF508" s="1292"/>
      <c r="BG508" s="1292"/>
      <c r="BH508" s="1292"/>
      <c r="BI508" s="1292"/>
      <c r="BJ508" s="1292"/>
      <c r="BK508" s="1292"/>
      <c r="BL508" s="1292"/>
      <c r="BM508" s="1292"/>
      <c r="BN508" s="1292"/>
      <c r="BO508" s="1292"/>
      <c r="BP508" s="1292"/>
      <c r="BQ508" s="1292"/>
      <c r="BR508" s="1292"/>
      <c r="BS508" s="1292"/>
      <c r="BT508" s="1670">
        <f t="shared" si="304"/>
        <v>0</v>
      </c>
      <c r="BW508" s="910" t="s">
        <v>1059</v>
      </c>
    </row>
    <row r="509" spans="2:75" s="164" customFormat="1" ht="12.75" customHeight="1" x14ac:dyDescent="0.2">
      <c r="B509" s="175"/>
      <c r="C509" s="219" t="s">
        <v>1120</v>
      </c>
      <c r="F509" s="4" t="s">
        <v>1238</v>
      </c>
      <c r="G509" s="859"/>
      <c r="H509" s="1351" t="s">
        <v>1508</v>
      </c>
      <c r="I509" s="197"/>
      <c r="J509" s="174"/>
      <c r="K509" s="446">
        <f>SUM(K504:K508)</f>
        <v>0</v>
      </c>
      <c r="L509" s="892">
        <f>SUM(L504:L508)</f>
        <v>4.5</v>
      </c>
      <c r="M509" s="892">
        <f>SUM(M504:M508)</f>
        <v>4.5</v>
      </c>
      <c r="N509" s="857"/>
      <c r="O509" s="1192"/>
      <c r="P509" s="550"/>
      <c r="Q509" s="1153"/>
      <c r="R509" s="877"/>
      <c r="S509" s="875"/>
      <c r="T509" s="875"/>
      <c r="U509" s="875"/>
      <c r="V509" s="875"/>
      <c r="W509" s="875"/>
      <c r="X509" s="1026"/>
      <c r="Y509" s="1335"/>
      <c r="Z509" s="1335"/>
      <c r="AA509" s="1775"/>
      <c r="AB509" s="1814"/>
      <c r="AC509" s="876"/>
      <c r="AD509" s="1295"/>
      <c r="AE509" s="1525"/>
      <c r="AF509" s="1525"/>
      <c r="AG509" s="1525"/>
      <c r="AH509" s="1525"/>
      <c r="AI509" s="1525"/>
      <c r="AJ509" s="1525"/>
      <c r="AK509" s="1525"/>
      <c r="AL509" s="1525"/>
      <c r="AM509" s="1525"/>
      <c r="AN509" s="1525"/>
      <c r="AO509" s="1525"/>
      <c r="AP509" s="1525"/>
      <c r="AQ509" s="1525"/>
      <c r="AR509" s="1525"/>
      <c r="AS509" s="1525"/>
      <c r="AU509" s="1525"/>
      <c r="AV509" s="1295"/>
      <c r="AW509" s="1525"/>
      <c r="AX509" s="1525"/>
      <c r="AY509" s="1525"/>
      <c r="AZ509" s="1525"/>
      <c r="BA509" s="1525"/>
      <c r="BB509" s="1525"/>
      <c r="BC509" s="1525"/>
      <c r="BD509" s="1525"/>
      <c r="BE509" s="1525"/>
      <c r="BF509" s="1525"/>
      <c r="BG509" s="1525"/>
      <c r="BH509" s="1525"/>
      <c r="BI509" s="1525"/>
      <c r="BJ509" s="1525"/>
      <c r="BK509" s="1525"/>
      <c r="BL509" s="1525"/>
      <c r="BM509" s="1525"/>
      <c r="BN509" s="1525"/>
      <c r="BO509" s="1525"/>
      <c r="BP509" s="1525"/>
      <c r="BQ509" s="1525"/>
      <c r="BR509" s="1525"/>
      <c r="BS509" s="1525"/>
      <c r="BT509" s="1670"/>
      <c r="BV509"/>
      <c r="BW509" s="859"/>
    </row>
    <row r="510" spans="2:75" s="164" customFormat="1" ht="12.75" customHeight="1" x14ac:dyDescent="0.15">
      <c r="B510" s="175"/>
      <c r="F510" s="4"/>
      <c r="G510" s="859"/>
      <c r="H510" s="1347" t="s">
        <v>1508</v>
      </c>
      <c r="I510" s="197"/>
      <c r="J510" s="174"/>
      <c r="K510" s="174"/>
      <c r="L510" s="861"/>
      <c r="M510" s="861"/>
      <c r="N510" s="857"/>
      <c r="O510" s="1200"/>
      <c r="P510" s="550"/>
      <c r="Q510" s="1148"/>
      <c r="R510" s="874"/>
      <c r="S510" s="875"/>
      <c r="T510" s="875"/>
      <c r="U510" s="875"/>
      <c r="V510" s="875"/>
      <c r="W510" s="875"/>
      <c r="X510" s="1026"/>
      <c r="Y510" s="1754"/>
      <c r="Z510" s="1755"/>
      <c r="AA510" s="1775"/>
      <c r="AB510" s="1814"/>
      <c r="AC510" s="876"/>
      <c r="AD510" s="1295"/>
      <c r="AE510" s="1525"/>
      <c r="AF510" s="1525"/>
      <c r="AG510" s="1525"/>
      <c r="AH510" s="1525"/>
      <c r="AI510" s="1525"/>
      <c r="AJ510" s="1525"/>
      <c r="AK510" s="1525"/>
      <c r="AL510" s="1525"/>
      <c r="AM510" s="1525"/>
      <c r="AN510" s="1525"/>
      <c r="AO510" s="1525"/>
      <c r="AP510" s="1525"/>
      <c r="AQ510" s="1525"/>
      <c r="AR510" s="1525"/>
      <c r="AS510" s="1525"/>
      <c r="AU510" s="1525"/>
      <c r="AV510" s="1295"/>
      <c r="AW510" s="1525"/>
      <c r="AX510" s="1525"/>
      <c r="AY510" s="1525"/>
      <c r="AZ510" s="1525"/>
      <c r="BA510" s="1525"/>
      <c r="BB510" s="1525"/>
      <c r="BC510" s="1525"/>
      <c r="BD510" s="1525"/>
      <c r="BE510" s="1525"/>
      <c r="BF510" s="1525"/>
      <c r="BG510" s="1525"/>
      <c r="BH510" s="1525"/>
      <c r="BI510" s="1525"/>
      <c r="BJ510" s="1525"/>
      <c r="BK510" s="1525"/>
      <c r="BL510" s="1525"/>
      <c r="BM510" s="1525"/>
      <c r="BN510" s="1525"/>
      <c r="BO510" s="1525"/>
      <c r="BP510" s="1525"/>
      <c r="BQ510" s="1525"/>
      <c r="BR510" s="1525"/>
      <c r="BS510" s="1525"/>
      <c r="BT510" s="1670"/>
      <c r="BV510"/>
      <c r="BW510" s="859"/>
    </row>
    <row r="511" spans="2:75" s="164" customFormat="1" ht="12.75" customHeight="1" x14ac:dyDescent="0.2">
      <c r="B511" s="175"/>
      <c r="F511" s="21" t="s">
        <v>739</v>
      </c>
      <c r="G511" s="859"/>
      <c r="H511" s="1346" t="s">
        <v>1508</v>
      </c>
      <c r="I511" s="200"/>
      <c r="J511" s="189"/>
      <c r="K511" s="189"/>
      <c r="L511" s="858"/>
      <c r="M511" s="858"/>
      <c r="N511" s="857"/>
      <c r="O511" s="1192"/>
      <c r="P511" s="550"/>
      <c r="Q511" s="1148"/>
      <c r="R511" s="874"/>
      <c r="S511" s="875"/>
      <c r="T511" s="875"/>
      <c r="U511" s="875"/>
      <c r="V511" s="875"/>
      <c r="W511" s="875"/>
      <c r="X511" s="1026"/>
      <c r="Y511" s="1754"/>
      <c r="Z511" s="1755"/>
      <c r="AA511" s="1775"/>
      <c r="AB511" s="1814"/>
      <c r="AC511" s="876"/>
      <c r="AD511" s="1295"/>
      <c r="AE511" s="1525"/>
      <c r="AF511" s="1525"/>
      <c r="AG511" s="1525"/>
      <c r="AH511" s="1525"/>
      <c r="AI511" s="1525"/>
      <c r="AJ511" s="1525"/>
      <c r="AK511" s="1525"/>
      <c r="AL511" s="1525"/>
      <c r="AM511" s="1525"/>
      <c r="AN511" s="1525"/>
      <c r="AO511" s="1525"/>
      <c r="AP511" s="1525"/>
      <c r="AQ511" s="1525"/>
      <c r="AR511" s="1525"/>
      <c r="AS511" s="1525"/>
      <c r="AU511" s="1525"/>
      <c r="AV511" s="1295"/>
      <c r="AW511" s="1525"/>
      <c r="AX511" s="1525"/>
      <c r="AY511" s="1525"/>
      <c r="AZ511" s="1525"/>
      <c r="BA511" s="1525"/>
      <c r="BB511" s="1525"/>
      <c r="BC511" s="1525"/>
      <c r="BD511" s="1525"/>
      <c r="BE511" s="1525"/>
      <c r="BF511" s="1525"/>
      <c r="BG511" s="1525"/>
      <c r="BH511" s="1525"/>
      <c r="BI511" s="1525"/>
      <c r="BJ511" s="1525"/>
      <c r="BK511" s="1525"/>
      <c r="BL511" s="1525"/>
      <c r="BM511" s="1525"/>
      <c r="BN511" s="1525"/>
      <c r="BO511" s="1525"/>
      <c r="BP511" s="1525"/>
      <c r="BQ511" s="1525"/>
      <c r="BR511" s="1525"/>
      <c r="BS511" s="1525"/>
      <c r="BT511" s="1670"/>
      <c r="BV511"/>
      <c r="BW511" s="859"/>
    </row>
    <row r="512" spans="2:75" s="164" customFormat="1" ht="12.75" customHeight="1" x14ac:dyDescent="0.2">
      <c r="B512" s="175"/>
      <c r="F512" s="24" t="s">
        <v>1502</v>
      </c>
      <c r="G512" s="859"/>
      <c r="H512" s="1346" t="s">
        <v>1508</v>
      </c>
      <c r="I512" s="200"/>
      <c r="J512" s="189"/>
      <c r="K512" s="189"/>
      <c r="L512" s="858"/>
      <c r="M512" s="858"/>
      <c r="N512" s="857"/>
      <c r="O512" s="1192"/>
      <c r="P512" s="550"/>
      <c r="Q512" s="1148"/>
      <c r="R512" s="874"/>
      <c r="S512" s="875"/>
      <c r="T512" s="875"/>
      <c r="U512" s="875"/>
      <c r="V512" s="875"/>
      <c r="W512" s="875"/>
      <c r="X512" s="1026"/>
      <c r="Y512" s="1754"/>
      <c r="Z512" s="1755"/>
      <c r="AA512" s="1775"/>
      <c r="AB512" s="1814"/>
      <c r="AC512" s="876"/>
      <c r="AD512" s="1295"/>
      <c r="AE512" s="1525"/>
      <c r="AF512" s="1525"/>
      <c r="AG512" s="1525"/>
      <c r="AH512" s="1525"/>
      <c r="AI512" s="1525"/>
      <c r="AJ512" s="1525"/>
      <c r="AK512" s="1525"/>
      <c r="AL512" s="1525"/>
      <c r="AM512" s="1525"/>
      <c r="AN512" s="1525"/>
      <c r="AO512" s="1525"/>
      <c r="AP512" s="1525"/>
      <c r="AQ512" s="1525"/>
      <c r="AR512" s="1525"/>
      <c r="AS512" s="1525"/>
      <c r="AU512" s="1525"/>
      <c r="AV512" s="1295"/>
      <c r="AW512" s="1525"/>
      <c r="AX512" s="1525"/>
      <c r="AY512" s="1525"/>
      <c r="AZ512" s="1525"/>
      <c r="BA512" s="1525"/>
      <c r="BB512" s="1525"/>
      <c r="BC512" s="1525"/>
      <c r="BD512" s="1525"/>
      <c r="BE512" s="1525"/>
      <c r="BF512" s="1525"/>
      <c r="BG512" s="1525"/>
      <c r="BH512" s="1525"/>
      <c r="BI512" s="1525"/>
      <c r="BJ512" s="1525"/>
      <c r="BK512" s="1525"/>
      <c r="BL512" s="1525"/>
      <c r="BM512" s="1525"/>
      <c r="BN512" s="1525"/>
      <c r="BO512" s="1525"/>
      <c r="BP512" s="1525"/>
      <c r="BQ512" s="1525"/>
      <c r="BR512" s="1525"/>
      <c r="BS512" s="1525"/>
      <c r="BT512" s="1670"/>
      <c r="BV512"/>
      <c r="BW512" s="859"/>
    </row>
    <row r="513" spans="2:75" s="164" customFormat="1" ht="12.75" customHeight="1" x14ac:dyDescent="0.2">
      <c r="B513" s="175"/>
      <c r="F513" s="24"/>
      <c r="G513" s="859"/>
      <c r="H513" s="1346" t="s">
        <v>1508</v>
      </c>
      <c r="I513" s="200"/>
      <c r="J513" s="189"/>
      <c r="K513" s="189"/>
      <c r="L513" s="858"/>
      <c r="M513" s="858"/>
      <c r="N513" s="857"/>
      <c r="O513" s="1192"/>
      <c r="P513" s="550"/>
      <c r="Q513" s="1148"/>
      <c r="R513" s="874"/>
      <c r="S513" s="875"/>
      <c r="T513" s="875"/>
      <c r="U513" s="875"/>
      <c r="V513" s="875"/>
      <c r="W513" s="875"/>
      <c r="X513" s="1026"/>
      <c r="Y513" s="1754"/>
      <c r="Z513" s="1755"/>
      <c r="AA513" s="1775"/>
      <c r="AB513" s="1814"/>
      <c r="AC513" s="876"/>
      <c r="AD513" s="1295"/>
      <c r="AE513" s="1525"/>
      <c r="AF513" s="1525"/>
      <c r="AG513" s="1525"/>
      <c r="AH513" s="1525"/>
      <c r="AI513" s="1525"/>
      <c r="AJ513" s="1525"/>
      <c r="AK513" s="1525"/>
      <c r="AL513" s="1525"/>
      <c r="AM513" s="1525"/>
      <c r="AN513" s="1525"/>
      <c r="AO513" s="1525"/>
      <c r="AP513" s="1525"/>
      <c r="AQ513" s="1525"/>
      <c r="AR513" s="1525"/>
      <c r="AS513" s="1525"/>
      <c r="AU513" s="1525"/>
      <c r="AV513" s="1295"/>
      <c r="AW513" s="1525"/>
      <c r="AX513" s="1525"/>
      <c r="AY513" s="1525"/>
      <c r="AZ513" s="1525"/>
      <c r="BA513" s="1525"/>
      <c r="BB513" s="1525"/>
      <c r="BC513" s="1525"/>
      <c r="BD513" s="1525"/>
      <c r="BE513" s="1525"/>
      <c r="BF513" s="1525"/>
      <c r="BG513" s="1525"/>
      <c r="BH513" s="1525"/>
      <c r="BI513" s="1525"/>
      <c r="BJ513" s="1525"/>
      <c r="BK513" s="1525"/>
      <c r="BL513" s="1525"/>
      <c r="BM513" s="1525"/>
      <c r="BN513" s="1525"/>
      <c r="BO513" s="1525"/>
      <c r="BP513" s="1525"/>
      <c r="BQ513" s="1525"/>
      <c r="BR513" s="1525"/>
      <c r="BS513" s="1525"/>
      <c r="BT513" s="1670"/>
      <c r="BV513"/>
      <c r="BW513" s="859"/>
    </row>
    <row r="514" spans="2:75" s="164" customFormat="1" ht="12.75" customHeight="1" x14ac:dyDescent="0.15">
      <c r="B514" s="175"/>
      <c r="F514" s="4"/>
      <c r="G514" s="862"/>
      <c r="H514" s="1347" t="s">
        <v>1508</v>
      </c>
      <c r="I514" s="197"/>
      <c r="J514" s="174"/>
      <c r="K514" s="174"/>
      <c r="L514" s="861"/>
      <c r="M514" s="861"/>
      <c r="N514" s="836"/>
      <c r="O514" s="1200"/>
      <c r="P514" s="550"/>
      <c r="Q514" s="1148"/>
      <c r="R514" s="874"/>
      <c r="S514" s="875"/>
      <c r="T514" s="875"/>
      <c r="U514" s="875"/>
      <c r="V514" s="875"/>
      <c r="W514" s="875"/>
      <c r="X514" s="1026"/>
      <c r="Y514" s="1754"/>
      <c r="Z514" s="1755"/>
      <c r="AA514" s="1775"/>
      <c r="AB514" s="1814"/>
      <c r="AC514" s="876"/>
      <c r="AD514" s="1295"/>
      <c r="AE514" s="1525"/>
      <c r="AF514" s="1525"/>
      <c r="AG514" s="1525"/>
      <c r="AH514" s="1525"/>
      <c r="AI514" s="1525"/>
      <c r="AJ514" s="1525"/>
      <c r="AK514" s="1525"/>
      <c r="AL514" s="1525"/>
      <c r="AM514" s="1525"/>
      <c r="AN514" s="1525"/>
      <c r="AO514" s="1525"/>
      <c r="AP514" s="1525"/>
      <c r="AQ514" s="1525"/>
      <c r="AR514" s="1525"/>
      <c r="AS514" s="1525"/>
      <c r="AU514" s="1525"/>
      <c r="AV514" s="1295"/>
      <c r="AW514" s="1525"/>
      <c r="AX514" s="1525"/>
      <c r="AY514" s="1525"/>
      <c r="AZ514" s="1525"/>
      <c r="BA514" s="1525"/>
      <c r="BB514" s="1525"/>
      <c r="BC514" s="1525"/>
      <c r="BD514" s="1525"/>
      <c r="BE514" s="1525"/>
      <c r="BF514" s="1525"/>
      <c r="BG514" s="1525"/>
      <c r="BH514" s="1525"/>
      <c r="BI514" s="1525"/>
      <c r="BJ514" s="1525"/>
      <c r="BK514" s="1525"/>
      <c r="BL514" s="1525"/>
      <c r="BM514" s="1525"/>
      <c r="BN514" s="1525"/>
      <c r="BO514" s="1525"/>
      <c r="BP514" s="1525"/>
      <c r="BQ514" s="1525"/>
      <c r="BR514" s="1525"/>
      <c r="BS514" s="1525"/>
      <c r="BT514" s="1670"/>
      <c r="BV514"/>
      <c r="BW514" s="862"/>
    </row>
    <row r="515" spans="2:75" s="164" customFormat="1" ht="12.75" customHeight="1" x14ac:dyDescent="0.2">
      <c r="B515" s="175"/>
      <c r="F515" s="24" t="s">
        <v>183</v>
      </c>
      <c r="G515" s="859"/>
      <c r="H515" s="1346" t="s">
        <v>1508</v>
      </c>
      <c r="I515" s="200"/>
      <c r="J515" s="189"/>
      <c r="K515" s="189"/>
      <c r="L515" s="858"/>
      <c r="M515" s="858"/>
      <c r="N515" s="857"/>
      <c r="O515" s="1192"/>
      <c r="P515" s="550"/>
      <c r="Q515" s="1148"/>
      <c r="R515" s="874"/>
      <c r="S515" s="875"/>
      <c r="T515" s="875"/>
      <c r="U515" s="875"/>
      <c r="V515" s="875"/>
      <c r="W515" s="875"/>
      <c r="X515" s="1026"/>
      <c r="Y515" s="1754"/>
      <c r="Z515" s="1755"/>
      <c r="AA515" s="1775"/>
      <c r="AB515" s="1814"/>
      <c r="AC515" s="876"/>
      <c r="AD515" s="1295"/>
      <c r="AE515" s="1525"/>
      <c r="AF515" s="1525"/>
      <c r="AG515" s="1525"/>
      <c r="AH515" s="1525"/>
      <c r="AI515" s="1525"/>
      <c r="AJ515" s="1525"/>
      <c r="AK515" s="1525"/>
      <c r="AL515" s="1525"/>
      <c r="AM515" s="1525"/>
      <c r="AN515" s="1525"/>
      <c r="AO515" s="1525"/>
      <c r="AP515" s="1525"/>
      <c r="AQ515" s="1525"/>
      <c r="AR515" s="1525"/>
      <c r="AS515" s="1525"/>
      <c r="AU515" s="1525"/>
      <c r="AV515" s="1295"/>
      <c r="AW515" s="1525"/>
      <c r="AX515" s="1525"/>
      <c r="AY515" s="1525"/>
      <c r="AZ515" s="1525"/>
      <c r="BA515" s="1525"/>
      <c r="BB515" s="1525"/>
      <c r="BC515" s="1525"/>
      <c r="BD515" s="1525"/>
      <c r="BE515" s="1525"/>
      <c r="BF515" s="1525"/>
      <c r="BG515" s="1525"/>
      <c r="BH515" s="1525"/>
      <c r="BI515" s="1525"/>
      <c r="BJ515" s="1525"/>
      <c r="BK515" s="1525"/>
      <c r="BL515" s="1525"/>
      <c r="BM515" s="1525"/>
      <c r="BN515" s="1525"/>
      <c r="BO515" s="1525"/>
      <c r="BP515" s="1525"/>
      <c r="BQ515" s="1525"/>
      <c r="BR515" s="1525"/>
      <c r="BS515" s="1525"/>
      <c r="BT515" s="1670"/>
      <c r="BV515"/>
      <c r="BW515" s="859"/>
    </row>
    <row r="516" spans="2:75" s="164" customFormat="1" ht="12.75" customHeight="1" x14ac:dyDescent="0.15">
      <c r="B516" s="175"/>
      <c r="F516" s="24" t="s">
        <v>1362</v>
      </c>
      <c r="G516" s="859"/>
      <c r="H516" s="1346" t="s">
        <v>1508</v>
      </c>
      <c r="I516" s="200"/>
      <c r="J516" s="189"/>
      <c r="K516" s="189"/>
      <c r="L516" s="858"/>
      <c r="M516" s="858"/>
      <c r="N516" s="857"/>
      <c r="O516" s="1200"/>
      <c r="P516" s="550"/>
      <c r="Q516" s="1148"/>
      <c r="R516" s="874"/>
      <c r="S516" s="875"/>
      <c r="T516" s="875"/>
      <c r="U516" s="875"/>
      <c r="V516" s="875"/>
      <c r="W516" s="875"/>
      <c r="X516" s="1026"/>
      <c r="Y516" s="1754"/>
      <c r="Z516" s="1755"/>
      <c r="AA516" s="1775"/>
      <c r="AB516" s="1814"/>
      <c r="AC516" s="876"/>
      <c r="AD516" s="1295"/>
      <c r="AE516" s="1525"/>
      <c r="AF516" s="1525"/>
      <c r="AG516" s="1525"/>
      <c r="AH516" s="1525"/>
      <c r="AI516" s="1525"/>
      <c r="AJ516" s="1525"/>
      <c r="AK516" s="1525"/>
      <c r="AL516" s="1525"/>
      <c r="AM516" s="1525"/>
      <c r="AN516" s="1525"/>
      <c r="AO516" s="1525"/>
      <c r="AP516" s="1525"/>
      <c r="AQ516" s="1525"/>
      <c r="AR516" s="1525"/>
      <c r="AS516" s="1525"/>
      <c r="AU516" s="1525"/>
      <c r="AV516" s="1295"/>
      <c r="AW516" s="1525"/>
      <c r="AX516" s="1525"/>
      <c r="AY516" s="1525"/>
      <c r="AZ516" s="1525"/>
      <c r="BA516" s="1525"/>
      <c r="BB516" s="1525"/>
      <c r="BC516" s="1525"/>
      <c r="BD516" s="1525"/>
      <c r="BE516" s="1525"/>
      <c r="BF516" s="1525"/>
      <c r="BG516" s="1525"/>
      <c r="BH516" s="1525"/>
      <c r="BI516" s="1525"/>
      <c r="BJ516" s="1525"/>
      <c r="BK516" s="1525"/>
      <c r="BL516" s="1525"/>
      <c r="BM516" s="1525"/>
      <c r="BN516" s="1525"/>
      <c r="BO516" s="1525"/>
      <c r="BP516" s="1525"/>
      <c r="BQ516" s="1525"/>
      <c r="BR516" s="1525"/>
      <c r="BS516" s="1525"/>
      <c r="BT516" s="1670"/>
      <c r="BV516"/>
      <c r="BW516" s="859"/>
    </row>
    <row r="517" spans="2:75" s="164" customFormat="1" ht="12.75" customHeight="1" x14ac:dyDescent="0.2">
      <c r="B517" s="175"/>
      <c r="F517" s="24"/>
      <c r="G517" s="859"/>
      <c r="H517" s="1346" t="s">
        <v>1508</v>
      </c>
      <c r="I517" s="200"/>
      <c r="J517" s="189"/>
      <c r="K517" s="189"/>
      <c r="L517" s="858"/>
      <c r="M517" s="858"/>
      <c r="N517" s="857"/>
      <c r="O517" s="1192"/>
      <c r="P517" s="550"/>
      <c r="Q517" s="1148"/>
      <c r="R517" s="874"/>
      <c r="S517" s="875"/>
      <c r="T517" s="875"/>
      <c r="U517" s="875"/>
      <c r="V517" s="875"/>
      <c r="W517" s="875"/>
      <c r="X517" s="1026"/>
      <c r="Y517" s="1754"/>
      <c r="Z517" s="1755"/>
      <c r="AA517" s="1775"/>
      <c r="AB517" s="1814"/>
      <c r="AC517" s="876"/>
      <c r="AD517" s="1295"/>
      <c r="AE517" s="1525"/>
      <c r="AF517" s="1525"/>
      <c r="AG517" s="1525"/>
      <c r="AH517" s="1525"/>
      <c r="AI517" s="1525"/>
      <c r="AJ517" s="1525"/>
      <c r="AK517" s="1525"/>
      <c r="AL517" s="1525"/>
      <c r="AM517" s="1525"/>
      <c r="AN517" s="1525"/>
      <c r="AO517" s="1525"/>
      <c r="AP517" s="1525"/>
      <c r="AQ517" s="1525"/>
      <c r="AR517" s="1525"/>
      <c r="AS517" s="1525"/>
      <c r="AU517" s="1525"/>
      <c r="AV517" s="1295"/>
      <c r="AW517" s="1525"/>
      <c r="AX517" s="1525"/>
      <c r="AY517" s="1525"/>
      <c r="AZ517" s="1525"/>
      <c r="BA517" s="1525"/>
      <c r="BB517" s="1525"/>
      <c r="BC517" s="1525"/>
      <c r="BD517" s="1525"/>
      <c r="BE517" s="1525"/>
      <c r="BF517" s="1525"/>
      <c r="BG517" s="1525"/>
      <c r="BH517" s="1525"/>
      <c r="BI517" s="1525"/>
      <c r="BJ517" s="1525"/>
      <c r="BK517" s="1525"/>
      <c r="BL517" s="1525"/>
      <c r="BM517" s="1525"/>
      <c r="BN517" s="1525"/>
      <c r="BO517" s="1525"/>
      <c r="BP517" s="1525"/>
      <c r="BQ517" s="1525"/>
      <c r="BR517" s="1525"/>
      <c r="BS517" s="1525"/>
      <c r="BT517" s="1670"/>
      <c r="BV517"/>
      <c r="BW517" s="859"/>
    </row>
    <row r="518" spans="2:75" ht="12.75" customHeight="1" x14ac:dyDescent="0.2">
      <c r="B518" s="175">
        <f t="shared" si="296"/>
        <v>1</v>
      </c>
      <c r="C518" s="219">
        <v>11</v>
      </c>
      <c r="E518" s="12" t="s">
        <v>288</v>
      </c>
      <c r="F518" s="4" t="s">
        <v>824</v>
      </c>
      <c r="G518" s="859" t="s">
        <v>1194</v>
      </c>
      <c r="H518" s="858">
        <v>230542</v>
      </c>
      <c r="I518" s="200" t="s">
        <v>1584</v>
      </c>
      <c r="J518" s="189"/>
      <c r="K518" s="189"/>
      <c r="L518" s="858">
        <v>1</v>
      </c>
      <c r="M518" s="858">
        <f t="shared" ref="M518:M538" si="310">K518+L518</f>
        <v>1</v>
      </c>
      <c r="N518" s="857" t="s">
        <v>1326</v>
      </c>
      <c r="O518" s="1196">
        <v>22033</v>
      </c>
      <c r="P518" s="1218">
        <f t="shared" ref="P518:P538" ca="1" si="311">YEARFRAC(TODAY(),O518)</f>
        <v>57.430555555555557</v>
      </c>
      <c r="Q518" s="1148">
        <v>44800</v>
      </c>
      <c r="R518" s="874">
        <f>Q518*0.1</f>
        <v>4480</v>
      </c>
      <c r="S518" s="875"/>
      <c r="T518" s="875">
        <v>31000</v>
      </c>
      <c r="U518" s="875"/>
      <c r="V518" s="875"/>
      <c r="W518" s="875"/>
      <c r="X518" s="1026">
        <f t="shared" ref="X518:X538" si="312">(Q518+R518+S518+T518+U518+V518+W518)*M518</f>
        <v>80280</v>
      </c>
      <c r="Y518" s="1512">
        <f t="shared" ref="Y518:Y529" si="313">(T518+U518)*M518/(X518-M518*(T518+U518))</f>
        <v>0.62905844155844159</v>
      </c>
      <c r="Z518" s="1741">
        <f t="shared" ref="Z518:Z538" si="314">M518*(1+Y518)</f>
        <v>1.6290584415584415</v>
      </c>
      <c r="AA518" s="1749">
        <f t="shared" ref="AA518:AA538" si="315">SUM(AD518:AS518)</f>
        <v>0</v>
      </c>
      <c r="AB518" s="1810">
        <f t="shared" ref="AB518:AB538" si="316">100*AA518/Z518</f>
        <v>0</v>
      </c>
      <c r="AC518" s="876"/>
      <c r="AD518" s="1525">
        <f t="shared" ref="AD518:AS527" si="317">SUMIF($AV$6:$BS$6,AD$5,$AV518:$BS518)</f>
        <v>0</v>
      </c>
      <c r="AE518" s="1525">
        <f t="shared" si="317"/>
        <v>0</v>
      </c>
      <c r="AF518" s="1525">
        <f t="shared" si="317"/>
        <v>0</v>
      </c>
      <c r="AG518" s="1525">
        <f t="shared" si="317"/>
        <v>0</v>
      </c>
      <c r="AH518" s="1525">
        <f t="shared" si="317"/>
        <v>0</v>
      </c>
      <c r="AI518" s="1525">
        <f t="shared" si="317"/>
        <v>0</v>
      </c>
      <c r="AJ518" s="1525">
        <f t="shared" si="317"/>
        <v>0</v>
      </c>
      <c r="AK518" s="1525">
        <f t="shared" si="317"/>
        <v>0</v>
      </c>
      <c r="AL518" s="1525">
        <f t="shared" si="317"/>
        <v>0</v>
      </c>
      <c r="AM518" s="1525">
        <f t="shared" si="317"/>
        <v>0</v>
      </c>
      <c r="AN518" s="1525">
        <f t="shared" si="317"/>
        <v>0</v>
      </c>
      <c r="AO518" s="1525">
        <f t="shared" si="317"/>
        <v>0</v>
      </c>
      <c r="AP518" s="1525">
        <f t="shared" si="317"/>
        <v>0</v>
      </c>
      <c r="AQ518" s="1525">
        <f t="shared" si="317"/>
        <v>0</v>
      </c>
      <c r="AR518" s="1525">
        <f t="shared" si="317"/>
        <v>0</v>
      </c>
      <c r="AS518" s="1525">
        <f t="shared" si="317"/>
        <v>0</v>
      </c>
      <c r="AU518" s="1525"/>
      <c r="AV518" s="1291"/>
      <c r="AW518" s="1292"/>
      <c r="AX518" s="1292"/>
      <c r="AY518" s="1292"/>
      <c r="AZ518" s="1292"/>
      <c r="BA518" s="1292"/>
      <c r="BB518" s="1292"/>
      <c r="BC518" s="1292"/>
      <c r="BD518" s="1292"/>
      <c r="BE518" s="1292"/>
      <c r="BF518" s="1292"/>
      <c r="BG518" s="1292"/>
      <c r="BH518" s="1292"/>
      <c r="BI518" s="1292"/>
      <c r="BJ518" s="1292"/>
      <c r="BK518" s="1292"/>
      <c r="BL518" s="1292"/>
      <c r="BM518" s="1292"/>
      <c r="BN518" s="1292"/>
      <c r="BO518" s="1292"/>
      <c r="BP518" s="1292"/>
      <c r="BQ518" s="1292"/>
      <c r="BR518" s="1292"/>
      <c r="BS518" s="1292"/>
      <c r="BT518" s="1670">
        <f t="shared" ref="BT518:BT538" si="318">SUM(AV518:BS518)</f>
        <v>0</v>
      </c>
      <c r="BW518" s="859" t="s">
        <v>1194</v>
      </c>
    </row>
    <row r="519" spans="2:75" ht="12.75" customHeight="1" x14ac:dyDescent="0.2">
      <c r="B519" s="175">
        <f t="shared" si="296"/>
        <v>2</v>
      </c>
      <c r="C519" s="219">
        <v>12</v>
      </c>
      <c r="E519" s="12" t="s">
        <v>288</v>
      </c>
      <c r="F519" s="4" t="s">
        <v>1235</v>
      </c>
      <c r="G519" s="859" t="s">
        <v>532</v>
      </c>
      <c r="H519" s="858">
        <v>6386</v>
      </c>
      <c r="I519" s="197" t="s">
        <v>1584</v>
      </c>
      <c r="J519" s="174"/>
      <c r="K519" s="174"/>
      <c r="L519" s="861">
        <v>1</v>
      </c>
      <c r="M519" s="858">
        <f t="shared" si="310"/>
        <v>1</v>
      </c>
      <c r="N519" s="857" t="s">
        <v>1326</v>
      </c>
      <c r="O519" s="1196">
        <v>14226</v>
      </c>
      <c r="P519" s="1218">
        <f t="shared" ca="1" si="311"/>
        <v>78.805555555555557</v>
      </c>
      <c r="Q519" s="1148">
        <v>35900</v>
      </c>
      <c r="R519" s="874">
        <f>Q519*0.1</f>
        <v>3590</v>
      </c>
      <c r="S519" s="875"/>
      <c r="T519" s="875"/>
      <c r="U519" s="875"/>
      <c r="V519" s="875"/>
      <c r="W519" s="875"/>
      <c r="X519" s="1026">
        <f t="shared" si="312"/>
        <v>39490</v>
      </c>
      <c r="Y519" s="1512">
        <f t="shared" si="313"/>
        <v>0</v>
      </c>
      <c r="Z519" s="1741">
        <f t="shared" si="314"/>
        <v>1</v>
      </c>
      <c r="AA519" s="1749">
        <f t="shared" si="315"/>
        <v>0</v>
      </c>
      <c r="AB519" s="1810">
        <f t="shared" si="316"/>
        <v>0</v>
      </c>
      <c r="AC519" s="876"/>
      <c r="AD519" s="1525">
        <f t="shared" si="317"/>
        <v>0</v>
      </c>
      <c r="AE519" s="1525">
        <f t="shared" si="317"/>
        <v>0</v>
      </c>
      <c r="AF519" s="1525">
        <f t="shared" si="317"/>
        <v>0</v>
      </c>
      <c r="AG519" s="1525">
        <f t="shared" si="317"/>
        <v>0</v>
      </c>
      <c r="AH519" s="1525">
        <f t="shared" si="317"/>
        <v>0</v>
      </c>
      <c r="AI519" s="1525">
        <f t="shared" si="317"/>
        <v>0</v>
      </c>
      <c r="AJ519" s="1525">
        <f t="shared" si="317"/>
        <v>0</v>
      </c>
      <c r="AK519" s="1525">
        <f t="shared" si="317"/>
        <v>0</v>
      </c>
      <c r="AL519" s="1525">
        <f t="shared" si="317"/>
        <v>0</v>
      </c>
      <c r="AM519" s="1525">
        <f t="shared" si="317"/>
        <v>0</v>
      </c>
      <c r="AN519" s="1525">
        <f t="shared" si="317"/>
        <v>0</v>
      </c>
      <c r="AO519" s="1525">
        <f t="shared" si="317"/>
        <v>0</v>
      </c>
      <c r="AP519" s="1525">
        <f t="shared" si="317"/>
        <v>0</v>
      </c>
      <c r="AQ519" s="1525">
        <f t="shared" si="317"/>
        <v>0</v>
      </c>
      <c r="AR519" s="1525">
        <f t="shared" si="317"/>
        <v>0</v>
      </c>
      <c r="AS519" s="1525">
        <f t="shared" si="317"/>
        <v>0</v>
      </c>
      <c r="AU519" s="1525"/>
      <c r="AV519" s="1291"/>
      <c r="AW519" s="1292"/>
      <c r="AX519" s="1292"/>
      <c r="AY519" s="1292"/>
      <c r="AZ519" s="1292"/>
      <c r="BA519" s="1292"/>
      <c r="BB519" s="1292"/>
      <c r="BC519" s="1292"/>
      <c r="BD519" s="1292"/>
      <c r="BE519" s="1292"/>
      <c r="BF519" s="1292"/>
      <c r="BG519" s="1292"/>
      <c r="BH519" s="1292"/>
      <c r="BI519" s="1292"/>
      <c r="BJ519" s="1292"/>
      <c r="BK519" s="1292"/>
      <c r="BL519" s="1292"/>
      <c r="BM519" s="1292"/>
      <c r="BN519" s="1292"/>
      <c r="BO519" s="1292"/>
      <c r="BP519" s="1292"/>
      <c r="BQ519" s="1292"/>
      <c r="BR519" s="1292"/>
      <c r="BS519" s="1292"/>
      <c r="BT519" s="1670">
        <f t="shared" si="318"/>
        <v>0</v>
      </c>
      <c r="BW519" s="859" t="s">
        <v>532</v>
      </c>
    </row>
    <row r="520" spans="2:75" s="164" customFormat="1" ht="12.75" customHeight="1" x14ac:dyDescent="0.2">
      <c r="B520" s="175">
        <f t="shared" si="296"/>
        <v>3</v>
      </c>
      <c r="C520" s="219">
        <v>25</v>
      </c>
      <c r="E520" s="12" t="s">
        <v>288</v>
      </c>
      <c r="F520" s="24" t="s">
        <v>432</v>
      </c>
      <c r="G520" s="859" t="s">
        <v>1058</v>
      </c>
      <c r="H520" s="858">
        <v>6457</v>
      </c>
      <c r="I520" s="200" t="s">
        <v>1584</v>
      </c>
      <c r="J520" s="189"/>
      <c r="K520" s="189"/>
      <c r="L520" s="858">
        <v>1</v>
      </c>
      <c r="M520" s="858">
        <f t="shared" si="310"/>
        <v>1</v>
      </c>
      <c r="N520" s="857" t="s">
        <v>892</v>
      </c>
      <c r="O520" s="1196">
        <v>16036</v>
      </c>
      <c r="P520" s="1218">
        <f t="shared" ca="1" si="311"/>
        <v>73.849999999999994</v>
      </c>
      <c r="Q520" s="1148">
        <v>16100</v>
      </c>
      <c r="R520" s="874"/>
      <c r="S520" s="875"/>
      <c r="T520" s="875"/>
      <c r="U520" s="875"/>
      <c r="V520" s="875"/>
      <c r="W520" s="875"/>
      <c r="X520" s="1026">
        <f t="shared" si="312"/>
        <v>16100</v>
      </c>
      <c r="Y520" s="1512">
        <f t="shared" si="313"/>
        <v>0</v>
      </c>
      <c r="Z520" s="1741">
        <f t="shared" si="314"/>
        <v>1</v>
      </c>
      <c r="AA520" s="1749">
        <f t="shared" si="315"/>
        <v>0</v>
      </c>
      <c r="AB520" s="1810">
        <f t="shared" si="316"/>
        <v>0</v>
      </c>
      <c r="AC520" s="876"/>
      <c r="AD520" s="1525">
        <f t="shared" si="317"/>
        <v>0</v>
      </c>
      <c r="AE520" s="1525">
        <f t="shared" si="317"/>
        <v>0</v>
      </c>
      <c r="AF520" s="1525">
        <f t="shared" si="317"/>
        <v>0</v>
      </c>
      <c r="AG520" s="1525">
        <f t="shared" si="317"/>
        <v>0</v>
      </c>
      <c r="AH520" s="1525">
        <f t="shared" si="317"/>
        <v>0</v>
      </c>
      <c r="AI520" s="1525">
        <f t="shared" si="317"/>
        <v>0</v>
      </c>
      <c r="AJ520" s="1525">
        <f t="shared" si="317"/>
        <v>0</v>
      </c>
      <c r="AK520" s="1525">
        <f t="shared" si="317"/>
        <v>0</v>
      </c>
      <c r="AL520" s="1525">
        <f t="shared" si="317"/>
        <v>0</v>
      </c>
      <c r="AM520" s="1525">
        <f t="shared" si="317"/>
        <v>0</v>
      </c>
      <c r="AN520" s="1525">
        <f t="shared" si="317"/>
        <v>0</v>
      </c>
      <c r="AO520" s="1525">
        <f t="shared" si="317"/>
        <v>0</v>
      </c>
      <c r="AP520" s="1525">
        <f t="shared" si="317"/>
        <v>0</v>
      </c>
      <c r="AQ520" s="1525">
        <f t="shared" si="317"/>
        <v>0</v>
      </c>
      <c r="AR520" s="1525">
        <f t="shared" si="317"/>
        <v>0</v>
      </c>
      <c r="AS520" s="1525">
        <f t="shared" si="317"/>
        <v>0</v>
      </c>
      <c r="AU520" s="1525"/>
      <c r="AV520" s="1295"/>
      <c r="AW520" s="1525"/>
      <c r="AX520" s="1525"/>
      <c r="AY520" s="1525"/>
      <c r="AZ520" s="1525"/>
      <c r="BA520" s="1525"/>
      <c r="BB520" s="1525"/>
      <c r="BC520" s="1525"/>
      <c r="BD520" s="1525"/>
      <c r="BE520" s="1525"/>
      <c r="BF520" s="1525"/>
      <c r="BG520" s="1525"/>
      <c r="BH520" s="1525"/>
      <c r="BI520" s="1525"/>
      <c r="BJ520" s="1525"/>
      <c r="BK520" s="1525"/>
      <c r="BL520" s="1525"/>
      <c r="BM520" s="1525"/>
      <c r="BN520" s="1525"/>
      <c r="BO520" s="1525"/>
      <c r="BP520" s="1525"/>
      <c r="BQ520" s="1525"/>
      <c r="BR520" s="1525"/>
      <c r="BS520" s="1525"/>
      <c r="BT520" s="1670">
        <f t="shared" si="318"/>
        <v>0</v>
      </c>
      <c r="BV520"/>
      <c r="BW520" s="859" t="s">
        <v>1058</v>
      </c>
    </row>
    <row r="521" spans="2:75" ht="12.75" customHeight="1" x14ac:dyDescent="0.2">
      <c r="B521" s="175">
        <f t="shared" si="296"/>
        <v>4</v>
      </c>
      <c r="C521" s="220">
        <v>14</v>
      </c>
      <c r="D521" s="170"/>
      <c r="E521" s="447" t="s">
        <v>288</v>
      </c>
      <c r="F521" s="4" t="s">
        <v>626</v>
      </c>
      <c r="G521" s="862" t="s">
        <v>109</v>
      </c>
      <c r="H521" s="861">
        <v>122456</v>
      </c>
      <c r="I521" s="197" t="s">
        <v>1584</v>
      </c>
      <c r="J521" s="174"/>
      <c r="K521" s="174"/>
      <c r="L521" s="861">
        <v>1</v>
      </c>
      <c r="M521" s="861">
        <f t="shared" si="310"/>
        <v>1</v>
      </c>
      <c r="N521" s="836" t="s">
        <v>1326</v>
      </c>
      <c r="O521" s="1196">
        <v>23577</v>
      </c>
      <c r="P521" s="1262">
        <f t="shared" ca="1" si="311"/>
        <v>53.202777777777776</v>
      </c>
      <c r="Q521" s="1148">
        <v>34400</v>
      </c>
      <c r="R521" s="874">
        <f>Q521*0.1</f>
        <v>3440</v>
      </c>
      <c r="S521" s="876"/>
      <c r="T521" s="876">
        <v>31000</v>
      </c>
      <c r="U521" s="876"/>
      <c r="V521" s="876"/>
      <c r="W521" s="876"/>
      <c r="X521" s="1026">
        <f t="shared" si="312"/>
        <v>68840</v>
      </c>
      <c r="Y521" s="1512">
        <f t="shared" si="313"/>
        <v>0.81923890063424942</v>
      </c>
      <c r="Z521" s="1741">
        <f t="shared" si="314"/>
        <v>1.8192389006342493</v>
      </c>
      <c r="AA521" s="1749">
        <f t="shared" si="315"/>
        <v>0</v>
      </c>
      <c r="AB521" s="1810">
        <f t="shared" si="316"/>
        <v>0</v>
      </c>
      <c r="AC521" s="876"/>
      <c r="AD521" s="1525">
        <f t="shared" si="317"/>
        <v>0</v>
      </c>
      <c r="AE521" s="1525">
        <f t="shared" si="317"/>
        <v>0</v>
      </c>
      <c r="AF521" s="1525">
        <f t="shared" si="317"/>
        <v>0</v>
      </c>
      <c r="AG521" s="1525">
        <f t="shared" si="317"/>
        <v>0</v>
      </c>
      <c r="AH521" s="1525">
        <f t="shared" si="317"/>
        <v>0</v>
      </c>
      <c r="AI521" s="1525">
        <f t="shared" si="317"/>
        <v>0</v>
      </c>
      <c r="AJ521" s="1525">
        <f t="shared" si="317"/>
        <v>0</v>
      </c>
      <c r="AK521" s="1525">
        <f t="shared" si="317"/>
        <v>0</v>
      </c>
      <c r="AL521" s="1525">
        <f t="shared" si="317"/>
        <v>0</v>
      </c>
      <c r="AM521" s="1525">
        <f t="shared" si="317"/>
        <v>0</v>
      </c>
      <c r="AN521" s="1525">
        <f t="shared" si="317"/>
        <v>0</v>
      </c>
      <c r="AO521" s="1525">
        <f t="shared" si="317"/>
        <v>0</v>
      </c>
      <c r="AP521" s="1525">
        <f t="shared" si="317"/>
        <v>0</v>
      </c>
      <c r="AQ521" s="1525">
        <f t="shared" si="317"/>
        <v>0</v>
      </c>
      <c r="AR521" s="1525">
        <f t="shared" si="317"/>
        <v>0</v>
      </c>
      <c r="AS521" s="1525">
        <f t="shared" si="317"/>
        <v>0</v>
      </c>
      <c r="AU521" s="1525"/>
      <c r="AV521" s="1291"/>
      <c r="AW521" s="1292"/>
      <c r="AX521" s="1292"/>
      <c r="AY521" s="1292"/>
      <c r="AZ521" s="1292"/>
      <c r="BA521" s="1292"/>
      <c r="BB521" s="1292"/>
      <c r="BC521" s="1292"/>
      <c r="BD521" s="1292"/>
      <c r="BE521" s="1292"/>
      <c r="BF521" s="1292"/>
      <c r="BG521" s="1292"/>
      <c r="BH521" s="1292"/>
      <c r="BI521" s="1292"/>
      <c r="BJ521" s="1292"/>
      <c r="BK521" s="1292"/>
      <c r="BL521" s="1292"/>
      <c r="BM521" s="1292"/>
      <c r="BN521" s="1292"/>
      <c r="BO521" s="1292"/>
      <c r="BP521" s="1292"/>
      <c r="BQ521" s="1292"/>
      <c r="BR521" s="1292"/>
      <c r="BS521" s="1292"/>
      <c r="BT521" s="1670">
        <f t="shared" si="318"/>
        <v>0</v>
      </c>
      <c r="BW521" s="862" t="s">
        <v>109</v>
      </c>
    </row>
    <row r="522" spans="2:75" ht="12.75" customHeight="1" x14ac:dyDescent="0.2">
      <c r="B522" s="175">
        <f t="shared" si="296"/>
        <v>5</v>
      </c>
      <c r="C522" s="220">
        <v>14</v>
      </c>
      <c r="D522" s="170"/>
      <c r="E522" s="447" t="s">
        <v>288</v>
      </c>
      <c r="F522" s="4" t="s">
        <v>626</v>
      </c>
      <c r="G522" s="859" t="s">
        <v>408</v>
      </c>
      <c r="H522" s="858">
        <v>133491</v>
      </c>
      <c r="I522" s="200" t="s">
        <v>998</v>
      </c>
      <c r="J522" s="189"/>
      <c r="K522" s="189"/>
      <c r="L522" s="858">
        <v>1</v>
      </c>
      <c r="M522" s="858">
        <f>K522+L522</f>
        <v>1</v>
      </c>
      <c r="N522" s="857" t="s">
        <v>892</v>
      </c>
      <c r="O522" s="1196">
        <v>32845</v>
      </c>
      <c r="P522" s="1218">
        <f ca="1">YEARFRAC(TODAY(),O522)</f>
        <v>27.830555555555556</v>
      </c>
      <c r="Q522" s="1148">
        <v>25000</v>
      </c>
      <c r="R522" s="874"/>
      <c r="S522" s="875"/>
      <c r="T522" s="875"/>
      <c r="U522" s="875"/>
      <c r="V522" s="875"/>
      <c r="W522" s="875"/>
      <c r="X522" s="1026">
        <f t="shared" si="312"/>
        <v>25000</v>
      </c>
      <c r="Y522" s="1512">
        <f t="shared" si="313"/>
        <v>0</v>
      </c>
      <c r="Z522" s="1741">
        <f t="shared" si="314"/>
        <v>1</v>
      </c>
      <c r="AA522" s="1749">
        <f t="shared" si="315"/>
        <v>0</v>
      </c>
      <c r="AB522" s="1810">
        <f t="shared" si="316"/>
        <v>0</v>
      </c>
      <c r="AC522" s="876"/>
      <c r="AD522" s="1525">
        <f t="shared" si="317"/>
        <v>0</v>
      </c>
      <c r="AE522" s="1525">
        <f t="shared" si="317"/>
        <v>0</v>
      </c>
      <c r="AF522" s="1525">
        <f t="shared" si="317"/>
        <v>0</v>
      </c>
      <c r="AG522" s="1525">
        <f t="shared" si="317"/>
        <v>0</v>
      </c>
      <c r="AH522" s="1525">
        <f t="shared" si="317"/>
        <v>0</v>
      </c>
      <c r="AI522" s="1525">
        <f t="shared" si="317"/>
        <v>0</v>
      </c>
      <c r="AJ522" s="1525">
        <f t="shared" si="317"/>
        <v>0</v>
      </c>
      <c r="AK522" s="1525">
        <f t="shared" si="317"/>
        <v>0</v>
      </c>
      <c r="AL522" s="1525">
        <f t="shared" si="317"/>
        <v>0</v>
      </c>
      <c r="AM522" s="1525">
        <f t="shared" si="317"/>
        <v>0</v>
      </c>
      <c r="AN522" s="1525">
        <f t="shared" si="317"/>
        <v>0</v>
      </c>
      <c r="AO522" s="1525">
        <f t="shared" si="317"/>
        <v>0</v>
      </c>
      <c r="AP522" s="1525">
        <f t="shared" si="317"/>
        <v>0</v>
      </c>
      <c r="AQ522" s="1525">
        <f t="shared" si="317"/>
        <v>0</v>
      </c>
      <c r="AR522" s="1525">
        <f t="shared" si="317"/>
        <v>0</v>
      </c>
      <c r="AS522" s="1525">
        <f t="shared" si="317"/>
        <v>0</v>
      </c>
      <c r="AU522" s="1525"/>
      <c r="AV522" s="1291"/>
      <c r="AW522" s="1292"/>
      <c r="AX522" s="1292"/>
      <c r="AY522" s="1292"/>
      <c r="AZ522" s="1292"/>
      <c r="BA522" s="1292"/>
      <c r="BB522" s="1292"/>
      <c r="BC522" s="1292"/>
      <c r="BD522" s="1292"/>
      <c r="BE522" s="1292"/>
      <c r="BF522" s="1292"/>
      <c r="BG522" s="1292"/>
      <c r="BH522" s="1292"/>
      <c r="BI522" s="1292"/>
      <c r="BJ522" s="1292"/>
      <c r="BK522" s="1292"/>
      <c r="BL522" s="1292"/>
      <c r="BM522" s="1292"/>
      <c r="BN522" s="1292"/>
      <c r="BO522" s="1292"/>
      <c r="BP522" s="1292"/>
      <c r="BQ522" s="1292"/>
      <c r="BR522" s="1292"/>
      <c r="BS522" s="1292"/>
      <c r="BT522" s="1670">
        <f t="shared" si="318"/>
        <v>0</v>
      </c>
      <c r="BW522" s="859" t="s">
        <v>408</v>
      </c>
    </row>
    <row r="523" spans="2:75" ht="12.75" customHeight="1" x14ac:dyDescent="0.2">
      <c r="B523" s="175">
        <f t="shared" si="296"/>
        <v>6</v>
      </c>
      <c r="C523" s="219">
        <v>14</v>
      </c>
      <c r="E523" s="12" t="s">
        <v>288</v>
      </c>
      <c r="F523" s="4" t="s">
        <v>626</v>
      </c>
      <c r="G523" s="859" t="s">
        <v>1743</v>
      </c>
      <c r="H523" s="858">
        <v>152579</v>
      </c>
      <c r="I523" s="197" t="s">
        <v>1584</v>
      </c>
      <c r="J523" s="174"/>
      <c r="K523" s="174"/>
      <c r="L523" s="858">
        <v>1</v>
      </c>
      <c r="M523" s="858">
        <f t="shared" si="310"/>
        <v>1</v>
      </c>
      <c r="N523" s="857" t="s">
        <v>1326</v>
      </c>
      <c r="O523" s="1196">
        <v>30215</v>
      </c>
      <c r="P523" s="1218">
        <f t="shared" ca="1" si="311"/>
        <v>35.030555555555559</v>
      </c>
      <c r="Q523" s="1148">
        <v>27000</v>
      </c>
      <c r="R523" s="874">
        <f>Q523*0.1</f>
        <v>2700</v>
      </c>
      <c r="S523" s="875"/>
      <c r="T523" s="875">
        <v>2700</v>
      </c>
      <c r="U523" s="875"/>
      <c r="V523" s="875"/>
      <c r="W523" s="875"/>
      <c r="X523" s="1026">
        <f t="shared" si="312"/>
        <v>32400</v>
      </c>
      <c r="Y523" s="1512">
        <f t="shared" si="313"/>
        <v>9.0909090909090912E-2</v>
      </c>
      <c r="Z523" s="1741">
        <f t="shared" si="314"/>
        <v>1.0909090909090908</v>
      </c>
      <c r="AA523" s="1749">
        <f t="shared" si="315"/>
        <v>0</v>
      </c>
      <c r="AB523" s="1810">
        <f t="shared" si="316"/>
        <v>0</v>
      </c>
      <c r="AC523" s="876"/>
      <c r="AD523" s="1525">
        <f t="shared" si="317"/>
        <v>0</v>
      </c>
      <c r="AE523" s="1525">
        <f t="shared" si="317"/>
        <v>0</v>
      </c>
      <c r="AF523" s="1525">
        <f t="shared" si="317"/>
        <v>0</v>
      </c>
      <c r="AG523" s="1525">
        <f t="shared" si="317"/>
        <v>0</v>
      </c>
      <c r="AH523" s="1525">
        <f t="shared" si="317"/>
        <v>0</v>
      </c>
      <c r="AI523" s="1525">
        <f t="shared" si="317"/>
        <v>0</v>
      </c>
      <c r="AJ523" s="1525">
        <f t="shared" si="317"/>
        <v>0</v>
      </c>
      <c r="AK523" s="1525">
        <f t="shared" si="317"/>
        <v>0</v>
      </c>
      <c r="AL523" s="1525">
        <f t="shared" si="317"/>
        <v>0</v>
      </c>
      <c r="AM523" s="1525">
        <f t="shared" si="317"/>
        <v>0</v>
      </c>
      <c r="AN523" s="1525">
        <f t="shared" si="317"/>
        <v>0</v>
      </c>
      <c r="AO523" s="1525">
        <f t="shared" si="317"/>
        <v>0</v>
      </c>
      <c r="AP523" s="1525">
        <f t="shared" si="317"/>
        <v>0</v>
      </c>
      <c r="AQ523" s="1525">
        <f t="shared" si="317"/>
        <v>0</v>
      </c>
      <c r="AR523" s="1525">
        <f t="shared" si="317"/>
        <v>0</v>
      </c>
      <c r="AS523" s="1525">
        <f t="shared" si="317"/>
        <v>0</v>
      </c>
      <c r="AU523" s="1525"/>
      <c r="AV523" s="1291"/>
      <c r="AW523" s="1292"/>
      <c r="AX523" s="1292"/>
      <c r="AY523" s="1292"/>
      <c r="AZ523" s="1292"/>
      <c r="BA523" s="1292"/>
      <c r="BB523" s="1292"/>
      <c r="BC523" s="1292"/>
      <c r="BD523" s="1292"/>
      <c r="BE523" s="1292"/>
      <c r="BF523" s="1292"/>
      <c r="BG523" s="1292"/>
      <c r="BH523" s="1292"/>
      <c r="BI523" s="1292"/>
      <c r="BJ523" s="1292"/>
      <c r="BK523" s="1292"/>
      <c r="BL523" s="1292"/>
      <c r="BM523" s="1292"/>
      <c r="BN523" s="1292"/>
      <c r="BO523" s="1292"/>
      <c r="BP523" s="1292"/>
      <c r="BQ523" s="1292"/>
      <c r="BR523" s="1292"/>
      <c r="BS523" s="1292"/>
      <c r="BT523" s="1670">
        <f t="shared" si="318"/>
        <v>0</v>
      </c>
      <c r="BW523" s="859" t="s">
        <v>1743</v>
      </c>
    </row>
    <row r="524" spans="2:75" ht="12.75" customHeight="1" x14ac:dyDescent="0.2">
      <c r="B524" s="175">
        <f t="shared" si="296"/>
        <v>7</v>
      </c>
      <c r="C524" s="219">
        <v>14</v>
      </c>
      <c r="E524" s="12" t="s">
        <v>288</v>
      </c>
      <c r="F524" s="4" t="s">
        <v>626</v>
      </c>
      <c r="G524" s="859" t="s">
        <v>1692</v>
      </c>
      <c r="H524" s="858">
        <v>145093</v>
      </c>
      <c r="I524" s="197" t="s">
        <v>1584</v>
      </c>
      <c r="J524" s="174"/>
      <c r="K524" s="174"/>
      <c r="L524" s="858">
        <v>1</v>
      </c>
      <c r="M524" s="858">
        <f t="shared" si="310"/>
        <v>1</v>
      </c>
      <c r="N524" s="857" t="s">
        <v>892</v>
      </c>
      <c r="O524" s="1196">
        <v>27512</v>
      </c>
      <c r="P524" s="1218">
        <f t="shared" ca="1" si="311"/>
        <v>42.427777777777777</v>
      </c>
      <c r="Q524" s="1148">
        <v>22000</v>
      </c>
      <c r="R524" s="874"/>
      <c r="S524" s="875"/>
      <c r="T524" s="875"/>
      <c r="U524" s="875"/>
      <c r="V524" s="875"/>
      <c r="W524" s="875"/>
      <c r="X524" s="1026">
        <f t="shared" si="312"/>
        <v>22000</v>
      </c>
      <c r="Y524" s="1512">
        <f t="shared" si="313"/>
        <v>0</v>
      </c>
      <c r="Z524" s="1741">
        <f t="shared" si="314"/>
        <v>1</v>
      </c>
      <c r="AA524" s="1749">
        <f t="shared" si="315"/>
        <v>0</v>
      </c>
      <c r="AB524" s="1810">
        <f t="shared" si="316"/>
        <v>0</v>
      </c>
      <c r="AC524" s="876"/>
      <c r="AD524" s="1525">
        <f t="shared" si="317"/>
        <v>0</v>
      </c>
      <c r="AE524" s="1525">
        <f t="shared" si="317"/>
        <v>0</v>
      </c>
      <c r="AF524" s="1525">
        <f t="shared" si="317"/>
        <v>0</v>
      </c>
      <c r="AG524" s="1525">
        <f t="shared" si="317"/>
        <v>0</v>
      </c>
      <c r="AH524" s="1525">
        <f t="shared" si="317"/>
        <v>0</v>
      </c>
      <c r="AI524" s="1525">
        <f t="shared" si="317"/>
        <v>0</v>
      </c>
      <c r="AJ524" s="1525">
        <f t="shared" si="317"/>
        <v>0</v>
      </c>
      <c r="AK524" s="1525">
        <f t="shared" si="317"/>
        <v>0</v>
      </c>
      <c r="AL524" s="1525">
        <f t="shared" si="317"/>
        <v>0</v>
      </c>
      <c r="AM524" s="1525">
        <f t="shared" si="317"/>
        <v>0</v>
      </c>
      <c r="AN524" s="1525">
        <f t="shared" si="317"/>
        <v>0</v>
      </c>
      <c r="AO524" s="1525">
        <f t="shared" si="317"/>
        <v>0</v>
      </c>
      <c r="AP524" s="1525">
        <f t="shared" si="317"/>
        <v>0</v>
      </c>
      <c r="AQ524" s="1525">
        <f t="shared" si="317"/>
        <v>0</v>
      </c>
      <c r="AR524" s="1525">
        <f t="shared" si="317"/>
        <v>0</v>
      </c>
      <c r="AS524" s="1525">
        <f t="shared" si="317"/>
        <v>0</v>
      </c>
      <c r="AU524" s="1525"/>
      <c r="AV524" s="1291"/>
      <c r="AW524" s="1292"/>
      <c r="AX524" s="1292"/>
      <c r="AY524" s="1292"/>
      <c r="AZ524" s="1292"/>
      <c r="BA524" s="1292"/>
      <c r="BB524" s="1292"/>
      <c r="BC524" s="1292"/>
      <c r="BD524" s="1292"/>
      <c r="BE524" s="1292"/>
      <c r="BF524" s="1292"/>
      <c r="BG524" s="1292"/>
      <c r="BH524" s="1292"/>
      <c r="BI524" s="1292"/>
      <c r="BJ524" s="1292"/>
      <c r="BK524" s="1292"/>
      <c r="BL524" s="1292"/>
      <c r="BM524" s="1292"/>
      <c r="BN524" s="1292"/>
      <c r="BO524" s="1292"/>
      <c r="BP524" s="1292"/>
      <c r="BQ524" s="1292"/>
      <c r="BR524" s="1292"/>
      <c r="BS524" s="1292"/>
      <c r="BT524" s="1670">
        <f t="shared" si="318"/>
        <v>0</v>
      </c>
      <c r="BW524" s="859" t="s">
        <v>1692</v>
      </c>
    </row>
    <row r="525" spans="2:75" ht="12.75" customHeight="1" x14ac:dyDescent="0.2">
      <c r="B525" s="175">
        <f t="shared" si="296"/>
        <v>8</v>
      </c>
      <c r="C525" s="219">
        <v>14</v>
      </c>
      <c r="E525" s="12" t="s">
        <v>288</v>
      </c>
      <c r="F525" s="4" t="s">
        <v>626</v>
      </c>
      <c r="G525" s="859" t="s">
        <v>1627</v>
      </c>
      <c r="H525" s="858">
        <v>103657</v>
      </c>
      <c r="I525" s="197" t="s">
        <v>1584</v>
      </c>
      <c r="J525" s="174"/>
      <c r="K525" s="174"/>
      <c r="L525" s="858">
        <v>1</v>
      </c>
      <c r="M525" s="858">
        <f t="shared" si="310"/>
        <v>1</v>
      </c>
      <c r="N525" s="857" t="s">
        <v>1326</v>
      </c>
      <c r="O525" s="1196">
        <v>21330</v>
      </c>
      <c r="P525" s="1218">
        <f t="shared" ca="1" si="311"/>
        <v>59.352777777777774</v>
      </c>
      <c r="Q525" s="1148">
        <v>29700</v>
      </c>
      <c r="R525" s="874">
        <f>Q525*0.1</f>
        <v>2970</v>
      </c>
      <c r="S525" s="875"/>
      <c r="T525" s="875"/>
      <c r="U525" s="875"/>
      <c r="V525" s="875"/>
      <c r="W525" s="875"/>
      <c r="X525" s="1026">
        <f t="shared" si="312"/>
        <v>32670</v>
      </c>
      <c r="Y525" s="1512">
        <f t="shared" si="313"/>
        <v>0</v>
      </c>
      <c r="Z525" s="1741">
        <f t="shared" si="314"/>
        <v>1</v>
      </c>
      <c r="AA525" s="1749">
        <f t="shared" si="315"/>
        <v>0</v>
      </c>
      <c r="AB525" s="1810">
        <f t="shared" si="316"/>
        <v>0</v>
      </c>
      <c r="AC525" s="876"/>
      <c r="AD525" s="1525">
        <f t="shared" si="317"/>
        <v>0</v>
      </c>
      <c r="AE525" s="1525">
        <f t="shared" si="317"/>
        <v>0</v>
      </c>
      <c r="AF525" s="1525">
        <f t="shared" si="317"/>
        <v>0</v>
      </c>
      <c r="AG525" s="1525">
        <f t="shared" si="317"/>
        <v>0</v>
      </c>
      <c r="AH525" s="1525">
        <f t="shared" si="317"/>
        <v>0</v>
      </c>
      <c r="AI525" s="1525">
        <f t="shared" si="317"/>
        <v>0</v>
      </c>
      <c r="AJ525" s="1525">
        <f t="shared" si="317"/>
        <v>0</v>
      </c>
      <c r="AK525" s="1525">
        <f t="shared" si="317"/>
        <v>0</v>
      </c>
      <c r="AL525" s="1525">
        <f t="shared" si="317"/>
        <v>0</v>
      </c>
      <c r="AM525" s="1525">
        <f t="shared" si="317"/>
        <v>0</v>
      </c>
      <c r="AN525" s="1525">
        <f t="shared" si="317"/>
        <v>0</v>
      </c>
      <c r="AO525" s="1525">
        <f t="shared" si="317"/>
        <v>0</v>
      </c>
      <c r="AP525" s="1525">
        <f t="shared" si="317"/>
        <v>0</v>
      </c>
      <c r="AQ525" s="1525">
        <f t="shared" si="317"/>
        <v>0</v>
      </c>
      <c r="AR525" s="1525">
        <f t="shared" si="317"/>
        <v>0</v>
      </c>
      <c r="AS525" s="1525">
        <f t="shared" si="317"/>
        <v>0</v>
      </c>
      <c r="AU525" s="1525"/>
      <c r="AV525" s="1291"/>
      <c r="AW525" s="1292"/>
      <c r="AX525" s="1292"/>
      <c r="AY525" s="1292"/>
      <c r="AZ525" s="1292"/>
      <c r="BA525" s="1292"/>
      <c r="BB525" s="1292"/>
      <c r="BC525" s="1292"/>
      <c r="BD525" s="1292"/>
      <c r="BE525" s="1292"/>
      <c r="BF525" s="1292"/>
      <c r="BG525" s="1292"/>
      <c r="BH525" s="1292"/>
      <c r="BI525" s="1292"/>
      <c r="BJ525" s="1292"/>
      <c r="BK525" s="1292"/>
      <c r="BL525" s="1292"/>
      <c r="BM525" s="1292"/>
      <c r="BN525" s="1292"/>
      <c r="BO525" s="1292"/>
      <c r="BP525" s="1292"/>
      <c r="BQ525" s="1292"/>
      <c r="BR525" s="1292"/>
      <c r="BS525" s="1292"/>
      <c r="BT525" s="1670">
        <f t="shared" si="318"/>
        <v>0</v>
      </c>
      <c r="BW525" s="859" t="s">
        <v>1627</v>
      </c>
    </row>
    <row r="526" spans="2:75" ht="12.75" customHeight="1" x14ac:dyDescent="0.2">
      <c r="B526" s="175">
        <f t="shared" si="296"/>
        <v>9</v>
      </c>
      <c r="C526" s="219">
        <v>14</v>
      </c>
      <c r="E526" s="12" t="s">
        <v>288</v>
      </c>
      <c r="F526" s="4" t="s">
        <v>626</v>
      </c>
      <c r="G526" s="859" t="s">
        <v>1798</v>
      </c>
      <c r="H526" s="858">
        <v>162313</v>
      </c>
      <c r="I526" s="197" t="s">
        <v>1584</v>
      </c>
      <c r="J526" s="174"/>
      <c r="K526" s="174"/>
      <c r="L526" s="858">
        <v>0.5</v>
      </c>
      <c r="M526" s="858">
        <f t="shared" si="310"/>
        <v>0.5</v>
      </c>
      <c r="N526" s="857" t="s">
        <v>892</v>
      </c>
      <c r="O526" s="1196">
        <v>34361</v>
      </c>
      <c r="P526" s="1218">
        <f t="shared" ca="1" si="311"/>
        <v>23.680555555555557</v>
      </c>
      <c r="Q526" s="1148">
        <v>22000</v>
      </c>
      <c r="R526" s="874"/>
      <c r="S526" s="875"/>
      <c r="T526" s="875"/>
      <c r="U526" s="875"/>
      <c r="V526" s="875"/>
      <c r="W526" s="875"/>
      <c r="X526" s="1026">
        <f t="shared" si="312"/>
        <v>11000</v>
      </c>
      <c r="Y526" s="1512">
        <f t="shared" si="313"/>
        <v>0</v>
      </c>
      <c r="Z526" s="1741">
        <f t="shared" si="314"/>
        <v>0.5</v>
      </c>
      <c r="AA526" s="1749">
        <f t="shared" si="315"/>
        <v>0</v>
      </c>
      <c r="AB526" s="1810">
        <f t="shared" si="316"/>
        <v>0</v>
      </c>
      <c r="AC526" s="876"/>
      <c r="AD526" s="1525">
        <f t="shared" si="317"/>
        <v>0</v>
      </c>
      <c r="AE526" s="1525">
        <f t="shared" si="317"/>
        <v>0</v>
      </c>
      <c r="AF526" s="1525">
        <f t="shared" si="317"/>
        <v>0</v>
      </c>
      <c r="AG526" s="1525">
        <f t="shared" si="317"/>
        <v>0</v>
      </c>
      <c r="AH526" s="1525">
        <f t="shared" si="317"/>
        <v>0</v>
      </c>
      <c r="AI526" s="1525">
        <f t="shared" si="317"/>
        <v>0</v>
      </c>
      <c r="AJ526" s="1525">
        <f t="shared" si="317"/>
        <v>0</v>
      </c>
      <c r="AK526" s="1525">
        <f t="shared" si="317"/>
        <v>0</v>
      </c>
      <c r="AL526" s="1525">
        <f t="shared" si="317"/>
        <v>0</v>
      </c>
      <c r="AM526" s="1525">
        <f t="shared" si="317"/>
        <v>0</v>
      </c>
      <c r="AN526" s="1525">
        <f t="shared" si="317"/>
        <v>0</v>
      </c>
      <c r="AO526" s="1525">
        <f t="shared" si="317"/>
        <v>0</v>
      </c>
      <c r="AP526" s="1525">
        <f t="shared" si="317"/>
        <v>0</v>
      </c>
      <c r="AQ526" s="1525">
        <f t="shared" si="317"/>
        <v>0</v>
      </c>
      <c r="AR526" s="1525">
        <f t="shared" si="317"/>
        <v>0</v>
      </c>
      <c r="AS526" s="1525">
        <f t="shared" si="317"/>
        <v>0</v>
      </c>
      <c r="AU526" s="1525"/>
      <c r="AV526" s="1291"/>
      <c r="AW526" s="1292"/>
      <c r="AX526" s="1292"/>
      <c r="AY526" s="1292"/>
      <c r="AZ526" s="1292"/>
      <c r="BA526" s="1292"/>
      <c r="BB526" s="1292"/>
      <c r="BC526" s="1292"/>
      <c r="BD526" s="1292"/>
      <c r="BE526" s="1292"/>
      <c r="BF526" s="1292"/>
      <c r="BG526" s="1292"/>
      <c r="BH526" s="1292"/>
      <c r="BI526" s="1292"/>
      <c r="BJ526" s="1292"/>
      <c r="BK526" s="1292"/>
      <c r="BL526" s="1292"/>
      <c r="BM526" s="1292"/>
      <c r="BN526" s="1292"/>
      <c r="BO526" s="1292"/>
      <c r="BP526" s="1292"/>
      <c r="BQ526" s="1292"/>
      <c r="BR526" s="1292"/>
      <c r="BS526" s="1292"/>
      <c r="BT526" s="1670">
        <f t="shared" si="318"/>
        <v>0</v>
      </c>
      <c r="BW526" s="859" t="s">
        <v>1798</v>
      </c>
    </row>
    <row r="527" spans="2:75" ht="12.75" customHeight="1" x14ac:dyDescent="0.2">
      <c r="B527" s="175">
        <f t="shared" si="296"/>
        <v>10</v>
      </c>
      <c r="C527" s="219">
        <v>14</v>
      </c>
      <c r="E527" s="12" t="s">
        <v>288</v>
      </c>
      <c r="F527" s="4" t="s">
        <v>626</v>
      </c>
      <c r="G527" s="859" t="s">
        <v>1268</v>
      </c>
      <c r="H527" s="858">
        <v>102852</v>
      </c>
      <c r="I527" s="197" t="s">
        <v>1584</v>
      </c>
      <c r="J527" s="174"/>
      <c r="K527" s="174"/>
      <c r="L527" s="858">
        <v>1</v>
      </c>
      <c r="M527" s="858">
        <f t="shared" si="310"/>
        <v>1</v>
      </c>
      <c r="N527" s="857" t="s">
        <v>1326</v>
      </c>
      <c r="O527" s="1196">
        <v>32112</v>
      </c>
      <c r="P527" s="1218">
        <f t="shared" ca="1" si="311"/>
        <v>29.836111111111112</v>
      </c>
      <c r="Q527" s="1148">
        <v>31000</v>
      </c>
      <c r="R527" s="874">
        <f>Q527*0.1</f>
        <v>3100</v>
      </c>
      <c r="S527" s="875"/>
      <c r="T527" s="875">
        <v>4000</v>
      </c>
      <c r="U527" s="875"/>
      <c r="V527" s="875"/>
      <c r="W527" s="875"/>
      <c r="X527" s="1026">
        <f t="shared" si="312"/>
        <v>38100</v>
      </c>
      <c r="Y527" s="1512">
        <f t="shared" si="313"/>
        <v>0.11730205278592376</v>
      </c>
      <c r="Z527" s="1741">
        <f t="shared" si="314"/>
        <v>1.1173020527859236</v>
      </c>
      <c r="AA527" s="1749">
        <f t="shared" si="315"/>
        <v>0</v>
      </c>
      <c r="AB527" s="1810">
        <f t="shared" si="316"/>
        <v>0</v>
      </c>
      <c r="AC527" s="876"/>
      <c r="AD527" s="1525">
        <f t="shared" si="317"/>
        <v>0</v>
      </c>
      <c r="AE527" s="1525">
        <f t="shared" si="317"/>
        <v>0</v>
      </c>
      <c r="AF527" s="1525">
        <f t="shared" si="317"/>
        <v>0</v>
      </c>
      <c r="AG527" s="1525">
        <f t="shared" si="317"/>
        <v>0</v>
      </c>
      <c r="AH527" s="1525">
        <f t="shared" si="317"/>
        <v>0</v>
      </c>
      <c r="AI527" s="1525">
        <f t="shared" si="317"/>
        <v>0</v>
      </c>
      <c r="AJ527" s="1525">
        <f t="shared" si="317"/>
        <v>0</v>
      </c>
      <c r="AK527" s="1525">
        <f t="shared" si="317"/>
        <v>0</v>
      </c>
      <c r="AL527" s="1525">
        <f t="shared" si="317"/>
        <v>0</v>
      </c>
      <c r="AM527" s="1525">
        <f t="shared" si="317"/>
        <v>0</v>
      </c>
      <c r="AN527" s="1525">
        <f t="shared" si="317"/>
        <v>0</v>
      </c>
      <c r="AO527" s="1525">
        <f t="shared" si="317"/>
        <v>0</v>
      </c>
      <c r="AP527" s="1525">
        <f t="shared" si="317"/>
        <v>0</v>
      </c>
      <c r="AQ527" s="1525">
        <f t="shared" si="317"/>
        <v>0</v>
      </c>
      <c r="AR527" s="1525">
        <f t="shared" si="317"/>
        <v>0</v>
      </c>
      <c r="AS527" s="1525">
        <f t="shared" si="317"/>
        <v>0</v>
      </c>
      <c r="AU527" s="1525"/>
      <c r="AV527" s="1291"/>
      <c r="AW527" s="1292"/>
      <c r="AX527" s="1292"/>
      <c r="AY527" s="1292"/>
      <c r="AZ527" s="1292"/>
      <c r="BA527" s="1292"/>
      <c r="BB527" s="1292"/>
      <c r="BC527" s="1292"/>
      <c r="BD527" s="1292"/>
      <c r="BE527" s="1292"/>
      <c r="BF527" s="1292"/>
      <c r="BG527" s="1292"/>
      <c r="BH527" s="1292"/>
      <c r="BI527" s="1292"/>
      <c r="BJ527" s="1292"/>
      <c r="BK527" s="1292"/>
      <c r="BL527" s="1292"/>
      <c r="BM527" s="1292"/>
      <c r="BN527" s="1292"/>
      <c r="BO527" s="1292"/>
      <c r="BP527" s="1292"/>
      <c r="BQ527" s="1292"/>
      <c r="BR527" s="1292"/>
      <c r="BS527" s="1292"/>
      <c r="BT527" s="1670">
        <f t="shared" si="318"/>
        <v>0</v>
      </c>
      <c r="BW527" s="859" t="s">
        <v>1268</v>
      </c>
    </row>
    <row r="528" spans="2:75" ht="12.75" customHeight="1" x14ac:dyDescent="0.2">
      <c r="B528" s="175">
        <f t="shared" si="296"/>
        <v>11</v>
      </c>
      <c r="C528" s="219">
        <v>14</v>
      </c>
      <c r="E528" s="12" t="s">
        <v>288</v>
      </c>
      <c r="F528" s="4" t="s">
        <v>626</v>
      </c>
      <c r="G528" s="859" t="s">
        <v>1523</v>
      </c>
      <c r="H528" s="858">
        <v>111772</v>
      </c>
      <c r="I528" s="197" t="s">
        <v>1584</v>
      </c>
      <c r="J528" s="174"/>
      <c r="K528" s="174"/>
      <c r="L528" s="858">
        <v>1</v>
      </c>
      <c r="M528" s="858">
        <f t="shared" si="310"/>
        <v>1</v>
      </c>
      <c r="N528" s="857" t="s">
        <v>1326</v>
      </c>
      <c r="O528" s="1196">
        <v>22515</v>
      </c>
      <c r="P528" s="1218">
        <f t="shared" ca="1" si="311"/>
        <v>56.111111111111114</v>
      </c>
      <c r="Q528" s="1148">
        <v>24000</v>
      </c>
      <c r="R528" s="874">
        <f>Q528*0.1</f>
        <v>2400</v>
      </c>
      <c r="S528" s="875"/>
      <c r="T528" s="875">
        <v>2400</v>
      </c>
      <c r="U528" s="875"/>
      <c r="V528" s="875"/>
      <c r="W528" s="875"/>
      <c r="X528" s="1026">
        <f t="shared" si="312"/>
        <v>28800</v>
      </c>
      <c r="Y528" s="1512">
        <f t="shared" si="313"/>
        <v>9.0909090909090912E-2</v>
      </c>
      <c r="Z528" s="1741">
        <f t="shared" si="314"/>
        <v>1.0909090909090908</v>
      </c>
      <c r="AA528" s="1749">
        <f t="shared" si="315"/>
        <v>1</v>
      </c>
      <c r="AB528" s="1810">
        <f t="shared" si="316"/>
        <v>91.666666666666671</v>
      </c>
      <c r="AC528" s="876"/>
      <c r="AD528" s="1525">
        <f t="shared" ref="AD528:AS538" si="319">SUMIF($AV$6:$BS$6,AD$5,$AV528:$BS528)</f>
        <v>1</v>
      </c>
      <c r="AE528" s="1525">
        <f t="shared" si="319"/>
        <v>0</v>
      </c>
      <c r="AF528" s="1525">
        <f t="shared" si="319"/>
        <v>0</v>
      </c>
      <c r="AG528" s="1525">
        <f t="shared" si="319"/>
        <v>0</v>
      </c>
      <c r="AH528" s="1525">
        <f t="shared" si="319"/>
        <v>0</v>
      </c>
      <c r="AI528" s="1525">
        <f t="shared" si="319"/>
        <v>0</v>
      </c>
      <c r="AJ528" s="1525">
        <f t="shared" si="319"/>
        <v>0</v>
      </c>
      <c r="AK528" s="1525">
        <f t="shared" si="319"/>
        <v>0</v>
      </c>
      <c r="AL528" s="1525">
        <f t="shared" si="319"/>
        <v>0</v>
      </c>
      <c r="AM528" s="1525">
        <f t="shared" si="319"/>
        <v>0</v>
      </c>
      <c r="AN528" s="1525">
        <f t="shared" si="319"/>
        <v>0</v>
      </c>
      <c r="AO528" s="1525">
        <f t="shared" si="319"/>
        <v>0</v>
      </c>
      <c r="AP528" s="1525">
        <f t="shared" si="319"/>
        <v>0</v>
      </c>
      <c r="AQ528" s="1525">
        <f t="shared" si="319"/>
        <v>0</v>
      </c>
      <c r="AR528" s="1525">
        <f t="shared" si="319"/>
        <v>0</v>
      </c>
      <c r="AS528" s="1525">
        <f t="shared" si="319"/>
        <v>0</v>
      </c>
      <c r="AU528" s="1525"/>
      <c r="AV528" s="1291"/>
      <c r="AW528" s="1292"/>
      <c r="AX528" s="1292"/>
      <c r="AY528" s="1292"/>
      <c r="AZ528" s="1292"/>
      <c r="BA528" s="1292"/>
      <c r="BB528" s="1292"/>
      <c r="BC528" s="1292"/>
      <c r="BD528" s="1292"/>
      <c r="BE528" s="1292"/>
      <c r="BF528" s="1292"/>
      <c r="BG528" s="1292"/>
      <c r="BH528" s="1292"/>
      <c r="BI528" s="1292"/>
      <c r="BJ528" s="1292">
        <v>1</v>
      </c>
      <c r="BK528" s="1292"/>
      <c r="BL528" s="1292"/>
      <c r="BM528" s="1292"/>
      <c r="BN528" s="1292"/>
      <c r="BO528" s="1292"/>
      <c r="BP528" s="1292"/>
      <c r="BQ528" s="1292"/>
      <c r="BR528" s="1292"/>
      <c r="BS528" s="1292"/>
      <c r="BT528" s="1670">
        <f t="shared" si="318"/>
        <v>1</v>
      </c>
      <c r="BW528" s="859" t="s">
        <v>1523</v>
      </c>
    </row>
    <row r="529" spans="2:75" ht="12.75" customHeight="1" x14ac:dyDescent="0.2">
      <c r="B529" s="175">
        <f t="shared" si="296"/>
        <v>12</v>
      </c>
      <c r="C529" s="220">
        <v>18</v>
      </c>
      <c r="D529" s="170"/>
      <c r="E529" s="447" t="s">
        <v>288</v>
      </c>
      <c r="F529" s="4" t="s">
        <v>0</v>
      </c>
      <c r="G529" s="862" t="s">
        <v>1109</v>
      </c>
      <c r="H529" s="861">
        <v>113025</v>
      </c>
      <c r="I529" s="197" t="s">
        <v>998</v>
      </c>
      <c r="J529" s="174"/>
      <c r="K529" s="174"/>
      <c r="L529" s="861">
        <v>1</v>
      </c>
      <c r="M529" s="861">
        <f t="shared" si="310"/>
        <v>1</v>
      </c>
      <c r="N529" s="836" t="s">
        <v>1326</v>
      </c>
      <c r="O529" s="1196">
        <v>25308</v>
      </c>
      <c r="P529" s="1262">
        <f t="shared" ca="1" si="311"/>
        <v>48.463888888888889</v>
      </c>
      <c r="Q529" s="1148">
        <v>29900</v>
      </c>
      <c r="R529" s="874">
        <f>Q529*0.1</f>
        <v>2990</v>
      </c>
      <c r="S529" s="876"/>
      <c r="T529" s="876"/>
      <c r="U529" s="876"/>
      <c r="V529" s="876"/>
      <c r="W529" s="1026"/>
      <c r="X529" s="1026">
        <f t="shared" si="312"/>
        <v>32890</v>
      </c>
      <c r="Y529" s="1512">
        <f t="shared" si="313"/>
        <v>0</v>
      </c>
      <c r="Z529" s="1741">
        <f t="shared" si="314"/>
        <v>1</v>
      </c>
      <c r="AA529" s="1749">
        <f t="shared" si="315"/>
        <v>0</v>
      </c>
      <c r="AB529" s="1810">
        <f t="shared" si="316"/>
        <v>0</v>
      </c>
      <c r="AC529" s="876"/>
      <c r="AD529" s="1525">
        <f t="shared" si="319"/>
        <v>0</v>
      </c>
      <c r="AE529" s="1525">
        <f t="shared" si="319"/>
        <v>0</v>
      </c>
      <c r="AF529" s="1525">
        <f t="shared" si="319"/>
        <v>0</v>
      </c>
      <c r="AG529" s="1525">
        <f t="shared" si="319"/>
        <v>0</v>
      </c>
      <c r="AH529" s="1525">
        <f t="shared" si="319"/>
        <v>0</v>
      </c>
      <c r="AI529" s="1525">
        <f t="shared" si="319"/>
        <v>0</v>
      </c>
      <c r="AJ529" s="1525">
        <f t="shared" si="319"/>
        <v>0</v>
      </c>
      <c r="AK529" s="1525">
        <f t="shared" si="319"/>
        <v>0</v>
      </c>
      <c r="AL529" s="1525">
        <f t="shared" si="319"/>
        <v>0</v>
      </c>
      <c r="AM529" s="1525">
        <f t="shared" si="319"/>
        <v>0</v>
      </c>
      <c r="AN529" s="1525">
        <f t="shared" si="319"/>
        <v>0</v>
      </c>
      <c r="AO529" s="1525">
        <f t="shared" si="319"/>
        <v>0</v>
      </c>
      <c r="AP529" s="1525">
        <f t="shared" si="319"/>
        <v>0</v>
      </c>
      <c r="AQ529" s="1525">
        <f t="shared" si="319"/>
        <v>0</v>
      </c>
      <c r="AR529" s="1525">
        <f t="shared" si="319"/>
        <v>0</v>
      </c>
      <c r="AS529" s="1525">
        <f t="shared" si="319"/>
        <v>0</v>
      </c>
      <c r="AU529" s="1525"/>
      <c r="AV529" s="1291"/>
      <c r="AW529" s="1292"/>
      <c r="AX529" s="1292"/>
      <c r="AY529" s="1292"/>
      <c r="AZ529" s="1292"/>
      <c r="BA529" s="1292"/>
      <c r="BB529" s="1292"/>
      <c r="BC529" s="1292"/>
      <c r="BD529" s="1292"/>
      <c r="BE529" s="1292"/>
      <c r="BF529" s="1292"/>
      <c r="BG529" s="1292"/>
      <c r="BH529" s="1292"/>
      <c r="BI529" s="1292"/>
      <c r="BJ529" s="1292"/>
      <c r="BK529" s="1292"/>
      <c r="BL529" s="1292"/>
      <c r="BM529" s="1292"/>
      <c r="BN529" s="1292"/>
      <c r="BO529" s="1292"/>
      <c r="BP529" s="1292"/>
      <c r="BQ529" s="1292"/>
      <c r="BR529" s="1292"/>
      <c r="BS529" s="1292"/>
      <c r="BT529" s="1670">
        <f t="shared" si="318"/>
        <v>0</v>
      </c>
      <c r="BW529" s="862" t="s">
        <v>1109</v>
      </c>
    </row>
    <row r="530" spans="2:75" ht="12.75" customHeight="1" x14ac:dyDescent="0.2">
      <c r="B530" s="175">
        <f t="shared" si="296"/>
        <v>13</v>
      </c>
      <c r="C530" s="219">
        <v>18</v>
      </c>
      <c r="E530" s="12" t="s">
        <v>288</v>
      </c>
      <c r="F530" s="4" t="s">
        <v>363</v>
      </c>
      <c r="G530" s="862" t="s">
        <v>1849</v>
      </c>
      <c r="H530" s="858">
        <v>123991</v>
      </c>
      <c r="I530" s="197" t="s">
        <v>998</v>
      </c>
      <c r="J530" s="174"/>
      <c r="K530" s="174"/>
      <c r="L530" s="861">
        <v>1</v>
      </c>
      <c r="M530" s="858">
        <f t="shared" si="310"/>
        <v>1</v>
      </c>
      <c r="N530" s="836" t="s">
        <v>1326</v>
      </c>
      <c r="O530" s="1196">
        <v>25779</v>
      </c>
      <c r="P530" s="1218">
        <f t="shared" ca="1" si="311"/>
        <v>47.172222222222224</v>
      </c>
      <c r="Q530" s="1148">
        <v>27000</v>
      </c>
      <c r="R530" s="874">
        <f t="shared" ref="R530:R538" si="320">Q530*0.1</f>
        <v>2700</v>
      </c>
      <c r="S530" s="875"/>
      <c r="T530" s="875"/>
      <c r="U530" s="875"/>
      <c r="V530" s="875"/>
      <c r="W530" s="1036">
        <f>(Q530+R530)*0.1</f>
        <v>2970</v>
      </c>
      <c r="X530" s="1026">
        <f t="shared" si="312"/>
        <v>32670</v>
      </c>
      <c r="Y530" s="1512">
        <f>(T530+U530+W530)*M530/(X530-M530*(T530+U530+W530))</f>
        <v>0.1</v>
      </c>
      <c r="Z530" s="1741">
        <f t="shared" si="314"/>
        <v>1.1000000000000001</v>
      </c>
      <c r="AA530" s="1749">
        <f t="shared" si="315"/>
        <v>0</v>
      </c>
      <c r="AB530" s="1810">
        <f t="shared" si="316"/>
        <v>0</v>
      </c>
      <c r="AC530" s="876"/>
      <c r="AD530" s="1525">
        <f t="shared" si="319"/>
        <v>0</v>
      </c>
      <c r="AE530" s="1525">
        <f t="shared" si="319"/>
        <v>0</v>
      </c>
      <c r="AF530" s="1525">
        <f t="shared" si="319"/>
        <v>0</v>
      </c>
      <c r="AG530" s="1525">
        <f t="shared" si="319"/>
        <v>0</v>
      </c>
      <c r="AH530" s="1525">
        <f t="shared" si="319"/>
        <v>0</v>
      </c>
      <c r="AI530" s="1525">
        <f t="shared" si="319"/>
        <v>0</v>
      </c>
      <c r="AJ530" s="1525">
        <f t="shared" si="319"/>
        <v>0</v>
      </c>
      <c r="AK530" s="1525">
        <f t="shared" si="319"/>
        <v>0</v>
      </c>
      <c r="AL530" s="1525">
        <f t="shared" si="319"/>
        <v>0</v>
      </c>
      <c r="AM530" s="1525">
        <f t="shared" si="319"/>
        <v>0</v>
      </c>
      <c r="AN530" s="1525">
        <f t="shared" si="319"/>
        <v>0</v>
      </c>
      <c r="AO530" s="1525">
        <f t="shared" si="319"/>
        <v>0</v>
      </c>
      <c r="AP530" s="1525">
        <f t="shared" si="319"/>
        <v>0</v>
      </c>
      <c r="AQ530" s="1525">
        <f t="shared" si="319"/>
        <v>0</v>
      </c>
      <c r="AR530" s="1525">
        <f t="shared" si="319"/>
        <v>0</v>
      </c>
      <c r="AS530" s="1525">
        <f t="shared" si="319"/>
        <v>0</v>
      </c>
      <c r="AU530" s="1525"/>
      <c r="AV530" s="1291"/>
      <c r="AW530" s="1292"/>
      <c r="AX530" s="1292"/>
      <c r="AY530" s="1292"/>
      <c r="AZ530" s="1292"/>
      <c r="BA530" s="1292"/>
      <c r="BB530" s="1292"/>
      <c r="BC530" s="1292"/>
      <c r="BD530" s="1292"/>
      <c r="BE530" s="1292"/>
      <c r="BF530" s="1292"/>
      <c r="BG530" s="1292"/>
      <c r="BH530" s="1292"/>
      <c r="BI530" s="1292"/>
      <c r="BJ530" s="1292"/>
      <c r="BK530" s="1292"/>
      <c r="BL530" s="1292"/>
      <c r="BM530" s="1292"/>
      <c r="BN530" s="1292"/>
      <c r="BO530" s="1292"/>
      <c r="BP530" s="1292"/>
      <c r="BQ530" s="1292"/>
      <c r="BR530" s="1292"/>
      <c r="BS530" s="1292"/>
      <c r="BT530" s="1670">
        <f t="shared" si="318"/>
        <v>0</v>
      </c>
      <c r="BW530" s="862" t="s">
        <v>1849</v>
      </c>
    </row>
    <row r="531" spans="2:75" ht="12.75" customHeight="1" x14ac:dyDescent="0.2">
      <c r="B531" s="175">
        <f t="shared" si="296"/>
        <v>14</v>
      </c>
      <c r="C531" s="219">
        <v>18</v>
      </c>
      <c r="E531" s="12" t="s">
        <v>288</v>
      </c>
      <c r="F531" s="4" t="s">
        <v>1634</v>
      </c>
      <c r="G531" s="862" t="s">
        <v>1693</v>
      </c>
      <c r="H531" s="858">
        <v>144673</v>
      </c>
      <c r="I531" s="197" t="s">
        <v>998</v>
      </c>
      <c r="J531" s="174"/>
      <c r="K531" s="174"/>
      <c r="L531" s="861">
        <v>1</v>
      </c>
      <c r="M531" s="858">
        <f t="shared" si="310"/>
        <v>1</v>
      </c>
      <c r="N531" s="836" t="s">
        <v>1326</v>
      </c>
      <c r="O531" s="1196">
        <v>23819</v>
      </c>
      <c r="P531" s="1218">
        <f t="shared" ca="1" si="311"/>
        <v>52.538888888888891</v>
      </c>
      <c r="Q531" s="1148">
        <v>24000</v>
      </c>
      <c r="R531" s="874">
        <f t="shared" si="320"/>
        <v>2400</v>
      </c>
      <c r="S531" s="875"/>
      <c r="T531" s="875"/>
      <c r="U531" s="875"/>
      <c r="V531" s="875"/>
      <c r="W531" s="1036">
        <f>(Q531+R531)*0.15</f>
        <v>3960</v>
      </c>
      <c r="X531" s="1026">
        <f t="shared" si="312"/>
        <v>30360</v>
      </c>
      <c r="Y531" s="1512">
        <f t="shared" ref="Y531:Y538" si="321">(T531+U531+W531)*M531/(X531-M531*(T531+U531+W531))</f>
        <v>0.15</v>
      </c>
      <c r="Z531" s="1741">
        <f t="shared" si="314"/>
        <v>1.1499999999999999</v>
      </c>
      <c r="AA531" s="1749">
        <f t="shared" si="315"/>
        <v>0</v>
      </c>
      <c r="AB531" s="1810">
        <f t="shared" si="316"/>
        <v>0</v>
      </c>
      <c r="AC531" s="876"/>
      <c r="AD531" s="1525">
        <f t="shared" si="319"/>
        <v>0</v>
      </c>
      <c r="AE531" s="1525">
        <f t="shared" si="319"/>
        <v>0</v>
      </c>
      <c r="AF531" s="1525">
        <f t="shared" si="319"/>
        <v>0</v>
      </c>
      <c r="AG531" s="1525">
        <f t="shared" si="319"/>
        <v>0</v>
      </c>
      <c r="AH531" s="1525">
        <f t="shared" si="319"/>
        <v>0</v>
      </c>
      <c r="AI531" s="1525">
        <f t="shared" si="319"/>
        <v>0</v>
      </c>
      <c r="AJ531" s="1525">
        <f t="shared" si="319"/>
        <v>0</v>
      </c>
      <c r="AK531" s="1525">
        <f t="shared" si="319"/>
        <v>0</v>
      </c>
      <c r="AL531" s="1525">
        <f t="shared" si="319"/>
        <v>0</v>
      </c>
      <c r="AM531" s="1525">
        <f t="shared" si="319"/>
        <v>0</v>
      </c>
      <c r="AN531" s="1525">
        <f t="shared" si="319"/>
        <v>0</v>
      </c>
      <c r="AO531" s="1525">
        <f t="shared" si="319"/>
        <v>0</v>
      </c>
      <c r="AP531" s="1525">
        <f t="shared" si="319"/>
        <v>0</v>
      </c>
      <c r="AQ531" s="1525">
        <f t="shared" si="319"/>
        <v>0</v>
      </c>
      <c r="AR531" s="1525">
        <f t="shared" si="319"/>
        <v>0</v>
      </c>
      <c r="AS531" s="1525">
        <f t="shared" si="319"/>
        <v>0</v>
      </c>
      <c r="AU531" s="1525"/>
      <c r="AV531" s="1291"/>
      <c r="AW531" s="1292"/>
      <c r="AX531" s="1292"/>
      <c r="AY531" s="1292"/>
      <c r="AZ531" s="1292"/>
      <c r="BA531" s="1292"/>
      <c r="BB531" s="1292"/>
      <c r="BC531" s="1292"/>
      <c r="BD531" s="1292"/>
      <c r="BE531" s="1292"/>
      <c r="BF531" s="1292"/>
      <c r="BG531" s="1292"/>
      <c r="BH531" s="1292"/>
      <c r="BI531" s="1292"/>
      <c r="BJ531" s="1292"/>
      <c r="BK531" s="1292"/>
      <c r="BL531" s="1292"/>
      <c r="BM531" s="1292"/>
      <c r="BN531" s="1292"/>
      <c r="BO531" s="1292"/>
      <c r="BP531" s="1292"/>
      <c r="BQ531" s="1292"/>
      <c r="BR531" s="1292"/>
      <c r="BS531" s="1292"/>
      <c r="BT531" s="1670">
        <f t="shared" si="318"/>
        <v>0</v>
      </c>
      <c r="BW531" s="862" t="s">
        <v>1693</v>
      </c>
    </row>
    <row r="532" spans="2:75" ht="12.75" customHeight="1" x14ac:dyDescent="0.2">
      <c r="B532" s="175">
        <f t="shared" si="296"/>
        <v>15</v>
      </c>
      <c r="C532" s="219">
        <v>18</v>
      </c>
      <c r="E532" s="12" t="s">
        <v>288</v>
      </c>
      <c r="F532" s="4" t="s">
        <v>1281</v>
      </c>
      <c r="G532" s="859" t="s">
        <v>1336</v>
      </c>
      <c r="H532" s="858">
        <v>293765</v>
      </c>
      <c r="I532" s="200" t="s">
        <v>998</v>
      </c>
      <c r="J532" s="189"/>
      <c r="K532" s="189"/>
      <c r="L532" s="858">
        <v>1</v>
      </c>
      <c r="M532" s="858">
        <f t="shared" si="310"/>
        <v>1</v>
      </c>
      <c r="N532" s="857" t="s">
        <v>1326</v>
      </c>
      <c r="O532" s="1196">
        <v>33402</v>
      </c>
      <c r="P532" s="1218">
        <f t="shared" ca="1" si="311"/>
        <v>26.302777777777777</v>
      </c>
      <c r="Q532" s="1148">
        <v>21000</v>
      </c>
      <c r="R532" s="874">
        <f t="shared" si="320"/>
        <v>2100</v>
      </c>
      <c r="S532" s="875"/>
      <c r="T532" s="875"/>
      <c r="U532" s="875"/>
      <c r="V532" s="875"/>
      <c r="W532" s="875"/>
      <c r="X532" s="1026">
        <f t="shared" si="312"/>
        <v>23100</v>
      </c>
      <c r="Y532" s="1512">
        <f t="shared" si="321"/>
        <v>0</v>
      </c>
      <c r="Z532" s="1741">
        <f t="shared" si="314"/>
        <v>1</v>
      </c>
      <c r="AA532" s="1749">
        <f t="shared" si="315"/>
        <v>0</v>
      </c>
      <c r="AB532" s="1810">
        <f t="shared" si="316"/>
        <v>0</v>
      </c>
      <c r="AC532" s="876"/>
      <c r="AD532" s="1525">
        <f t="shared" si="319"/>
        <v>0</v>
      </c>
      <c r="AE532" s="1525">
        <f t="shared" si="319"/>
        <v>0</v>
      </c>
      <c r="AF532" s="1525">
        <f t="shared" si="319"/>
        <v>0</v>
      </c>
      <c r="AG532" s="1525">
        <f t="shared" si="319"/>
        <v>0</v>
      </c>
      <c r="AH532" s="1525">
        <f t="shared" si="319"/>
        <v>0</v>
      </c>
      <c r="AI532" s="1525">
        <f t="shared" si="319"/>
        <v>0</v>
      </c>
      <c r="AJ532" s="1525">
        <f t="shared" si="319"/>
        <v>0</v>
      </c>
      <c r="AK532" s="1525">
        <f t="shared" si="319"/>
        <v>0</v>
      </c>
      <c r="AL532" s="1525">
        <f t="shared" si="319"/>
        <v>0</v>
      </c>
      <c r="AM532" s="1525">
        <f t="shared" si="319"/>
        <v>0</v>
      </c>
      <c r="AN532" s="1525">
        <f t="shared" si="319"/>
        <v>0</v>
      </c>
      <c r="AO532" s="1525">
        <f t="shared" si="319"/>
        <v>0</v>
      </c>
      <c r="AP532" s="1525">
        <f t="shared" si="319"/>
        <v>0</v>
      </c>
      <c r="AQ532" s="1525">
        <f t="shared" si="319"/>
        <v>0</v>
      </c>
      <c r="AR532" s="1525">
        <f t="shared" si="319"/>
        <v>0</v>
      </c>
      <c r="AS532" s="1525">
        <f t="shared" si="319"/>
        <v>0</v>
      </c>
      <c r="AU532" s="1525"/>
      <c r="AV532" s="1291"/>
      <c r="AW532" s="1292"/>
      <c r="AX532" s="1292"/>
      <c r="AY532" s="1292"/>
      <c r="AZ532" s="1292"/>
      <c r="BA532" s="1292"/>
      <c r="BB532" s="1292"/>
      <c r="BC532" s="1292"/>
      <c r="BD532" s="1292"/>
      <c r="BE532" s="1292"/>
      <c r="BF532" s="1292"/>
      <c r="BG532" s="1292"/>
      <c r="BH532" s="1292"/>
      <c r="BI532" s="1292"/>
      <c r="BJ532" s="1292"/>
      <c r="BK532" s="1292"/>
      <c r="BL532" s="1292"/>
      <c r="BM532" s="1292"/>
      <c r="BN532" s="1292"/>
      <c r="BO532" s="1292"/>
      <c r="BP532" s="1292"/>
      <c r="BQ532" s="1292"/>
      <c r="BR532" s="1292"/>
      <c r="BS532" s="1292"/>
      <c r="BT532" s="1670">
        <f t="shared" si="318"/>
        <v>0</v>
      </c>
      <c r="BW532" s="859" t="s">
        <v>1336</v>
      </c>
    </row>
    <row r="533" spans="2:75" ht="12.75" customHeight="1" x14ac:dyDescent="0.2">
      <c r="B533" s="175">
        <f t="shared" si="296"/>
        <v>16</v>
      </c>
      <c r="C533" s="219">
        <v>18</v>
      </c>
      <c r="E533" s="12" t="s">
        <v>288</v>
      </c>
      <c r="F533" s="4" t="s">
        <v>363</v>
      </c>
      <c r="G533" s="859" t="s">
        <v>360</v>
      </c>
      <c r="H533" s="858">
        <v>31386</v>
      </c>
      <c r="I533" s="200" t="s">
        <v>998</v>
      </c>
      <c r="J533" s="189"/>
      <c r="K533" s="189"/>
      <c r="L533" s="858">
        <v>1</v>
      </c>
      <c r="M533" s="858">
        <f t="shared" si="310"/>
        <v>1</v>
      </c>
      <c r="N533" s="857" t="s">
        <v>1326</v>
      </c>
      <c r="O533" s="1196">
        <v>20421</v>
      </c>
      <c r="P533" s="1218">
        <f t="shared" ca="1" si="311"/>
        <v>61.844444444444441</v>
      </c>
      <c r="Q533" s="1148">
        <v>24000</v>
      </c>
      <c r="R533" s="874">
        <f t="shared" si="320"/>
        <v>2400</v>
      </c>
      <c r="S533" s="875"/>
      <c r="T533" s="875"/>
      <c r="U533" s="875"/>
      <c r="V533" s="875"/>
      <c r="W533" s="1036">
        <f>(Q533+R533)*0.11</f>
        <v>2904</v>
      </c>
      <c r="X533" s="1026">
        <f t="shared" si="312"/>
        <v>29304</v>
      </c>
      <c r="Y533" s="1512">
        <f t="shared" si="321"/>
        <v>0.11</v>
      </c>
      <c r="Z533" s="1741">
        <f t="shared" si="314"/>
        <v>1.1100000000000001</v>
      </c>
      <c r="AA533" s="1749">
        <f t="shared" si="315"/>
        <v>0</v>
      </c>
      <c r="AB533" s="1810">
        <f t="shared" si="316"/>
        <v>0</v>
      </c>
      <c r="AC533" s="876"/>
      <c r="AD533" s="1525">
        <f t="shared" si="319"/>
        <v>0</v>
      </c>
      <c r="AE533" s="1525">
        <f t="shared" si="319"/>
        <v>0</v>
      </c>
      <c r="AF533" s="1525">
        <f t="shared" si="319"/>
        <v>0</v>
      </c>
      <c r="AG533" s="1525">
        <f t="shared" si="319"/>
        <v>0</v>
      </c>
      <c r="AH533" s="1525">
        <f t="shared" si="319"/>
        <v>0</v>
      </c>
      <c r="AI533" s="1525">
        <f t="shared" si="319"/>
        <v>0</v>
      </c>
      <c r="AJ533" s="1525">
        <f t="shared" si="319"/>
        <v>0</v>
      </c>
      <c r="AK533" s="1525">
        <f t="shared" si="319"/>
        <v>0</v>
      </c>
      <c r="AL533" s="1525">
        <f t="shared" si="319"/>
        <v>0</v>
      </c>
      <c r="AM533" s="1525">
        <f t="shared" si="319"/>
        <v>0</v>
      </c>
      <c r="AN533" s="1525">
        <f t="shared" si="319"/>
        <v>0</v>
      </c>
      <c r="AO533" s="1525">
        <f t="shared" si="319"/>
        <v>0</v>
      </c>
      <c r="AP533" s="1525">
        <f t="shared" si="319"/>
        <v>0</v>
      </c>
      <c r="AQ533" s="1525">
        <f t="shared" si="319"/>
        <v>0</v>
      </c>
      <c r="AR533" s="1525">
        <f t="shared" si="319"/>
        <v>0</v>
      </c>
      <c r="AS533" s="1525">
        <f t="shared" si="319"/>
        <v>0</v>
      </c>
      <c r="AU533" s="1525"/>
      <c r="AV533" s="1291"/>
      <c r="AW533" s="1292"/>
      <c r="AX533" s="1292"/>
      <c r="AY533" s="1292"/>
      <c r="AZ533" s="1292"/>
      <c r="BA533" s="1292"/>
      <c r="BB533" s="1292"/>
      <c r="BC533" s="1292"/>
      <c r="BD533" s="1292"/>
      <c r="BE533" s="1292"/>
      <c r="BF533" s="1292"/>
      <c r="BG533" s="1292"/>
      <c r="BH533" s="1292"/>
      <c r="BI533" s="1292"/>
      <c r="BJ533" s="1292"/>
      <c r="BK533" s="1292"/>
      <c r="BL533" s="1292"/>
      <c r="BM533" s="1292"/>
      <c r="BN533" s="1292"/>
      <c r="BO533" s="1292"/>
      <c r="BP533" s="1292"/>
      <c r="BQ533" s="1292"/>
      <c r="BR533" s="1292"/>
      <c r="BS533" s="1292"/>
      <c r="BT533" s="1670">
        <f t="shared" si="318"/>
        <v>0</v>
      </c>
      <c r="BW533" s="859" t="s">
        <v>360</v>
      </c>
    </row>
    <row r="534" spans="2:75" ht="12.75" customHeight="1" x14ac:dyDescent="0.2">
      <c r="B534" s="175">
        <f t="shared" si="296"/>
        <v>17</v>
      </c>
      <c r="C534" s="219">
        <v>18</v>
      </c>
      <c r="E534" s="12" t="s">
        <v>288</v>
      </c>
      <c r="F534" s="4" t="s">
        <v>316</v>
      </c>
      <c r="G534" s="859" t="s">
        <v>317</v>
      </c>
      <c r="H534" s="858">
        <v>6435</v>
      </c>
      <c r="I534" s="200" t="s">
        <v>998</v>
      </c>
      <c r="J534" s="189"/>
      <c r="K534" s="189"/>
      <c r="L534" s="858">
        <v>1</v>
      </c>
      <c r="M534" s="858">
        <f t="shared" si="310"/>
        <v>1</v>
      </c>
      <c r="N534" s="857" t="s">
        <v>1326</v>
      </c>
      <c r="O534" s="1196">
        <v>21767</v>
      </c>
      <c r="P534" s="1218">
        <f t="shared" ca="1" si="311"/>
        <v>58.158333333333331</v>
      </c>
      <c r="Q534" s="1148">
        <v>28400</v>
      </c>
      <c r="R534" s="874">
        <f t="shared" si="320"/>
        <v>2840</v>
      </c>
      <c r="S534" s="875"/>
      <c r="T534" s="875"/>
      <c r="U534" s="875"/>
      <c r="V534" s="875"/>
      <c r="W534" s="875"/>
      <c r="X534" s="1026">
        <f t="shared" si="312"/>
        <v>31240</v>
      </c>
      <c r="Y534" s="1512">
        <f t="shared" si="321"/>
        <v>0</v>
      </c>
      <c r="Z534" s="1741">
        <f t="shared" si="314"/>
        <v>1</v>
      </c>
      <c r="AA534" s="1749">
        <f t="shared" si="315"/>
        <v>0</v>
      </c>
      <c r="AB534" s="1810">
        <f t="shared" si="316"/>
        <v>0</v>
      </c>
      <c r="AC534" s="876"/>
      <c r="AD534" s="1525">
        <f t="shared" si="319"/>
        <v>0</v>
      </c>
      <c r="AE534" s="1525">
        <f t="shared" si="319"/>
        <v>0</v>
      </c>
      <c r="AF534" s="1525">
        <f t="shared" si="319"/>
        <v>0</v>
      </c>
      <c r="AG534" s="1525">
        <f t="shared" si="319"/>
        <v>0</v>
      </c>
      <c r="AH534" s="1525">
        <f t="shared" si="319"/>
        <v>0</v>
      </c>
      <c r="AI534" s="1525">
        <f t="shared" si="319"/>
        <v>0</v>
      </c>
      <c r="AJ534" s="1525">
        <f t="shared" si="319"/>
        <v>0</v>
      </c>
      <c r="AK534" s="1525">
        <f t="shared" si="319"/>
        <v>0</v>
      </c>
      <c r="AL534" s="1525">
        <f t="shared" si="319"/>
        <v>0</v>
      </c>
      <c r="AM534" s="1525">
        <f t="shared" si="319"/>
        <v>0</v>
      </c>
      <c r="AN534" s="1525">
        <f t="shared" si="319"/>
        <v>0</v>
      </c>
      <c r="AO534" s="1525">
        <f t="shared" si="319"/>
        <v>0</v>
      </c>
      <c r="AP534" s="1525">
        <f t="shared" si="319"/>
        <v>0</v>
      </c>
      <c r="AQ534" s="1525">
        <f t="shared" si="319"/>
        <v>0</v>
      </c>
      <c r="AR534" s="1525">
        <f t="shared" si="319"/>
        <v>0</v>
      </c>
      <c r="AS534" s="1525">
        <f t="shared" si="319"/>
        <v>0</v>
      </c>
      <c r="AU534" s="1525"/>
      <c r="AV534" s="1291"/>
      <c r="AW534" s="1292"/>
      <c r="AX534" s="1292"/>
      <c r="AY534" s="1292"/>
      <c r="AZ534" s="1292"/>
      <c r="BA534" s="1292"/>
      <c r="BB534" s="1292"/>
      <c r="BC534" s="1292"/>
      <c r="BD534" s="1292"/>
      <c r="BE534" s="1292"/>
      <c r="BF534" s="1292"/>
      <c r="BG534" s="1292"/>
      <c r="BH534" s="1292"/>
      <c r="BI534" s="1292"/>
      <c r="BJ534" s="1292"/>
      <c r="BK534" s="1292"/>
      <c r="BL534" s="1292"/>
      <c r="BM534" s="1292"/>
      <c r="BN534" s="1292"/>
      <c r="BO534" s="1292"/>
      <c r="BP534" s="1292"/>
      <c r="BQ534" s="1292"/>
      <c r="BR534" s="1292"/>
      <c r="BS534" s="1292"/>
      <c r="BT534" s="1670">
        <f t="shared" si="318"/>
        <v>0</v>
      </c>
      <c r="BW534" s="859" t="s">
        <v>317</v>
      </c>
    </row>
    <row r="535" spans="2:75" ht="12.75" customHeight="1" x14ac:dyDescent="0.2">
      <c r="B535" s="175">
        <f t="shared" si="296"/>
        <v>18</v>
      </c>
      <c r="C535" s="219">
        <v>18</v>
      </c>
      <c r="E535" s="12" t="s">
        <v>288</v>
      </c>
      <c r="F535" s="4" t="s">
        <v>363</v>
      </c>
      <c r="G535" s="862" t="s">
        <v>1458</v>
      </c>
      <c r="H535" s="858">
        <v>134827</v>
      </c>
      <c r="I535" s="200" t="s">
        <v>998</v>
      </c>
      <c r="J535" s="189"/>
      <c r="K535" s="189"/>
      <c r="L535" s="858">
        <v>1</v>
      </c>
      <c r="M535" s="858">
        <f t="shared" si="310"/>
        <v>1</v>
      </c>
      <c r="N535" s="836" t="s">
        <v>1326</v>
      </c>
      <c r="O535" s="1196">
        <v>21375</v>
      </c>
      <c r="P535" s="1262">
        <f t="shared" ca="1" si="311"/>
        <v>59.230555555555554</v>
      </c>
      <c r="Q535" s="1148">
        <v>26000</v>
      </c>
      <c r="R535" s="874">
        <f t="shared" si="320"/>
        <v>2600</v>
      </c>
      <c r="S535" s="876"/>
      <c r="T535" s="876"/>
      <c r="U535" s="876"/>
      <c r="V535" s="876"/>
      <c r="W535" s="1026">
        <f>(Q535+R535)*0.1</f>
        <v>2860</v>
      </c>
      <c r="X535" s="1026">
        <f t="shared" si="312"/>
        <v>31460</v>
      </c>
      <c r="Y535" s="1512">
        <f t="shared" si="321"/>
        <v>0.1</v>
      </c>
      <c r="Z535" s="1741">
        <f t="shared" si="314"/>
        <v>1.1000000000000001</v>
      </c>
      <c r="AA535" s="1749">
        <f t="shared" si="315"/>
        <v>0</v>
      </c>
      <c r="AB535" s="1810">
        <f t="shared" si="316"/>
        <v>0</v>
      </c>
      <c r="AC535" s="876"/>
      <c r="AD535" s="1525">
        <f t="shared" si="319"/>
        <v>0</v>
      </c>
      <c r="AE535" s="1525">
        <f t="shared" si="319"/>
        <v>0</v>
      </c>
      <c r="AF535" s="1525">
        <f t="shared" si="319"/>
        <v>0</v>
      </c>
      <c r="AG535" s="1525">
        <f t="shared" si="319"/>
        <v>0</v>
      </c>
      <c r="AH535" s="1525">
        <f t="shared" si="319"/>
        <v>0</v>
      </c>
      <c r="AI535" s="1525">
        <f t="shared" si="319"/>
        <v>0</v>
      </c>
      <c r="AJ535" s="1525">
        <f t="shared" si="319"/>
        <v>0</v>
      </c>
      <c r="AK535" s="1525">
        <f t="shared" si="319"/>
        <v>0</v>
      </c>
      <c r="AL535" s="1525">
        <f t="shared" si="319"/>
        <v>0</v>
      </c>
      <c r="AM535" s="1525">
        <f t="shared" si="319"/>
        <v>0</v>
      </c>
      <c r="AN535" s="1525">
        <f t="shared" si="319"/>
        <v>0</v>
      </c>
      <c r="AO535" s="1525">
        <f t="shared" si="319"/>
        <v>0</v>
      </c>
      <c r="AP535" s="1525">
        <f t="shared" si="319"/>
        <v>0</v>
      </c>
      <c r="AQ535" s="1525">
        <f t="shared" si="319"/>
        <v>0</v>
      </c>
      <c r="AR535" s="1525">
        <f t="shared" si="319"/>
        <v>0</v>
      </c>
      <c r="AS535" s="1525">
        <f t="shared" si="319"/>
        <v>0</v>
      </c>
      <c r="AU535" s="1525"/>
      <c r="AV535" s="1291"/>
      <c r="AW535" s="1292"/>
      <c r="AX535" s="1292"/>
      <c r="AY535" s="1292"/>
      <c r="AZ535" s="1292"/>
      <c r="BA535" s="1292"/>
      <c r="BB535" s="1292"/>
      <c r="BC535" s="1292"/>
      <c r="BD535" s="1292"/>
      <c r="BE535" s="1292"/>
      <c r="BF535" s="1292"/>
      <c r="BG535" s="1292"/>
      <c r="BH535" s="1292"/>
      <c r="BI535" s="1292"/>
      <c r="BJ535" s="1292"/>
      <c r="BK535" s="1292"/>
      <c r="BL535" s="1292"/>
      <c r="BM535" s="1292"/>
      <c r="BN535" s="1292"/>
      <c r="BO535" s="1292"/>
      <c r="BP535" s="1292"/>
      <c r="BQ535" s="1292"/>
      <c r="BR535" s="1292"/>
      <c r="BS535" s="1292"/>
      <c r="BT535" s="1670">
        <f t="shared" si="318"/>
        <v>0</v>
      </c>
      <c r="BW535" s="862" t="s">
        <v>1458</v>
      </c>
    </row>
    <row r="536" spans="2:75" ht="12.75" customHeight="1" x14ac:dyDescent="0.2">
      <c r="B536" s="175">
        <f t="shared" si="296"/>
        <v>19</v>
      </c>
      <c r="C536" s="219">
        <v>18</v>
      </c>
      <c r="E536" s="12" t="s">
        <v>288</v>
      </c>
      <c r="F536" s="4" t="s">
        <v>0</v>
      </c>
      <c r="G536" s="862" t="s">
        <v>855</v>
      </c>
      <c r="H536" s="858">
        <v>111578</v>
      </c>
      <c r="I536" s="200" t="s">
        <v>998</v>
      </c>
      <c r="J536" s="189"/>
      <c r="K536" s="189"/>
      <c r="L536" s="861">
        <v>1</v>
      </c>
      <c r="M536" s="858">
        <f t="shared" si="310"/>
        <v>1</v>
      </c>
      <c r="N536" s="857" t="s">
        <v>1326</v>
      </c>
      <c r="O536" s="1196">
        <v>28336</v>
      </c>
      <c r="P536" s="1218">
        <f t="shared" ca="1" si="311"/>
        <v>40.172222222222224</v>
      </c>
      <c r="Q536" s="1148">
        <v>29700</v>
      </c>
      <c r="R536" s="874">
        <f t="shared" si="320"/>
        <v>2970</v>
      </c>
      <c r="S536" s="875"/>
      <c r="T536" s="875"/>
      <c r="U536" s="875"/>
      <c r="V536" s="875"/>
      <c r="W536" s="1036"/>
      <c r="X536" s="1026">
        <f t="shared" si="312"/>
        <v>32670</v>
      </c>
      <c r="Y536" s="1512">
        <f t="shared" si="321"/>
        <v>0</v>
      </c>
      <c r="Z536" s="1741">
        <f t="shared" si="314"/>
        <v>1</v>
      </c>
      <c r="AA536" s="1749">
        <f t="shared" si="315"/>
        <v>0</v>
      </c>
      <c r="AB536" s="1810">
        <f t="shared" si="316"/>
        <v>0</v>
      </c>
      <c r="AC536" s="876"/>
      <c r="AD536" s="1525">
        <f t="shared" si="319"/>
        <v>0</v>
      </c>
      <c r="AE536" s="1525">
        <f t="shared" si="319"/>
        <v>0</v>
      </c>
      <c r="AF536" s="1525">
        <f t="shared" si="319"/>
        <v>0</v>
      </c>
      <c r="AG536" s="1525">
        <f t="shared" si="319"/>
        <v>0</v>
      </c>
      <c r="AH536" s="1525">
        <f t="shared" si="319"/>
        <v>0</v>
      </c>
      <c r="AI536" s="1525">
        <f t="shared" si="319"/>
        <v>0</v>
      </c>
      <c r="AJ536" s="1525">
        <f t="shared" si="319"/>
        <v>0</v>
      </c>
      <c r="AK536" s="1525">
        <f t="shared" si="319"/>
        <v>0</v>
      </c>
      <c r="AL536" s="1525">
        <f t="shared" si="319"/>
        <v>0</v>
      </c>
      <c r="AM536" s="1525">
        <f t="shared" si="319"/>
        <v>0</v>
      </c>
      <c r="AN536" s="1525">
        <f t="shared" si="319"/>
        <v>0</v>
      </c>
      <c r="AO536" s="1525">
        <f t="shared" si="319"/>
        <v>0</v>
      </c>
      <c r="AP536" s="1525">
        <f t="shared" si="319"/>
        <v>0</v>
      </c>
      <c r="AQ536" s="1525">
        <f t="shared" si="319"/>
        <v>0</v>
      </c>
      <c r="AR536" s="1525">
        <f t="shared" si="319"/>
        <v>0</v>
      </c>
      <c r="AS536" s="1525">
        <f t="shared" si="319"/>
        <v>0</v>
      </c>
      <c r="AU536" s="1525"/>
      <c r="AV536" s="1291"/>
      <c r="AW536" s="1292"/>
      <c r="AX536" s="1292"/>
      <c r="AY536" s="1292"/>
      <c r="AZ536" s="1292"/>
      <c r="BA536" s="1292"/>
      <c r="BB536" s="1292"/>
      <c r="BC536" s="1292"/>
      <c r="BD536" s="1292"/>
      <c r="BE536" s="1292"/>
      <c r="BF536" s="1292"/>
      <c r="BG536" s="1292"/>
      <c r="BH536" s="1292"/>
      <c r="BI536" s="1292"/>
      <c r="BJ536" s="1292"/>
      <c r="BK536" s="1292"/>
      <c r="BL536" s="1292"/>
      <c r="BM536" s="1292"/>
      <c r="BN536" s="1292"/>
      <c r="BO536" s="1292"/>
      <c r="BP536" s="1292"/>
      <c r="BQ536" s="1292"/>
      <c r="BR536" s="1292"/>
      <c r="BS536" s="1292"/>
      <c r="BT536" s="1670">
        <f t="shared" si="318"/>
        <v>0</v>
      </c>
      <c r="BW536" s="862" t="s">
        <v>855</v>
      </c>
    </row>
    <row r="537" spans="2:75" ht="12.75" customHeight="1" x14ac:dyDescent="0.2">
      <c r="B537" s="175">
        <f t="shared" si="296"/>
        <v>20</v>
      </c>
      <c r="C537" s="219">
        <v>18</v>
      </c>
      <c r="E537" s="12" t="s">
        <v>288</v>
      </c>
      <c r="F537" s="4" t="s">
        <v>316</v>
      </c>
      <c r="G537" s="862" t="s">
        <v>318</v>
      </c>
      <c r="H537" s="1346">
        <v>6408</v>
      </c>
      <c r="I537" s="197" t="s">
        <v>998</v>
      </c>
      <c r="J537" s="174"/>
      <c r="K537" s="174"/>
      <c r="L537" s="861">
        <v>1</v>
      </c>
      <c r="M537" s="858">
        <f t="shared" si="310"/>
        <v>1</v>
      </c>
      <c r="N537" s="836" t="s">
        <v>1326</v>
      </c>
      <c r="O537" s="1196">
        <v>12881</v>
      </c>
      <c r="P537" s="1218">
        <f t="shared" ca="1" si="311"/>
        <v>82.486111111111114</v>
      </c>
      <c r="Q537" s="1148">
        <v>22500</v>
      </c>
      <c r="R537" s="874">
        <f t="shared" si="320"/>
        <v>2250</v>
      </c>
      <c r="S537" s="876"/>
      <c r="T537" s="876"/>
      <c r="U537" s="876"/>
      <c r="V537" s="875"/>
      <c r="W537" s="876"/>
      <c r="X537" s="1026">
        <f t="shared" si="312"/>
        <v>24750</v>
      </c>
      <c r="Y537" s="1512">
        <f t="shared" si="321"/>
        <v>0</v>
      </c>
      <c r="Z537" s="1741">
        <f t="shared" si="314"/>
        <v>1</v>
      </c>
      <c r="AA537" s="1749">
        <f t="shared" si="315"/>
        <v>0</v>
      </c>
      <c r="AB537" s="1810">
        <f t="shared" si="316"/>
        <v>0</v>
      </c>
      <c r="AC537" s="876"/>
      <c r="AD537" s="1525">
        <f t="shared" si="319"/>
        <v>0</v>
      </c>
      <c r="AE537" s="1525">
        <f t="shared" si="319"/>
        <v>0</v>
      </c>
      <c r="AF537" s="1525">
        <f t="shared" si="319"/>
        <v>0</v>
      </c>
      <c r="AG537" s="1525">
        <f t="shared" si="319"/>
        <v>0</v>
      </c>
      <c r="AH537" s="1525">
        <f t="shared" si="319"/>
        <v>0</v>
      </c>
      <c r="AI537" s="1525">
        <f t="shared" si="319"/>
        <v>0</v>
      </c>
      <c r="AJ537" s="1525">
        <f t="shared" si="319"/>
        <v>0</v>
      </c>
      <c r="AK537" s="1525">
        <f t="shared" si="319"/>
        <v>0</v>
      </c>
      <c r="AL537" s="1525">
        <f t="shared" si="319"/>
        <v>0</v>
      </c>
      <c r="AM537" s="1525">
        <f t="shared" si="319"/>
        <v>0</v>
      </c>
      <c r="AN537" s="1525">
        <f t="shared" si="319"/>
        <v>0</v>
      </c>
      <c r="AO537" s="1525">
        <f t="shared" si="319"/>
        <v>0</v>
      </c>
      <c r="AP537" s="1525">
        <f t="shared" si="319"/>
        <v>0</v>
      </c>
      <c r="AQ537" s="1525">
        <f t="shared" si="319"/>
        <v>0</v>
      </c>
      <c r="AR537" s="1525">
        <f t="shared" si="319"/>
        <v>0</v>
      </c>
      <c r="AS537" s="1525">
        <f t="shared" si="319"/>
        <v>0</v>
      </c>
      <c r="AU537" s="1525"/>
      <c r="AV537" s="1291"/>
      <c r="AW537" s="1292"/>
      <c r="AX537" s="1292"/>
      <c r="AY537" s="1292"/>
      <c r="AZ537" s="1292"/>
      <c r="BA537" s="1292"/>
      <c r="BB537" s="1292"/>
      <c r="BC537" s="1292"/>
      <c r="BD537" s="1292"/>
      <c r="BE537" s="1292"/>
      <c r="BF537" s="1292"/>
      <c r="BG537" s="1292"/>
      <c r="BH537" s="1292"/>
      <c r="BI537" s="1292"/>
      <c r="BJ537" s="1292"/>
      <c r="BK537" s="1292"/>
      <c r="BL537" s="1292"/>
      <c r="BM537" s="1292"/>
      <c r="BN537" s="1292"/>
      <c r="BO537" s="1292"/>
      <c r="BP537" s="1292"/>
      <c r="BQ537" s="1292"/>
      <c r="BR537" s="1292"/>
      <c r="BS537" s="1292"/>
      <c r="BT537" s="1670">
        <f t="shared" si="318"/>
        <v>0</v>
      </c>
      <c r="BW537" s="862" t="s">
        <v>318</v>
      </c>
    </row>
    <row r="538" spans="2:75" ht="12.75" customHeight="1" x14ac:dyDescent="0.2">
      <c r="B538" s="175">
        <f t="shared" si="296"/>
        <v>21</v>
      </c>
      <c r="C538" s="219">
        <v>18</v>
      </c>
      <c r="E538" s="12" t="s">
        <v>288</v>
      </c>
      <c r="F538" s="4" t="s">
        <v>799</v>
      </c>
      <c r="G538" s="862" t="s">
        <v>1269</v>
      </c>
      <c r="H538" s="858">
        <v>102728</v>
      </c>
      <c r="I538" s="197" t="s">
        <v>998</v>
      </c>
      <c r="J538" s="174"/>
      <c r="K538" s="174"/>
      <c r="L538" s="861">
        <v>1</v>
      </c>
      <c r="M538" s="858">
        <f t="shared" si="310"/>
        <v>1</v>
      </c>
      <c r="N538" s="836" t="s">
        <v>1326</v>
      </c>
      <c r="O538" s="1196">
        <v>19995</v>
      </c>
      <c r="P538" s="1218">
        <f t="shared" ca="1" si="311"/>
        <v>63.011111111111113</v>
      </c>
      <c r="Q538" s="1148">
        <v>31000</v>
      </c>
      <c r="R538" s="874">
        <f t="shared" si="320"/>
        <v>3100</v>
      </c>
      <c r="S538" s="876"/>
      <c r="T538" s="876"/>
      <c r="U538" s="876"/>
      <c r="V538" s="875"/>
      <c r="W538" s="876"/>
      <c r="X538" s="1026">
        <f t="shared" si="312"/>
        <v>34100</v>
      </c>
      <c r="Y538" s="1512">
        <f t="shared" si="321"/>
        <v>0</v>
      </c>
      <c r="Z538" s="1741">
        <f t="shared" si="314"/>
        <v>1</v>
      </c>
      <c r="AA538" s="1749">
        <f t="shared" si="315"/>
        <v>0</v>
      </c>
      <c r="AB538" s="1810">
        <f t="shared" si="316"/>
        <v>0</v>
      </c>
      <c r="AC538" s="876"/>
      <c r="AD538" s="1525">
        <f t="shared" si="319"/>
        <v>0</v>
      </c>
      <c r="AE538" s="1525">
        <f t="shared" si="319"/>
        <v>0</v>
      </c>
      <c r="AF538" s="1525">
        <f t="shared" si="319"/>
        <v>0</v>
      </c>
      <c r="AG538" s="1525">
        <f t="shared" si="319"/>
        <v>0</v>
      </c>
      <c r="AH538" s="1525">
        <f t="shared" si="319"/>
        <v>0</v>
      </c>
      <c r="AI538" s="1525">
        <f t="shared" si="319"/>
        <v>0</v>
      </c>
      <c r="AJ538" s="1525">
        <f t="shared" si="319"/>
        <v>0</v>
      </c>
      <c r="AK538" s="1525">
        <f t="shared" si="319"/>
        <v>0</v>
      </c>
      <c r="AL538" s="1525">
        <f t="shared" si="319"/>
        <v>0</v>
      </c>
      <c r="AM538" s="1525">
        <f t="shared" si="319"/>
        <v>0</v>
      </c>
      <c r="AN538" s="1525">
        <f t="shared" si="319"/>
        <v>0</v>
      </c>
      <c r="AO538" s="1525">
        <f t="shared" si="319"/>
        <v>0</v>
      </c>
      <c r="AP538" s="1525">
        <f t="shared" si="319"/>
        <v>0</v>
      </c>
      <c r="AQ538" s="1525">
        <f t="shared" si="319"/>
        <v>0</v>
      </c>
      <c r="AR538" s="1525">
        <f t="shared" si="319"/>
        <v>0</v>
      </c>
      <c r="AS538" s="1525">
        <f t="shared" si="319"/>
        <v>0</v>
      </c>
      <c r="AU538" s="1525"/>
      <c r="AV538" s="1291"/>
      <c r="AW538" s="1292"/>
      <c r="AX538" s="1292"/>
      <c r="AY538" s="1292"/>
      <c r="AZ538" s="1292"/>
      <c r="BA538" s="1292"/>
      <c r="BB538" s="1292"/>
      <c r="BC538" s="1292"/>
      <c r="BD538" s="1292"/>
      <c r="BE538" s="1292"/>
      <c r="BF538" s="1292"/>
      <c r="BG538" s="1292"/>
      <c r="BH538" s="1292"/>
      <c r="BI538" s="1292"/>
      <c r="BJ538" s="1292"/>
      <c r="BK538" s="1292"/>
      <c r="BL538" s="1292"/>
      <c r="BM538" s="1292"/>
      <c r="BN538" s="1292"/>
      <c r="BO538" s="1292"/>
      <c r="BP538" s="1292"/>
      <c r="BQ538" s="1292"/>
      <c r="BR538" s="1292"/>
      <c r="BS538" s="1292"/>
      <c r="BT538" s="1670">
        <f t="shared" si="318"/>
        <v>0</v>
      </c>
      <c r="BW538" s="862" t="s">
        <v>1269</v>
      </c>
    </row>
    <row r="539" spans="2:75" ht="12.75" customHeight="1" x14ac:dyDescent="0.2">
      <c r="B539" s="175"/>
      <c r="C539" s="219"/>
      <c r="E539" s="12"/>
      <c r="F539" s="26"/>
      <c r="G539" s="910"/>
      <c r="H539" s="1354" t="s">
        <v>1508</v>
      </c>
      <c r="I539" s="196"/>
      <c r="J539" s="195"/>
      <c r="K539" s="195"/>
      <c r="L539" s="873"/>
      <c r="M539" s="873"/>
      <c r="N539" s="872"/>
      <c r="O539" s="1194"/>
      <c r="P539" s="1218"/>
      <c r="Q539" s="1071"/>
      <c r="R539" s="890"/>
      <c r="S539" s="891"/>
      <c r="T539" s="891"/>
      <c r="U539" s="891"/>
      <c r="V539" s="891"/>
      <c r="W539" s="891"/>
      <c r="X539" s="1026"/>
      <c r="Y539" s="1754"/>
      <c r="Z539" s="1755"/>
      <c r="AA539" s="1775"/>
      <c r="AB539" s="1814"/>
      <c r="AC539" s="876"/>
      <c r="AD539" s="1295"/>
      <c r="AE539" s="1525"/>
      <c r="AF539" s="1525"/>
      <c r="AG539" s="1525"/>
      <c r="AH539" s="1525"/>
      <c r="AI539" s="1525"/>
      <c r="AJ539" s="1525"/>
      <c r="AK539" s="1525"/>
      <c r="AL539" s="1525"/>
      <c r="AM539" s="1525"/>
      <c r="AN539" s="1525"/>
      <c r="AO539" s="1525"/>
      <c r="AP539" s="1525"/>
      <c r="AQ539" s="1525"/>
      <c r="AR539" s="1525"/>
      <c r="AS539" s="1525"/>
      <c r="AU539" s="1525"/>
      <c r="AV539" s="1291"/>
      <c r="AW539" s="1292"/>
      <c r="AX539" s="1292"/>
      <c r="AY539" s="1292"/>
      <c r="AZ539" s="1292"/>
      <c r="BA539" s="1292"/>
      <c r="BB539" s="1292"/>
      <c r="BC539" s="1292"/>
      <c r="BD539" s="1292"/>
      <c r="BE539" s="1292"/>
      <c r="BF539" s="1292"/>
      <c r="BG539" s="1292"/>
      <c r="BH539" s="1292"/>
      <c r="BI539" s="1292"/>
      <c r="BJ539" s="1292"/>
      <c r="BK539" s="1292"/>
      <c r="BL539" s="1292"/>
      <c r="BM539" s="1292"/>
      <c r="BN539" s="1292"/>
      <c r="BO539" s="1292"/>
      <c r="BP539" s="1292"/>
      <c r="BQ539" s="1292"/>
      <c r="BR539" s="1292"/>
      <c r="BS539" s="1292"/>
      <c r="BT539" s="1670"/>
      <c r="BW539" s="910"/>
    </row>
    <row r="540" spans="2:75" s="164" customFormat="1" ht="12.75" customHeight="1" x14ac:dyDescent="0.15">
      <c r="B540" s="175"/>
      <c r="C540" s="219" t="s">
        <v>1120</v>
      </c>
      <c r="F540" s="24" t="s">
        <v>1238</v>
      </c>
      <c r="G540" s="859"/>
      <c r="H540" s="1361" t="s">
        <v>1508</v>
      </c>
      <c r="I540" s="200"/>
      <c r="J540" s="189"/>
      <c r="K540" s="448">
        <f>SUM(K518:K537)</f>
        <v>0</v>
      </c>
      <c r="L540" s="902">
        <f>SUM(L518:L539)</f>
        <v>20.5</v>
      </c>
      <c r="M540" s="902">
        <f>SUM(M518:M539)</f>
        <v>20.5</v>
      </c>
      <c r="N540" s="857"/>
      <c r="O540" s="1200"/>
      <c r="P540" s="550"/>
      <c r="Q540" s="1153"/>
      <c r="R540" s="877"/>
      <c r="S540" s="875"/>
      <c r="T540" s="875"/>
      <c r="U540" s="875"/>
      <c r="V540" s="875"/>
      <c r="W540" s="875"/>
      <c r="X540" s="1026"/>
      <c r="Y540" s="1335"/>
      <c r="Z540" s="1335"/>
      <c r="AA540" s="1775"/>
      <c r="AB540" s="1814"/>
      <c r="AC540" s="876"/>
      <c r="AD540" s="1295"/>
      <c r="AE540" s="1525"/>
      <c r="AF540" s="1525"/>
      <c r="AG540" s="1525"/>
      <c r="AH540" s="1525"/>
      <c r="AI540" s="1525"/>
      <c r="AJ540" s="1525"/>
      <c r="AK540" s="1525"/>
      <c r="AL540" s="1525"/>
      <c r="AM540" s="1525"/>
      <c r="AN540" s="1525"/>
      <c r="AO540" s="1525"/>
      <c r="AP540" s="1525"/>
      <c r="AQ540" s="1525"/>
      <c r="AR540" s="1525"/>
      <c r="AS540" s="1525"/>
      <c r="AU540" s="1525"/>
      <c r="AV540" s="1295"/>
      <c r="AW540" s="1525"/>
      <c r="AX540" s="1525"/>
      <c r="AY540" s="1525"/>
      <c r="AZ540" s="1525"/>
      <c r="BA540" s="1525"/>
      <c r="BB540" s="1525"/>
      <c r="BC540" s="1525"/>
      <c r="BD540" s="1525"/>
      <c r="BE540" s="1525"/>
      <c r="BF540" s="1525"/>
      <c r="BG540" s="1525"/>
      <c r="BH540" s="1525"/>
      <c r="BI540" s="1525"/>
      <c r="BJ540" s="1525"/>
      <c r="BK540" s="1525"/>
      <c r="BL540" s="1525"/>
      <c r="BM540" s="1525"/>
      <c r="BN540" s="1525"/>
      <c r="BO540" s="1525"/>
      <c r="BP540" s="1525"/>
      <c r="BQ540" s="1525"/>
      <c r="BR540" s="1525"/>
      <c r="BS540" s="1525"/>
      <c r="BT540" s="1670"/>
      <c r="BV540"/>
      <c r="BW540" s="859"/>
    </row>
    <row r="541" spans="2:75" s="164" customFormat="1" ht="12.75" customHeight="1" x14ac:dyDescent="0.2">
      <c r="B541" s="175"/>
      <c r="F541" s="1"/>
      <c r="G541" s="859"/>
      <c r="H541" s="1346" t="s">
        <v>1508</v>
      </c>
      <c r="I541" s="172"/>
      <c r="J541" s="168"/>
      <c r="K541" s="168"/>
      <c r="L541" s="858"/>
      <c r="M541" s="858"/>
      <c r="N541" s="857"/>
      <c r="O541" s="1192"/>
      <c r="P541" s="550"/>
      <c r="Q541" s="1148"/>
      <c r="R541" s="874"/>
      <c r="S541" s="875"/>
      <c r="T541" s="875"/>
      <c r="U541" s="875"/>
      <c r="V541" s="875"/>
      <c r="W541" s="875"/>
      <c r="X541" s="1026"/>
      <c r="Y541" s="1754"/>
      <c r="Z541" s="1755"/>
      <c r="AA541" s="1775"/>
      <c r="AB541" s="1814"/>
      <c r="AC541" s="876"/>
      <c r="AD541" s="1295"/>
      <c r="AE541" s="1525"/>
      <c r="AF541" s="1525"/>
      <c r="AG541" s="1525"/>
      <c r="AH541" s="1525"/>
      <c r="AI541" s="1525"/>
      <c r="AJ541" s="1525"/>
      <c r="AK541" s="1525"/>
      <c r="AL541" s="1525"/>
      <c r="AM541" s="1525"/>
      <c r="AN541" s="1525"/>
      <c r="AO541" s="1525"/>
      <c r="AP541" s="1525"/>
      <c r="AQ541" s="1525"/>
      <c r="AR541" s="1525"/>
      <c r="AS541" s="1525"/>
      <c r="AU541" s="1525"/>
      <c r="AV541" s="1295"/>
      <c r="AW541" s="1525"/>
      <c r="AX541" s="1525"/>
      <c r="AY541" s="1525"/>
      <c r="AZ541" s="1525"/>
      <c r="BA541" s="1525"/>
      <c r="BB541" s="1525"/>
      <c r="BC541" s="1525"/>
      <c r="BD541" s="1525"/>
      <c r="BE541" s="1525"/>
      <c r="BF541" s="1525"/>
      <c r="BG541" s="1525"/>
      <c r="BH541" s="1525"/>
      <c r="BI541" s="1525"/>
      <c r="BJ541" s="1525"/>
      <c r="BK541" s="1525"/>
      <c r="BL541" s="1525"/>
      <c r="BM541" s="1525"/>
      <c r="BN541" s="1525"/>
      <c r="BO541" s="1525"/>
      <c r="BP541" s="1525"/>
      <c r="BQ541" s="1525"/>
      <c r="BR541" s="1525"/>
      <c r="BS541" s="1525"/>
      <c r="BT541" s="1670"/>
      <c r="BV541"/>
      <c r="BW541" s="859"/>
    </row>
    <row r="542" spans="2:75" s="164" customFormat="1" ht="12.75" customHeight="1" x14ac:dyDescent="0.15">
      <c r="B542" s="175"/>
      <c r="F542" s="1" t="s">
        <v>800</v>
      </c>
      <c r="G542" s="859"/>
      <c r="H542" s="1346" t="s">
        <v>1508</v>
      </c>
      <c r="I542" s="172"/>
      <c r="J542" s="168"/>
      <c r="K542" s="168"/>
      <c r="L542" s="858"/>
      <c r="M542" s="858"/>
      <c r="N542" s="857"/>
      <c r="O542" s="1200"/>
      <c r="P542" s="550"/>
      <c r="Q542" s="1148"/>
      <c r="R542" s="874"/>
      <c r="S542" s="875"/>
      <c r="T542" s="875"/>
      <c r="U542" s="875"/>
      <c r="V542" s="875"/>
      <c r="W542" s="875"/>
      <c r="X542" s="1026"/>
      <c r="Y542" s="1754"/>
      <c r="Z542" s="1755"/>
      <c r="AA542" s="1775"/>
      <c r="AB542" s="1814"/>
      <c r="AC542" s="876"/>
      <c r="AD542" s="1295"/>
      <c r="AE542" s="1525"/>
      <c r="AF542" s="1525"/>
      <c r="AG542" s="1525"/>
      <c r="AH542" s="1525"/>
      <c r="AI542" s="1525"/>
      <c r="AJ542" s="1525"/>
      <c r="AK542" s="1525"/>
      <c r="AL542" s="1525"/>
      <c r="AM542" s="1525"/>
      <c r="AN542" s="1525"/>
      <c r="AO542" s="1525"/>
      <c r="AP542" s="1525"/>
      <c r="AQ542" s="1525"/>
      <c r="AR542" s="1525"/>
      <c r="AS542" s="1525"/>
      <c r="AU542" s="1525"/>
      <c r="AV542" s="1295"/>
      <c r="AW542" s="1525"/>
      <c r="AX542" s="1525"/>
      <c r="AY542" s="1525"/>
      <c r="AZ542" s="1525"/>
      <c r="BA542" s="1525"/>
      <c r="BB542" s="1525"/>
      <c r="BC542" s="1525"/>
      <c r="BD542" s="1525"/>
      <c r="BE542" s="1525"/>
      <c r="BF542" s="1525"/>
      <c r="BG542" s="1525"/>
      <c r="BH542" s="1525"/>
      <c r="BI542" s="1525"/>
      <c r="BJ542" s="1525"/>
      <c r="BK542" s="1525"/>
      <c r="BL542" s="1525"/>
      <c r="BM542" s="1525"/>
      <c r="BN542" s="1525"/>
      <c r="BO542" s="1525"/>
      <c r="BP542" s="1525"/>
      <c r="BQ542" s="1525"/>
      <c r="BR542" s="1525"/>
      <c r="BS542" s="1525"/>
      <c r="BT542" s="1670"/>
      <c r="BV542"/>
      <c r="BW542" s="859"/>
    </row>
    <row r="543" spans="2:75" s="164" customFormat="1" ht="12.75" customHeight="1" x14ac:dyDescent="0.15">
      <c r="B543" s="175"/>
      <c r="F543" s="1" t="s">
        <v>801</v>
      </c>
      <c r="G543" s="856"/>
      <c r="H543" s="1346" t="s">
        <v>1508</v>
      </c>
      <c r="I543" s="172"/>
      <c r="J543" s="168"/>
      <c r="K543" s="168"/>
      <c r="L543" s="858"/>
      <c r="M543" s="858"/>
      <c r="N543" s="855"/>
      <c r="O543" s="1200"/>
      <c r="P543" s="550"/>
      <c r="Q543" s="1148"/>
      <c r="R543" s="874"/>
      <c r="S543" s="875"/>
      <c r="T543" s="875"/>
      <c r="U543" s="875"/>
      <c r="V543" s="875"/>
      <c r="W543" s="875"/>
      <c r="X543" s="1026"/>
      <c r="Y543" s="1754"/>
      <c r="Z543" s="1755"/>
      <c r="AA543" s="1775"/>
      <c r="AB543" s="1814"/>
      <c r="AC543" s="876"/>
      <c r="AD543" s="1295"/>
      <c r="AE543" s="1525"/>
      <c r="AF543" s="1525"/>
      <c r="AG543" s="1525"/>
      <c r="AH543" s="1525"/>
      <c r="AI543" s="1525"/>
      <c r="AJ543" s="1525"/>
      <c r="AK543" s="1525"/>
      <c r="AL543" s="1525"/>
      <c r="AM543" s="1525"/>
      <c r="AN543" s="1525"/>
      <c r="AO543" s="1525"/>
      <c r="AP543" s="1525"/>
      <c r="AQ543" s="1525"/>
      <c r="AR543" s="1525"/>
      <c r="AS543" s="1525"/>
      <c r="AU543" s="1525"/>
      <c r="AV543" s="1295"/>
      <c r="AW543" s="1525"/>
      <c r="AX543" s="1525"/>
      <c r="AY543" s="1525"/>
      <c r="AZ543" s="1525"/>
      <c r="BA543" s="1525"/>
      <c r="BB543" s="1525"/>
      <c r="BC543" s="1525"/>
      <c r="BD543" s="1525"/>
      <c r="BE543" s="1525"/>
      <c r="BF543" s="1525"/>
      <c r="BG543" s="1525"/>
      <c r="BH543" s="1525"/>
      <c r="BI543" s="1525"/>
      <c r="BJ543" s="1525"/>
      <c r="BK543" s="1525"/>
      <c r="BL543" s="1525"/>
      <c r="BM543" s="1525"/>
      <c r="BN543" s="1525"/>
      <c r="BO543" s="1525"/>
      <c r="BP543" s="1525"/>
      <c r="BQ543" s="1525"/>
      <c r="BR543" s="1525"/>
      <c r="BS543" s="1525"/>
      <c r="BT543" s="1670"/>
      <c r="BV543"/>
      <c r="BW543" s="856"/>
    </row>
    <row r="544" spans="2:75" s="164" customFormat="1" ht="12.75" customHeight="1" x14ac:dyDescent="0.2">
      <c r="B544" s="175"/>
      <c r="F544" s="1"/>
      <c r="G544" s="856"/>
      <c r="H544" s="1346" t="s">
        <v>1508</v>
      </c>
      <c r="I544" s="172"/>
      <c r="J544" s="168"/>
      <c r="K544" s="168"/>
      <c r="L544" s="858"/>
      <c r="M544" s="858"/>
      <c r="N544" s="855"/>
      <c r="O544" s="1192"/>
      <c r="P544" s="550"/>
      <c r="Q544" s="1148"/>
      <c r="R544" s="874"/>
      <c r="S544" s="875"/>
      <c r="T544" s="875"/>
      <c r="U544" s="875"/>
      <c r="V544" s="875"/>
      <c r="W544" s="875"/>
      <c r="X544" s="1026"/>
      <c r="Y544" s="1754"/>
      <c r="Z544" s="1755"/>
      <c r="AA544" s="1775"/>
      <c r="AB544" s="1814"/>
      <c r="AC544" s="876"/>
      <c r="AD544" s="1295"/>
      <c r="AE544" s="1525"/>
      <c r="AF544" s="1525"/>
      <c r="AG544" s="1525"/>
      <c r="AH544" s="1525"/>
      <c r="AI544" s="1525"/>
      <c r="AJ544" s="1525"/>
      <c r="AK544" s="1525"/>
      <c r="AL544" s="1525"/>
      <c r="AM544" s="1525"/>
      <c r="AN544" s="1525"/>
      <c r="AO544" s="1525"/>
      <c r="AP544" s="1525"/>
      <c r="AQ544" s="1525"/>
      <c r="AR544" s="1525"/>
      <c r="AS544" s="1525"/>
      <c r="AU544" s="1525"/>
      <c r="AV544" s="1295"/>
      <c r="AW544" s="1525"/>
      <c r="AX544" s="1525"/>
      <c r="AY544" s="1525"/>
      <c r="AZ544" s="1525"/>
      <c r="BA544" s="1525"/>
      <c r="BB544" s="1525"/>
      <c r="BC544" s="1525"/>
      <c r="BD544" s="1525"/>
      <c r="BE544" s="1525"/>
      <c r="BF544" s="1525"/>
      <c r="BG544" s="1525"/>
      <c r="BH544" s="1525"/>
      <c r="BI544" s="1525"/>
      <c r="BJ544" s="1525"/>
      <c r="BK544" s="1525"/>
      <c r="BL544" s="1525"/>
      <c r="BM544" s="1525"/>
      <c r="BN544" s="1525"/>
      <c r="BO544" s="1525"/>
      <c r="BP544" s="1525"/>
      <c r="BQ544" s="1525"/>
      <c r="BR544" s="1525"/>
      <c r="BS544" s="1525"/>
      <c r="BT544" s="1670"/>
      <c r="BV544"/>
      <c r="BW544" s="856"/>
    </row>
    <row r="545" spans="2:75" ht="12.75" customHeight="1" x14ac:dyDescent="0.2">
      <c r="B545" s="175">
        <f t="shared" si="296"/>
        <v>1</v>
      </c>
      <c r="C545" s="219">
        <v>11</v>
      </c>
      <c r="E545" s="12" t="s">
        <v>288</v>
      </c>
      <c r="F545" s="1" t="s">
        <v>824</v>
      </c>
      <c r="G545" s="856" t="s">
        <v>1495</v>
      </c>
      <c r="H545" s="858">
        <v>6406</v>
      </c>
      <c r="I545" s="172" t="s">
        <v>161</v>
      </c>
      <c r="J545" s="168"/>
      <c r="K545" s="168"/>
      <c r="L545" s="858">
        <v>1</v>
      </c>
      <c r="M545" s="858">
        <f>K545+L545</f>
        <v>1</v>
      </c>
      <c r="N545" s="855" t="s">
        <v>1326</v>
      </c>
      <c r="O545" s="1196">
        <v>20182</v>
      </c>
      <c r="P545" s="1218">
        <f t="shared" ref="P545:P553" ca="1" si="322">YEARFRAC(TODAY(),O545)</f>
        <v>62.49722222222222</v>
      </c>
      <c r="Q545" s="1148">
        <v>43900</v>
      </c>
      <c r="R545" s="874">
        <f>Q545*0.1</f>
        <v>4390</v>
      </c>
      <c r="S545" s="875"/>
      <c r="T545" s="875">
        <v>21200</v>
      </c>
      <c r="U545" s="875"/>
      <c r="V545" s="875"/>
      <c r="W545" s="875"/>
      <c r="X545" s="1026">
        <f t="shared" ref="X545:X553" si="323">(Q545+R545+S545+T545+U545+V545+W545)*M545</f>
        <v>69490</v>
      </c>
      <c r="Y545" s="1512">
        <f t="shared" ref="Y545:Y553" si="324">(T545+U545)*M545/(X545-M545*(T545+U545))</f>
        <v>0.439014288672603</v>
      </c>
      <c r="Z545" s="1741">
        <f t="shared" ref="Z545:Z553" si="325">M545*(1+Y545)</f>
        <v>1.4390142886726029</v>
      </c>
      <c r="AA545" s="1749">
        <f t="shared" ref="AA545:AA553" si="326">SUM(AD545:AS545)</f>
        <v>0</v>
      </c>
      <c r="AB545" s="1810">
        <f t="shared" ref="AB545:AB548" si="327">100*AA545/Z545</f>
        <v>0</v>
      </c>
      <c r="AC545" s="876"/>
      <c r="AD545" s="1525">
        <f t="shared" ref="AD545:AS547" si="328">SUMIF($AV$6:$BS$6,AD$5,$AV545:$BS545)</f>
        <v>0</v>
      </c>
      <c r="AE545" s="1525">
        <f t="shared" si="328"/>
        <v>0</v>
      </c>
      <c r="AF545" s="1525">
        <f t="shared" si="328"/>
        <v>0</v>
      </c>
      <c r="AG545" s="1525">
        <f t="shared" si="328"/>
        <v>0</v>
      </c>
      <c r="AH545" s="1525">
        <f t="shared" si="328"/>
        <v>0</v>
      </c>
      <c r="AI545" s="1525">
        <f t="shared" si="328"/>
        <v>0</v>
      </c>
      <c r="AJ545" s="1525">
        <f t="shared" si="328"/>
        <v>0</v>
      </c>
      <c r="AK545" s="1525">
        <f t="shared" si="328"/>
        <v>0</v>
      </c>
      <c r="AL545" s="1525">
        <f t="shared" si="328"/>
        <v>0</v>
      </c>
      <c r="AM545" s="1525">
        <f t="shared" si="328"/>
        <v>0</v>
      </c>
      <c r="AN545" s="1525">
        <f t="shared" si="328"/>
        <v>0</v>
      </c>
      <c r="AO545" s="1525">
        <f t="shared" si="328"/>
        <v>0</v>
      </c>
      <c r="AP545" s="1525">
        <f t="shared" si="328"/>
        <v>0</v>
      </c>
      <c r="AQ545" s="1525">
        <f t="shared" si="328"/>
        <v>0</v>
      </c>
      <c r="AR545" s="1525">
        <f t="shared" si="328"/>
        <v>0</v>
      </c>
      <c r="AS545" s="1525">
        <f t="shared" si="328"/>
        <v>0</v>
      </c>
      <c r="AU545" s="1525"/>
      <c r="AV545" s="1291"/>
      <c r="AW545" s="1292"/>
      <c r="AX545" s="1292"/>
      <c r="AY545" s="1292"/>
      <c r="AZ545" s="1292"/>
      <c r="BA545" s="1292"/>
      <c r="BB545" s="1292"/>
      <c r="BC545" s="1292"/>
      <c r="BD545" s="1292"/>
      <c r="BE545" s="1292"/>
      <c r="BF545" s="1292"/>
      <c r="BG545" s="1292"/>
      <c r="BH545" s="1292"/>
      <c r="BI545" s="1292"/>
      <c r="BJ545" s="1292"/>
      <c r="BK545" s="1292"/>
      <c r="BL545" s="1292"/>
      <c r="BM545" s="1292"/>
      <c r="BN545" s="1292"/>
      <c r="BO545" s="1292"/>
      <c r="BP545" s="1292"/>
      <c r="BQ545" s="1292"/>
      <c r="BR545" s="1292"/>
      <c r="BS545" s="1292"/>
      <c r="BT545" s="1670">
        <f t="shared" ref="BT545:BT553" si="329">SUM(AV545:BS545)</f>
        <v>0</v>
      </c>
      <c r="BW545" s="856" t="s">
        <v>1495</v>
      </c>
    </row>
    <row r="546" spans="2:75" ht="12.75" customHeight="1" x14ac:dyDescent="0.2">
      <c r="B546" s="175">
        <f t="shared" si="296"/>
        <v>2</v>
      </c>
      <c r="C546" s="219">
        <v>14</v>
      </c>
      <c r="E546" s="12" t="s">
        <v>288</v>
      </c>
      <c r="F546" s="4" t="s">
        <v>626</v>
      </c>
      <c r="G546" s="859" t="s">
        <v>1496</v>
      </c>
      <c r="H546" s="858">
        <v>2264</v>
      </c>
      <c r="I546" s="197" t="s">
        <v>1584</v>
      </c>
      <c r="J546" s="174"/>
      <c r="K546" s="174"/>
      <c r="L546" s="861">
        <v>1</v>
      </c>
      <c r="M546" s="858">
        <f>K546+L546</f>
        <v>1</v>
      </c>
      <c r="N546" s="857" t="s">
        <v>1326</v>
      </c>
      <c r="O546" s="1196">
        <v>19982</v>
      </c>
      <c r="P546" s="1218">
        <f t="shared" ca="1" si="322"/>
        <v>63.047222222222224</v>
      </c>
      <c r="Q546" s="1148">
        <v>27800</v>
      </c>
      <c r="R546" s="874">
        <f>Q546*0.1</f>
        <v>2780</v>
      </c>
      <c r="S546" s="875"/>
      <c r="T546" s="875">
        <v>2000</v>
      </c>
      <c r="U546" s="875"/>
      <c r="V546" s="875"/>
      <c r="W546" s="875"/>
      <c r="X546" s="1026">
        <f t="shared" si="323"/>
        <v>32580</v>
      </c>
      <c r="Y546" s="1512">
        <f t="shared" si="324"/>
        <v>6.540222367560497E-2</v>
      </c>
      <c r="Z546" s="1741">
        <f t="shared" si="325"/>
        <v>1.0654022236756049</v>
      </c>
      <c r="AA546" s="1749">
        <f t="shared" si="326"/>
        <v>0</v>
      </c>
      <c r="AB546" s="1810">
        <f t="shared" si="327"/>
        <v>0</v>
      </c>
      <c r="AC546" s="876"/>
      <c r="AD546" s="1525">
        <f t="shared" si="328"/>
        <v>0</v>
      </c>
      <c r="AE546" s="1525">
        <f t="shared" si="328"/>
        <v>0</v>
      </c>
      <c r="AF546" s="1525">
        <f t="shared" si="328"/>
        <v>0</v>
      </c>
      <c r="AG546" s="1525">
        <f t="shared" si="328"/>
        <v>0</v>
      </c>
      <c r="AH546" s="1525">
        <f t="shared" si="328"/>
        <v>0</v>
      </c>
      <c r="AI546" s="1525">
        <f t="shared" si="328"/>
        <v>0</v>
      </c>
      <c r="AJ546" s="1525">
        <f t="shared" si="328"/>
        <v>0</v>
      </c>
      <c r="AK546" s="1525">
        <f t="shared" si="328"/>
        <v>0</v>
      </c>
      <c r="AL546" s="1525">
        <f t="shared" si="328"/>
        <v>0</v>
      </c>
      <c r="AM546" s="1525">
        <f t="shared" si="328"/>
        <v>0</v>
      </c>
      <c r="AN546" s="1525">
        <f t="shared" si="328"/>
        <v>0</v>
      </c>
      <c r="AO546" s="1525">
        <f t="shared" si="328"/>
        <v>0</v>
      </c>
      <c r="AP546" s="1525">
        <f t="shared" si="328"/>
        <v>0</v>
      </c>
      <c r="AQ546" s="1525">
        <f t="shared" si="328"/>
        <v>0</v>
      </c>
      <c r="AR546" s="1525">
        <f t="shared" si="328"/>
        <v>0</v>
      </c>
      <c r="AS546" s="1525">
        <f t="shared" si="328"/>
        <v>0</v>
      </c>
      <c r="AU546" s="1525"/>
      <c r="AV546" s="1291"/>
      <c r="AW546" s="1292"/>
      <c r="AX546" s="1292"/>
      <c r="AY546" s="1292"/>
      <c r="AZ546" s="1292"/>
      <c r="BA546" s="1292"/>
      <c r="BB546" s="1292"/>
      <c r="BC546" s="1292"/>
      <c r="BD546" s="1292"/>
      <c r="BE546" s="1292"/>
      <c r="BF546" s="1292"/>
      <c r="BG546" s="1292"/>
      <c r="BH546" s="1292"/>
      <c r="BI546" s="1292"/>
      <c r="BJ546" s="1292"/>
      <c r="BK546" s="1292"/>
      <c r="BL546" s="1292"/>
      <c r="BM546" s="1292"/>
      <c r="BN546" s="1292"/>
      <c r="BO546" s="1292"/>
      <c r="BP546" s="1292"/>
      <c r="BQ546" s="1292"/>
      <c r="BR546" s="1292"/>
      <c r="BS546" s="1292"/>
      <c r="BT546" s="1670">
        <f t="shared" si="329"/>
        <v>0</v>
      </c>
      <c r="BW546" s="859" t="s">
        <v>1496</v>
      </c>
    </row>
    <row r="547" spans="2:75" ht="12.75" customHeight="1" x14ac:dyDescent="0.2">
      <c r="B547" s="175">
        <f t="shared" ref="B547:B553" si="330">B546+1</f>
        <v>3</v>
      </c>
      <c r="C547" s="219">
        <v>14</v>
      </c>
      <c r="E547" s="12" t="s">
        <v>288</v>
      </c>
      <c r="F547" s="4" t="s">
        <v>626</v>
      </c>
      <c r="G547" s="859" t="s">
        <v>1764</v>
      </c>
      <c r="H547" s="858">
        <v>160110</v>
      </c>
      <c r="I547" s="197" t="s">
        <v>1584</v>
      </c>
      <c r="J547" s="174"/>
      <c r="K547" s="174"/>
      <c r="L547" s="861">
        <v>1</v>
      </c>
      <c r="M547" s="858">
        <v>1</v>
      </c>
      <c r="N547" s="857" t="s">
        <v>892</v>
      </c>
      <c r="O547" s="1196">
        <v>33214</v>
      </c>
      <c r="P547" s="1218">
        <f t="shared" ca="1" si="322"/>
        <v>26.819444444444443</v>
      </c>
      <c r="Q547" s="1148">
        <v>26800</v>
      </c>
      <c r="R547" s="874"/>
      <c r="S547" s="875"/>
      <c r="T547" s="875"/>
      <c r="U547" s="875"/>
      <c r="V547" s="875"/>
      <c r="W547" s="875"/>
      <c r="X547" s="1026">
        <f t="shared" si="323"/>
        <v>26800</v>
      </c>
      <c r="Y547" s="1512">
        <f t="shared" si="324"/>
        <v>0</v>
      </c>
      <c r="Z547" s="1741">
        <f t="shared" si="325"/>
        <v>1</v>
      </c>
      <c r="AA547" s="1749">
        <f t="shared" si="326"/>
        <v>0</v>
      </c>
      <c r="AB547" s="1810">
        <f t="shared" si="327"/>
        <v>0</v>
      </c>
      <c r="AC547" s="876"/>
      <c r="AD547" s="1525">
        <f t="shared" si="328"/>
        <v>0</v>
      </c>
      <c r="AE547" s="1525">
        <f t="shared" si="328"/>
        <v>0</v>
      </c>
      <c r="AF547" s="1525">
        <f t="shared" si="328"/>
        <v>0</v>
      </c>
      <c r="AG547" s="1525">
        <f t="shared" si="328"/>
        <v>0</v>
      </c>
      <c r="AH547" s="1525">
        <f t="shared" si="328"/>
        <v>0</v>
      </c>
      <c r="AI547" s="1525">
        <f t="shared" si="328"/>
        <v>0</v>
      </c>
      <c r="AJ547" s="1525">
        <f t="shared" si="328"/>
        <v>0</v>
      </c>
      <c r="AK547" s="1525">
        <f t="shared" si="328"/>
        <v>0</v>
      </c>
      <c r="AL547" s="1525">
        <f t="shared" si="328"/>
        <v>0</v>
      </c>
      <c r="AM547" s="1525">
        <f t="shared" si="328"/>
        <v>0</v>
      </c>
      <c r="AN547" s="1525">
        <f t="shared" si="328"/>
        <v>0</v>
      </c>
      <c r="AO547" s="1525">
        <f t="shared" si="328"/>
        <v>0</v>
      </c>
      <c r="AP547" s="1525">
        <f t="shared" si="328"/>
        <v>0</v>
      </c>
      <c r="AQ547" s="1525">
        <f t="shared" si="328"/>
        <v>0</v>
      </c>
      <c r="AR547" s="1525">
        <f t="shared" si="328"/>
        <v>0</v>
      </c>
      <c r="AS547" s="1525">
        <f t="shared" si="328"/>
        <v>0</v>
      </c>
      <c r="AU547" s="1525"/>
      <c r="AV547" s="1291"/>
      <c r="AW547" s="1292"/>
      <c r="AX547" s="1292"/>
      <c r="AY547" s="1292"/>
      <c r="AZ547" s="1292"/>
      <c r="BA547" s="1292"/>
      <c r="BB547" s="1292"/>
      <c r="BC547" s="1292"/>
      <c r="BD547" s="1292"/>
      <c r="BE547" s="1292"/>
      <c r="BF547" s="1292"/>
      <c r="BG547" s="1292"/>
      <c r="BH547" s="1292"/>
      <c r="BI547" s="1292"/>
      <c r="BJ547" s="1292"/>
      <c r="BK547" s="1292"/>
      <c r="BL547" s="1292"/>
      <c r="BM547" s="1292"/>
      <c r="BN547" s="1292"/>
      <c r="BO547" s="1292"/>
      <c r="BP547" s="1292"/>
      <c r="BQ547" s="1292"/>
      <c r="BR547" s="1292"/>
      <c r="BS547" s="1292"/>
      <c r="BT547" s="1670">
        <f t="shared" si="329"/>
        <v>0</v>
      </c>
      <c r="BW547" s="859" t="s">
        <v>1764</v>
      </c>
    </row>
    <row r="548" spans="2:75" ht="12.75" customHeight="1" x14ac:dyDescent="0.2">
      <c r="B548" s="175">
        <f t="shared" si="330"/>
        <v>4</v>
      </c>
      <c r="C548" s="219">
        <v>14</v>
      </c>
      <c r="D548" s="170"/>
      <c r="E548" s="12" t="s">
        <v>288</v>
      </c>
      <c r="F548" s="4" t="s">
        <v>626</v>
      </c>
      <c r="G548" s="859" t="s">
        <v>2031</v>
      </c>
      <c r="H548" s="858">
        <v>170719</v>
      </c>
      <c r="I548" s="197" t="s">
        <v>1584</v>
      </c>
      <c r="J548" s="174"/>
      <c r="K548" s="174"/>
      <c r="L548" s="861">
        <v>1</v>
      </c>
      <c r="M548" s="858">
        <v>1</v>
      </c>
      <c r="N548" s="857" t="s">
        <v>892</v>
      </c>
      <c r="O548" s="1196">
        <v>32200</v>
      </c>
      <c r="P548" s="1218">
        <f t="shared" ca="1" si="322"/>
        <v>29.597222222222221</v>
      </c>
      <c r="Q548" s="1148">
        <v>27000</v>
      </c>
      <c r="R548" s="874"/>
      <c r="S548" s="875"/>
      <c r="T548" s="875"/>
      <c r="U548" s="875"/>
      <c r="V548" s="875"/>
      <c r="W548" s="875"/>
      <c r="X548" s="1026">
        <f t="shared" si="323"/>
        <v>27000</v>
      </c>
      <c r="Y548" s="1512">
        <f t="shared" si="324"/>
        <v>0</v>
      </c>
      <c r="Z548" s="1741">
        <f t="shared" si="325"/>
        <v>1</v>
      </c>
      <c r="AA548" s="1749">
        <f t="shared" si="326"/>
        <v>0</v>
      </c>
      <c r="AB548" s="1810">
        <f t="shared" si="327"/>
        <v>0</v>
      </c>
      <c r="AC548" s="224"/>
      <c r="AD548" s="1525"/>
      <c r="AE548" s="1525"/>
      <c r="AF548" s="1525"/>
      <c r="AG548" s="1525"/>
      <c r="AH548" s="1525"/>
      <c r="AI548" s="1525"/>
      <c r="AJ548" s="1525"/>
      <c r="AK548" s="1525"/>
      <c r="AL548" s="1525"/>
      <c r="AM548" s="1525"/>
      <c r="AN548" s="1525"/>
      <c r="AO548" s="1525"/>
      <c r="AP548" s="1846"/>
      <c r="AQ548" s="1292"/>
      <c r="AR548" s="1847"/>
      <c r="AS548" s="1292"/>
      <c r="AU548" s="224"/>
      <c r="AV548" s="1292"/>
      <c r="AX548" s="1292"/>
      <c r="BT548" s="1671"/>
      <c r="BV548" s="224"/>
      <c r="BW548" s="224"/>
    </row>
    <row r="549" spans="2:75" ht="12.75" customHeight="1" x14ac:dyDescent="0.2">
      <c r="B549" s="175">
        <f t="shared" si="330"/>
        <v>5</v>
      </c>
      <c r="C549" s="219">
        <v>15</v>
      </c>
      <c r="E549" s="12" t="s">
        <v>288</v>
      </c>
      <c r="F549" s="4" t="s">
        <v>631</v>
      </c>
      <c r="G549" s="859" t="s">
        <v>12</v>
      </c>
      <c r="H549" s="858">
        <v>104683</v>
      </c>
      <c r="I549" s="197" t="s">
        <v>1584</v>
      </c>
      <c r="J549" s="174"/>
      <c r="K549" s="174"/>
      <c r="L549" s="861">
        <v>1</v>
      </c>
      <c r="M549" s="858">
        <v>1</v>
      </c>
      <c r="N549" s="857" t="s">
        <v>1326</v>
      </c>
      <c r="O549" s="1196">
        <v>26064</v>
      </c>
      <c r="P549" s="1218">
        <f t="shared" ca="1" si="322"/>
        <v>46.391666666666666</v>
      </c>
      <c r="Q549" s="1148">
        <v>26800</v>
      </c>
      <c r="R549" s="874">
        <f>Q549*0.1</f>
        <v>2680</v>
      </c>
      <c r="S549" s="875"/>
      <c r="T549" s="875"/>
      <c r="U549" s="875"/>
      <c r="V549" s="875"/>
      <c r="W549" s="875"/>
      <c r="X549" s="1026">
        <f t="shared" si="323"/>
        <v>29480</v>
      </c>
      <c r="Y549" s="1512">
        <f t="shared" si="324"/>
        <v>0</v>
      </c>
      <c r="Z549" s="1741">
        <f t="shared" si="325"/>
        <v>1</v>
      </c>
      <c r="AA549" s="1749">
        <f t="shared" si="326"/>
        <v>0</v>
      </c>
      <c r="AB549" s="1810">
        <f t="shared" ref="AB549:AB553" si="331">100*AA549/Z549</f>
        <v>0</v>
      </c>
      <c r="AC549" s="876"/>
      <c r="AD549" s="1525">
        <f t="shared" ref="AD549:AS553" si="332">SUMIF($AV$6:$BS$6,AD$5,$AV549:$BS549)</f>
        <v>0</v>
      </c>
      <c r="AE549" s="1525">
        <f t="shared" si="332"/>
        <v>0</v>
      </c>
      <c r="AF549" s="1525">
        <f t="shared" si="332"/>
        <v>0</v>
      </c>
      <c r="AG549" s="1525">
        <f t="shared" si="332"/>
        <v>0</v>
      </c>
      <c r="AH549" s="1525">
        <f t="shared" si="332"/>
        <v>0</v>
      </c>
      <c r="AI549" s="1525">
        <f t="shared" si="332"/>
        <v>0</v>
      </c>
      <c r="AJ549" s="1525">
        <f t="shared" si="332"/>
        <v>0</v>
      </c>
      <c r="AK549" s="1525">
        <f t="shared" si="332"/>
        <v>0</v>
      </c>
      <c r="AL549" s="1525">
        <f t="shared" si="332"/>
        <v>0</v>
      </c>
      <c r="AM549" s="1525">
        <f t="shared" si="332"/>
        <v>0</v>
      </c>
      <c r="AN549" s="1525">
        <f t="shared" si="332"/>
        <v>0</v>
      </c>
      <c r="AO549" s="1525">
        <f t="shared" si="332"/>
        <v>0</v>
      </c>
      <c r="AP549" s="1525">
        <f t="shared" si="332"/>
        <v>0</v>
      </c>
      <c r="AQ549" s="1525">
        <f t="shared" si="332"/>
        <v>0</v>
      </c>
      <c r="AR549" s="1525">
        <f t="shared" si="332"/>
        <v>0</v>
      </c>
      <c r="AS549" s="1525">
        <f t="shared" si="332"/>
        <v>0</v>
      </c>
      <c r="AU549" s="1525"/>
      <c r="AV549" s="1291"/>
      <c r="AW549" s="1292"/>
      <c r="AX549" s="1292"/>
      <c r="AY549" s="1292"/>
      <c r="AZ549" s="1292"/>
      <c r="BA549" s="1292"/>
      <c r="BB549" s="1292"/>
      <c r="BC549" s="1292"/>
      <c r="BD549" s="1292"/>
      <c r="BE549" s="1292"/>
      <c r="BF549" s="1292"/>
      <c r="BG549" s="1292"/>
      <c r="BH549" s="1292"/>
      <c r="BI549" s="1292"/>
      <c r="BJ549" s="1292"/>
      <c r="BK549" s="1292"/>
      <c r="BL549" s="1292"/>
      <c r="BM549" s="1292"/>
      <c r="BN549" s="1292"/>
      <c r="BO549" s="1292"/>
      <c r="BP549" s="1292"/>
      <c r="BQ549" s="1292"/>
      <c r="BR549" s="1292"/>
      <c r="BS549" s="1292"/>
      <c r="BT549" s="1670">
        <f t="shared" si="329"/>
        <v>0</v>
      </c>
      <c r="BW549" s="859" t="s">
        <v>12</v>
      </c>
    </row>
    <row r="550" spans="2:75" ht="12.75" customHeight="1" x14ac:dyDescent="0.2">
      <c r="B550" s="175">
        <f t="shared" si="330"/>
        <v>6</v>
      </c>
      <c r="C550" s="219">
        <v>16</v>
      </c>
      <c r="E550" s="12" t="s">
        <v>288</v>
      </c>
      <c r="F550" s="4" t="s">
        <v>466</v>
      </c>
      <c r="G550" s="859" t="s">
        <v>1708</v>
      </c>
      <c r="H550" s="858">
        <v>146293</v>
      </c>
      <c r="I550" s="197" t="s">
        <v>1584</v>
      </c>
      <c r="J550" s="174"/>
      <c r="K550" s="174"/>
      <c r="L550" s="861">
        <v>1</v>
      </c>
      <c r="M550" s="858">
        <v>1</v>
      </c>
      <c r="N550" s="857" t="s">
        <v>892</v>
      </c>
      <c r="O550" s="1196">
        <v>33126</v>
      </c>
      <c r="P550" s="1218">
        <f t="shared" ca="1" si="322"/>
        <v>27.06111111111111</v>
      </c>
      <c r="Q550" s="1148">
        <v>21800</v>
      </c>
      <c r="R550" s="874"/>
      <c r="S550" s="875"/>
      <c r="T550" s="875"/>
      <c r="U550" s="875"/>
      <c r="V550" s="875"/>
      <c r="W550" s="875"/>
      <c r="X550" s="1026">
        <f t="shared" si="323"/>
        <v>21800</v>
      </c>
      <c r="Y550" s="1512">
        <f t="shared" si="324"/>
        <v>0</v>
      </c>
      <c r="Z550" s="1741">
        <f t="shared" si="325"/>
        <v>1</v>
      </c>
      <c r="AA550" s="1749">
        <f t="shared" si="326"/>
        <v>0</v>
      </c>
      <c r="AB550" s="1810">
        <f t="shared" si="331"/>
        <v>0</v>
      </c>
      <c r="AC550" s="876"/>
      <c r="AD550" s="1525">
        <f t="shared" si="332"/>
        <v>0</v>
      </c>
      <c r="AE550" s="1525">
        <f t="shared" si="332"/>
        <v>0</v>
      </c>
      <c r="AF550" s="1525">
        <f t="shared" si="332"/>
        <v>0</v>
      </c>
      <c r="AG550" s="1525">
        <f t="shared" si="332"/>
        <v>0</v>
      </c>
      <c r="AH550" s="1525">
        <f t="shared" si="332"/>
        <v>0</v>
      </c>
      <c r="AI550" s="1525">
        <f t="shared" si="332"/>
        <v>0</v>
      </c>
      <c r="AJ550" s="1525">
        <f t="shared" si="332"/>
        <v>0</v>
      </c>
      <c r="AK550" s="1525">
        <f t="shared" si="332"/>
        <v>0</v>
      </c>
      <c r="AL550" s="1525">
        <f t="shared" si="332"/>
        <v>0</v>
      </c>
      <c r="AM550" s="1525">
        <f t="shared" si="332"/>
        <v>0</v>
      </c>
      <c r="AN550" s="1525">
        <f t="shared" si="332"/>
        <v>0</v>
      </c>
      <c r="AO550" s="1525">
        <f t="shared" si="332"/>
        <v>0</v>
      </c>
      <c r="AP550" s="1525">
        <f t="shared" si="332"/>
        <v>0</v>
      </c>
      <c r="AQ550" s="1525">
        <f t="shared" si="332"/>
        <v>0</v>
      </c>
      <c r="AR550" s="1525">
        <f t="shared" si="332"/>
        <v>0</v>
      </c>
      <c r="AS550" s="1525">
        <f t="shared" si="332"/>
        <v>0</v>
      </c>
      <c r="AU550" s="1525"/>
      <c r="AV550" s="1291"/>
      <c r="AW550" s="1292"/>
      <c r="AX550" s="1292"/>
      <c r="AY550" s="1292"/>
      <c r="AZ550" s="1292"/>
      <c r="BA550" s="1292"/>
      <c r="BB550" s="1292"/>
      <c r="BC550" s="1292"/>
      <c r="BD550" s="1292"/>
      <c r="BE550" s="1292"/>
      <c r="BF550" s="1292"/>
      <c r="BG550" s="1292"/>
      <c r="BH550" s="1292"/>
      <c r="BI550" s="1292"/>
      <c r="BJ550" s="1292"/>
      <c r="BK550" s="1292"/>
      <c r="BL550" s="1292"/>
      <c r="BM550" s="1292"/>
      <c r="BN550" s="1292"/>
      <c r="BO550" s="1292"/>
      <c r="BP550" s="1292"/>
      <c r="BQ550" s="1292"/>
      <c r="BR550" s="1292"/>
      <c r="BS550" s="1292"/>
      <c r="BT550" s="1670">
        <f t="shared" si="329"/>
        <v>0</v>
      </c>
      <c r="BW550" s="859" t="s">
        <v>1708</v>
      </c>
    </row>
    <row r="551" spans="2:75" ht="12.75" customHeight="1" x14ac:dyDescent="0.2">
      <c r="B551" s="175">
        <f t="shared" si="330"/>
        <v>7</v>
      </c>
      <c r="C551" s="219">
        <v>18</v>
      </c>
      <c r="E551" s="12" t="s">
        <v>288</v>
      </c>
      <c r="F551" s="4" t="s">
        <v>316</v>
      </c>
      <c r="G551" s="859" t="s">
        <v>1</v>
      </c>
      <c r="H551" s="858">
        <v>21185</v>
      </c>
      <c r="I551" s="197" t="s">
        <v>998</v>
      </c>
      <c r="J551" s="174"/>
      <c r="K551" s="174"/>
      <c r="L551" s="861">
        <v>1</v>
      </c>
      <c r="M551" s="858">
        <f>K551+L551</f>
        <v>1</v>
      </c>
      <c r="N551" s="857" t="s">
        <v>1326</v>
      </c>
      <c r="O551" s="1196">
        <v>22569</v>
      </c>
      <c r="P551" s="1218">
        <f t="shared" ca="1" si="322"/>
        <v>55.963888888888889</v>
      </c>
      <c r="Q551" s="1148">
        <v>29500</v>
      </c>
      <c r="R551" s="874">
        <f>Q551*0.1</f>
        <v>2950</v>
      </c>
      <c r="S551" s="875"/>
      <c r="T551" s="875"/>
      <c r="U551" s="875"/>
      <c r="V551" s="875"/>
      <c r="W551" s="875"/>
      <c r="X551" s="1026">
        <f t="shared" si="323"/>
        <v>32450</v>
      </c>
      <c r="Y551" s="1512">
        <f t="shared" si="324"/>
        <v>0</v>
      </c>
      <c r="Z551" s="1741">
        <f t="shared" si="325"/>
        <v>1</v>
      </c>
      <c r="AA551" s="1749">
        <f t="shared" si="326"/>
        <v>0</v>
      </c>
      <c r="AB551" s="1810">
        <f t="shared" si="331"/>
        <v>0</v>
      </c>
      <c r="AC551" s="876"/>
      <c r="AD551" s="1525">
        <f t="shared" si="332"/>
        <v>0</v>
      </c>
      <c r="AE551" s="1525">
        <f t="shared" si="332"/>
        <v>0</v>
      </c>
      <c r="AF551" s="1525">
        <f t="shared" si="332"/>
        <v>0</v>
      </c>
      <c r="AG551" s="1525">
        <f t="shared" si="332"/>
        <v>0</v>
      </c>
      <c r="AH551" s="1525">
        <f t="shared" si="332"/>
        <v>0</v>
      </c>
      <c r="AI551" s="1525">
        <f t="shared" si="332"/>
        <v>0</v>
      </c>
      <c r="AJ551" s="1525">
        <f t="shared" si="332"/>
        <v>0</v>
      </c>
      <c r="AK551" s="1525">
        <f t="shared" si="332"/>
        <v>0</v>
      </c>
      <c r="AL551" s="1525">
        <f t="shared" si="332"/>
        <v>0</v>
      </c>
      <c r="AM551" s="1525">
        <f t="shared" si="332"/>
        <v>0</v>
      </c>
      <c r="AN551" s="1525">
        <f t="shared" si="332"/>
        <v>0</v>
      </c>
      <c r="AO551" s="1525">
        <f t="shared" si="332"/>
        <v>0</v>
      </c>
      <c r="AP551" s="1525">
        <f t="shared" si="332"/>
        <v>0</v>
      </c>
      <c r="AQ551" s="1525">
        <f t="shared" si="332"/>
        <v>0</v>
      </c>
      <c r="AR551" s="1525">
        <f t="shared" si="332"/>
        <v>0</v>
      </c>
      <c r="AS551" s="1525">
        <f t="shared" si="332"/>
        <v>0</v>
      </c>
      <c r="AU551" s="1525"/>
      <c r="AV551" s="1291"/>
      <c r="AW551" s="1292"/>
      <c r="AX551" s="1292"/>
      <c r="AY551" s="1292"/>
      <c r="AZ551" s="1292"/>
      <c r="BA551" s="1292"/>
      <c r="BB551" s="1292"/>
      <c r="BC551" s="1292"/>
      <c r="BD551" s="1292"/>
      <c r="BE551" s="1292"/>
      <c r="BF551" s="1292"/>
      <c r="BG551" s="1292"/>
      <c r="BH551" s="1292"/>
      <c r="BI551" s="1292"/>
      <c r="BJ551" s="1292"/>
      <c r="BK551" s="1292"/>
      <c r="BL551" s="1292"/>
      <c r="BM551" s="1292"/>
      <c r="BN551" s="1292"/>
      <c r="BO551" s="1292"/>
      <c r="BP551" s="1292"/>
      <c r="BQ551" s="1292"/>
      <c r="BR551" s="1292"/>
      <c r="BS551" s="1292"/>
      <c r="BT551" s="1670">
        <f t="shared" si="329"/>
        <v>0</v>
      </c>
      <c r="BW551" s="859" t="s">
        <v>1</v>
      </c>
    </row>
    <row r="552" spans="2:75" ht="12.75" customHeight="1" x14ac:dyDescent="0.2">
      <c r="B552" s="175">
        <f t="shared" si="330"/>
        <v>8</v>
      </c>
      <c r="C552" s="219">
        <v>18</v>
      </c>
      <c r="E552" s="12" t="s">
        <v>288</v>
      </c>
      <c r="F552" s="4" t="s">
        <v>799</v>
      </c>
      <c r="G552" s="859" t="s">
        <v>2</v>
      </c>
      <c r="H552" s="858">
        <v>6412</v>
      </c>
      <c r="I552" s="197" t="s">
        <v>998</v>
      </c>
      <c r="J552" s="174"/>
      <c r="K552" s="174"/>
      <c r="L552" s="861">
        <v>1</v>
      </c>
      <c r="M552" s="858">
        <f>K552+L552</f>
        <v>1</v>
      </c>
      <c r="N552" s="857" t="s">
        <v>1326</v>
      </c>
      <c r="O552" s="1196">
        <v>18679</v>
      </c>
      <c r="P552" s="1218">
        <f t="shared" ca="1" si="322"/>
        <v>66.61666666666666</v>
      </c>
      <c r="Q552" s="1148">
        <v>31000</v>
      </c>
      <c r="R552" s="874">
        <f>Q552*0.1</f>
        <v>3100</v>
      </c>
      <c r="S552" s="875"/>
      <c r="T552" s="875"/>
      <c r="U552" s="875"/>
      <c r="V552" s="875"/>
      <c r="W552" s="1036"/>
      <c r="X552" s="1026">
        <f t="shared" si="323"/>
        <v>34100</v>
      </c>
      <c r="Y552" s="1512">
        <f t="shared" si="324"/>
        <v>0</v>
      </c>
      <c r="Z552" s="1741">
        <f t="shared" si="325"/>
        <v>1</v>
      </c>
      <c r="AA552" s="1749">
        <f t="shared" si="326"/>
        <v>0</v>
      </c>
      <c r="AB552" s="1810">
        <f t="shared" si="331"/>
        <v>0</v>
      </c>
      <c r="AC552" s="876"/>
      <c r="AD552" s="1525">
        <f t="shared" si="332"/>
        <v>0</v>
      </c>
      <c r="AE552" s="1525">
        <f t="shared" si="332"/>
        <v>0</v>
      </c>
      <c r="AF552" s="1525">
        <f t="shared" si="332"/>
        <v>0</v>
      </c>
      <c r="AG552" s="1525">
        <f t="shared" si="332"/>
        <v>0</v>
      </c>
      <c r="AH552" s="1525">
        <f t="shared" si="332"/>
        <v>0</v>
      </c>
      <c r="AI552" s="1525">
        <f t="shared" si="332"/>
        <v>0</v>
      </c>
      <c r="AJ552" s="1525">
        <f t="shared" si="332"/>
        <v>0</v>
      </c>
      <c r="AK552" s="1525">
        <f t="shared" si="332"/>
        <v>0</v>
      </c>
      <c r="AL552" s="1525">
        <f t="shared" si="332"/>
        <v>0</v>
      </c>
      <c r="AM552" s="1525">
        <f t="shared" si="332"/>
        <v>0</v>
      </c>
      <c r="AN552" s="1525">
        <f t="shared" si="332"/>
        <v>0</v>
      </c>
      <c r="AO552" s="1525">
        <f t="shared" si="332"/>
        <v>0</v>
      </c>
      <c r="AP552" s="1525">
        <f t="shared" si="332"/>
        <v>0</v>
      </c>
      <c r="AQ552" s="1525">
        <f t="shared" si="332"/>
        <v>0</v>
      </c>
      <c r="AR552" s="1525">
        <f t="shared" si="332"/>
        <v>0</v>
      </c>
      <c r="AS552" s="1525">
        <f t="shared" si="332"/>
        <v>0</v>
      </c>
      <c r="AU552" s="1525"/>
      <c r="AV552" s="1291"/>
      <c r="AW552" s="1292"/>
      <c r="AX552" s="1292"/>
      <c r="AY552" s="1292"/>
      <c r="AZ552" s="1292"/>
      <c r="BA552" s="1292"/>
      <c r="BB552" s="1292"/>
      <c r="BC552" s="1292"/>
      <c r="BD552" s="1292"/>
      <c r="BE552" s="1292"/>
      <c r="BF552" s="1292"/>
      <c r="BG552" s="1292"/>
      <c r="BH552" s="1292"/>
      <c r="BI552" s="1292"/>
      <c r="BJ552" s="1292"/>
      <c r="BK552" s="1292"/>
      <c r="BL552" s="1292"/>
      <c r="BM552" s="1292"/>
      <c r="BN552" s="1292"/>
      <c r="BO552" s="1292"/>
      <c r="BP552" s="1292"/>
      <c r="BQ552" s="1292"/>
      <c r="BR552" s="1292"/>
      <c r="BS552" s="1292"/>
      <c r="BT552" s="1670">
        <f t="shared" si="329"/>
        <v>0</v>
      </c>
      <c r="BW552" s="859" t="s">
        <v>2</v>
      </c>
    </row>
    <row r="553" spans="2:75" ht="12.75" customHeight="1" x14ac:dyDescent="0.2">
      <c r="B553" s="175">
        <f t="shared" si="330"/>
        <v>9</v>
      </c>
      <c r="C553" s="219">
        <v>18</v>
      </c>
      <c r="E553" s="12" t="s">
        <v>288</v>
      </c>
      <c r="F553" s="4" t="s">
        <v>519</v>
      </c>
      <c r="G553" s="922" t="s">
        <v>1848</v>
      </c>
      <c r="H553" s="861">
        <v>6351</v>
      </c>
      <c r="I553" s="197" t="s">
        <v>998</v>
      </c>
      <c r="J553" s="174"/>
      <c r="K553" s="174"/>
      <c r="L553" s="861">
        <v>0.5</v>
      </c>
      <c r="M553" s="861">
        <f>K553+L553</f>
        <v>0.5</v>
      </c>
      <c r="N553" s="836" t="s">
        <v>892</v>
      </c>
      <c r="O553" s="1196">
        <v>14062</v>
      </c>
      <c r="P553" s="1218">
        <f t="shared" ca="1" si="322"/>
        <v>79.25277777777778</v>
      </c>
      <c r="Q553" s="1148">
        <v>16500</v>
      </c>
      <c r="R553" s="874"/>
      <c r="S553" s="876"/>
      <c r="T553" s="876"/>
      <c r="U553" s="876"/>
      <c r="V553" s="876"/>
      <c r="W553" s="876"/>
      <c r="X553" s="1026">
        <f t="shared" si="323"/>
        <v>8250</v>
      </c>
      <c r="Y553" s="1512">
        <f t="shared" si="324"/>
        <v>0</v>
      </c>
      <c r="Z553" s="1741">
        <f t="shared" si="325"/>
        <v>0.5</v>
      </c>
      <c r="AA553" s="1749">
        <f t="shared" si="326"/>
        <v>0</v>
      </c>
      <c r="AB553" s="1810">
        <f t="shared" si="331"/>
        <v>0</v>
      </c>
      <c r="AC553" s="876"/>
      <c r="AD553" s="1525">
        <f t="shared" si="332"/>
        <v>0</v>
      </c>
      <c r="AE553" s="1525">
        <f t="shared" si="332"/>
        <v>0</v>
      </c>
      <c r="AF553" s="1525">
        <f t="shared" si="332"/>
        <v>0</v>
      </c>
      <c r="AG553" s="1525">
        <f t="shared" si="332"/>
        <v>0</v>
      </c>
      <c r="AH553" s="1525">
        <f t="shared" si="332"/>
        <v>0</v>
      </c>
      <c r="AI553" s="1525">
        <f t="shared" si="332"/>
        <v>0</v>
      </c>
      <c r="AJ553" s="1525">
        <f t="shared" si="332"/>
        <v>0</v>
      </c>
      <c r="AK553" s="1525">
        <f t="shared" si="332"/>
        <v>0</v>
      </c>
      <c r="AL553" s="1525">
        <f t="shared" si="332"/>
        <v>0</v>
      </c>
      <c r="AM553" s="1525">
        <f t="shared" si="332"/>
        <v>0</v>
      </c>
      <c r="AN553" s="1525">
        <f t="shared" si="332"/>
        <v>0</v>
      </c>
      <c r="AO553" s="1525">
        <f t="shared" si="332"/>
        <v>0</v>
      </c>
      <c r="AP553" s="1525">
        <f t="shared" si="332"/>
        <v>0</v>
      </c>
      <c r="AQ553" s="1525">
        <f t="shared" si="332"/>
        <v>0</v>
      </c>
      <c r="AR553" s="1525">
        <f t="shared" si="332"/>
        <v>0</v>
      </c>
      <c r="AS553" s="1525">
        <f t="shared" si="332"/>
        <v>0</v>
      </c>
      <c r="AU553" s="1525"/>
      <c r="AV553" s="1291"/>
      <c r="AW553" s="1292"/>
      <c r="AX553" s="1292"/>
      <c r="AY553" s="1292"/>
      <c r="AZ553" s="1292"/>
      <c r="BA553" s="1292"/>
      <c r="BB553" s="1292"/>
      <c r="BC553" s="1292"/>
      <c r="BD553" s="1292"/>
      <c r="BE553" s="1292"/>
      <c r="BF553" s="1292"/>
      <c r="BG553" s="1292"/>
      <c r="BH553" s="1292"/>
      <c r="BI553" s="1292"/>
      <c r="BJ553" s="1292"/>
      <c r="BK553" s="1292"/>
      <c r="BL553" s="1292"/>
      <c r="BM553" s="1292"/>
      <c r="BN553" s="1292"/>
      <c r="BO553" s="1292"/>
      <c r="BP553" s="1292"/>
      <c r="BQ553" s="1292"/>
      <c r="BR553" s="1292"/>
      <c r="BS553" s="1292"/>
      <c r="BT553" s="1670">
        <f t="shared" si="329"/>
        <v>0</v>
      </c>
      <c r="BW553" s="922" t="s">
        <v>1848</v>
      </c>
    </row>
    <row r="554" spans="2:75" s="164" customFormat="1" ht="12.75" customHeight="1" x14ac:dyDescent="0.2">
      <c r="B554" s="175"/>
      <c r="C554" s="219" t="s">
        <v>1120</v>
      </c>
      <c r="F554" s="24" t="s">
        <v>1188</v>
      </c>
      <c r="G554" s="936"/>
      <c r="H554" s="1361" t="s">
        <v>1508</v>
      </c>
      <c r="I554" s="200"/>
      <c r="J554" s="189"/>
      <c r="K554" s="448">
        <f>SUM(K545:K553)</f>
        <v>0</v>
      </c>
      <c r="L554" s="902">
        <f>SUM(L545:L553)</f>
        <v>8.5</v>
      </c>
      <c r="M554" s="902">
        <f>SUM(M545:M553)</f>
        <v>8.5</v>
      </c>
      <c r="N554" s="857"/>
      <c r="O554" s="1192"/>
      <c r="P554" s="550"/>
      <c r="Q554" s="1153"/>
      <c r="R554" s="877"/>
      <c r="S554" s="875"/>
      <c r="T554" s="875"/>
      <c r="U554" s="875"/>
      <c r="V554" s="875"/>
      <c r="W554" s="875"/>
      <c r="X554" s="1026"/>
      <c r="Y554" s="1335"/>
      <c r="Z554" s="1335"/>
      <c r="AA554" s="1775"/>
      <c r="AB554" s="1814"/>
      <c r="AC554" s="876"/>
      <c r="AD554" s="1295"/>
      <c r="AE554" s="1525"/>
      <c r="AF554" s="1525"/>
      <c r="AG554" s="1525"/>
      <c r="AH554" s="1525"/>
      <c r="AI554" s="1525"/>
      <c r="AJ554" s="1525"/>
      <c r="AK554" s="1525"/>
      <c r="AL554" s="1525"/>
      <c r="AM554" s="1525"/>
      <c r="AN554" s="1525"/>
      <c r="AO554" s="1525"/>
      <c r="AP554" s="1525"/>
      <c r="AQ554" s="1525"/>
      <c r="AR554" s="1525"/>
      <c r="AS554" s="1525"/>
      <c r="AU554" s="1525"/>
      <c r="AV554" s="1295"/>
      <c r="AW554" s="1525"/>
      <c r="AX554" s="1525"/>
      <c r="AY554" s="1525"/>
      <c r="AZ554" s="1525"/>
      <c r="BA554" s="1525"/>
      <c r="BB554" s="1525"/>
      <c r="BC554" s="1525"/>
      <c r="BD554" s="1525"/>
      <c r="BE554" s="1525"/>
      <c r="BF554" s="1525"/>
      <c r="BG554" s="1525"/>
      <c r="BH554" s="1525"/>
      <c r="BI554" s="1525"/>
      <c r="BJ554" s="1525"/>
      <c r="BK554" s="1525"/>
      <c r="BL554" s="1525"/>
      <c r="BM554" s="1525"/>
      <c r="BN554" s="1525"/>
      <c r="BO554" s="1525"/>
      <c r="BP554" s="1525"/>
      <c r="BQ554" s="1525"/>
      <c r="BR554" s="1525"/>
      <c r="BS554" s="1525"/>
      <c r="BT554" s="1670"/>
      <c r="BV554"/>
      <c r="BW554" s="936"/>
    </row>
    <row r="555" spans="2:75" s="164" customFormat="1" ht="12.75" customHeight="1" x14ac:dyDescent="0.2">
      <c r="B555" s="175"/>
      <c r="F555" s="24"/>
      <c r="G555" s="859"/>
      <c r="H555" s="1346" t="s">
        <v>1508</v>
      </c>
      <c r="I555" s="200"/>
      <c r="J555" s="189"/>
      <c r="K555" s="189"/>
      <c r="L555" s="858"/>
      <c r="M555" s="858"/>
      <c r="N555" s="857"/>
      <c r="O555" s="1192"/>
      <c r="P555" s="550"/>
      <c r="Q555" s="1148"/>
      <c r="R555" s="874"/>
      <c r="S555" s="875"/>
      <c r="T555" s="875"/>
      <c r="U555" s="875"/>
      <c r="V555" s="875"/>
      <c r="W555" s="875"/>
      <c r="X555" s="1026"/>
      <c r="Y555" s="1754"/>
      <c r="Z555" s="1755"/>
      <c r="AA555" s="1775"/>
      <c r="AB555" s="1814"/>
      <c r="AC555" s="876"/>
      <c r="AD555" s="1295"/>
      <c r="AE555" s="1525"/>
      <c r="AF555" s="1525"/>
      <c r="AG555" s="1525"/>
      <c r="AH555" s="1525"/>
      <c r="AI555" s="1525"/>
      <c r="AJ555" s="1525"/>
      <c r="AK555" s="1525"/>
      <c r="AL555" s="1525"/>
      <c r="AM555" s="1525"/>
      <c r="AN555" s="1525"/>
      <c r="AO555" s="1525"/>
      <c r="AP555" s="1525"/>
      <c r="AQ555" s="1525"/>
      <c r="AR555" s="1525"/>
      <c r="AS555" s="1525"/>
      <c r="AU555" s="1525"/>
      <c r="AV555" s="1295"/>
      <c r="AW555" s="1525"/>
      <c r="AX555" s="1525"/>
      <c r="AY555" s="1525"/>
      <c r="AZ555" s="1525"/>
      <c r="BA555" s="1525"/>
      <c r="BB555" s="1525"/>
      <c r="BC555" s="1525"/>
      <c r="BD555" s="1525"/>
      <c r="BE555" s="1525"/>
      <c r="BF555" s="1525"/>
      <c r="BG555" s="1525"/>
      <c r="BH555" s="1525"/>
      <c r="BI555" s="1525"/>
      <c r="BJ555" s="1525"/>
      <c r="BK555" s="1525"/>
      <c r="BL555" s="1525"/>
      <c r="BM555" s="1525"/>
      <c r="BN555" s="1525"/>
      <c r="BO555" s="1525"/>
      <c r="BP555" s="1525"/>
      <c r="BQ555" s="1525"/>
      <c r="BR555" s="1525"/>
      <c r="BS555" s="1525"/>
      <c r="BT555" s="1670"/>
      <c r="BV555"/>
      <c r="BW555" s="859"/>
    </row>
    <row r="556" spans="2:75" s="164" customFormat="1" ht="12.75" customHeight="1" x14ac:dyDescent="0.2">
      <c r="B556" s="175"/>
      <c r="F556" s="24" t="s">
        <v>173</v>
      </c>
      <c r="G556" s="859"/>
      <c r="H556" s="1346" t="s">
        <v>1508</v>
      </c>
      <c r="I556" s="200"/>
      <c r="J556" s="189"/>
      <c r="K556" s="189"/>
      <c r="L556" s="858"/>
      <c r="M556" s="858"/>
      <c r="N556" s="857"/>
      <c r="O556" s="1192"/>
      <c r="P556" s="550"/>
      <c r="Q556" s="1148"/>
      <c r="R556" s="874"/>
      <c r="S556" s="875"/>
      <c r="T556" s="875"/>
      <c r="U556" s="875"/>
      <c r="V556" s="875"/>
      <c r="W556" s="875"/>
      <c r="X556" s="1026"/>
      <c r="Y556" s="1754"/>
      <c r="Z556" s="1755"/>
      <c r="AA556" s="1775"/>
      <c r="AB556" s="1814"/>
      <c r="AC556" s="876"/>
      <c r="AD556" s="1295"/>
      <c r="AE556" s="1525"/>
      <c r="AF556" s="1525"/>
      <c r="AG556" s="1525"/>
      <c r="AH556" s="1525"/>
      <c r="AI556" s="1525"/>
      <c r="AJ556" s="1525"/>
      <c r="AK556" s="1525"/>
      <c r="AL556" s="1525"/>
      <c r="AM556" s="1525"/>
      <c r="AN556" s="1525"/>
      <c r="AO556" s="1525"/>
      <c r="AP556" s="1525"/>
      <c r="AQ556" s="1525"/>
      <c r="AR556" s="1525"/>
      <c r="AS556" s="1525"/>
      <c r="AU556" s="1525"/>
      <c r="AV556" s="1295"/>
      <c r="AW556" s="1525"/>
      <c r="AX556" s="1525"/>
      <c r="AY556" s="1525"/>
      <c r="AZ556" s="1525"/>
      <c r="BA556" s="1525"/>
      <c r="BB556" s="1525"/>
      <c r="BC556" s="1525"/>
      <c r="BD556" s="1525"/>
      <c r="BE556" s="1525"/>
      <c r="BF556" s="1525"/>
      <c r="BG556" s="1525"/>
      <c r="BH556" s="1525"/>
      <c r="BI556" s="1525"/>
      <c r="BJ556" s="1525"/>
      <c r="BK556" s="1525"/>
      <c r="BL556" s="1525"/>
      <c r="BM556" s="1525"/>
      <c r="BN556" s="1525"/>
      <c r="BO556" s="1525"/>
      <c r="BP556" s="1525"/>
      <c r="BQ556" s="1525"/>
      <c r="BR556" s="1525"/>
      <c r="BS556" s="1525"/>
      <c r="BT556" s="1670"/>
      <c r="BV556"/>
      <c r="BW556" s="859"/>
    </row>
    <row r="557" spans="2:75" s="164" customFormat="1" ht="12.75" customHeight="1" x14ac:dyDescent="0.2">
      <c r="B557" s="175"/>
      <c r="F557" s="24" t="s">
        <v>174</v>
      </c>
      <c r="G557" s="859"/>
      <c r="H557" s="1346" t="s">
        <v>1508</v>
      </c>
      <c r="I557" s="200"/>
      <c r="J557" s="189"/>
      <c r="K557" s="189"/>
      <c r="L557" s="858"/>
      <c r="M557" s="858"/>
      <c r="N557" s="857"/>
      <c r="O557" s="1192"/>
      <c r="P557" s="550"/>
      <c r="Q557" s="1148"/>
      <c r="R557" s="874"/>
      <c r="S557" s="875"/>
      <c r="T557" s="875"/>
      <c r="U557" s="875"/>
      <c r="V557" s="875"/>
      <c r="W557" s="875"/>
      <c r="X557" s="1026"/>
      <c r="Y557" s="1754"/>
      <c r="Z557" s="1755"/>
      <c r="AA557" s="1775"/>
      <c r="AB557" s="1814"/>
      <c r="AC557" s="876"/>
      <c r="AD557" s="1295"/>
      <c r="AE557" s="1525"/>
      <c r="AF557" s="1525"/>
      <c r="AG557" s="1525"/>
      <c r="AH557" s="1525"/>
      <c r="AI557" s="1525"/>
      <c r="AJ557" s="1525"/>
      <c r="AK557" s="1525"/>
      <c r="AL557" s="1525"/>
      <c r="AM557" s="1525"/>
      <c r="AN557" s="1525"/>
      <c r="AO557" s="1525"/>
      <c r="AP557" s="1525"/>
      <c r="AQ557" s="1525"/>
      <c r="AR557" s="1525"/>
      <c r="AS557" s="1525"/>
      <c r="AU557" s="1525"/>
      <c r="AV557" s="1295"/>
      <c r="AW557" s="1525"/>
      <c r="AX557" s="1525"/>
      <c r="AY557" s="1525"/>
      <c r="AZ557" s="1525"/>
      <c r="BA557" s="1525"/>
      <c r="BB557" s="1525"/>
      <c r="BC557" s="1525"/>
      <c r="BD557" s="1525"/>
      <c r="BE557" s="1525"/>
      <c r="BF557" s="1525"/>
      <c r="BG557" s="1525"/>
      <c r="BH557" s="1525"/>
      <c r="BI557" s="1525"/>
      <c r="BJ557" s="1525"/>
      <c r="BK557" s="1525"/>
      <c r="BL557" s="1525"/>
      <c r="BM557" s="1525"/>
      <c r="BN557" s="1525"/>
      <c r="BO557" s="1525"/>
      <c r="BP557" s="1525"/>
      <c r="BQ557" s="1525"/>
      <c r="BR557" s="1525"/>
      <c r="BS557" s="1525"/>
      <c r="BT557" s="1670"/>
      <c r="BV557"/>
      <c r="BW557" s="859"/>
    </row>
    <row r="558" spans="2:75" s="164" customFormat="1" ht="12.75" customHeight="1" x14ac:dyDescent="0.2">
      <c r="B558" s="175"/>
      <c r="F558" s="24"/>
      <c r="G558" s="859"/>
      <c r="H558" s="1346" t="s">
        <v>1508</v>
      </c>
      <c r="I558" s="200"/>
      <c r="J558" s="174"/>
      <c r="K558" s="189"/>
      <c r="L558" s="858"/>
      <c r="M558" s="858"/>
      <c r="N558" s="857"/>
      <c r="O558" s="1192"/>
      <c r="P558" s="550"/>
      <c r="Q558" s="1148"/>
      <c r="R558" s="874"/>
      <c r="S558" s="875"/>
      <c r="T558" s="875"/>
      <c r="U558" s="875"/>
      <c r="V558" s="875"/>
      <c r="W558" s="875"/>
      <c r="X558" s="1026"/>
      <c r="Y558" s="1754"/>
      <c r="Z558" s="1755"/>
      <c r="AA558" s="1775"/>
      <c r="AB558" s="1814"/>
      <c r="AC558" s="876"/>
      <c r="AD558" s="1295"/>
      <c r="AE558" s="1525"/>
      <c r="AF558" s="1525"/>
      <c r="AG558" s="1525"/>
      <c r="AH558" s="1525"/>
      <c r="AI558" s="1525"/>
      <c r="AJ558" s="1525"/>
      <c r="AK558" s="1525"/>
      <c r="AL558" s="1525"/>
      <c r="AM558" s="1525"/>
      <c r="AN558" s="1525"/>
      <c r="AO558" s="1525"/>
      <c r="AP558" s="1525"/>
      <c r="AQ558" s="1525"/>
      <c r="AR558" s="1525"/>
      <c r="AS558" s="1525"/>
      <c r="AU558" s="1525"/>
      <c r="AV558" s="1295"/>
      <c r="AW558" s="1525"/>
      <c r="AX558" s="1525"/>
      <c r="AY558" s="1525"/>
      <c r="AZ558" s="1525"/>
      <c r="BA558" s="1525"/>
      <c r="BB558" s="1525"/>
      <c r="BC558" s="1525"/>
      <c r="BD558" s="1525"/>
      <c r="BE558" s="1525"/>
      <c r="BF558" s="1525"/>
      <c r="BG558" s="1525"/>
      <c r="BH558" s="1525"/>
      <c r="BI558" s="1525"/>
      <c r="BJ558" s="1525"/>
      <c r="BK558" s="1525"/>
      <c r="BL558" s="1525"/>
      <c r="BM558" s="1525"/>
      <c r="BN558" s="1525"/>
      <c r="BO558" s="1525"/>
      <c r="BP558" s="1525"/>
      <c r="BQ558" s="1525"/>
      <c r="BR558" s="1525"/>
      <c r="BS558" s="1525"/>
      <c r="BT558" s="1670"/>
      <c r="BV558"/>
      <c r="BW558" s="859"/>
    </row>
    <row r="559" spans="2:75" ht="12.75" customHeight="1" x14ac:dyDescent="0.2">
      <c r="B559" s="175">
        <f>B558+1</f>
        <v>1</v>
      </c>
      <c r="C559" s="219">
        <v>11</v>
      </c>
      <c r="E559" s="12" t="s">
        <v>288</v>
      </c>
      <c r="F559" s="24" t="s">
        <v>824</v>
      </c>
      <c r="G559" s="859" t="s">
        <v>175</v>
      </c>
      <c r="H559" s="858">
        <v>6602</v>
      </c>
      <c r="I559" s="200" t="s">
        <v>161</v>
      </c>
      <c r="J559" s="168"/>
      <c r="K559" s="189"/>
      <c r="L559" s="858">
        <v>1</v>
      </c>
      <c r="M559" s="858">
        <f>K559+L559</f>
        <v>1</v>
      </c>
      <c r="N559" s="857" t="s">
        <v>1326</v>
      </c>
      <c r="O559" s="1196">
        <v>17998</v>
      </c>
      <c r="P559" s="1218">
        <f t="shared" ref="P559:P566" ca="1" si="333">YEARFRAC(TODAY(),O559)</f>
        <v>68.477777777777774</v>
      </c>
      <c r="Q559" s="1148">
        <v>41000</v>
      </c>
      <c r="R559" s="874">
        <f>Q559*0.1</f>
        <v>4100</v>
      </c>
      <c r="S559" s="875"/>
      <c r="T559" s="875"/>
      <c r="U559" s="875"/>
      <c r="V559" s="875"/>
      <c r="W559" s="875"/>
      <c r="X559" s="1026">
        <f t="shared" ref="X559:X566" si="334">(Q559+R559+S559+T559+U559+V559+W559)*M559</f>
        <v>45100</v>
      </c>
      <c r="Y559" s="1512">
        <f t="shared" ref="Y559:Y565" si="335">(T559+U559)*M559/(X559-M559*(T559+U559))</f>
        <v>0</v>
      </c>
      <c r="Z559" s="1741">
        <f t="shared" ref="Z559:Z566" si="336">M559*(1+Y559)</f>
        <v>1</v>
      </c>
      <c r="AA559" s="1749">
        <f t="shared" ref="AA559:AA566" si="337">SUM(AD559:AS559)</f>
        <v>0</v>
      </c>
      <c r="AB559" s="1810">
        <f t="shared" ref="AB559:AB566" si="338">100*AA559/Z559</f>
        <v>0</v>
      </c>
      <c r="AC559" s="876"/>
      <c r="AD559" s="1525">
        <f t="shared" ref="AD559:AS566" si="339">SUMIF($AV$6:$BS$6,AD$5,$AV559:$BS559)</f>
        <v>0</v>
      </c>
      <c r="AE559" s="1525">
        <f t="shared" si="339"/>
        <v>0</v>
      </c>
      <c r="AF559" s="1525">
        <f t="shared" si="339"/>
        <v>0</v>
      </c>
      <c r="AG559" s="1525">
        <f t="shared" si="339"/>
        <v>0</v>
      </c>
      <c r="AH559" s="1525">
        <f t="shared" si="339"/>
        <v>0</v>
      </c>
      <c r="AI559" s="1525">
        <f t="shared" si="339"/>
        <v>0</v>
      </c>
      <c r="AJ559" s="1525">
        <f t="shared" si="339"/>
        <v>0</v>
      </c>
      <c r="AK559" s="1525">
        <f t="shared" si="339"/>
        <v>0</v>
      </c>
      <c r="AL559" s="1525">
        <f t="shared" si="339"/>
        <v>0</v>
      </c>
      <c r="AM559" s="1525">
        <f t="shared" si="339"/>
        <v>0</v>
      </c>
      <c r="AN559" s="1525">
        <f t="shared" si="339"/>
        <v>0</v>
      </c>
      <c r="AO559" s="1525">
        <f t="shared" si="339"/>
        <v>0</v>
      </c>
      <c r="AP559" s="1525">
        <f t="shared" si="339"/>
        <v>0</v>
      </c>
      <c r="AQ559" s="1525">
        <f t="shared" si="339"/>
        <v>0</v>
      </c>
      <c r="AR559" s="1525">
        <f t="shared" si="339"/>
        <v>0</v>
      </c>
      <c r="AS559" s="1525">
        <f t="shared" si="339"/>
        <v>0</v>
      </c>
      <c r="AU559" s="1525"/>
      <c r="AV559" s="1291"/>
      <c r="AW559" s="1292"/>
      <c r="AX559" s="1292"/>
      <c r="AY559" s="1292"/>
      <c r="AZ559" s="1292"/>
      <c r="BA559" s="1292"/>
      <c r="BB559" s="1292"/>
      <c r="BC559" s="1292"/>
      <c r="BD559" s="1292"/>
      <c r="BE559" s="1292"/>
      <c r="BF559" s="1292"/>
      <c r="BG559" s="1292"/>
      <c r="BH559" s="1292"/>
      <c r="BI559" s="1292"/>
      <c r="BJ559" s="1292"/>
      <c r="BK559" s="1292"/>
      <c r="BL559" s="1292"/>
      <c r="BM559" s="1292"/>
      <c r="BN559" s="1292"/>
      <c r="BO559" s="1292"/>
      <c r="BP559" s="1292"/>
      <c r="BQ559" s="1292"/>
      <c r="BR559" s="1292"/>
      <c r="BS559" s="1292"/>
      <c r="BT559" s="1670">
        <f t="shared" ref="BT559:BT566" si="340">SUM(AV559:BS559)</f>
        <v>0</v>
      </c>
      <c r="BW559" s="859" t="s">
        <v>175</v>
      </c>
    </row>
    <row r="560" spans="2:75" ht="12.75" customHeight="1" x14ac:dyDescent="0.2">
      <c r="B560" s="175">
        <f>B559+1</f>
        <v>2</v>
      </c>
      <c r="C560" s="219">
        <v>9</v>
      </c>
      <c r="E560" s="12" t="s">
        <v>288</v>
      </c>
      <c r="F560" s="24" t="s">
        <v>1396</v>
      </c>
      <c r="G560" s="859" t="s">
        <v>692</v>
      </c>
      <c r="H560" s="858">
        <v>260143</v>
      </c>
      <c r="I560" s="200" t="s">
        <v>351</v>
      </c>
      <c r="J560" s="173"/>
      <c r="K560" s="189"/>
      <c r="L560" s="858">
        <v>1</v>
      </c>
      <c r="M560" s="858">
        <v>1</v>
      </c>
      <c r="N560" s="857" t="s">
        <v>892</v>
      </c>
      <c r="O560" s="1196">
        <v>28582</v>
      </c>
      <c r="P560" s="1218">
        <f t="shared" ca="1" si="333"/>
        <v>39.5</v>
      </c>
      <c r="Q560" s="1148">
        <v>29900</v>
      </c>
      <c r="R560" s="874"/>
      <c r="S560" s="875">
        <v>3000</v>
      </c>
      <c r="T560" s="875"/>
      <c r="U560" s="875"/>
      <c r="V560" s="875"/>
      <c r="W560" s="875"/>
      <c r="X560" s="1026">
        <f t="shared" si="334"/>
        <v>32900</v>
      </c>
      <c r="Y560" s="1512">
        <f t="shared" si="335"/>
        <v>0</v>
      </c>
      <c r="Z560" s="1741">
        <f t="shared" si="336"/>
        <v>1</v>
      </c>
      <c r="AA560" s="1749">
        <f t="shared" si="337"/>
        <v>0</v>
      </c>
      <c r="AB560" s="1810">
        <f t="shared" si="338"/>
        <v>0</v>
      </c>
      <c r="AC560" s="876"/>
      <c r="AD560" s="1525">
        <f t="shared" si="339"/>
        <v>0</v>
      </c>
      <c r="AE560" s="1525">
        <f t="shared" si="339"/>
        <v>0</v>
      </c>
      <c r="AF560" s="1525">
        <f t="shared" si="339"/>
        <v>0</v>
      </c>
      <c r="AG560" s="1525">
        <f t="shared" si="339"/>
        <v>0</v>
      </c>
      <c r="AH560" s="1525">
        <f t="shared" si="339"/>
        <v>0</v>
      </c>
      <c r="AI560" s="1525">
        <f t="shared" si="339"/>
        <v>0</v>
      </c>
      <c r="AJ560" s="1525">
        <f t="shared" si="339"/>
        <v>0</v>
      </c>
      <c r="AK560" s="1525">
        <f t="shared" si="339"/>
        <v>0</v>
      </c>
      <c r="AL560" s="1525">
        <f t="shared" si="339"/>
        <v>0</v>
      </c>
      <c r="AM560" s="1525">
        <f t="shared" si="339"/>
        <v>0</v>
      </c>
      <c r="AN560" s="1525">
        <f t="shared" si="339"/>
        <v>0</v>
      </c>
      <c r="AO560" s="1525">
        <f t="shared" si="339"/>
        <v>0</v>
      </c>
      <c r="AP560" s="1525">
        <f t="shared" si="339"/>
        <v>0</v>
      </c>
      <c r="AQ560" s="1525">
        <f t="shared" si="339"/>
        <v>0</v>
      </c>
      <c r="AR560" s="1525">
        <f t="shared" si="339"/>
        <v>0</v>
      </c>
      <c r="AS560" s="1525">
        <f t="shared" si="339"/>
        <v>0</v>
      </c>
      <c r="AU560" s="1525"/>
      <c r="AV560" s="1291"/>
      <c r="AW560" s="1292"/>
      <c r="AX560" s="1292"/>
      <c r="AY560" s="1292"/>
      <c r="AZ560" s="1292"/>
      <c r="BA560" s="1292"/>
      <c r="BB560" s="1292"/>
      <c r="BC560" s="1292"/>
      <c r="BD560" s="1292"/>
      <c r="BE560" s="1292"/>
      <c r="BF560" s="1292"/>
      <c r="BG560" s="1292"/>
      <c r="BH560" s="1292"/>
      <c r="BI560" s="1292"/>
      <c r="BJ560" s="1292"/>
      <c r="BK560" s="1292"/>
      <c r="BL560" s="1292"/>
      <c r="BM560" s="1292"/>
      <c r="BN560" s="1292"/>
      <c r="BO560" s="1292"/>
      <c r="BP560" s="1292"/>
      <c r="BQ560" s="1292"/>
      <c r="BR560" s="1292"/>
      <c r="BS560" s="1292"/>
      <c r="BT560" s="1670">
        <f t="shared" si="340"/>
        <v>0</v>
      </c>
      <c r="BW560" s="859" t="s">
        <v>692</v>
      </c>
    </row>
    <row r="561" spans="2:75" ht="12.75" customHeight="1" x14ac:dyDescent="0.2">
      <c r="B561" s="175">
        <f t="shared" ref="B561:B629" si="341">B560+1</f>
        <v>3</v>
      </c>
      <c r="C561" s="219">
        <v>12</v>
      </c>
      <c r="E561" s="12" t="s">
        <v>288</v>
      </c>
      <c r="F561" s="24" t="s">
        <v>1235</v>
      </c>
      <c r="G561" s="859" t="s">
        <v>409</v>
      </c>
      <c r="H561" s="858">
        <v>133236</v>
      </c>
      <c r="I561" s="200" t="s">
        <v>1584</v>
      </c>
      <c r="J561" s="168"/>
      <c r="K561" s="189"/>
      <c r="L561" s="858">
        <v>1</v>
      </c>
      <c r="M561" s="858">
        <v>1</v>
      </c>
      <c r="N561" s="857" t="s">
        <v>1326</v>
      </c>
      <c r="O561" s="1196">
        <v>23142</v>
      </c>
      <c r="P561" s="1218">
        <f t="shared" ca="1" si="333"/>
        <v>54.391666666666666</v>
      </c>
      <c r="Q561" s="1148">
        <v>37600</v>
      </c>
      <c r="R561" s="874"/>
      <c r="S561" s="875"/>
      <c r="T561" s="875">
        <v>3500</v>
      </c>
      <c r="U561" s="875"/>
      <c r="V561" s="875"/>
      <c r="W561" s="875"/>
      <c r="X561" s="1026">
        <f t="shared" si="334"/>
        <v>41100</v>
      </c>
      <c r="Y561" s="1512">
        <f t="shared" si="335"/>
        <v>9.3085106382978719E-2</v>
      </c>
      <c r="Z561" s="1741">
        <f t="shared" si="336"/>
        <v>1.0930851063829787</v>
      </c>
      <c r="AA561" s="1749">
        <f t="shared" si="337"/>
        <v>0</v>
      </c>
      <c r="AB561" s="1810">
        <f t="shared" si="338"/>
        <v>0</v>
      </c>
      <c r="AC561" s="876"/>
      <c r="AD561" s="1525">
        <f t="shared" si="339"/>
        <v>0</v>
      </c>
      <c r="AE561" s="1525">
        <f t="shared" si="339"/>
        <v>0</v>
      </c>
      <c r="AF561" s="1525">
        <f t="shared" si="339"/>
        <v>0</v>
      </c>
      <c r="AG561" s="1525">
        <f t="shared" si="339"/>
        <v>0</v>
      </c>
      <c r="AH561" s="1525">
        <f t="shared" si="339"/>
        <v>0</v>
      </c>
      <c r="AI561" s="1525">
        <f t="shared" si="339"/>
        <v>0</v>
      </c>
      <c r="AJ561" s="1525">
        <f t="shared" si="339"/>
        <v>0</v>
      </c>
      <c r="AK561" s="1525">
        <f t="shared" si="339"/>
        <v>0</v>
      </c>
      <c r="AL561" s="1525">
        <f t="shared" si="339"/>
        <v>0</v>
      </c>
      <c r="AM561" s="1525">
        <f t="shared" si="339"/>
        <v>0</v>
      </c>
      <c r="AN561" s="1525">
        <f t="shared" si="339"/>
        <v>0</v>
      </c>
      <c r="AO561" s="1525">
        <f t="shared" si="339"/>
        <v>0</v>
      </c>
      <c r="AP561" s="1525">
        <f t="shared" si="339"/>
        <v>0</v>
      </c>
      <c r="AQ561" s="1525">
        <f t="shared" si="339"/>
        <v>0</v>
      </c>
      <c r="AR561" s="1525">
        <f t="shared" si="339"/>
        <v>0</v>
      </c>
      <c r="AS561" s="1525">
        <f t="shared" si="339"/>
        <v>0</v>
      </c>
      <c r="AU561" s="1525"/>
      <c r="AV561" s="1291"/>
      <c r="AW561" s="1292"/>
      <c r="AX561" s="1292"/>
      <c r="AY561" s="1292"/>
      <c r="AZ561" s="1292"/>
      <c r="BA561" s="1292"/>
      <c r="BB561" s="1292"/>
      <c r="BC561" s="1292"/>
      <c r="BD561" s="1292"/>
      <c r="BE561" s="1292"/>
      <c r="BF561" s="1292"/>
      <c r="BG561" s="1292"/>
      <c r="BH561" s="1292"/>
      <c r="BI561" s="1292"/>
      <c r="BJ561" s="1292"/>
      <c r="BK561" s="1292"/>
      <c r="BL561" s="1292"/>
      <c r="BM561" s="1292"/>
      <c r="BN561" s="1292"/>
      <c r="BO561" s="1292"/>
      <c r="BP561" s="1292"/>
      <c r="BQ561" s="1292"/>
      <c r="BR561" s="1292"/>
      <c r="BS561" s="1292"/>
      <c r="BT561" s="1670">
        <f t="shared" si="340"/>
        <v>0</v>
      </c>
      <c r="BW561" s="859" t="s">
        <v>409</v>
      </c>
    </row>
    <row r="562" spans="2:75" ht="12.75" customHeight="1" x14ac:dyDescent="0.2">
      <c r="B562" s="175">
        <f t="shared" si="341"/>
        <v>4</v>
      </c>
      <c r="C562" s="219">
        <v>14</v>
      </c>
      <c r="E562" s="12" t="s">
        <v>288</v>
      </c>
      <c r="F562" s="24" t="s">
        <v>626</v>
      </c>
      <c r="G562" s="859" t="s">
        <v>1744</v>
      </c>
      <c r="H562" s="858">
        <v>152486</v>
      </c>
      <c r="I562" s="200" t="s">
        <v>1584</v>
      </c>
      <c r="J562" s="168"/>
      <c r="K562" s="189"/>
      <c r="L562" s="858">
        <v>1</v>
      </c>
      <c r="M562" s="858">
        <v>1</v>
      </c>
      <c r="N562" s="857" t="s">
        <v>892</v>
      </c>
      <c r="O562" s="1196">
        <v>22309</v>
      </c>
      <c r="P562" s="1218">
        <f t="shared" ca="1" si="333"/>
        <v>56.677777777777777</v>
      </c>
      <c r="Q562" s="1148">
        <v>22000</v>
      </c>
      <c r="R562" s="874">
        <f>Q562*0.1</f>
        <v>2200</v>
      </c>
      <c r="S562" s="875"/>
      <c r="T562" s="875">
        <v>2200</v>
      </c>
      <c r="U562" s="875"/>
      <c r="V562" s="875"/>
      <c r="W562" s="875"/>
      <c r="X562" s="1026">
        <f t="shared" si="334"/>
        <v>26400</v>
      </c>
      <c r="Y562" s="1512">
        <f t="shared" si="335"/>
        <v>9.0909090909090912E-2</v>
      </c>
      <c r="Z562" s="1741">
        <f t="shared" si="336"/>
        <v>1.0909090909090908</v>
      </c>
      <c r="AA562" s="1749">
        <f t="shared" si="337"/>
        <v>0</v>
      </c>
      <c r="AB562" s="1810">
        <f t="shared" si="338"/>
        <v>0</v>
      </c>
      <c r="AC562" s="876"/>
      <c r="AD562" s="1525">
        <f t="shared" si="339"/>
        <v>0</v>
      </c>
      <c r="AE562" s="1525">
        <f t="shared" si="339"/>
        <v>0</v>
      </c>
      <c r="AF562" s="1525">
        <f t="shared" si="339"/>
        <v>0</v>
      </c>
      <c r="AG562" s="1525">
        <f t="shared" si="339"/>
        <v>0</v>
      </c>
      <c r="AH562" s="1525">
        <f t="shared" si="339"/>
        <v>0</v>
      </c>
      <c r="AI562" s="1525">
        <f t="shared" si="339"/>
        <v>0</v>
      </c>
      <c r="AJ562" s="1525">
        <f t="shared" si="339"/>
        <v>0</v>
      </c>
      <c r="AK562" s="1525">
        <f t="shared" si="339"/>
        <v>0</v>
      </c>
      <c r="AL562" s="1525">
        <f t="shared" si="339"/>
        <v>0</v>
      </c>
      <c r="AM562" s="1525">
        <f t="shared" si="339"/>
        <v>0</v>
      </c>
      <c r="AN562" s="1525">
        <f t="shared" si="339"/>
        <v>0</v>
      </c>
      <c r="AO562" s="1525">
        <f t="shared" si="339"/>
        <v>0</v>
      </c>
      <c r="AP562" s="1525">
        <f t="shared" si="339"/>
        <v>0</v>
      </c>
      <c r="AQ562" s="1525">
        <f t="shared" si="339"/>
        <v>0</v>
      </c>
      <c r="AR562" s="1525">
        <f t="shared" si="339"/>
        <v>0</v>
      </c>
      <c r="AS562" s="1525">
        <f t="shared" si="339"/>
        <v>0</v>
      </c>
      <c r="AU562" s="1525"/>
      <c r="AV562" s="1291"/>
      <c r="AW562" s="1292"/>
      <c r="AX562" s="1292"/>
      <c r="AY562" s="1292"/>
      <c r="AZ562" s="1292"/>
      <c r="BA562" s="1292"/>
      <c r="BB562" s="1292"/>
      <c r="BC562" s="1292"/>
      <c r="BD562" s="1292"/>
      <c r="BE562" s="1292"/>
      <c r="BF562" s="1292"/>
      <c r="BG562" s="1292"/>
      <c r="BH562" s="1292"/>
      <c r="BI562" s="1292"/>
      <c r="BJ562" s="1292"/>
      <c r="BK562" s="1292"/>
      <c r="BL562" s="1292"/>
      <c r="BM562" s="1292"/>
      <c r="BN562" s="1292"/>
      <c r="BO562" s="1292"/>
      <c r="BP562" s="1292"/>
      <c r="BQ562" s="1292"/>
      <c r="BR562" s="1292"/>
      <c r="BS562" s="1292"/>
      <c r="BT562" s="1670">
        <f t="shared" si="340"/>
        <v>0</v>
      </c>
      <c r="BW562" s="859" t="s">
        <v>1744</v>
      </c>
    </row>
    <row r="563" spans="2:75" ht="12.75" customHeight="1" x14ac:dyDescent="0.2">
      <c r="B563" s="175">
        <f t="shared" si="341"/>
        <v>5</v>
      </c>
      <c r="C563" s="219">
        <v>16</v>
      </c>
      <c r="E563" s="12" t="s">
        <v>288</v>
      </c>
      <c r="F563" s="24" t="s">
        <v>466</v>
      </c>
      <c r="G563" s="859" t="s">
        <v>149</v>
      </c>
      <c r="H563" s="858">
        <v>134894</v>
      </c>
      <c r="I563" s="200" t="s">
        <v>1584</v>
      </c>
      <c r="J563" s="189"/>
      <c r="K563" s="189"/>
      <c r="L563" s="858">
        <v>1</v>
      </c>
      <c r="M563" s="858">
        <v>1</v>
      </c>
      <c r="N563" s="857" t="s">
        <v>892</v>
      </c>
      <c r="O563" s="1196">
        <v>34442</v>
      </c>
      <c r="P563" s="1218">
        <f t="shared" ca="1" si="333"/>
        <v>23.455555555555556</v>
      </c>
      <c r="Q563" s="1148">
        <v>22500</v>
      </c>
      <c r="R563" s="874"/>
      <c r="S563" s="875"/>
      <c r="T563" s="875"/>
      <c r="U563" s="875"/>
      <c r="V563" s="875"/>
      <c r="W563" s="875"/>
      <c r="X563" s="1026">
        <f t="shared" si="334"/>
        <v>22500</v>
      </c>
      <c r="Y563" s="1512">
        <f t="shared" si="335"/>
        <v>0</v>
      </c>
      <c r="Z563" s="1741">
        <f t="shared" si="336"/>
        <v>1</v>
      </c>
      <c r="AA563" s="1749">
        <f t="shared" si="337"/>
        <v>0</v>
      </c>
      <c r="AB563" s="1810">
        <f t="shared" si="338"/>
        <v>0</v>
      </c>
      <c r="AC563" s="876"/>
      <c r="AD563" s="1525">
        <f t="shared" si="339"/>
        <v>0</v>
      </c>
      <c r="AE563" s="1525">
        <f t="shared" si="339"/>
        <v>0</v>
      </c>
      <c r="AF563" s="1525">
        <f t="shared" si="339"/>
        <v>0</v>
      </c>
      <c r="AG563" s="1525">
        <f t="shared" si="339"/>
        <v>0</v>
      </c>
      <c r="AH563" s="1525">
        <f t="shared" si="339"/>
        <v>0</v>
      </c>
      <c r="AI563" s="1525">
        <f t="shared" si="339"/>
        <v>0</v>
      </c>
      <c r="AJ563" s="1525">
        <f t="shared" si="339"/>
        <v>0</v>
      </c>
      <c r="AK563" s="1525">
        <f t="shared" si="339"/>
        <v>0</v>
      </c>
      <c r="AL563" s="1525">
        <f t="shared" si="339"/>
        <v>0</v>
      </c>
      <c r="AM563" s="1525">
        <f t="shared" si="339"/>
        <v>0</v>
      </c>
      <c r="AN563" s="1525">
        <f t="shared" si="339"/>
        <v>0</v>
      </c>
      <c r="AO563" s="1525">
        <f t="shared" si="339"/>
        <v>0</v>
      </c>
      <c r="AP563" s="1525">
        <f t="shared" si="339"/>
        <v>0</v>
      </c>
      <c r="AQ563" s="1525">
        <f t="shared" si="339"/>
        <v>0</v>
      </c>
      <c r="AR563" s="1525">
        <f t="shared" si="339"/>
        <v>0</v>
      </c>
      <c r="AS563" s="1525">
        <f t="shared" si="339"/>
        <v>0</v>
      </c>
      <c r="AU563" s="1525"/>
      <c r="AV563" s="1291"/>
      <c r="AW563" s="1292"/>
      <c r="AX563" s="1292"/>
      <c r="AY563" s="1292"/>
      <c r="AZ563" s="1292"/>
      <c r="BA563" s="1292"/>
      <c r="BB563" s="1292"/>
      <c r="BC563" s="1292"/>
      <c r="BD563" s="1292"/>
      <c r="BE563" s="1292"/>
      <c r="BF563" s="1292"/>
      <c r="BG563" s="1292"/>
      <c r="BH563" s="1292"/>
      <c r="BI563" s="1292"/>
      <c r="BJ563" s="1292"/>
      <c r="BK563" s="1292"/>
      <c r="BL563" s="1292"/>
      <c r="BM563" s="1292"/>
      <c r="BN563" s="1292"/>
      <c r="BO563" s="1292"/>
      <c r="BP563" s="1292"/>
      <c r="BQ563" s="1292"/>
      <c r="BR563" s="1292"/>
      <c r="BS563" s="1292"/>
      <c r="BT563" s="1670">
        <f t="shared" si="340"/>
        <v>0</v>
      </c>
      <c r="BW563" s="859" t="s">
        <v>149</v>
      </c>
    </row>
    <row r="564" spans="2:75" ht="12.75" customHeight="1" x14ac:dyDescent="0.2">
      <c r="B564" s="175">
        <f t="shared" si="341"/>
        <v>6</v>
      </c>
      <c r="C564" s="219">
        <v>18</v>
      </c>
      <c r="E564" s="12" t="s">
        <v>288</v>
      </c>
      <c r="F564" s="4" t="s">
        <v>177</v>
      </c>
      <c r="G564" s="859" t="s">
        <v>178</v>
      </c>
      <c r="H564" s="858">
        <v>6660</v>
      </c>
      <c r="I564" s="200" t="s">
        <v>1442</v>
      </c>
      <c r="J564" s="189"/>
      <c r="K564" s="189"/>
      <c r="L564" s="858">
        <v>1</v>
      </c>
      <c r="M564" s="858">
        <f>K564+L564</f>
        <v>1</v>
      </c>
      <c r="N564" s="857" t="s">
        <v>416</v>
      </c>
      <c r="O564" s="1196">
        <v>20607</v>
      </c>
      <c r="P564" s="1218">
        <f t="shared" ca="1" si="333"/>
        <v>61.336111111111109</v>
      </c>
      <c r="Q564" s="1148">
        <v>25600</v>
      </c>
      <c r="R564" s="1035">
        <f>Q564*0.15</f>
        <v>3840</v>
      </c>
      <c r="S564" s="875"/>
      <c r="T564" s="875"/>
      <c r="U564" s="875"/>
      <c r="V564" s="1036"/>
      <c r="W564" s="875"/>
      <c r="X564" s="1026">
        <f t="shared" si="334"/>
        <v>29440</v>
      </c>
      <c r="Y564" s="1512">
        <f t="shared" si="335"/>
        <v>0</v>
      </c>
      <c r="Z564" s="1741">
        <f t="shared" si="336"/>
        <v>1</v>
      </c>
      <c r="AA564" s="1749">
        <f t="shared" si="337"/>
        <v>0</v>
      </c>
      <c r="AB564" s="1810">
        <f t="shared" si="338"/>
        <v>0</v>
      </c>
      <c r="AC564" s="876"/>
      <c r="AD564" s="1525">
        <f t="shared" si="339"/>
        <v>0</v>
      </c>
      <c r="AE564" s="1525">
        <f t="shared" si="339"/>
        <v>0</v>
      </c>
      <c r="AF564" s="1525">
        <f t="shared" si="339"/>
        <v>0</v>
      </c>
      <c r="AG564" s="1525">
        <f t="shared" si="339"/>
        <v>0</v>
      </c>
      <c r="AH564" s="1525">
        <f t="shared" si="339"/>
        <v>0</v>
      </c>
      <c r="AI564" s="1525">
        <f t="shared" si="339"/>
        <v>0</v>
      </c>
      <c r="AJ564" s="1525">
        <f t="shared" si="339"/>
        <v>0</v>
      </c>
      <c r="AK564" s="1525">
        <f t="shared" si="339"/>
        <v>0</v>
      </c>
      <c r="AL564" s="1525">
        <f t="shared" si="339"/>
        <v>0</v>
      </c>
      <c r="AM564" s="1525">
        <f t="shared" si="339"/>
        <v>0</v>
      </c>
      <c r="AN564" s="1525">
        <f t="shared" si="339"/>
        <v>0</v>
      </c>
      <c r="AO564" s="1525">
        <f t="shared" si="339"/>
        <v>0</v>
      </c>
      <c r="AP564" s="1525">
        <f t="shared" si="339"/>
        <v>0</v>
      </c>
      <c r="AQ564" s="1525">
        <f t="shared" si="339"/>
        <v>0</v>
      </c>
      <c r="AR564" s="1525">
        <f t="shared" si="339"/>
        <v>0</v>
      </c>
      <c r="AS564" s="1525">
        <f t="shared" si="339"/>
        <v>0</v>
      </c>
      <c r="AU564" s="1525"/>
      <c r="AV564" s="1291"/>
      <c r="AW564" s="1292"/>
      <c r="AX564" s="1292"/>
      <c r="AY564" s="1292"/>
      <c r="AZ564" s="1292"/>
      <c r="BA564" s="1292"/>
      <c r="BB564" s="1292"/>
      <c r="BC564" s="1292"/>
      <c r="BD564" s="1292"/>
      <c r="BE564" s="1292"/>
      <c r="BF564" s="1292"/>
      <c r="BG564" s="1292"/>
      <c r="BH564" s="1292"/>
      <c r="BI564" s="1292"/>
      <c r="BJ564" s="1292"/>
      <c r="BK564" s="1292"/>
      <c r="BL564" s="1292"/>
      <c r="BM564" s="1292"/>
      <c r="BN564" s="1292"/>
      <c r="BO564" s="1292"/>
      <c r="BP564" s="1292"/>
      <c r="BQ564" s="1292"/>
      <c r="BR564" s="1292"/>
      <c r="BS564" s="1292"/>
      <c r="BT564" s="1670">
        <f t="shared" si="340"/>
        <v>0</v>
      </c>
      <c r="BW564" s="859" t="s">
        <v>178</v>
      </c>
    </row>
    <row r="565" spans="2:75" ht="12.75" customHeight="1" x14ac:dyDescent="0.2">
      <c r="B565" s="175">
        <f t="shared" si="341"/>
        <v>7</v>
      </c>
      <c r="C565" s="219">
        <v>18</v>
      </c>
      <c r="E565" s="12" t="s">
        <v>288</v>
      </c>
      <c r="F565" s="4" t="s">
        <v>512</v>
      </c>
      <c r="G565" s="862" t="s">
        <v>188</v>
      </c>
      <c r="H565" s="861">
        <v>6280</v>
      </c>
      <c r="I565" s="197" t="s">
        <v>998</v>
      </c>
      <c r="J565" s="174"/>
      <c r="K565" s="174"/>
      <c r="L565" s="861">
        <v>1</v>
      </c>
      <c r="M565" s="861">
        <f>K565+L565</f>
        <v>1</v>
      </c>
      <c r="N565" s="836" t="s">
        <v>892</v>
      </c>
      <c r="O565" s="1196">
        <v>21682</v>
      </c>
      <c r="P565" s="1218">
        <f t="shared" ca="1" si="333"/>
        <v>58.388888888888886</v>
      </c>
      <c r="Q565" s="1148">
        <v>35200</v>
      </c>
      <c r="R565" s="874"/>
      <c r="S565" s="875"/>
      <c r="T565" s="875"/>
      <c r="U565" s="875"/>
      <c r="V565" s="1036"/>
      <c r="W565" s="1036"/>
      <c r="X565" s="1026">
        <f t="shared" si="334"/>
        <v>35200</v>
      </c>
      <c r="Y565" s="1512">
        <f t="shared" si="335"/>
        <v>0</v>
      </c>
      <c r="Z565" s="1741">
        <f t="shared" si="336"/>
        <v>1</v>
      </c>
      <c r="AA565" s="1749">
        <f t="shared" si="337"/>
        <v>0</v>
      </c>
      <c r="AB565" s="1810">
        <f t="shared" si="338"/>
        <v>0</v>
      </c>
      <c r="AC565" s="876"/>
      <c r="AD565" s="1525">
        <f t="shared" si="339"/>
        <v>0</v>
      </c>
      <c r="AE565" s="1525">
        <f t="shared" si="339"/>
        <v>0</v>
      </c>
      <c r="AF565" s="1525">
        <f t="shared" si="339"/>
        <v>0</v>
      </c>
      <c r="AG565" s="1525">
        <f t="shared" si="339"/>
        <v>0</v>
      </c>
      <c r="AH565" s="1525">
        <f t="shared" si="339"/>
        <v>0</v>
      </c>
      <c r="AI565" s="1525">
        <f t="shared" si="339"/>
        <v>0</v>
      </c>
      <c r="AJ565" s="1525">
        <f t="shared" si="339"/>
        <v>0</v>
      </c>
      <c r="AK565" s="1525">
        <f t="shared" si="339"/>
        <v>0</v>
      </c>
      <c r="AL565" s="1525">
        <f t="shared" si="339"/>
        <v>0</v>
      </c>
      <c r="AM565" s="1525">
        <f t="shared" si="339"/>
        <v>0</v>
      </c>
      <c r="AN565" s="1525">
        <f t="shared" si="339"/>
        <v>0</v>
      </c>
      <c r="AO565" s="1525">
        <f t="shared" si="339"/>
        <v>0</v>
      </c>
      <c r="AP565" s="1525">
        <f t="shared" si="339"/>
        <v>0</v>
      </c>
      <c r="AQ565" s="1525">
        <f t="shared" si="339"/>
        <v>0</v>
      </c>
      <c r="AR565" s="1525">
        <f t="shared" si="339"/>
        <v>0</v>
      </c>
      <c r="AS565" s="1525">
        <f t="shared" si="339"/>
        <v>0</v>
      </c>
      <c r="AU565" s="1525"/>
      <c r="AV565" s="1291"/>
      <c r="AW565" s="1292"/>
      <c r="AX565" s="1292"/>
      <c r="AY565" s="1292"/>
      <c r="AZ565" s="1292"/>
      <c r="BA565" s="1292"/>
      <c r="BB565" s="1292"/>
      <c r="BC565" s="1292"/>
      <c r="BD565" s="1292"/>
      <c r="BE565" s="1292"/>
      <c r="BF565" s="1292"/>
      <c r="BG565" s="1292"/>
      <c r="BH565" s="1292"/>
      <c r="BI565" s="1292"/>
      <c r="BJ565" s="1292"/>
      <c r="BK565" s="1292"/>
      <c r="BL565" s="1292"/>
      <c r="BM565" s="1292"/>
      <c r="BN565" s="1292"/>
      <c r="BO565" s="1292"/>
      <c r="BP565" s="1292"/>
      <c r="BQ565" s="1292"/>
      <c r="BR565" s="1292"/>
      <c r="BS565" s="1292"/>
      <c r="BT565" s="1670">
        <f t="shared" si="340"/>
        <v>0</v>
      </c>
      <c r="BW565" s="862" t="s">
        <v>188</v>
      </c>
    </row>
    <row r="566" spans="2:75" ht="12.75" customHeight="1" x14ac:dyDescent="0.2">
      <c r="B566" s="175">
        <f t="shared" si="341"/>
        <v>8</v>
      </c>
      <c r="C566" s="219">
        <v>18</v>
      </c>
      <c r="E566" s="12" t="s">
        <v>288</v>
      </c>
      <c r="F566" s="1109" t="s">
        <v>217</v>
      </c>
      <c r="G566" s="1108" t="s">
        <v>218</v>
      </c>
      <c r="H566" s="1112">
        <v>6630</v>
      </c>
      <c r="I566" s="1110" t="s">
        <v>1442</v>
      </c>
      <c r="J566" s="177"/>
      <c r="K566" s="1111"/>
      <c r="L566" s="1112">
        <v>1</v>
      </c>
      <c r="M566" s="1112">
        <f>K566+L566</f>
        <v>1</v>
      </c>
      <c r="N566" s="1113" t="s">
        <v>892</v>
      </c>
      <c r="O566" s="1196">
        <v>14276</v>
      </c>
      <c r="P566" s="1218">
        <f t="shared" ca="1" si="333"/>
        <v>78.672222222222217</v>
      </c>
      <c r="Q566" s="1148">
        <v>27800</v>
      </c>
      <c r="R566" s="874"/>
      <c r="S566" s="875"/>
      <c r="T566" s="875"/>
      <c r="U566" s="875"/>
      <c r="V566" s="875"/>
      <c r="W566" s="875"/>
      <c r="X566" s="1026">
        <f t="shared" si="334"/>
        <v>27800</v>
      </c>
      <c r="Y566" s="1512">
        <f>(T566+U566)*M566/(X566-M566*(T566+U566))</f>
        <v>0</v>
      </c>
      <c r="Z566" s="1741">
        <f t="shared" si="336"/>
        <v>1</v>
      </c>
      <c r="AA566" s="1749">
        <f t="shared" si="337"/>
        <v>0</v>
      </c>
      <c r="AB566" s="1810">
        <f t="shared" si="338"/>
        <v>0</v>
      </c>
      <c r="AC566" s="876"/>
      <c r="AD566" s="1525">
        <f t="shared" si="339"/>
        <v>0</v>
      </c>
      <c r="AE566" s="1525">
        <f t="shared" si="339"/>
        <v>0</v>
      </c>
      <c r="AF566" s="1525">
        <f t="shared" si="339"/>
        <v>0</v>
      </c>
      <c r="AG566" s="1525">
        <f t="shared" si="339"/>
        <v>0</v>
      </c>
      <c r="AH566" s="1525">
        <f t="shared" si="339"/>
        <v>0</v>
      </c>
      <c r="AI566" s="1525">
        <f t="shared" si="339"/>
        <v>0</v>
      </c>
      <c r="AJ566" s="1525">
        <f t="shared" si="339"/>
        <v>0</v>
      </c>
      <c r="AK566" s="1525">
        <f t="shared" si="339"/>
        <v>0</v>
      </c>
      <c r="AL566" s="1525">
        <f t="shared" si="339"/>
        <v>0</v>
      </c>
      <c r="AM566" s="1525">
        <f t="shared" si="339"/>
        <v>0</v>
      </c>
      <c r="AN566" s="1525">
        <f t="shared" si="339"/>
        <v>0</v>
      </c>
      <c r="AO566" s="1525">
        <f t="shared" si="339"/>
        <v>0</v>
      </c>
      <c r="AP566" s="1525">
        <f t="shared" si="339"/>
        <v>0</v>
      </c>
      <c r="AQ566" s="1525">
        <f t="shared" si="339"/>
        <v>0</v>
      </c>
      <c r="AR566" s="1525">
        <f t="shared" si="339"/>
        <v>0</v>
      </c>
      <c r="AS566" s="1525">
        <f t="shared" si="339"/>
        <v>0</v>
      </c>
      <c r="AU566" s="1525"/>
      <c r="AV566" s="1291"/>
      <c r="AW566" s="1292"/>
      <c r="AX566" s="1292"/>
      <c r="AY566" s="1292"/>
      <c r="AZ566" s="1292"/>
      <c r="BA566" s="1292"/>
      <c r="BB566" s="1292"/>
      <c r="BC566" s="1292"/>
      <c r="BD566" s="1292"/>
      <c r="BE566" s="1292"/>
      <c r="BF566" s="1292"/>
      <c r="BG566" s="1292"/>
      <c r="BH566" s="1292"/>
      <c r="BI566" s="1292"/>
      <c r="BJ566" s="1292"/>
      <c r="BK566" s="1292"/>
      <c r="BL566" s="1292"/>
      <c r="BM566" s="1292"/>
      <c r="BN566" s="1292"/>
      <c r="BO566" s="1292"/>
      <c r="BP566" s="1292"/>
      <c r="BQ566" s="1292"/>
      <c r="BR566" s="1292"/>
      <c r="BS566" s="1292"/>
      <c r="BT566" s="1670">
        <f t="shared" si="340"/>
        <v>0</v>
      </c>
      <c r="BW566" s="1108" t="s">
        <v>218</v>
      </c>
    </row>
    <row r="567" spans="2:75" s="164" customFormat="1" ht="12.75" customHeight="1" x14ac:dyDescent="0.2">
      <c r="B567" s="175"/>
      <c r="C567" s="219" t="s">
        <v>1120</v>
      </c>
      <c r="F567" s="38" t="s">
        <v>339</v>
      </c>
      <c r="G567" s="900"/>
      <c r="H567" s="1349" t="s">
        <v>1508</v>
      </c>
      <c r="I567" s="229"/>
      <c r="J567" s="206"/>
      <c r="K567" s="427">
        <f>SUM(K559:K566)</f>
        <v>0</v>
      </c>
      <c r="L567" s="866">
        <f>SUM(L559:L566)</f>
        <v>8</v>
      </c>
      <c r="M567" s="866">
        <f>SUM(M559:M566)</f>
        <v>8</v>
      </c>
      <c r="N567" s="901"/>
      <c r="O567" s="1192"/>
      <c r="P567" s="550"/>
      <c r="Q567" s="1159"/>
      <c r="R567" s="1029"/>
      <c r="S567" s="1030"/>
      <c r="T567" s="1030"/>
      <c r="U567" s="1030"/>
      <c r="V567" s="1030"/>
      <c r="W567" s="1030"/>
      <c r="X567" s="1704"/>
      <c r="Y567" s="891"/>
      <c r="Z567" s="1805"/>
      <c r="AA567" s="1749"/>
      <c r="AB567" s="1810"/>
      <c r="AC567" s="876"/>
      <c r="AD567" s="1295"/>
      <c r="AE567" s="1525"/>
      <c r="AF567" s="1525"/>
      <c r="AG567" s="1525"/>
      <c r="AH567" s="1525"/>
      <c r="AI567" s="1525"/>
      <c r="AJ567" s="1525"/>
      <c r="AK567" s="1525"/>
      <c r="AL567" s="1525"/>
      <c r="AM567" s="1525"/>
      <c r="AN567" s="1525"/>
      <c r="AO567" s="1525"/>
      <c r="AP567" s="1525"/>
      <c r="AQ567" s="1525"/>
      <c r="AR567" s="1525"/>
      <c r="AS567" s="1525"/>
      <c r="AU567" s="1525"/>
      <c r="AV567" s="1295"/>
      <c r="AW567" s="1525"/>
      <c r="AX567" s="1525"/>
      <c r="AY567" s="1525"/>
      <c r="AZ567" s="1525"/>
      <c r="BA567" s="1525"/>
      <c r="BB567" s="1525"/>
      <c r="BC567" s="1525"/>
      <c r="BD567" s="1525"/>
      <c r="BE567" s="1525"/>
      <c r="BF567" s="1525"/>
      <c r="BG567" s="1525"/>
      <c r="BH567" s="1525"/>
      <c r="BI567" s="1525"/>
      <c r="BJ567" s="1525"/>
      <c r="BK567" s="1525"/>
      <c r="BL567" s="1525"/>
      <c r="BM567" s="1525"/>
      <c r="BN567" s="1525"/>
      <c r="BO567" s="1525"/>
      <c r="BP567" s="1525"/>
      <c r="BQ567" s="1525"/>
      <c r="BR567" s="1525"/>
      <c r="BS567" s="1525"/>
      <c r="BT567" s="1670"/>
      <c r="BV567"/>
      <c r="BW567" s="900"/>
    </row>
    <row r="568" spans="2:75" s="164" customFormat="1" ht="12.75" customHeight="1" x14ac:dyDescent="0.2">
      <c r="B568" s="175"/>
      <c r="C568" s="219" t="s">
        <v>1120</v>
      </c>
      <c r="F568" s="1" t="s">
        <v>340</v>
      </c>
      <c r="G568" s="859"/>
      <c r="H568" s="1361" t="s">
        <v>1508</v>
      </c>
      <c r="I568" s="172"/>
      <c r="J568" s="168"/>
      <c r="K568" s="448">
        <f>K540+K554+K567</f>
        <v>0</v>
      </c>
      <c r="L568" s="902">
        <f>L540+L554+L567</f>
        <v>37</v>
      </c>
      <c r="M568" s="902">
        <f>M540+M554+M567</f>
        <v>37</v>
      </c>
      <c r="N568" s="857"/>
      <c r="O568" s="1192"/>
      <c r="P568" s="550"/>
      <c r="Q568" s="1153"/>
      <c r="R568" s="877"/>
      <c r="S568" s="875"/>
      <c r="T568" s="875"/>
      <c r="U568" s="875"/>
      <c r="V568" s="875"/>
      <c r="W568" s="875"/>
      <c r="X568" s="1026"/>
      <c r="Y568" s="875"/>
      <c r="Z568" s="1803"/>
      <c r="AA568" s="1749"/>
      <c r="AB568" s="1810"/>
      <c r="AC568" s="876"/>
      <c r="AD568" s="1295"/>
      <c r="AE568" s="1525"/>
      <c r="AF568" s="1525"/>
      <c r="AG568" s="1525"/>
      <c r="AH568" s="1525"/>
      <c r="AI568" s="1525"/>
      <c r="AJ568" s="1525"/>
      <c r="AK568" s="1525"/>
      <c r="AL568" s="1525"/>
      <c r="AM568" s="1525"/>
      <c r="AN568" s="1525"/>
      <c r="AO568" s="1525"/>
      <c r="AP568" s="1525"/>
      <c r="AQ568" s="1525"/>
      <c r="AR568" s="1525"/>
      <c r="AS568" s="1525"/>
      <c r="AU568" s="1525"/>
      <c r="AV568" s="1295"/>
      <c r="AW568" s="1525"/>
      <c r="AX568" s="1525"/>
      <c r="AY568" s="1525"/>
      <c r="AZ568" s="1525"/>
      <c r="BA568" s="1525"/>
      <c r="BB568" s="1525"/>
      <c r="BC568" s="1525"/>
      <c r="BD568" s="1525"/>
      <c r="BE568" s="1525"/>
      <c r="BF568" s="1525"/>
      <c r="BG568" s="1525"/>
      <c r="BH568" s="1525"/>
      <c r="BI568" s="1525"/>
      <c r="BJ568" s="1525"/>
      <c r="BK568" s="1525"/>
      <c r="BL568" s="1525"/>
      <c r="BM568" s="1525"/>
      <c r="BN568" s="1525"/>
      <c r="BO568" s="1525"/>
      <c r="BP568" s="1525"/>
      <c r="BQ568" s="1525"/>
      <c r="BR568" s="1525"/>
      <c r="BS568" s="1525"/>
      <c r="BT568" s="1670"/>
      <c r="BV568"/>
      <c r="BW568" s="859"/>
    </row>
    <row r="569" spans="2:75" s="164" customFormat="1" ht="12.75" customHeight="1" x14ac:dyDescent="0.2">
      <c r="B569" s="175"/>
      <c r="C569" s="219"/>
      <c r="F569" s="1"/>
      <c r="G569" s="859"/>
      <c r="H569" s="1361"/>
      <c r="I569" s="172"/>
      <c r="J569" s="168"/>
      <c r="K569" s="448"/>
      <c r="L569" s="902"/>
      <c r="M569" s="902"/>
      <c r="N569" s="857"/>
      <c r="O569" s="1192"/>
      <c r="P569" s="550"/>
      <c r="Q569" s="1153"/>
      <c r="R569" s="877"/>
      <c r="S569" s="875"/>
      <c r="T569" s="875"/>
      <c r="U569" s="875"/>
      <c r="V569" s="875"/>
      <c r="W569" s="875"/>
      <c r="X569" s="1026"/>
      <c r="Y569" s="875"/>
      <c r="Z569" s="1803"/>
      <c r="AA569" s="1749"/>
      <c r="AB569" s="1810"/>
      <c r="AC569" s="876"/>
      <c r="AD569" s="1525"/>
      <c r="AE569" s="1525"/>
      <c r="AF569" s="1525"/>
      <c r="AG569" s="1525"/>
      <c r="AH569" s="1525"/>
      <c r="AI569" s="1525"/>
      <c r="AJ569" s="1525"/>
      <c r="AK569" s="1525"/>
      <c r="AL569" s="1525"/>
      <c r="AM569" s="1525"/>
      <c r="AN569" s="1525"/>
      <c r="AO569" s="1525"/>
      <c r="AP569" s="1525"/>
      <c r="AQ569" s="1525"/>
      <c r="AR569" s="1525"/>
      <c r="AS569" s="1525"/>
      <c r="AU569" s="1525"/>
      <c r="AV569" s="1525"/>
      <c r="AW569" s="1525"/>
      <c r="AX569" s="1525"/>
      <c r="AY569" s="1525"/>
      <c r="AZ569" s="1525"/>
      <c r="BA569" s="1525"/>
      <c r="BB569" s="1525"/>
      <c r="BC569" s="1525"/>
      <c r="BD569" s="1525"/>
      <c r="BE569" s="1525"/>
      <c r="BF569" s="1525"/>
      <c r="BG569" s="1525"/>
      <c r="BH569" s="1525"/>
      <c r="BI569" s="1525"/>
      <c r="BJ569" s="1525"/>
      <c r="BK569" s="1525"/>
      <c r="BL569" s="1525"/>
      <c r="BM569" s="1525"/>
      <c r="BN569" s="1525"/>
      <c r="BO569" s="1525"/>
      <c r="BP569" s="1525"/>
      <c r="BQ569" s="1525"/>
      <c r="BR569" s="1525"/>
      <c r="BS569" s="1525"/>
      <c r="BT569" s="1643"/>
      <c r="BV569"/>
      <c r="BW569" s="859"/>
    </row>
    <row r="570" spans="2:75" s="164" customFormat="1" ht="12.75" customHeight="1" x14ac:dyDescent="0.2">
      <c r="B570" s="175"/>
      <c r="C570" s="262"/>
      <c r="D570" s="547"/>
      <c r="E570" s="1573"/>
      <c r="F570" s="1103" t="s">
        <v>436</v>
      </c>
      <c r="G570" s="862"/>
      <c r="H570" s="861" t="s">
        <v>1508</v>
      </c>
      <c r="I570" s="197"/>
      <c r="J570" s="174"/>
      <c r="K570" s="836"/>
      <c r="L570" s="861"/>
      <c r="M570" s="861"/>
      <c r="N570" s="836"/>
      <c r="O570" s="1196" t="s">
        <v>1508</v>
      </c>
      <c r="P570" s="550"/>
      <c r="Q570" s="1153"/>
      <c r="R570" s="884"/>
      <c r="S570" s="876"/>
      <c r="T570" s="876"/>
      <c r="U570" s="876"/>
      <c r="V570" s="876"/>
      <c r="W570" s="876"/>
      <c r="X570" s="1692"/>
      <c r="Y570" s="876"/>
      <c r="Z570" s="1806"/>
      <c r="AA570" s="1749"/>
      <c r="AB570" s="1810"/>
      <c r="AC570" s="224"/>
      <c r="AD570" s="1525"/>
      <c r="AE570" s="1525"/>
      <c r="AF570" s="1525"/>
      <c r="AG570" s="1525"/>
      <c r="AH570" s="1525"/>
      <c r="AI570" s="1525"/>
      <c r="AJ570" s="1525"/>
      <c r="AK570" s="1525"/>
      <c r="AL570" s="1525"/>
      <c r="AM570" s="1525"/>
      <c r="AN570" s="1525"/>
      <c r="AO570" s="1525"/>
      <c r="AP570" s="1846"/>
      <c r="AQ570" s="553"/>
      <c r="AR570" s="553"/>
      <c r="AS570" s="553"/>
      <c r="AV570" s="553"/>
      <c r="AX570" s="553"/>
      <c r="BT570" s="1672"/>
    </row>
    <row r="571" spans="2:75" s="164" customFormat="1" ht="12.75" customHeight="1" x14ac:dyDescent="0.2">
      <c r="B571" s="175">
        <f t="shared" ref="B571" si="342">B570+1</f>
        <v>1</v>
      </c>
      <c r="C571" s="262">
        <v>18</v>
      </c>
      <c r="D571" s="547"/>
      <c r="E571" s="12" t="s">
        <v>288</v>
      </c>
      <c r="F571" s="4" t="s">
        <v>584</v>
      </c>
      <c r="G571" s="862" t="s">
        <v>2032</v>
      </c>
      <c r="H571" s="1133">
        <v>170523</v>
      </c>
      <c r="I571" s="197" t="s">
        <v>583</v>
      </c>
      <c r="J571" s="174"/>
      <c r="K571" s="1132">
        <v>1</v>
      </c>
      <c r="L571" s="1133"/>
      <c r="M571" s="1133">
        <v>1</v>
      </c>
      <c r="N571" s="836" t="s">
        <v>892</v>
      </c>
      <c r="O571" s="1196">
        <v>28994</v>
      </c>
      <c r="P571" s="1218">
        <f ca="1">YEARFRAC(TODAY(),O571)</f>
        <v>38.369444444444447</v>
      </c>
      <c r="Q571" s="1153">
        <v>20000</v>
      </c>
      <c r="R571" s="884"/>
      <c r="S571" s="876"/>
      <c r="T571" s="876"/>
      <c r="U571" s="876"/>
      <c r="V571" s="876"/>
      <c r="W571" s="876"/>
      <c r="X571" s="1026">
        <f t="shared" ref="X571" si="343">(Q571+R571+S571+T571+U571+V571+W571)*M571</f>
        <v>20000</v>
      </c>
      <c r="Y571" s="1512">
        <f>(T571+U571)*M571/(X571-M571*(T571+U571))</f>
        <v>0</v>
      </c>
      <c r="Z571" s="1741">
        <f t="shared" ref="Z571" si="344">M571*(1+Y571)</f>
        <v>1</v>
      </c>
      <c r="AA571" s="1749">
        <f t="shared" ref="AA571" si="345">SUM(AD571:AS571)</f>
        <v>0</v>
      </c>
      <c r="AB571" s="1810">
        <f t="shared" ref="AB571" si="346">100*AA571/Z571</f>
        <v>0</v>
      </c>
      <c r="AC571" s="224"/>
      <c r="AD571" s="1525">
        <f t="shared" ref="AD571:AS571" si="347">SUMIF($AV$6:$BS$6,AD$5,$AV571:$BS571)</f>
        <v>0</v>
      </c>
      <c r="AE571" s="1525">
        <f t="shared" si="347"/>
        <v>0</v>
      </c>
      <c r="AF571" s="1525">
        <f t="shared" si="347"/>
        <v>0</v>
      </c>
      <c r="AG571" s="1525">
        <f t="shared" si="347"/>
        <v>0</v>
      </c>
      <c r="AH571" s="1525">
        <f t="shared" si="347"/>
        <v>0</v>
      </c>
      <c r="AI571" s="1525">
        <f t="shared" si="347"/>
        <v>0</v>
      </c>
      <c r="AJ571" s="1525">
        <f t="shared" si="347"/>
        <v>0</v>
      </c>
      <c r="AK571" s="1525">
        <f t="shared" si="347"/>
        <v>0</v>
      </c>
      <c r="AL571" s="1525">
        <f t="shared" si="347"/>
        <v>0</v>
      </c>
      <c r="AM571" s="1525">
        <f t="shared" si="347"/>
        <v>0</v>
      </c>
      <c r="AN571" s="1525">
        <f t="shared" si="347"/>
        <v>0</v>
      </c>
      <c r="AO571" s="1525">
        <f t="shared" si="347"/>
        <v>0</v>
      </c>
      <c r="AP571" s="1525">
        <f t="shared" si="347"/>
        <v>0</v>
      </c>
      <c r="AQ571" s="1525">
        <f t="shared" si="347"/>
        <v>0</v>
      </c>
      <c r="AR571" s="1525">
        <f t="shared" si="347"/>
        <v>0</v>
      </c>
      <c r="AS571" s="1525">
        <f t="shared" si="347"/>
        <v>0</v>
      </c>
      <c r="AV571" s="553"/>
      <c r="AX571" s="553"/>
      <c r="BT571" s="1672"/>
    </row>
    <row r="572" spans="2:75" s="164" customFormat="1" ht="12.75" customHeight="1" x14ac:dyDescent="0.15">
      <c r="B572" s="175"/>
      <c r="F572" s="1"/>
      <c r="G572" s="859"/>
      <c r="H572" s="1346"/>
      <c r="I572" s="172"/>
      <c r="J572" s="168"/>
      <c r="K572" s="168"/>
      <c r="L572" s="858"/>
      <c r="M572" s="858"/>
      <c r="N572" s="857"/>
      <c r="O572" s="1200"/>
      <c r="P572" s="550"/>
      <c r="Q572" s="1148"/>
      <c r="R572" s="874"/>
      <c r="S572" s="875"/>
      <c r="T572" s="875"/>
      <c r="U572" s="875"/>
      <c r="V572" s="875"/>
      <c r="W572" s="875"/>
      <c r="X572" s="1026"/>
      <c r="Y572" s="1757"/>
      <c r="Z572" s="1755"/>
      <c r="AA572" s="1775"/>
      <c r="AB572" s="1814"/>
      <c r="AC572" s="876"/>
      <c r="AD572" s="1295"/>
      <c r="AE572" s="1525"/>
      <c r="AF572" s="1525"/>
      <c r="AG572" s="1525"/>
      <c r="AH572" s="1525"/>
      <c r="AI572" s="1525"/>
      <c r="AJ572" s="1525"/>
      <c r="AK572" s="1525"/>
      <c r="AL572" s="1525"/>
      <c r="AM572" s="1525"/>
      <c r="AN572" s="1525"/>
      <c r="AO572" s="1525"/>
      <c r="AP572" s="1525"/>
      <c r="AQ572" s="1525"/>
      <c r="AR572" s="1525"/>
      <c r="AS572" s="1525"/>
      <c r="AU572" s="1525"/>
      <c r="AV572" s="1295"/>
      <c r="AW572" s="1525"/>
      <c r="AX572" s="1525"/>
      <c r="AY572" s="1525"/>
      <c r="AZ572" s="1525"/>
      <c r="BA572" s="1525"/>
      <c r="BB572" s="1525"/>
      <c r="BC572" s="1525"/>
      <c r="BD572" s="1525"/>
      <c r="BE572" s="1525"/>
      <c r="BF572" s="1525"/>
      <c r="BG572" s="1525"/>
      <c r="BH572" s="1525"/>
      <c r="BI572" s="1525"/>
      <c r="BJ572" s="1525"/>
      <c r="BK572" s="1525"/>
      <c r="BL572" s="1525"/>
      <c r="BM572" s="1525"/>
      <c r="BN572" s="1525"/>
      <c r="BO572" s="1525"/>
      <c r="BP572" s="1525"/>
      <c r="BQ572" s="1525"/>
      <c r="BR572" s="1525"/>
      <c r="BS572" s="1525"/>
      <c r="BT572" s="1670"/>
      <c r="BV572"/>
      <c r="BW572" s="859"/>
    </row>
    <row r="573" spans="2:75" s="164" customFormat="1" ht="12.75" customHeight="1" x14ac:dyDescent="0.15">
      <c r="B573" s="175"/>
      <c r="F573" s="1"/>
      <c r="G573" s="859"/>
      <c r="H573" s="1346"/>
      <c r="I573" s="172"/>
      <c r="J573" s="168"/>
      <c r="K573" s="168"/>
      <c r="L573" s="858"/>
      <c r="M573" s="858"/>
      <c r="N573" s="857"/>
      <c r="O573" s="1200"/>
      <c r="P573" s="550"/>
      <c r="Q573" s="1148"/>
      <c r="R573" s="874"/>
      <c r="S573" s="875"/>
      <c r="T573" s="875"/>
      <c r="U573" s="875"/>
      <c r="V573" s="875"/>
      <c r="W573" s="875"/>
      <c r="X573" s="1026"/>
      <c r="Y573" s="1757"/>
      <c r="Z573" s="1755"/>
      <c r="AA573" s="1775"/>
      <c r="AB573" s="1814"/>
      <c r="AC573" s="876"/>
      <c r="AD573" s="1295"/>
      <c r="AE573" s="1525"/>
      <c r="AF573" s="1525"/>
      <c r="AG573" s="1525"/>
      <c r="AH573" s="1525"/>
      <c r="AI573" s="1525"/>
      <c r="AJ573" s="1525"/>
      <c r="AK573" s="1525"/>
      <c r="AL573" s="1525"/>
      <c r="AM573" s="1525"/>
      <c r="AN573" s="1525"/>
      <c r="AO573" s="1525"/>
      <c r="AP573" s="1525"/>
      <c r="AQ573" s="1525"/>
      <c r="AR573" s="1525"/>
      <c r="AS573" s="1525"/>
      <c r="AU573" s="1525"/>
      <c r="AV573" s="1295"/>
      <c r="AW573" s="1525"/>
      <c r="AX573" s="1525"/>
      <c r="AY573" s="1525"/>
      <c r="AZ573" s="1525"/>
      <c r="BA573" s="1525"/>
      <c r="BB573" s="1525"/>
      <c r="BC573" s="1525"/>
      <c r="BD573" s="1525"/>
      <c r="BE573" s="1525"/>
      <c r="BF573" s="1525"/>
      <c r="BG573" s="1525"/>
      <c r="BH573" s="1525"/>
      <c r="BI573" s="1525"/>
      <c r="BJ573" s="1525"/>
      <c r="BK573" s="1525"/>
      <c r="BL573" s="1525"/>
      <c r="BM573" s="1525"/>
      <c r="BN573" s="1525"/>
      <c r="BO573" s="1525"/>
      <c r="BP573" s="1525"/>
      <c r="BQ573" s="1525"/>
      <c r="BR573" s="1525"/>
      <c r="BS573" s="1525"/>
      <c r="BT573" s="1670"/>
      <c r="BV573"/>
      <c r="BW573" s="859"/>
    </row>
    <row r="574" spans="2:75" s="164" customFormat="1" ht="12.75" customHeight="1" x14ac:dyDescent="0.15">
      <c r="B574" s="175"/>
      <c r="F574" s="24"/>
      <c r="G574" s="859"/>
      <c r="H574" s="1346" t="s">
        <v>1508</v>
      </c>
      <c r="I574" s="200"/>
      <c r="J574" s="189"/>
      <c r="K574" s="189"/>
      <c r="L574" s="857"/>
      <c r="M574" s="857"/>
      <c r="N574" s="857"/>
      <c r="O574" s="1200"/>
      <c r="P574" s="550"/>
      <c r="Q574" s="1148"/>
      <c r="R574" s="874"/>
      <c r="S574" s="875"/>
      <c r="T574" s="875"/>
      <c r="U574" s="875"/>
      <c r="V574" s="875"/>
      <c r="W574" s="875"/>
      <c r="X574" s="1026"/>
      <c r="Y574" s="1757"/>
      <c r="Z574" s="1755"/>
      <c r="AA574" s="1775"/>
      <c r="AB574" s="1814"/>
      <c r="AC574" s="876"/>
      <c r="AD574" s="1295"/>
      <c r="AE574" s="1525"/>
      <c r="AF574" s="1525"/>
      <c r="AG574" s="1525"/>
      <c r="AH574" s="1525"/>
      <c r="AI574" s="1525"/>
      <c r="AJ574" s="1525"/>
      <c r="AK574" s="1525"/>
      <c r="AL574" s="1525"/>
      <c r="AM574" s="1525"/>
      <c r="AN574" s="1525"/>
      <c r="AO574" s="1525"/>
      <c r="AP574" s="1525"/>
      <c r="AQ574" s="1525"/>
      <c r="AR574" s="1525"/>
      <c r="AS574" s="1525"/>
      <c r="AU574" s="1525"/>
      <c r="AV574" s="1295"/>
      <c r="AW574" s="1525"/>
      <c r="AX574" s="1525"/>
      <c r="AY574" s="1525"/>
      <c r="AZ574" s="1525"/>
      <c r="BA574" s="1525"/>
      <c r="BB574" s="1525"/>
      <c r="BC574" s="1525"/>
      <c r="BD574" s="1525"/>
      <c r="BE574" s="1525"/>
      <c r="BF574" s="1525"/>
      <c r="BG574" s="1525"/>
      <c r="BH574" s="1525"/>
      <c r="BI574" s="1525"/>
      <c r="BJ574" s="1525"/>
      <c r="BK574" s="1525"/>
      <c r="BL574" s="1525"/>
      <c r="BM574" s="1525"/>
      <c r="BN574" s="1525"/>
      <c r="BO574" s="1525"/>
      <c r="BP574" s="1525"/>
      <c r="BQ574" s="1525"/>
      <c r="BR574" s="1525"/>
      <c r="BS574" s="1525"/>
      <c r="BT574" s="1670"/>
      <c r="BV574"/>
      <c r="BW574" s="859"/>
    </row>
    <row r="575" spans="2:75" s="164" customFormat="1" ht="12.75" customHeight="1" x14ac:dyDescent="0.2">
      <c r="B575" s="175"/>
      <c r="C575" s="707" t="s">
        <v>344</v>
      </c>
      <c r="D575" s="590" t="s">
        <v>346</v>
      </c>
      <c r="E575" s="691" t="s">
        <v>288</v>
      </c>
      <c r="F575" s="624" t="s">
        <v>1605</v>
      </c>
      <c r="G575" s="863">
        <f>COUNTA(G504:G574)</f>
        <v>44</v>
      </c>
      <c r="H575" s="1348" t="s">
        <v>1508</v>
      </c>
      <c r="I575" s="626"/>
      <c r="J575" s="627"/>
      <c r="K575" s="628">
        <f>K509+K568</f>
        <v>0</v>
      </c>
      <c r="L575" s="863">
        <f>L509+L568</f>
        <v>41.5</v>
      </c>
      <c r="M575" s="863">
        <f>M509+M568</f>
        <v>41.5</v>
      </c>
      <c r="N575" s="840"/>
      <c r="O575" s="1201"/>
      <c r="P575" s="1222"/>
      <c r="Q575" s="1154"/>
      <c r="R575" s="887"/>
      <c r="S575" s="880"/>
      <c r="T575" s="880"/>
      <c r="U575" s="880"/>
      <c r="V575" s="880"/>
      <c r="W575" s="880"/>
      <c r="X575" s="1276">
        <f>SUM(X504:X574)</f>
        <v>1468529</v>
      </c>
      <c r="Y575" s="1276"/>
      <c r="Z575" s="1665">
        <f t="shared" ref="Z575:AA575" si="348">SUM(Z504:Z574)</f>
        <v>45.806306173211446</v>
      </c>
      <c r="AA575" s="1777">
        <f t="shared" si="348"/>
        <v>1</v>
      </c>
      <c r="AB575" s="1813">
        <f t="shared" ref="AB575" si="349">100*AA575/Z575</f>
        <v>2.1831055231098779</v>
      </c>
      <c r="AC575" s="1721"/>
      <c r="AD575" s="1291"/>
      <c r="AE575" s="1292"/>
      <c r="AF575" s="1525"/>
      <c r="AG575" s="1525"/>
      <c r="AH575" s="1525"/>
      <c r="AI575" s="1525"/>
      <c r="AJ575" s="1525"/>
      <c r="AK575" s="1525"/>
      <c r="AL575" s="1525"/>
      <c r="AM575" s="1525"/>
      <c r="AN575" s="1525"/>
      <c r="AO575" s="1525"/>
      <c r="AP575" s="1525"/>
      <c r="AQ575" s="1525"/>
      <c r="AR575" s="1525"/>
      <c r="AS575" s="1525"/>
      <c r="AU575" s="1525"/>
      <c r="AV575" s="1295"/>
      <c r="AW575" s="1525"/>
      <c r="AX575" s="1525"/>
      <c r="AY575" s="1525"/>
      <c r="AZ575" s="1525"/>
      <c r="BA575" s="1525"/>
      <c r="BB575" s="1525"/>
      <c r="BC575" s="1525"/>
      <c r="BD575" s="1525"/>
      <c r="BE575" s="1525"/>
      <c r="BF575" s="1525"/>
      <c r="BG575" s="1525"/>
      <c r="BH575" s="1525"/>
      <c r="BI575" s="1525"/>
      <c r="BJ575" s="1525"/>
      <c r="BK575" s="1525"/>
      <c r="BL575" s="1525"/>
      <c r="BM575" s="1525"/>
      <c r="BN575" s="1525"/>
      <c r="BO575" s="1525"/>
      <c r="BP575" s="1525"/>
      <c r="BQ575" s="1525"/>
      <c r="BR575" s="1525"/>
      <c r="BS575" s="1525"/>
      <c r="BT575" s="1670"/>
      <c r="BV575"/>
      <c r="BW575" s="864"/>
    </row>
    <row r="576" spans="2:75" s="164" customFormat="1" ht="12.75" customHeight="1" x14ac:dyDescent="0.2">
      <c r="B576" s="175"/>
      <c r="C576" s="508" t="s">
        <v>136</v>
      </c>
      <c r="D576" s="508"/>
      <c r="E576" s="509" t="s">
        <v>288</v>
      </c>
      <c r="F576" s="509" t="s">
        <v>893</v>
      </c>
      <c r="G576" s="937"/>
      <c r="H576" s="1362" t="s">
        <v>1508</v>
      </c>
      <c r="I576" s="510"/>
      <c r="J576" s="511"/>
      <c r="K576" s="511"/>
      <c r="L576" s="903"/>
      <c r="M576" s="903"/>
      <c r="N576" s="938"/>
      <c r="O576" s="1191"/>
      <c r="P576" s="1223"/>
      <c r="Q576" s="1158"/>
      <c r="R576" s="1027"/>
      <c r="S576" s="1028"/>
      <c r="T576" s="1028"/>
      <c r="U576" s="1028"/>
      <c r="V576" s="1028"/>
      <c r="W576" s="1028"/>
      <c r="X576" s="1697">
        <v>30417</v>
      </c>
      <c r="Y576" s="1028"/>
      <c r="Z576" s="1800"/>
      <c r="AA576" s="1749"/>
      <c r="AB576" s="1812"/>
      <c r="AC576" s="876"/>
      <c r="AD576" s="1295"/>
      <c r="AE576" s="1525"/>
      <c r="AF576" s="1525"/>
      <c r="AG576" s="1525"/>
      <c r="AH576" s="1525"/>
      <c r="AI576" s="1525"/>
      <c r="AJ576" s="1525"/>
      <c r="AK576" s="1525"/>
      <c r="AL576" s="1525"/>
      <c r="AM576" s="1525"/>
      <c r="AN576" s="1525"/>
      <c r="AO576" s="1525"/>
      <c r="AP576" s="1525"/>
      <c r="AQ576" s="1525"/>
      <c r="AR576" s="1525"/>
      <c r="AS576" s="1525"/>
      <c r="AU576" s="1525"/>
      <c r="AV576" s="1295"/>
      <c r="AW576" s="1525"/>
      <c r="AX576" s="1525"/>
      <c r="AY576" s="1525"/>
      <c r="AZ576" s="1525"/>
      <c r="BA576" s="1525"/>
      <c r="BB576" s="1525"/>
      <c r="BC576" s="1525"/>
      <c r="BD576" s="1525"/>
      <c r="BE576" s="1525"/>
      <c r="BF576" s="1525"/>
      <c r="BG576" s="1525"/>
      <c r="BH576" s="1525"/>
      <c r="BI576" s="1525"/>
      <c r="BJ576" s="1525"/>
      <c r="BK576" s="1525"/>
      <c r="BL576" s="1525"/>
      <c r="BM576" s="1525"/>
      <c r="BN576" s="1525"/>
      <c r="BO576" s="1525"/>
      <c r="BP576" s="1525"/>
      <c r="BQ576" s="1525"/>
      <c r="BR576" s="1525"/>
      <c r="BS576" s="1525"/>
      <c r="BT576" s="1670"/>
      <c r="BV576"/>
      <c r="BW576" s="937"/>
    </row>
    <row r="577" spans="2:75" s="164" customFormat="1" ht="12.75" customHeight="1" x14ac:dyDescent="0.2">
      <c r="B577" s="175"/>
      <c r="C577" s="512" t="s">
        <v>794</v>
      </c>
      <c r="D577" s="516"/>
      <c r="E577" s="517" t="s">
        <v>288</v>
      </c>
      <c r="F577" s="513" t="s">
        <v>884</v>
      </c>
      <c r="G577" s="933"/>
      <c r="H577" s="1372" t="s">
        <v>1508</v>
      </c>
      <c r="I577" s="514"/>
      <c r="J577" s="515"/>
      <c r="K577" s="515"/>
      <c r="L577" s="932"/>
      <c r="M577" s="932"/>
      <c r="N577" s="934"/>
      <c r="O577" s="1204"/>
      <c r="P577" s="1231"/>
      <c r="Q577" s="1166"/>
      <c r="R577" s="1032"/>
      <c r="S577" s="1042"/>
      <c r="T577" s="1042"/>
      <c r="U577" s="1042"/>
      <c r="V577" s="1042"/>
      <c r="W577" s="1042"/>
      <c r="X577" s="1705"/>
      <c r="Y577" s="1507"/>
      <c r="Z577" s="1804"/>
      <c r="AA577" s="1749"/>
      <c r="AB577" s="1812"/>
      <c r="AC577" s="1288"/>
      <c r="AD577" s="1295"/>
      <c r="AE577" s="1525"/>
      <c r="AF577" s="1525"/>
      <c r="AG577" s="1525"/>
      <c r="AH577" s="1525"/>
      <c r="AI577" s="1525"/>
      <c r="AJ577" s="1525"/>
      <c r="AK577" s="1525"/>
      <c r="AL577" s="1525"/>
      <c r="AM577" s="1525"/>
      <c r="AN577" s="1525"/>
      <c r="AO577" s="1525"/>
      <c r="AP577" s="1525"/>
      <c r="AQ577" s="1525"/>
      <c r="AR577" s="1525"/>
      <c r="AS577" s="1525"/>
      <c r="AU577" s="1525"/>
      <c r="AV577" s="1295"/>
      <c r="AW577" s="1525"/>
      <c r="AX577" s="1525"/>
      <c r="AY577" s="1525"/>
      <c r="AZ577" s="1525"/>
      <c r="BA577" s="1525"/>
      <c r="BB577" s="1525"/>
      <c r="BC577" s="1525"/>
      <c r="BD577" s="1525"/>
      <c r="BE577" s="1525"/>
      <c r="BF577" s="1525"/>
      <c r="BG577" s="1525"/>
      <c r="BH577" s="1525"/>
      <c r="BI577" s="1525"/>
      <c r="BJ577" s="1525"/>
      <c r="BK577" s="1525"/>
      <c r="BL577" s="1525"/>
      <c r="BM577" s="1525"/>
      <c r="BN577" s="1525"/>
      <c r="BO577" s="1525"/>
      <c r="BP577" s="1525"/>
      <c r="BQ577" s="1525"/>
      <c r="BR577" s="1525"/>
      <c r="BS577" s="1525"/>
      <c r="BT577" s="1670"/>
      <c r="BV577"/>
      <c r="BW577" s="933"/>
    </row>
    <row r="578" spans="2:75" s="164" customFormat="1" ht="12.75" customHeight="1" x14ac:dyDescent="0.2">
      <c r="B578" s="175"/>
      <c r="F578" s="24"/>
      <c r="G578" s="859"/>
      <c r="H578" s="1346" t="s">
        <v>1508</v>
      </c>
      <c r="I578" s="200"/>
      <c r="J578" s="189"/>
      <c r="K578" s="189"/>
      <c r="L578" s="858"/>
      <c r="M578" s="858"/>
      <c r="N578" s="857"/>
      <c r="O578" s="1192"/>
      <c r="P578" s="550"/>
      <c r="Q578" s="1148"/>
      <c r="R578" s="874"/>
      <c r="S578" s="875"/>
      <c r="T578" s="875"/>
      <c r="U578" s="875"/>
      <c r="V578" s="875"/>
      <c r="W578" s="875"/>
      <c r="X578" s="1026"/>
      <c r="Y578" s="1757"/>
      <c r="Z578" s="1755"/>
      <c r="AA578" s="1775"/>
      <c r="AB578" s="1814"/>
      <c r="AC578" s="1026"/>
      <c r="AD578" s="1295"/>
      <c r="AE578" s="1525"/>
      <c r="AF578" s="1525"/>
      <c r="AG578" s="1525"/>
      <c r="AH578" s="1525"/>
      <c r="AI578" s="1525"/>
      <c r="AJ578" s="1525"/>
      <c r="AK578" s="1525"/>
      <c r="AL578" s="1525"/>
      <c r="AM578" s="1525"/>
      <c r="AN578" s="1525"/>
      <c r="AO578" s="1525"/>
      <c r="AP578" s="1525"/>
      <c r="AQ578" s="1525"/>
      <c r="AR578" s="1525"/>
      <c r="AS578" s="1525"/>
      <c r="AU578" s="1525"/>
      <c r="AV578" s="1295"/>
      <c r="AW578" s="1525"/>
      <c r="AX578" s="1525"/>
      <c r="AY578" s="1525"/>
      <c r="AZ578" s="1525"/>
      <c r="BA578" s="1525"/>
      <c r="BB578" s="1525"/>
      <c r="BC578" s="1525"/>
      <c r="BD578" s="1525"/>
      <c r="BE578" s="1525"/>
      <c r="BF578" s="1525"/>
      <c r="BG578" s="1525"/>
      <c r="BH578" s="1525"/>
      <c r="BI578" s="1525"/>
      <c r="BJ578" s="1525"/>
      <c r="BK578" s="1525"/>
      <c r="BL578" s="1525"/>
      <c r="BM578" s="1525"/>
      <c r="BN578" s="1525"/>
      <c r="BO578" s="1525"/>
      <c r="BP578" s="1525"/>
      <c r="BQ578" s="1525"/>
      <c r="BR578" s="1525"/>
      <c r="BS578" s="1525"/>
      <c r="BT578" s="1670"/>
      <c r="BV578"/>
      <c r="BW578" s="859"/>
    </row>
    <row r="579" spans="2:75" s="164" customFormat="1" ht="12.75" customHeight="1" x14ac:dyDescent="0.2">
      <c r="B579" s="175"/>
      <c r="F579" s="36" t="s">
        <v>1363</v>
      </c>
      <c r="G579" s="859"/>
      <c r="H579" s="1346" t="s">
        <v>1508</v>
      </c>
      <c r="I579" s="200"/>
      <c r="J579" s="189"/>
      <c r="K579" s="189"/>
      <c r="L579" s="858"/>
      <c r="M579" s="858"/>
      <c r="N579" s="857"/>
      <c r="O579" s="1192"/>
      <c r="P579" s="550"/>
      <c r="Q579" s="1148"/>
      <c r="R579" s="874"/>
      <c r="S579" s="875"/>
      <c r="T579" s="875"/>
      <c r="U579" s="875"/>
      <c r="V579" s="875"/>
      <c r="W579" s="875"/>
      <c r="X579" s="1026"/>
      <c r="Y579" s="1757"/>
      <c r="Z579" s="1755"/>
      <c r="AA579" s="1775"/>
      <c r="AB579" s="1814"/>
      <c r="AC579" s="876"/>
      <c r="AD579" s="1295"/>
      <c r="AE579" s="1525"/>
      <c r="AF579" s="1525"/>
      <c r="AG579" s="1525"/>
      <c r="AH579" s="1525"/>
      <c r="AI579" s="1525"/>
      <c r="AJ579" s="1525"/>
      <c r="AK579" s="1525"/>
      <c r="AL579" s="1525"/>
      <c r="AM579" s="1525"/>
      <c r="AN579" s="1525"/>
      <c r="AO579" s="1525"/>
      <c r="AP579" s="1525"/>
      <c r="AQ579" s="1525"/>
      <c r="AR579" s="1525"/>
      <c r="AS579" s="1525"/>
      <c r="AU579" s="1525"/>
      <c r="AV579" s="1295"/>
      <c r="AW579" s="1525"/>
      <c r="AX579" s="1525"/>
      <c r="AY579" s="1525"/>
      <c r="AZ579" s="1525"/>
      <c r="BA579" s="1525"/>
      <c r="BB579" s="1525"/>
      <c r="BC579" s="1525"/>
      <c r="BD579" s="1525"/>
      <c r="BE579" s="1525"/>
      <c r="BF579" s="1525"/>
      <c r="BG579" s="1525"/>
      <c r="BH579" s="1525"/>
      <c r="BI579" s="1525"/>
      <c r="BJ579" s="1525"/>
      <c r="BK579" s="1525"/>
      <c r="BL579" s="1525"/>
      <c r="BM579" s="1525"/>
      <c r="BN579" s="1525"/>
      <c r="BO579" s="1525"/>
      <c r="BP579" s="1525"/>
      <c r="BQ579" s="1525"/>
      <c r="BR579" s="1525"/>
      <c r="BS579" s="1525"/>
      <c r="BT579" s="1670"/>
      <c r="BV579"/>
      <c r="BW579" s="859"/>
    </row>
    <row r="580" spans="2:75" s="164" customFormat="1" ht="12.75" customHeight="1" x14ac:dyDescent="0.2">
      <c r="B580" s="175"/>
      <c r="F580" s="4" t="s">
        <v>1606</v>
      </c>
      <c r="G580" s="859"/>
      <c r="H580" s="1346" t="s">
        <v>1508</v>
      </c>
      <c r="I580" s="200"/>
      <c r="J580" s="189"/>
      <c r="K580" s="189"/>
      <c r="L580" s="858"/>
      <c r="M580" s="858"/>
      <c r="N580" s="857"/>
      <c r="O580" s="1192"/>
      <c r="P580" s="550"/>
      <c r="Q580" s="1148"/>
      <c r="R580" s="874"/>
      <c r="S580" s="875"/>
      <c r="T580" s="875"/>
      <c r="U580" s="875"/>
      <c r="V580" s="875"/>
      <c r="W580" s="875"/>
      <c r="X580" s="1026"/>
      <c r="Y580" s="1757"/>
      <c r="Z580" s="1755"/>
      <c r="AA580" s="1775"/>
      <c r="AB580" s="1814"/>
      <c r="AC580" s="876"/>
      <c r="AD580" s="1295"/>
      <c r="AE580" s="1525"/>
      <c r="AF580" s="1525"/>
      <c r="AG580" s="1525"/>
      <c r="AH580" s="1525"/>
      <c r="AI580" s="1525"/>
      <c r="AJ580" s="1525"/>
      <c r="AK580" s="1525"/>
      <c r="AL580" s="1525"/>
      <c r="AM580" s="1525"/>
      <c r="AN580" s="1525"/>
      <c r="AO580" s="1525"/>
      <c r="AP580" s="1525"/>
      <c r="AQ580" s="1525"/>
      <c r="AR580" s="1525"/>
      <c r="AS580" s="1525"/>
      <c r="AU580" s="1525"/>
      <c r="AV580" s="1295"/>
      <c r="AW580" s="1525"/>
      <c r="AX580" s="1525"/>
      <c r="AY580" s="1525"/>
      <c r="AZ580" s="1525"/>
      <c r="BA580" s="1525"/>
      <c r="BB580" s="1525"/>
      <c r="BC580" s="1525"/>
      <c r="BD580" s="1525"/>
      <c r="BE580" s="1525"/>
      <c r="BF580" s="1525"/>
      <c r="BG580" s="1525"/>
      <c r="BH580" s="1525"/>
      <c r="BI580" s="1525"/>
      <c r="BJ580" s="1525"/>
      <c r="BK580" s="1525"/>
      <c r="BL580" s="1525"/>
      <c r="BM580" s="1525"/>
      <c r="BN580" s="1525"/>
      <c r="BO580" s="1525"/>
      <c r="BP580" s="1525"/>
      <c r="BQ580" s="1525"/>
      <c r="BR580" s="1525"/>
      <c r="BS580" s="1525"/>
      <c r="BT580" s="1670"/>
      <c r="BV580"/>
      <c r="BW580" s="859"/>
    </row>
    <row r="581" spans="2:75" s="164" customFormat="1" ht="12.75" customHeight="1" x14ac:dyDescent="0.2">
      <c r="B581" s="175"/>
      <c r="F581" s="4"/>
      <c r="G581" s="859"/>
      <c r="H581" s="1346" t="s">
        <v>1508</v>
      </c>
      <c r="I581" s="200"/>
      <c r="J581" s="189"/>
      <c r="K581" s="189"/>
      <c r="L581" s="858"/>
      <c r="M581" s="858"/>
      <c r="N581" s="857"/>
      <c r="O581" s="1192"/>
      <c r="P581" s="550"/>
      <c r="Q581" s="1148"/>
      <c r="R581" s="874"/>
      <c r="S581" s="875"/>
      <c r="T581" s="875"/>
      <c r="U581" s="875"/>
      <c r="V581" s="875"/>
      <c r="W581" s="875"/>
      <c r="X581" s="1026"/>
      <c r="Y581" s="1757"/>
      <c r="Z581" s="1755"/>
      <c r="AA581" s="1775"/>
      <c r="AB581" s="1814"/>
      <c r="AC581" s="876"/>
      <c r="AD581" s="1295"/>
      <c r="AE581" s="1525"/>
      <c r="AF581" s="1525"/>
      <c r="AG581" s="1525"/>
      <c r="AH581" s="1525"/>
      <c r="AI581" s="1525"/>
      <c r="AJ581" s="1525"/>
      <c r="AK581" s="1525"/>
      <c r="AL581" s="1525"/>
      <c r="AM581" s="1525"/>
      <c r="AN581" s="1525"/>
      <c r="AO581" s="1525"/>
      <c r="AP581" s="1525"/>
      <c r="AQ581" s="1525"/>
      <c r="AR581" s="1525"/>
      <c r="AS581" s="1525"/>
      <c r="AU581" s="1525"/>
      <c r="AV581" s="1295"/>
      <c r="AW581" s="1525"/>
      <c r="AX581" s="1525"/>
      <c r="AY581" s="1525"/>
      <c r="AZ581" s="1525"/>
      <c r="BA581" s="1525"/>
      <c r="BB581" s="1525"/>
      <c r="BC581" s="1525"/>
      <c r="BD581" s="1525"/>
      <c r="BE581" s="1525"/>
      <c r="BF581" s="1525"/>
      <c r="BG581" s="1525"/>
      <c r="BH581" s="1525"/>
      <c r="BI581" s="1525"/>
      <c r="BJ581" s="1525"/>
      <c r="BK581" s="1525"/>
      <c r="BL581" s="1525"/>
      <c r="BM581" s="1525"/>
      <c r="BN581" s="1525"/>
      <c r="BO581" s="1525"/>
      <c r="BP581" s="1525"/>
      <c r="BQ581" s="1525"/>
      <c r="BR581" s="1525"/>
      <c r="BS581" s="1525"/>
      <c r="BT581" s="1670"/>
      <c r="BV581"/>
      <c r="BW581" s="859"/>
    </row>
    <row r="582" spans="2:75" ht="12.75" customHeight="1" x14ac:dyDescent="0.2">
      <c r="B582" s="175">
        <f t="shared" si="341"/>
        <v>1</v>
      </c>
      <c r="C582" s="282">
        <v>4</v>
      </c>
      <c r="D582" s="464"/>
      <c r="E582" s="474" t="s">
        <v>291</v>
      </c>
      <c r="F582" s="24" t="s">
        <v>1971</v>
      </c>
      <c r="G582" s="859" t="s">
        <v>449</v>
      </c>
      <c r="H582" s="858">
        <v>103157</v>
      </c>
      <c r="I582" s="172" t="s">
        <v>161</v>
      </c>
      <c r="J582" s="168"/>
      <c r="K582" s="189"/>
      <c r="L582" s="858">
        <v>1</v>
      </c>
      <c r="M582" s="858">
        <v>1</v>
      </c>
      <c r="N582" s="857" t="s">
        <v>1326</v>
      </c>
      <c r="O582" s="1196">
        <v>31269</v>
      </c>
      <c r="P582" s="1218">
        <f ca="1">YEARFRAC(TODAY(),O582)</f>
        <v>32.144444444444446</v>
      </c>
      <c r="Q582" s="1148">
        <v>70000</v>
      </c>
      <c r="R582" s="1035">
        <f>Q582*0.1</f>
        <v>7000</v>
      </c>
      <c r="S582" s="875"/>
      <c r="T582" s="875">
        <v>38700</v>
      </c>
      <c r="U582" s="875"/>
      <c r="V582" s="875"/>
      <c r="W582" s="875"/>
      <c r="X582" s="1026">
        <f>(Q582+R582+S582+T582+U582+V582+W582)*M582</f>
        <v>115700</v>
      </c>
      <c r="Y582" s="1512">
        <f>(T582+U582)*M582/(X582-M582*(T582+U582))</f>
        <v>0.5025974025974026</v>
      </c>
      <c r="Z582" s="1741">
        <f>M582*(1+Y582)</f>
        <v>1.5025974025974027</v>
      </c>
      <c r="AA582" s="1749">
        <f>SUM(AD582:AS582)</f>
        <v>0.25</v>
      </c>
      <c r="AB582" s="1810">
        <f t="shared" ref="AB582:AB586" si="350">100*AA582/Z582</f>
        <v>16.637856525496975</v>
      </c>
      <c r="AC582" s="876"/>
      <c r="AD582" s="1525">
        <f t="shared" ref="AD582:AS586" si="351">SUMIF($AV$6:$BS$6,AD$5,$AV582:$BS582)</f>
        <v>0</v>
      </c>
      <c r="AE582" s="1525">
        <f t="shared" si="351"/>
        <v>0</v>
      </c>
      <c r="AF582" s="1525">
        <f t="shared" si="351"/>
        <v>0</v>
      </c>
      <c r="AG582" s="1525">
        <f t="shared" si="351"/>
        <v>0</v>
      </c>
      <c r="AH582" s="1525">
        <f t="shared" si="351"/>
        <v>0</v>
      </c>
      <c r="AI582" s="1525">
        <f t="shared" si="351"/>
        <v>0.25</v>
      </c>
      <c r="AJ582" s="1525">
        <f t="shared" si="351"/>
        <v>0</v>
      </c>
      <c r="AK582" s="1525">
        <f t="shared" si="351"/>
        <v>0</v>
      </c>
      <c r="AL582" s="1525">
        <f t="shared" si="351"/>
        <v>0</v>
      </c>
      <c r="AM582" s="1525">
        <f t="shared" si="351"/>
        <v>0</v>
      </c>
      <c r="AN582" s="1525">
        <f t="shared" si="351"/>
        <v>0</v>
      </c>
      <c r="AO582" s="1525">
        <f t="shared" si="351"/>
        <v>0</v>
      </c>
      <c r="AP582" s="1525">
        <f t="shared" si="351"/>
        <v>0</v>
      </c>
      <c r="AQ582" s="1525">
        <f t="shared" si="351"/>
        <v>0</v>
      </c>
      <c r="AR582" s="1525">
        <f t="shared" si="351"/>
        <v>0</v>
      </c>
      <c r="AS582" s="1525">
        <f t="shared" si="351"/>
        <v>0</v>
      </c>
      <c r="AU582" s="1525"/>
      <c r="AV582" s="1291"/>
      <c r="AW582" s="1292"/>
      <c r="AX582" s="1292"/>
      <c r="AY582" s="1292"/>
      <c r="AZ582" s="1292"/>
      <c r="BA582" s="1292"/>
      <c r="BB582" s="1292"/>
      <c r="BC582" s="1292"/>
      <c r="BD582" s="1292"/>
      <c r="BE582" s="1292"/>
      <c r="BF582" s="1292"/>
      <c r="BG582" s="1292"/>
      <c r="BH582" s="1292"/>
      <c r="BI582" s="1292"/>
      <c r="BJ582" s="1292"/>
      <c r="BK582" s="1292"/>
      <c r="BL582" s="1292"/>
      <c r="BM582" s="1292">
        <v>0.25</v>
      </c>
      <c r="BN582" s="1292"/>
      <c r="BO582" s="1292"/>
      <c r="BP582" s="1292"/>
      <c r="BQ582" s="1292"/>
      <c r="BR582" s="1292"/>
      <c r="BS582" s="1292"/>
      <c r="BT582" s="1670">
        <f t="shared" ref="BT582:BT586" si="352">SUM(AV582:BS582)</f>
        <v>0.25</v>
      </c>
      <c r="BW582" s="859" t="s">
        <v>449</v>
      </c>
    </row>
    <row r="583" spans="2:75" ht="12.75" customHeight="1" x14ac:dyDescent="0.2">
      <c r="B583" s="175">
        <f t="shared" si="341"/>
        <v>2</v>
      </c>
      <c r="C583" s="282">
        <v>27</v>
      </c>
      <c r="D583" s="464"/>
      <c r="E583" s="474" t="s">
        <v>291</v>
      </c>
      <c r="F583" s="24" t="s">
        <v>1607</v>
      </c>
      <c r="G583" s="859" t="s">
        <v>1608</v>
      </c>
      <c r="H583" s="858">
        <v>6106</v>
      </c>
      <c r="I583" s="172" t="s">
        <v>161</v>
      </c>
      <c r="J583" s="168"/>
      <c r="K583" s="189"/>
      <c r="L583" s="858">
        <v>1</v>
      </c>
      <c r="M583" s="858">
        <f>K583+L583</f>
        <v>1</v>
      </c>
      <c r="N583" s="857" t="s">
        <v>892</v>
      </c>
      <c r="O583" s="1196">
        <v>18710</v>
      </c>
      <c r="P583" s="1218">
        <f ca="1">YEARFRAC(TODAY(),O583)</f>
        <v>66.525000000000006</v>
      </c>
      <c r="Q583" s="1148">
        <v>61500</v>
      </c>
      <c r="R583" s="874"/>
      <c r="S583" s="875"/>
      <c r="T583" s="875">
        <v>22300</v>
      </c>
      <c r="U583" s="875"/>
      <c r="V583" s="875"/>
      <c r="W583" s="875"/>
      <c r="X583" s="1026">
        <f>(Q583+R583+S583+T583+U583+V583+W583)*M583</f>
        <v>83800</v>
      </c>
      <c r="Y583" s="1512">
        <f>(T583+U583)*M583/(X583-M583*(T583+U583))</f>
        <v>0.36260162601626017</v>
      </c>
      <c r="Z583" s="1741">
        <f>M583*(1+Y583)</f>
        <v>1.3626016260162601</v>
      </c>
      <c r="AA583" s="1749">
        <f>SUM(AD583:AS583)</f>
        <v>0</v>
      </c>
      <c r="AB583" s="1810">
        <f t="shared" si="350"/>
        <v>0</v>
      </c>
      <c r="AC583" s="876"/>
      <c r="AD583" s="1525">
        <f t="shared" si="351"/>
        <v>0</v>
      </c>
      <c r="AE583" s="1525">
        <f t="shared" si="351"/>
        <v>0</v>
      </c>
      <c r="AF583" s="1525">
        <f t="shared" si="351"/>
        <v>0</v>
      </c>
      <c r="AG583" s="1525">
        <f t="shared" si="351"/>
        <v>0</v>
      </c>
      <c r="AH583" s="1525">
        <f t="shared" si="351"/>
        <v>0</v>
      </c>
      <c r="AI583" s="1525">
        <f t="shared" si="351"/>
        <v>0</v>
      </c>
      <c r="AJ583" s="1525">
        <f t="shared" si="351"/>
        <v>0</v>
      </c>
      <c r="AK583" s="1525">
        <f t="shared" si="351"/>
        <v>0</v>
      </c>
      <c r="AL583" s="1525">
        <f t="shared" si="351"/>
        <v>0</v>
      </c>
      <c r="AM583" s="1525">
        <f t="shared" si="351"/>
        <v>0</v>
      </c>
      <c r="AN583" s="1525">
        <f t="shared" si="351"/>
        <v>0</v>
      </c>
      <c r="AO583" s="1525">
        <f t="shared" si="351"/>
        <v>0</v>
      </c>
      <c r="AP583" s="1525">
        <f t="shared" si="351"/>
        <v>0</v>
      </c>
      <c r="AQ583" s="1525">
        <f t="shared" si="351"/>
        <v>0</v>
      </c>
      <c r="AR583" s="1525">
        <f t="shared" si="351"/>
        <v>0</v>
      </c>
      <c r="AS583" s="1525">
        <f t="shared" si="351"/>
        <v>0</v>
      </c>
      <c r="AU583" s="1525"/>
      <c r="AV583" s="1291"/>
      <c r="AW583" s="1292"/>
      <c r="AX583" s="1292"/>
      <c r="AY583" s="1292"/>
      <c r="AZ583" s="1292"/>
      <c r="BA583" s="1292"/>
      <c r="BB583" s="1292"/>
      <c r="BC583" s="1292"/>
      <c r="BD583" s="1292"/>
      <c r="BE583" s="1292"/>
      <c r="BF583" s="1292"/>
      <c r="BG583" s="1292"/>
      <c r="BH583" s="1292"/>
      <c r="BI583" s="1292"/>
      <c r="BJ583" s="1292"/>
      <c r="BK583" s="1292"/>
      <c r="BL583" s="1292"/>
      <c r="BM583" s="1292"/>
      <c r="BN583" s="1292"/>
      <c r="BO583" s="1292"/>
      <c r="BP583" s="1292"/>
      <c r="BQ583" s="1292"/>
      <c r="BR583" s="1292"/>
      <c r="BS583" s="1292"/>
      <c r="BT583" s="1670">
        <f t="shared" si="352"/>
        <v>0</v>
      </c>
      <c r="BW583" s="859" t="s">
        <v>1608</v>
      </c>
    </row>
    <row r="584" spans="2:75" ht="16" x14ac:dyDescent="0.2">
      <c r="B584" s="175">
        <f t="shared" si="341"/>
        <v>3</v>
      </c>
      <c r="C584" s="282">
        <v>27</v>
      </c>
      <c r="D584" s="464"/>
      <c r="E584" s="474" t="s">
        <v>291</v>
      </c>
      <c r="F584" s="24" t="s">
        <v>1607</v>
      </c>
      <c r="G584" s="859" t="s">
        <v>1516</v>
      </c>
      <c r="H584" s="858">
        <v>112134</v>
      </c>
      <c r="I584" s="200" t="s">
        <v>161</v>
      </c>
      <c r="J584" s="174"/>
      <c r="K584" s="174"/>
      <c r="L584" s="858">
        <v>1</v>
      </c>
      <c r="M584" s="858">
        <v>1</v>
      </c>
      <c r="N584" s="857" t="s">
        <v>1326</v>
      </c>
      <c r="O584" s="1196">
        <v>32675</v>
      </c>
      <c r="P584" s="1218">
        <f ca="1">YEARFRAC(TODAY(),O584)</f>
        <v>28.294444444444444</v>
      </c>
      <c r="Q584" s="1148">
        <v>56000</v>
      </c>
      <c r="R584" s="874">
        <f>Q584*0.1</f>
        <v>5600</v>
      </c>
      <c r="S584" s="875"/>
      <c r="T584" s="875">
        <v>34200</v>
      </c>
      <c r="U584" s="875"/>
      <c r="V584" s="875"/>
      <c r="W584" s="875"/>
      <c r="X584" s="1026">
        <f>(Q584+R584+S584+T584+U584+V584+W584)*M584</f>
        <v>95800</v>
      </c>
      <c r="Y584" s="1512">
        <f>(T584+U584)*M584/(X584-M584*(T584+U584))</f>
        <v>0.55519480519480524</v>
      </c>
      <c r="Z584" s="1741">
        <f>M584*(1+Y584)</f>
        <v>1.5551948051948052</v>
      </c>
      <c r="AA584" s="1749">
        <f>SUM(AD584:AS584)</f>
        <v>0</v>
      </c>
      <c r="AB584" s="1810">
        <f t="shared" si="350"/>
        <v>0</v>
      </c>
      <c r="AC584" s="876"/>
      <c r="AD584" s="1525">
        <f t="shared" si="351"/>
        <v>0</v>
      </c>
      <c r="AE584" s="1525">
        <f t="shared" si="351"/>
        <v>0</v>
      </c>
      <c r="AF584" s="1525">
        <f t="shared" si="351"/>
        <v>0</v>
      </c>
      <c r="AG584" s="1525">
        <f t="shared" si="351"/>
        <v>0</v>
      </c>
      <c r="AH584" s="1525">
        <f t="shared" si="351"/>
        <v>0</v>
      </c>
      <c r="AI584" s="1525">
        <f t="shared" si="351"/>
        <v>0</v>
      </c>
      <c r="AJ584" s="1525">
        <f t="shared" si="351"/>
        <v>0</v>
      </c>
      <c r="AK584" s="1525">
        <f t="shared" si="351"/>
        <v>0</v>
      </c>
      <c r="AL584" s="1525">
        <f t="shared" si="351"/>
        <v>0</v>
      </c>
      <c r="AM584" s="1525">
        <f t="shared" si="351"/>
        <v>0</v>
      </c>
      <c r="AN584" s="1525">
        <f t="shared" si="351"/>
        <v>0</v>
      </c>
      <c r="AO584" s="1525">
        <f t="shared" si="351"/>
        <v>0</v>
      </c>
      <c r="AP584" s="1525">
        <f t="shared" si="351"/>
        <v>0</v>
      </c>
      <c r="AQ584" s="1525">
        <f t="shared" si="351"/>
        <v>0</v>
      </c>
      <c r="AR584" s="1525">
        <f t="shared" si="351"/>
        <v>0</v>
      </c>
      <c r="AS584" s="1525">
        <f t="shared" si="351"/>
        <v>0</v>
      </c>
      <c r="AU584" s="1525"/>
      <c r="AV584" s="1291"/>
      <c r="AW584" s="1292"/>
      <c r="AX584" s="1292"/>
      <c r="AY584" s="1292"/>
      <c r="AZ584" s="1292"/>
      <c r="BA584" s="1292"/>
      <c r="BB584" s="1292"/>
      <c r="BC584" s="1292"/>
      <c r="BD584" s="1292"/>
      <c r="BE584" s="1292"/>
      <c r="BF584" s="1292"/>
      <c r="BG584" s="1292"/>
      <c r="BH584" s="1292"/>
      <c r="BI584" s="1292"/>
      <c r="BJ584" s="1292"/>
      <c r="BK584" s="1292"/>
      <c r="BL584" s="1292"/>
      <c r="BM584" s="1292"/>
      <c r="BN584" s="1292"/>
      <c r="BO584" s="1292"/>
      <c r="BP584" s="1292"/>
      <c r="BQ584" s="1292"/>
      <c r="BR584" s="1292"/>
      <c r="BS584" s="1292"/>
      <c r="BT584" s="1670">
        <f t="shared" si="352"/>
        <v>0</v>
      </c>
      <c r="BW584" s="859" t="s">
        <v>1516</v>
      </c>
    </row>
    <row r="585" spans="2:75" ht="12.75" customHeight="1" x14ac:dyDescent="0.2">
      <c r="B585" s="175">
        <f t="shared" si="341"/>
        <v>4</v>
      </c>
      <c r="C585" s="282">
        <v>12</v>
      </c>
      <c r="D585" s="464"/>
      <c r="E585" s="474" t="s">
        <v>291</v>
      </c>
      <c r="F585" s="24" t="s">
        <v>1235</v>
      </c>
      <c r="G585" s="859" t="s">
        <v>1799</v>
      </c>
      <c r="H585" s="858">
        <v>160220</v>
      </c>
      <c r="I585" s="197" t="s">
        <v>1584</v>
      </c>
      <c r="J585" s="168"/>
      <c r="K585" s="189"/>
      <c r="L585" s="858">
        <v>1</v>
      </c>
      <c r="M585" s="858">
        <v>1</v>
      </c>
      <c r="N585" s="857" t="s">
        <v>1326</v>
      </c>
      <c r="O585" s="1196">
        <v>30448</v>
      </c>
      <c r="P585" s="1218">
        <f ca="1">YEARFRAC(TODAY(),O585)</f>
        <v>34.388888888888886</v>
      </c>
      <c r="Q585" s="1148">
        <v>40500</v>
      </c>
      <c r="R585" s="1035">
        <f>Q585*0.1</f>
        <v>4050</v>
      </c>
      <c r="S585" s="875"/>
      <c r="T585" s="875">
        <v>14000</v>
      </c>
      <c r="U585" s="875"/>
      <c r="V585" s="875"/>
      <c r="W585" s="875"/>
      <c r="X585" s="1026">
        <f>(Q585+R585+S585+T585+U585+V585+W585)*M585</f>
        <v>58550</v>
      </c>
      <c r="Y585" s="1512">
        <f>(T585+U585)*M585/(X585-M585*(T585+U585))</f>
        <v>0.31425364758698093</v>
      </c>
      <c r="Z585" s="1741">
        <f>M585*(1+Y585)</f>
        <v>1.3142536475869808</v>
      </c>
      <c r="AA585" s="1749">
        <f>SUM(AD585:AS585)</f>
        <v>0</v>
      </c>
      <c r="AB585" s="1810">
        <f t="shared" si="350"/>
        <v>0</v>
      </c>
      <c r="AC585" s="876"/>
      <c r="AD585" s="1525">
        <f t="shared" si="351"/>
        <v>0</v>
      </c>
      <c r="AE585" s="1525">
        <f t="shared" si="351"/>
        <v>0</v>
      </c>
      <c r="AF585" s="1525">
        <f t="shared" si="351"/>
        <v>0</v>
      </c>
      <c r="AG585" s="1525">
        <f t="shared" si="351"/>
        <v>0</v>
      </c>
      <c r="AH585" s="1525">
        <f t="shared" si="351"/>
        <v>0</v>
      </c>
      <c r="AI585" s="1525">
        <f t="shared" si="351"/>
        <v>0</v>
      </c>
      <c r="AJ585" s="1525">
        <f t="shared" si="351"/>
        <v>0</v>
      </c>
      <c r="AK585" s="1525">
        <f t="shared" si="351"/>
        <v>0</v>
      </c>
      <c r="AL585" s="1525">
        <f t="shared" si="351"/>
        <v>0</v>
      </c>
      <c r="AM585" s="1525">
        <f t="shared" si="351"/>
        <v>0</v>
      </c>
      <c r="AN585" s="1525">
        <f t="shared" si="351"/>
        <v>0</v>
      </c>
      <c r="AO585" s="1525">
        <f t="shared" si="351"/>
        <v>0</v>
      </c>
      <c r="AP585" s="1525">
        <f t="shared" si="351"/>
        <v>0</v>
      </c>
      <c r="AQ585" s="1525">
        <f t="shared" si="351"/>
        <v>0</v>
      </c>
      <c r="AR585" s="1525">
        <f t="shared" si="351"/>
        <v>0</v>
      </c>
      <c r="AS585" s="1525">
        <f t="shared" si="351"/>
        <v>0</v>
      </c>
      <c r="AU585" s="1525"/>
      <c r="AV585" s="1291"/>
      <c r="AW585" s="1292"/>
      <c r="AX585" s="1292"/>
      <c r="AY585" s="1292"/>
      <c r="AZ585" s="1292"/>
      <c r="BA585" s="1292"/>
      <c r="BB585" s="1292"/>
      <c r="BC585" s="1292"/>
      <c r="BD585" s="1292"/>
      <c r="BE585" s="1292"/>
      <c r="BF585" s="1292"/>
      <c r="BG585" s="1292"/>
      <c r="BH585" s="1292"/>
      <c r="BI585" s="1292"/>
      <c r="BJ585" s="1292"/>
      <c r="BK585" s="1292"/>
      <c r="BL585" s="1292"/>
      <c r="BM585" s="1292"/>
      <c r="BN585" s="1292"/>
      <c r="BO585" s="1292"/>
      <c r="BP585" s="1292"/>
      <c r="BQ585" s="1292"/>
      <c r="BR585" s="1292"/>
      <c r="BS585" s="1292"/>
      <c r="BT585" s="1670">
        <f t="shared" si="352"/>
        <v>0</v>
      </c>
      <c r="BW585" s="859" t="s">
        <v>1799</v>
      </c>
    </row>
    <row r="586" spans="2:75" ht="12.75" customHeight="1" x14ac:dyDescent="0.2">
      <c r="B586" s="175">
        <f t="shared" si="341"/>
        <v>5</v>
      </c>
      <c r="C586" s="219">
        <v>22</v>
      </c>
      <c r="E586" s="12" t="s">
        <v>291</v>
      </c>
      <c r="F586" s="4" t="s">
        <v>1586</v>
      </c>
      <c r="G586" s="862" t="s">
        <v>1609</v>
      </c>
      <c r="H586" s="861">
        <v>3666</v>
      </c>
      <c r="I586" s="197" t="s">
        <v>1584</v>
      </c>
      <c r="J586" s="174"/>
      <c r="K586" s="174"/>
      <c r="L586" s="861">
        <v>1</v>
      </c>
      <c r="M586" s="861">
        <f>K586+L586</f>
        <v>1</v>
      </c>
      <c r="N586" s="836" t="s">
        <v>892</v>
      </c>
      <c r="O586" s="1196">
        <v>20655</v>
      </c>
      <c r="P586" s="1218">
        <f ca="1">YEARFRAC(TODAY(),O586)</f>
        <v>61.202777777777776</v>
      </c>
      <c r="Q586" s="1148">
        <v>28000</v>
      </c>
      <c r="R586" s="874"/>
      <c r="S586" s="875"/>
      <c r="T586" s="875"/>
      <c r="U586" s="875"/>
      <c r="V586" s="875"/>
      <c r="W586" s="875"/>
      <c r="X586" s="1026">
        <f>(Q586+R586+S586+T586+U586+V586+W586)*M586</f>
        <v>28000</v>
      </c>
      <c r="Y586" s="1512">
        <f>(T586+U586)*M586/(X586-M586*(T586+U586))</f>
        <v>0</v>
      </c>
      <c r="Z586" s="1741">
        <f>M586*(1+Y586)</f>
        <v>1</v>
      </c>
      <c r="AA586" s="1749">
        <f>SUM(AD586:AS586)</f>
        <v>0</v>
      </c>
      <c r="AB586" s="1810">
        <f t="shared" si="350"/>
        <v>0</v>
      </c>
      <c r="AC586" s="876"/>
      <c r="AD586" s="1525">
        <f t="shared" si="351"/>
        <v>0</v>
      </c>
      <c r="AE586" s="1525">
        <f t="shared" si="351"/>
        <v>0</v>
      </c>
      <c r="AF586" s="1525">
        <f t="shared" si="351"/>
        <v>0</v>
      </c>
      <c r="AG586" s="1525">
        <f t="shared" si="351"/>
        <v>0</v>
      </c>
      <c r="AH586" s="1525">
        <f t="shared" si="351"/>
        <v>0</v>
      </c>
      <c r="AI586" s="1525">
        <f t="shared" si="351"/>
        <v>0</v>
      </c>
      <c r="AJ586" s="1525">
        <f t="shared" si="351"/>
        <v>0</v>
      </c>
      <c r="AK586" s="1525">
        <f t="shared" si="351"/>
        <v>0</v>
      </c>
      <c r="AL586" s="1525">
        <f t="shared" si="351"/>
        <v>0</v>
      </c>
      <c r="AM586" s="1525">
        <f t="shared" si="351"/>
        <v>0</v>
      </c>
      <c r="AN586" s="1525">
        <f t="shared" si="351"/>
        <v>0</v>
      </c>
      <c r="AO586" s="1525">
        <f t="shared" si="351"/>
        <v>0</v>
      </c>
      <c r="AP586" s="1525">
        <f t="shared" si="351"/>
        <v>0</v>
      </c>
      <c r="AQ586" s="1525">
        <f t="shared" si="351"/>
        <v>0</v>
      </c>
      <c r="AR586" s="1525">
        <f t="shared" si="351"/>
        <v>0</v>
      </c>
      <c r="AS586" s="1525">
        <f t="shared" si="351"/>
        <v>0</v>
      </c>
      <c r="AU586" s="1525"/>
      <c r="AV586" s="1291"/>
      <c r="AW586" s="1292"/>
      <c r="AX586" s="1292"/>
      <c r="AY586" s="1292"/>
      <c r="AZ586" s="1292"/>
      <c r="BA586" s="1292"/>
      <c r="BB586" s="1292"/>
      <c r="BC586" s="1292"/>
      <c r="BD586" s="1292"/>
      <c r="BE586" s="1292"/>
      <c r="BF586" s="1292"/>
      <c r="BG586" s="1292"/>
      <c r="BH586" s="1292"/>
      <c r="BI586" s="1292"/>
      <c r="BJ586" s="1292"/>
      <c r="BK586" s="1292"/>
      <c r="BL586" s="1292"/>
      <c r="BM586" s="1292"/>
      <c r="BN586" s="1292"/>
      <c r="BO586" s="1292"/>
      <c r="BP586" s="1292"/>
      <c r="BQ586" s="1292"/>
      <c r="BR586" s="1292"/>
      <c r="BS586" s="1292"/>
      <c r="BT586" s="1670">
        <f t="shared" si="352"/>
        <v>0</v>
      </c>
      <c r="BW586" s="862" t="s">
        <v>1609</v>
      </c>
    </row>
    <row r="587" spans="2:75" ht="12.75" customHeight="1" x14ac:dyDescent="0.2">
      <c r="B587" s="175"/>
      <c r="C587" s="219"/>
      <c r="E587" s="12"/>
      <c r="F587" s="26"/>
      <c r="G587" s="910"/>
      <c r="H587" s="1354" t="s">
        <v>1508</v>
      </c>
      <c r="I587" s="196"/>
      <c r="J587" s="195"/>
      <c r="K587" s="195"/>
      <c r="L587" s="873"/>
      <c r="M587" s="873"/>
      <c r="N587" s="872"/>
      <c r="O587" s="1193"/>
      <c r="P587" s="1218"/>
      <c r="Q587" s="1153"/>
      <c r="R587" s="874"/>
      <c r="S587" s="876"/>
      <c r="T587" s="876"/>
      <c r="U587" s="876"/>
      <c r="V587" s="876"/>
      <c r="W587" s="876"/>
      <c r="X587" s="1026"/>
      <c r="Y587" s="1754"/>
      <c r="Z587" s="1755"/>
      <c r="AA587" s="1775"/>
      <c r="AB587" s="1814"/>
      <c r="AC587" s="876"/>
      <c r="AD587" s="1295"/>
      <c r="AE587" s="1525"/>
      <c r="AF587" s="1525"/>
      <c r="AG587" s="1525"/>
      <c r="AH587" s="1525"/>
      <c r="AI587" s="1525"/>
      <c r="AJ587" s="1525"/>
      <c r="AK587" s="1525"/>
      <c r="AL587" s="1525"/>
      <c r="AM587" s="1525"/>
      <c r="AN587" s="1525"/>
      <c r="AO587" s="1525"/>
      <c r="AP587" s="1525"/>
      <c r="AQ587" s="1525"/>
      <c r="AR587" s="1525"/>
      <c r="AS587" s="1525"/>
      <c r="AU587" s="1525"/>
      <c r="AV587" s="1291"/>
      <c r="AW587" s="1292"/>
      <c r="AX587" s="1292"/>
      <c r="AY587" s="1292"/>
      <c r="AZ587" s="1292"/>
      <c r="BA587" s="1292"/>
      <c r="BB587" s="1292"/>
      <c r="BC587" s="1292"/>
      <c r="BD587" s="1292"/>
      <c r="BE587" s="1292"/>
      <c r="BF587" s="1292"/>
      <c r="BG587" s="1292"/>
      <c r="BH587" s="1292"/>
      <c r="BI587" s="1292"/>
      <c r="BJ587" s="1292"/>
      <c r="BK587" s="1292"/>
      <c r="BL587" s="1292"/>
      <c r="BM587" s="1292"/>
      <c r="BN587" s="1292"/>
      <c r="BO587" s="1292"/>
      <c r="BP587" s="1292"/>
      <c r="BQ587" s="1292"/>
      <c r="BR587" s="1292"/>
      <c r="BS587" s="1292"/>
      <c r="BT587" s="1670"/>
      <c r="BW587" s="910"/>
    </row>
    <row r="588" spans="2:75" s="164" customFormat="1" ht="12.75" customHeight="1" x14ac:dyDescent="0.2">
      <c r="B588" s="175"/>
      <c r="C588" s="219" t="s">
        <v>1120</v>
      </c>
      <c r="F588" s="1" t="s">
        <v>379</v>
      </c>
      <c r="G588" s="859"/>
      <c r="H588" s="1361" t="s">
        <v>1508</v>
      </c>
      <c r="I588" s="172"/>
      <c r="J588" s="168"/>
      <c r="K588" s="448">
        <f>SUM(K583:K586)</f>
        <v>0</v>
      </c>
      <c r="L588" s="902">
        <f>SUM(L582:L587)</f>
        <v>5</v>
      </c>
      <c r="M588" s="902">
        <f>SUM(M582:M587)</f>
        <v>5</v>
      </c>
      <c r="N588" s="857"/>
      <c r="O588" s="1192"/>
      <c r="P588" s="550"/>
      <c r="Q588" s="1153"/>
      <c r="R588" s="877"/>
      <c r="S588" s="875"/>
      <c r="T588" s="875"/>
      <c r="U588" s="875"/>
      <c r="V588" s="875"/>
      <c r="W588" s="875"/>
      <c r="X588" s="1026"/>
      <c r="Y588" s="1335"/>
      <c r="Z588" s="1335"/>
      <c r="AA588" s="1775"/>
      <c r="AB588" s="1814"/>
      <c r="AC588" s="876"/>
      <c r="AD588" s="1295"/>
      <c r="AE588" s="1525"/>
      <c r="AF588" s="1525"/>
      <c r="AG588" s="1525"/>
      <c r="AH588" s="1525"/>
      <c r="AI588" s="1525"/>
      <c r="AJ588" s="1525"/>
      <c r="AK588" s="1525"/>
      <c r="AL588" s="1525"/>
      <c r="AM588" s="1525"/>
      <c r="AN588" s="1525"/>
      <c r="AO588" s="1525"/>
      <c r="AP588" s="1525"/>
      <c r="AQ588" s="1525"/>
      <c r="AR588" s="1525"/>
      <c r="AS588" s="1525"/>
      <c r="AU588" s="1525"/>
      <c r="AV588" s="1295"/>
      <c r="AW588" s="1525"/>
      <c r="AX588" s="1525"/>
      <c r="AY588" s="1525"/>
      <c r="AZ588" s="1525"/>
      <c r="BA588" s="1525"/>
      <c r="BB588" s="1525"/>
      <c r="BC588" s="1525"/>
      <c r="BD588" s="1525"/>
      <c r="BE588" s="1525"/>
      <c r="BF588" s="1525"/>
      <c r="BG588" s="1525"/>
      <c r="BH588" s="1525"/>
      <c r="BI588" s="1525"/>
      <c r="BJ588" s="1525"/>
      <c r="BK588" s="1525"/>
      <c r="BL588" s="1525"/>
      <c r="BM588" s="1525"/>
      <c r="BN588" s="1525"/>
      <c r="BO588" s="1525"/>
      <c r="BP588" s="1525"/>
      <c r="BQ588" s="1525"/>
      <c r="BR588" s="1525"/>
      <c r="BS588" s="1525"/>
      <c r="BT588" s="1670"/>
      <c r="BV588"/>
      <c r="BW588" s="859"/>
    </row>
    <row r="589" spans="2:75" s="164" customFormat="1" ht="12.75" customHeight="1" x14ac:dyDescent="0.2">
      <c r="B589" s="175"/>
      <c r="F589" s="1"/>
      <c r="G589" s="859"/>
      <c r="H589" s="1346" t="s">
        <v>1508</v>
      </c>
      <c r="I589" s="172"/>
      <c r="J589" s="168"/>
      <c r="K589" s="168"/>
      <c r="L589" s="858"/>
      <c r="M589" s="858"/>
      <c r="N589" s="857"/>
      <c r="O589" s="1192"/>
      <c r="P589" s="550"/>
      <c r="Q589" s="1148"/>
      <c r="R589" s="874"/>
      <c r="S589" s="875"/>
      <c r="T589" s="875"/>
      <c r="U589" s="875"/>
      <c r="V589" s="875"/>
      <c r="W589" s="875"/>
      <c r="X589" s="1026"/>
      <c r="Y589" s="1754"/>
      <c r="Z589" s="1755"/>
      <c r="AA589" s="1775"/>
      <c r="AB589" s="1814"/>
      <c r="AC589" s="876"/>
      <c r="AD589" s="1295"/>
      <c r="AE589" s="1525"/>
      <c r="AF589" s="1525"/>
      <c r="AG589" s="1525"/>
      <c r="AH589" s="1525"/>
      <c r="AI589" s="1525"/>
      <c r="AJ589" s="1525"/>
      <c r="AK589" s="1525"/>
      <c r="AL589" s="1525"/>
      <c r="AM589" s="1525"/>
      <c r="AN589" s="1525"/>
      <c r="AO589" s="1525"/>
      <c r="AP589" s="1525"/>
      <c r="AQ589" s="1525"/>
      <c r="AR589" s="1525"/>
      <c r="AS589" s="1525"/>
      <c r="AU589" s="1525"/>
      <c r="AV589" s="1295"/>
      <c r="AW589" s="1525"/>
      <c r="AX589" s="1525"/>
      <c r="AY589" s="1525"/>
      <c r="AZ589" s="1525"/>
      <c r="BA589" s="1525"/>
      <c r="BB589" s="1525"/>
      <c r="BC589" s="1525"/>
      <c r="BD589" s="1525"/>
      <c r="BE589" s="1525"/>
      <c r="BF589" s="1525"/>
      <c r="BG589" s="1525"/>
      <c r="BH589" s="1525"/>
      <c r="BI589" s="1525"/>
      <c r="BJ589" s="1525"/>
      <c r="BK589" s="1525"/>
      <c r="BL589" s="1525"/>
      <c r="BM589" s="1525"/>
      <c r="BN589" s="1525"/>
      <c r="BO589" s="1525"/>
      <c r="BP589" s="1525"/>
      <c r="BQ589" s="1525"/>
      <c r="BR589" s="1525"/>
      <c r="BS589" s="1525"/>
      <c r="BT589" s="1670"/>
      <c r="BV589"/>
      <c r="BW589" s="859"/>
    </row>
    <row r="590" spans="2:75" s="164" customFormat="1" ht="12.75" customHeight="1" x14ac:dyDescent="0.2">
      <c r="B590" s="175"/>
      <c r="F590" s="36" t="s">
        <v>1610</v>
      </c>
      <c r="G590" s="862"/>
      <c r="H590" s="1347" t="s">
        <v>1508</v>
      </c>
      <c r="I590" s="197"/>
      <c r="J590" s="174"/>
      <c r="K590" s="174"/>
      <c r="L590" s="861"/>
      <c r="M590" s="861"/>
      <c r="N590" s="836"/>
      <c r="O590" s="1192"/>
      <c r="P590" s="1294"/>
      <c r="Q590" s="1148"/>
      <c r="R590" s="874"/>
      <c r="S590" s="876"/>
      <c r="T590" s="876"/>
      <c r="U590" s="876"/>
      <c r="V590" s="876"/>
      <c r="W590" s="876"/>
      <c r="X590" s="1026"/>
      <c r="Y590" s="1754"/>
      <c r="Z590" s="1755"/>
      <c r="AA590" s="1775"/>
      <c r="AB590" s="1814"/>
      <c r="AC590" s="876"/>
      <c r="AD590" s="1295"/>
      <c r="AE590" s="1525"/>
      <c r="AF590" s="1525"/>
      <c r="AG590" s="1525"/>
      <c r="AH590" s="1525"/>
      <c r="AI590" s="1525"/>
      <c r="AJ590" s="1525"/>
      <c r="AK590" s="1525"/>
      <c r="AL590" s="1525"/>
      <c r="AM590" s="1525"/>
      <c r="AN590" s="1525"/>
      <c r="AO590" s="1525"/>
      <c r="AP590" s="1525"/>
      <c r="AQ590" s="1525"/>
      <c r="AR590" s="1525"/>
      <c r="AS590" s="1525"/>
      <c r="AU590" s="1525"/>
      <c r="AV590" s="1295"/>
      <c r="AW590" s="1525"/>
      <c r="AX590" s="1525"/>
      <c r="AY590" s="1525"/>
      <c r="AZ590" s="1525"/>
      <c r="BA590" s="1525"/>
      <c r="BB590" s="1525"/>
      <c r="BC590" s="1525"/>
      <c r="BD590" s="1525"/>
      <c r="BE590" s="1525"/>
      <c r="BF590" s="1525"/>
      <c r="BG590" s="1525"/>
      <c r="BH590" s="1525"/>
      <c r="BI590" s="1525"/>
      <c r="BJ590" s="1525"/>
      <c r="BK590" s="1525"/>
      <c r="BL590" s="1525"/>
      <c r="BM590" s="1525"/>
      <c r="BN590" s="1525"/>
      <c r="BO590" s="1525"/>
      <c r="BP590" s="1525"/>
      <c r="BQ590" s="1525"/>
      <c r="BR590" s="1525"/>
      <c r="BS590" s="1525"/>
      <c r="BT590" s="1670"/>
      <c r="BV590"/>
      <c r="BW590" s="862"/>
    </row>
    <row r="591" spans="2:75" s="164" customFormat="1" ht="12.75" customHeight="1" x14ac:dyDescent="0.2">
      <c r="B591" s="175"/>
      <c r="F591" s="24" t="s">
        <v>436</v>
      </c>
      <c r="G591" s="859"/>
      <c r="H591" s="1346" t="s">
        <v>1508</v>
      </c>
      <c r="I591" s="200"/>
      <c r="J591" s="189"/>
      <c r="K591" s="189"/>
      <c r="L591" s="858"/>
      <c r="M591" s="858"/>
      <c r="N591" s="857"/>
      <c r="O591" s="1192"/>
      <c r="P591" s="550"/>
      <c r="Q591" s="1148"/>
      <c r="R591" s="874"/>
      <c r="S591" s="875"/>
      <c r="T591" s="875"/>
      <c r="U591" s="875"/>
      <c r="V591" s="875"/>
      <c r="W591" s="875"/>
      <c r="X591" s="1026"/>
      <c r="Y591" s="1754"/>
      <c r="Z591" s="1755"/>
      <c r="AA591" s="1775"/>
      <c r="AB591" s="1814"/>
      <c r="AC591" s="876"/>
      <c r="AD591" s="1295"/>
      <c r="AE591" s="1525"/>
      <c r="AF591" s="1525"/>
      <c r="AG591" s="1525"/>
      <c r="AH591" s="1525"/>
      <c r="AI591" s="1525"/>
      <c r="AJ591" s="1525"/>
      <c r="AK591" s="1525"/>
      <c r="AL591" s="1525"/>
      <c r="AM591" s="1525"/>
      <c r="AN591" s="1525"/>
      <c r="AO591" s="1525"/>
      <c r="AP591" s="1525"/>
      <c r="AQ591" s="1525"/>
      <c r="AR591" s="1525"/>
      <c r="AS591" s="1525"/>
      <c r="AU591" s="1525"/>
      <c r="AV591" s="1295"/>
      <c r="AW591" s="1525"/>
      <c r="AX591" s="1525"/>
      <c r="AY591" s="1525"/>
      <c r="AZ591" s="1525"/>
      <c r="BA591" s="1525"/>
      <c r="BB591" s="1525"/>
      <c r="BC591" s="1525"/>
      <c r="BD591" s="1525"/>
      <c r="BE591" s="1525"/>
      <c r="BF591" s="1525"/>
      <c r="BG591" s="1525"/>
      <c r="BH591" s="1525"/>
      <c r="BI591" s="1525"/>
      <c r="BJ591" s="1525"/>
      <c r="BK591" s="1525"/>
      <c r="BL591" s="1525"/>
      <c r="BM591" s="1525"/>
      <c r="BN591" s="1525"/>
      <c r="BO591" s="1525"/>
      <c r="BP591" s="1525"/>
      <c r="BQ591" s="1525"/>
      <c r="BR591" s="1525"/>
      <c r="BS591" s="1525"/>
      <c r="BT591" s="1670"/>
      <c r="BV591"/>
      <c r="BW591" s="859"/>
    </row>
    <row r="592" spans="2:75" ht="12.75" customHeight="1" x14ac:dyDescent="0.2">
      <c r="B592" s="175">
        <f t="shared" si="341"/>
        <v>1</v>
      </c>
      <c r="C592" s="282">
        <v>5</v>
      </c>
      <c r="D592" s="464"/>
      <c r="E592" s="474" t="s">
        <v>291</v>
      </c>
      <c r="F592" s="467" t="s">
        <v>166</v>
      </c>
      <c r="G592" s="859" t="s">
        <v>1822</v>
      </c>
      <c r="H592" s="858">
        <v>264244</v>
      </c>
      <c r="I592" s="621" t="s">
        <v>351</v>
      </c>
      <c r="J592" s="623"/>
      <c r="K592" s="623">
        <v>1</v>
      </c>
      <c r="L592" s="858"/>
      <c r="M592" s="858">
        <f>K592+L592</f>
        <v>1</v>
      </c>
      <c r="N592" s="857" t="s">
        <v>892</v>
      </c>
      <c r="O592" s="1196">
        <v>17902</v>
      </c>
      <c r="P592" s="1218">
        <f ca="1">YEARFRAC(TODAY(),O592)</f>
        <v>68.74444444444444</v>
      </c>
      <c r="Q592" s="1148">
        <v>46750</v>
      </c>
      <c r="R592" s="874"/>
      <c r="S592" s="875">
        <v>3000</v>
      </c>
      <c r="T592" s="875">
        <v>3000</v>
      </c>
      <c r="U592" s="875"/>
      <c r="V592" s="875"/>
      <c r="W592" s="875"/>
      <c r="X592" s="1026">
        <f>(Q592+R592+S592+T592+U592+V592+W592)*M592</f>
        <v>52750</v>
      </c>
      <c r="Y592" s="1512">
        <f>(T592+U592)*M592/(X592-M592*(T592+U592))</f>
        <v>6.030150753768844E-2</v>
      </c>
      <c r="Z592" s="1741">
        <f>M592*(1+Y592)</f>
        <v>1.0603015075376885</v>
      </c>
      <c r="AA592" s="1749">
        <f>SUM(AD592:AS592)</f>
        <v>0</v>
      </c>
      <c r="AB592" s="1810">
        <f t="shared" ref="AB592:AB595" si="353">100*AA592/Z592</f>
        <v>0</v>
      </c>
      <c r="AC592" s="876"/>
      <c r="AD592" s="1525">
        <f t="shared" ref="AD592:AS593" si="354">SUMIF($AV$6:$BS$6,AD$5,$AV592:$BS592)</f>
        <v>0</v>
      </c>
      <c r="AE592" s="1525">
        <f t="shared" si="354"/>
        <v>0</v>
      </c>
      <c r="AF592" s="1525">
        <f t="shared" si="354"/>
        <v>0</v>
      </c>
      <c r="AG592" s="1525">
        <f t="shared" si="354"/>
        <v>0</v>
      </c>
      <c r="AH592" s="1525">
        <f t="shared" si="354"/>
        <v>0</v>
      </c>
      <c r="AI592" s="1525">
        <f t="shared" si="354"/>
        <v>0</v>
      </c>
      <c r="AJ592" s="1525">
        <f t="shared" si="354"/>
        <v>0</v>
      </c>
      <c r="AK592" s="1525">
        <f t="shared" si="354"/>
        <v>0</v>
      </c>
      <c r="AL592" s="1525">
        <f t="shared" si="354"/>
        <v>0</v>
      </c>
      <c r="AM592" s="1525">
        <f t="shared" si="354"/>
        <v>0</v>
      </c>
      <c r="AN592" s="1525">
        <f t="shared" si="354"/>
        <v>0</v>
      </c>
      <c r="AO592" s="1525">
        <f t="shared" si="354"/>
        <v>0</v>
      </c>
      <c r="AP592" s="1525">
        <f t="shared" si="354"/>
        <v>0</v>
      </c>
      <c r="AQ592" s="1525">
        <f t="shared" si="354"/>
        <v>0</v>
      </c>
      <c r="AR592" s="1525">
        <f t="shared" si="354"/>
        <v>0</v>
      </c>
      <c r="AS592" s="1525">
        <f t="shared" si="354"/>
        <v>0</v>
      </c>
      <c r="AU592" s="1525"/>
      <c r="AV592" s="1291"/>
      <c r="AW592" s="1292"/>
      <c r="AX592" s="1292"/>
      <c r="AY592" s="1292"/>
      <c r="AZ592" s="1292"/>
      <c r="BA592" s="1292"/>
      <c r="BB592" s="1292"/>
      <c r="BC592" s="1292"/>
      <c r="BD592" s="1292"/>
      <c r="BE592" s="1292"/>
      <c r="BF592" s="1292"/>
      <c r="BG592" s="1292"/>
      <c r="BH592" s="1292"/>
      <c r="BI592" s="1292"/>
      <c r="BJ592" s="1292"/>
      <c r="BK592" s="1292"/>
      <c r="BL592" s="1292"/>
      <c r="BM592" s="1292"/>
      <c r="BN592" s="1292"/>
      <c r="BO592" s="1292"/>
      <c r="BP592" s="1292"/>
      <c r="BQ592" s="1292"/>
      <c r="BR592" s="1292"/>
      <c r="BS592" s="1292"/>
      <c r="BT592" s="1670">
        <f t="shared" ref="BT592:BT593" si="355">SUM(AV592:BS592)</f>
        <v>0</v>
      </c>
      <c r="BW592" s="859" t="s">
        <v>1822</v>
      </c>
    </row>
    <row r="593" spans="2:75" ht="12.75" customHeight="1" x14ac:dyDescent="0.2">
      <c r="B593" s="175">
        <f t="shared" si="341"/>
        <v>2</v>
      </c>
      <c r="C593" s="282">
        <v>14</v>
      </c>
      <c r="D593" s="464"/>
      <c r="E593" s="474" t="s">
        <v>291</v>
      </c>
      <c r="F593" s="467" t="s">
        <v>626</v>
      </c>
      <c r="G593" s="859" t="s">
        <v>857</v>
      </c>
      <c r="H593" s="858">
        <v>131730</v>
      </c>
      <c r="I593" s="621" t="s">
        <v>1584</v>
      </c>
      <c r="J593" s="623"/>
      <c r="K593" s="623">
        <v>1</v>
      </c>
      <c r="L593" s="858"/>
      <c r="M593" s="858">
        <v>1</v>
      </c>
      <c r="N593" s="857" t="s">
        <v>892</v>
      </c>
      <c r="O593" s="1196">
        <v>31980</v>
      </c>
      <c r="P593" s="1218">
        <f ca="1">YEARFRAC(TODAY(),O593)</f>
        <v>30.194444444444443</v>
      </c>
      <c r="Q593" s="1148">
        <v>21000</v>
      </c>
      <c r="R593" s="874"/>
      <c r="S593" s="875"/>
      <c r="T593" s="875"/>
      <c r="U593" s="875"/>
      <c r="V593" s="875"/>
      <c r="W593" s="875"/>
      <c r="X593" s="1026">
        <f>(Q593+R593+S593+T593+U593+V593+W593)*M593</f>
        <v>21000</v>
      </c>
      <c r="Y593" s="1512">
        <f>(T593+U593)*M593/(X593-M593*(T593+U593))</f>
        <v>0</v>
      </c>
      <c r="Z593" s="1741">
        <f>M593*(1+Y593)</f>
        <v>1</v>
      </c>
      <c r="AA593" s="1749">
        <f>SUM(AD593:AS593)</f>
        <v>0</v>
      </c>
      <c r="AB593" s="1810">
        <f t="shared" si="353"/>
        <v>0</v>
      </c>
      <c r="AC593" s="876"/>
      <c r="AD593" s="1525">
        <f t="shared" si="354"/>
        <v>0</v>
      </c>
      <c r="AE593" s="1525">
        <f t="shared" si="354"/>
        <v>0</v>
      </c>
      <c r="AF593" s="1525">
        <f t="shared" si="354"/>
        <v>0</v>
      </c>
      <c r="AG593" s="1525">
        <f t="shared" si="354"/>
        <v>0</v>
      </c>
      <c r="AH593" s="1525">
        <f t="shared" si="354"/>
        <v>0</v>
      </c>
      <c r="AI593" s="1525">
        <f t="shared" si="354"/>
        <v>0</v>
      </c>
      <c r="AJ593" s="1525">
        <f t="shared" si="354"/>
        <v>0</v>
      </c>
      <c r="AK593" s="1525">
        <f t="shared" si="354"/>
        <v>0</v>
      </c>
      <c r="AL593" s="1525">
        <f t="shared" si="354"/>
        <v>0</v>
      </c>
      <c r="AM593" s="1525">
        <f t="shared" si="354"/>
        <v>0</v>
      </c>
      <c r="AN593" s="1525">
        <f t="shared" si="354"/>
        <v>0</v>
      </c>
      <c r="AO593" s="1525">
        <f t="shared" si="354"/>
        <v>0</v>
      </c>
      <c r="AP593" s="1525">
        <f t="shared" si="354"/>
        <v>0</v>
      </c>
      <c r="AQ593" s="1525">
        <f t="shared" si="354"/>
        <v>0</v>
      </c>
      <c r="AR593" s="1525">
        <f t="shared" si="354"/>
        <v>0</v>
      </c>
      <c r="AS593" s="1525">
        <f t="shared" si="354"/>
        <v>0</v>
      </c>
      <c r="AU593" s="1525"/>
      <c r="AV593" s="1291"/>
      <c r="AW593" s="1292"/>
      <c r="AX593" s="1292"/>
      <c r="AY593" s="1292"/>
      <c r="AZ593" s="1292"/>
      <c r="BA593" s="1292"/>
      <c r="BB593" s="1292"/>
      <c r="BC593" s="1292"/>
      <c r="BD593" s="1292"/>
      <c r="BE593" s="1292"/>
      <c r="BF593" s="1292"/>
      <c r="BG593" s="1292"/>
      <c r="BH593" s="1292"/>
      <c r="BI593" s="1292"/>
      <c r="BJ593" s="1292"/>
      <c r="BK593" s="1292"/>
      <c r="BL593" s="1292"/>
      <c r="BM593" s="1292"/>
      <c r="BN593" s="1292"/>
      <c r="BO593" s="1292"/>
      <c r="BP593" s="1292"/>
      <c r="BQ593" s="1292"/>
      <c r="BR593" s="1292"/>
      <c r="BS593" s="1292"/>
      <c r="BT593" s="1670">
        <f t="shared" si="355"/>
        <v>0</v>
      </c>
      <c r="BW593" s="859" t="s">
        <v>857</v>
      </c>
    </row>
    <row r="594" spans="2:75" ht="12.75" customHeight="1" x14ac:dyDescent="0.2">
      <c r="B594" s="175"/>
      <c r="C594" s="282"/>
      <c r="D594" s="464"/>
      <c r="E594" s="474"/>
      <c r="F594" s="467"/>
      <c r="G594" s="859"/>
      <c r="H594" s="1346" t="s">
        <v>1508</v>
      </c>
      <c r="I594" s="621"/>
      <c r="J594" s="623"/>
      <c r="K594" s="623"/>
      <c r="L594" s="858"/>
      <c r="M594" s="858"/>
      <c r="N594" s="857"/>
      <c r="O594" s="1193"/>
      <c r="P594" s="1218"/>
      <c r="Q594" s="1148"/>
      <c r="R594" s="874"/>
      <c r="S594" s="875"/>
      <c r="T594" s="875"/>
      <c r="U594" s="875"/>
      <c r="V594" s="875"/>
      <c r="W594" s="875"/>
      <c r="X594" s="1026"/>
      <c r="Y594" s="1512"/>
      <c r="Z594" s="1741"/>
      <c r="AA594" s="1749"/>
      <c r="AB594" s="1810"/>
      <c r="AC594" s="876"/>
      <c r="AD594" s="1295"/>
      <c r="AE594" s="1525"/>
      <c r="AF594" s="1525"/>
      <c r="AG594" s="1525"/>
      <c r="AH594" s="1525"/>
      <c r="AI594" s="1525"/>
      <c r="AJ594" s="1525"/>
      <c r="AK594" s="1525"/>
      <c r="AL594" s="1525"/>
      <c r="AM594" s="1525"/>
      <c r="AN594" s="1525"/>
      <c r="AO594" s="1525"/>
      <c r="AP594" s="1525"/>
      <c r="AQ594" s="1525"/>
      <c r="AR594" s="1525"/>
      <c r="AS594" s="1525"/>
      <c r="AU594" s="1525"/>
      <c r="AV594" s="1291"/>
      <c r="AW594" s="1292"/>
      <c r="AX594" s="1292"/>
      <c r="AY594" s="1292"/>
      <c r="AZ594" s="1292"/>
      <c r="BA594" s="1292"/>
      <c r="BB594" s="1292"/>
      <c r="BC594" s="1292"/>
      <c r="BD594" s="1292"/>
      <c r="BE594" s="1292"/>
      <c r="BF594" s="1292"/>
      <c r="BG594" s="1292"/>
      <c r="BH594" s="1292"/>
      <c r="BI594" s="1292"/>
      <c r="BJ594" s="1292"/>
      <c r="BK594" s="1292"/>
      <c r="BL594" s="1292"/>
      <c r="BM594" s="1292"/>
      <c r="BN594" s="1292"/>
      <c r="BO594" s="1292"/>
      <c r="BP594" s="1292"/>
      <c r="BQ594" s="1292"/>
      <c r="BR594" s="1292"/>
      <c r="BS594" s="1292"/>
      <c r="BT594" s="1670"/>
      <c r="BW594" s="859"/>
    </row>
    <row r="595" spans="2:75" s="164" customFormat="1" ht="12.75" customHeight="1" x14ac:dyDescent="0.2">
      <c r="B595" s="175"/>
      <c r="C595" s="170"/>
      <c r="D595" s="170"/>
      <c r="E595" s="170"/>
      <c r="F595" s="4"/>
      <c r="G595" s="862"/>
      <c r="H595" s="1347" t="s">
        <v>1508</v>
      </c>
      <c r="I595" s="197"/>
      <c r="J595" s="174"/>
      <c r="K595" s="174"/>
      <c r="L595" s="861"/>
      <c r="M595" s="861"/>
      <c r="N595" s="836"/>
      <c r="O595" s="1192"/>
      <c r="P595" s="1294"/>
      <c r="Q595" s="1148"/>
      <c r="R595" s="874"/>
      <c r="S595" s="876"/>
      <c r="T595" s="876"/>
      <c r="U595" s="876"/>
      <c r="V595" s="876"/>
      <c r="W595" s="876"/>
      <c r="X595" s="1026"/>
      <c r="Y595" s="1512"/>
      <c r="Z595" s="1741"/>
      <c r="AA595" s="1749">
        <f>SUM(AD595:AP595)</f>
        <v>0</v>
      </c>
      <c r="AB595" s="1810" t="e">
        <f t="shared" si="353"/>
        <v>#DIV/0!</v>
      </c>
      <c r="AC595" s="876"/>
      <c r="AD595" s="1295"/>
      <c r="AE595" s="1525"/>
      <c r="AF595" s="1525"/>
      <c r="AG595" s="1525"/>
      <c r="AH595" s="1525"/>
      <c r="AI595" s="1525"/>
      <c r="AJ595" s="1525"/>
      <c r="AK595" s="1525"/>
      <c r="AL595" s="1525"/>
      <c r="AM595" s="1525"/>
      <c r="AN595" s="1525"/>
      <c r="AO595" s="1525"/>
      <c r="AP595" s="1525"/>
      <c r="AQ595" s="1525"/>
      <c r="AR595" s="1525"/>
      <c r="AS595" s="1525"/>
      <c r="AU595" s="1525"/>
      <c r="AV595" s="1295"/>
      <c r="AW595" s="1525"/>
      <c r="AX595" s="1525"/>
      <c r="AY595" s="1525"/>
      <c r="AZ595" s="1525"/>
      <c r="BA595" s="1525"/>
      <c r="BB595" s="1525"/>
      <c r="BC595" s="1525"/>
      <c r="BD595" s="1525"/>
      <c r="BE595" s="1525"/>
      <c r="BF595" s="1525"/>
      <c r="BG595" s="1525"/>
      <c r="BH595" s="1525"/>
      <c r="BI595" s="1525"/>
      <c r="BJ595" s="1525"/>
      <c r="BK595" s="1525"/>
      <c r="BL595" s="1525"/>
      <c r="BM595" s="1525"/>
      <c r="BN595" s="1525"/>
      <c r="BO595" s="1525"/>
      <c r="BP595" s="1525"/>
      <c r="BQ595" s="1525"/>
      <c r="BR595" s="1525"/>
      <c r="BS595" s="1525"/>
      <c r="BT595" s="1670"/>
      <c r="BV595"/>
      <c r="BW595" s="862"/>
    </row>
    <row r="596" spans="2:75" ht="12.75" customHeight="1" x14ac:dyDescent="0.2">
      <c r="B596" s="175">
        <f t="shared" si="341"/>
        <v>1</v>
      </c>
      <c r="C596" s="219">
        <v>2</v>
      </c>
      <c r="E596" s="12" t="s">
        <v>291</v>
      </c>
      <c r="F596" s="30" t="s">
        <v>231</v>
      </c>
      <c r="G596" s="859" t="s">
        <v>1497</v>
      </c>
      <c r="H596" s="858">
        <v>6119</v>
      </c>
      <c r="I596" s="200" t="s">
        <v>351</v>
      </c>
      <c r="J596" s="189"/>
      <c r="K596" s="189"/>
      <c r="L596" s="858">
        <v>0.5</v>
      </c>
      <c r="M596" s="858">
        <f>K596+L596</f>
        <v>0.5</v>
      </c>
      <c r="N596" s="857" t="s">
        <v>892</v>
      </c>
      <c r="O596" s="1196">
        <v>12039</v>
      </c>
      <c r="P596" s="1218">
        <f t="shared" ref="P596:P600" ca="1" si="356">YEARFRAC(TODAY(),O596)</f>
        <v>84.794444444444451</v>
      </c>
      <c r="Q596" s="1148">
        <v>22000</v>
      </c>
      <c r="R596" s="874"/>
      <c r="S596" s="875">
        <v>3000</v>
      </c>
      <c r="T596" s="875"/>
      <c r="U596" s="875"/>
      <c r="V596" s="875"/>
      <c r="W596" s="875"/>
      <c r="X596" s="1026">
        <f>(Q596+R596+S596+T596+U596+V596+W596)*M596</f>
        <v>12500</v>
      </c>
      <c r="Y596" s="1512">
        <f>(T596+U596)*M596/(X596-M596*(T596+U596))</f>
        <v>0</v>
      </c>
      <c r="Z596" s="1741">
        <f t="shared" ref="Z596:Z600" si="357">M596*(1+Y596)</f>
        <v>0.5</v>
      </c>
      <c r="AA596" s="1749">
        <f>SUM(AD596:AS596)</f>
        <v>0</v>
      </c>
      <c r="AB596" s="1810">
        <f t="shared" ref="AB596:AB600" si="358">100*AA596/Z596</f>
        <v>0</v>
      </c>
      <c r="AC596" s="876"/>
      <c r="AD596" s="1525">
        <f t="shared" ref="AD596:AS600" si="359">SUMIF($AV$6:$BS$6,AD$5,$AV596:$BS596)</f>
        <v>0</v>
      </c>
      <c r="AE596" s="1525">
        <f t="shared" si="359"/>
        <v>0</v>
      </c>
      <c r="AF596" s="1525">
        <f t="shared" si="359"/>
        <v>0</v>
      </c>
      <c r="AG596" s="1525">
        <f t="shared" si="359"/>
        <v>0</v>
      </c>
      <c r="AH596" s="1525">
        <f t="shared" si="359"/>
        <v>0</v>
      </c>
      <c r="AI596" s="1525">
        <f t="shared" si="359"/>
        <v>0</v>
      </c>
      <c r="AJ596" s="1525">
        <f t="shared" si="359"/>
        <v>0</v>
      </c>
      <c r="AK596" s="1525">
        <f t="shared" si="359"/>
        <v>0</v>
      </c>
      <c r="AL596" s="1525">
        <f t="shared" si="359"/>
        <v>0</v>
      </c>
      <c r="AM596" s="1525">
        <f t="shared" si="359"/>
        <v>0</v>
      </c>
      <c r="AN596" s="1525">
        <f t="shared" si="359"/>
        <v>0</v>
      </c>
      <c r="AO596" s="1525">
        <f t="shared" si="359"/>
        <v>0</v>
      </c>
      <c r="AP596" s="1525">
        <f t="shared" si="359"/>
        <v>0</v>
      </c>
      <c r="AQ596" s="1525">
        <f t="shared" si="359"/>
        <v>0</v>
      </c>
      <c r="AR596" s="1525">
        <f t="shared" si="359"/>
        <v>0</v>
      </c>
      <c r="AS596" s="1525">
        <f t="shared" si="359"/>
        <v>0</v>
      </c>
      <c r="AU596" s="1525"/>
      <c r="AV596" s="1291"/>
      <c r="AW596" s="1292"/>
      <c r="AX596" s="1292"/>
      <c r="AY596" s="1292"/>
      <c r="AZ596" s="1292"/>
      <c r="BA596" s="1292"/>
      <c r="BB596" s="1292"/>
      <c r="BC596" s="1292"/>
      <c r="BD596" s="1292"/>
      <c r="BE596" s="1292"/>
      <c r="BF596" s="1292"/>
      <c r="BG596" s="1292"/>
      <c r="BH596" s="1292"/>
      <c r="BI596" s="1292"/>
      <c r="BJ596" s="1292"/>
      <c r="BK596" s="1292"/>
      <c r="BL596" s="1292"/>
      <c r="BM596" s="1292"/>
      <c r="BN596" s="1292"/>
      <c r="BO596" s="1292"/>
      <c r="BP596" s="1292"/>
      <c r="BQ596" s="1292"/>
      <c r="BR596" s="1292"/>
      <c r="BS596" s="1292"/>
      <c r="BT596" s="1670">
        <f t="shared" ref="BT596:BT600" si="360">SUM(AV596:BS596)</f>
        <v>0</v>
      </c>
      <c r="BW596" s="859" t="s">
        <v>1497</v>
      </c>
    </row>
    <row r="597" spans="2:75" ht="12.75" customHeight="1" x14ac:dyDescent="0.2">
      <c r="B597" s="175">
        <f t="shared" si="341"/>
        <v>2</v>
      </c>
      <c r="C597" s="219">
        <v>12</v>
      </c>
      <c r="E597" s="12" t="s">
        <v>291</v>
      </c>
      <c r="F597" s="24" t="s">
        <v>1235</v>
      </c>
      <c r="G597" s="859" t="s">
        <v>254</v>
      </c>
      <c r="H597" s="858">
        <v>6125</v>
      </c>
      <c r="I597" s="200" t="s">
        <v>1584</v>
      </c>
      <c r="J597" s="189"/>
      <c r="K597" s="189"/>
      <c r="L597" s="858">
        <v>1</v>
      </c>
      <c r="M597" s="858">
        <f>K597+L597</f>
        <v>1</v>
      </c>
      <c r="N597" s="857" t="s">
        <v>892</v>
      </c>
      <c r="O597" s="1196">
        <v>14364</v>
      </c>
      <c r="P597" s="1218">
        <f t="shared" ca="1" si="356"/>
        <v>78.424999999999997</v>
      </c>
      <c r="Q597" s="1148">
        <v>35000</v>
      </c>
      <c r="R597" s="874"/>
      <c r="S597" s="875"/>
      <c r="T597" s="875"/>
      <c r="U597" s="875"/>
      <c r="V597" s="875"/>
      <c r="W597" s="875"/>
      <c r="X597" s="1026">
        <f>(Q597+R597+S597+T597+U597+V597+W597)*M597</f>
        <v>35000</v>
      </c>
      <c r="Y597" s="1512">
        <f>(T597+U597)*M597/(X597-M597*(T597+U597))</f>
        <v>0</v>
      </c>
      <c r="Z597" s="1741">
        <f t="shared" si="357"/>
        <v>1</v>
      </c>
      <c r="AA597" s="1749">
        <f>SUM(AD597:AS597)</f>
        <v>0</v>
      </c>
      <c r="AB597" s="1810">
        <f t="shared" si="358"/>
        <v>0</v>
      </c>
      <c r="AC597" s="876"/>
      <c r="AD597" s="1525">
        <f t="shared" si="359"/>
        <v>0</v>
      </c>
      <c r="AE597" s="1525">
        <f t="shared" si="359"/>
        <v>0</v>
      </c>
      <c r="AF597" s="1525">
        <f t="shared" si="359"/>
        <v>0</v>
      </c>
      <c r="AG597" s="1525">
        <f t="shared" si="359"/>
        <v>0</v>
      </c>
      <c r="AH597" s="1525">
        <f t="shared" si="359"/>
        <v>0</v>
      </c>
      <c r="AI597" s="1525">
        <f t="shared" si="359"/>
        <v>0</v>
      </c>
      <c r="AJ597" s="1525">
        <f t="shared" si="359"/>
        <v>0</v>
      </c>
      <c r="AK597" s="1525">
        <f t="shared" si="359"/>
        <v>0</v>
      </c>
      <c r="AL597" s="1525">
        <f t="shared" si="359"/>
        <v>0</v>
      </c>
      <c r="AM597" s="1525">
        <f t="shared" si="359"/>
        <v>0</v>
      </c>
      <c r="AN597" s="1525">
        <f t="shared" si="359"/>
        <v>0</v>
      </c>
      <c r="AO597" s="1525">
        <f t="shared" si="359"/>
        <v>0</v>
      </c>
      <c r="AP597" s="1525">
        <f t="shared" si="359"/>
        <v>0</v>
      </c>
      <c r="AQ597" s="1525">
        <f t="shared" si="359"/>
        <v>0</v>
      </c>
      <c r="AR597" s="1525">
        <f t="shared" si="359"/>
        <v>0</v>
      </c>
      <c r="AS597" s="1525">
        <f t="shared" si="359"/>
        <v>0</v>
      </c>
      <c r="AU597" s="1525"/>
      <c r="AV597" s="1291"/>
      <c r="AW597" s="1292"/>
      <c r="AX597" s="1292"/>
      <c r="AY597" s="1292"/>
      <c r="AZ597" s="1292"/>
      <c r="BA597" s="1292"/>
      <c r="BB597" s="1292"/>
      <c r="BC597" s="1292"/>
      <c r="BD597" s="1292"/>
      <c r="BE597" s="1292"/>
      <c r="BF597" s="1292"/>
      <c r="BG597" s="1292"/>
      <c r="BH597" s="1292"/>
      <c r="BI597" s="1292"/>
      <c r="BJ597" s="1292"/>
      <c r="BK597" s="1292"/>
      <c r="BL597" s="1292"/>
      <c r="BM597" s="1292"/>
      <c r="BN597" s="1292"/>
      <c r="BO597" s="1292"/>
      <c r="BP597" s="1292"/>
      <c r="BQ597" s="1292"/>
      <c r="BR597" s="1292"/>
      <c r="BS597" s="1292"/>
      <c r="BT597" s="1670">
        <f t="shared" si="360"/>
        <v>0</v>
      </c>
      <c r="BW597" s="859" t="s">
        <v>254</v>
      </c>
    </row>
    <row r="598" spans="2:75" ht="12.75" customHeight="1" x14ac:dyDescent="0.2">
      <c r="B598" s="175">
        <f t="shared" si="341"/>
        <v>3</v>
      </c>
      <c r="C598" s="219">
        <v>13</v>
      </c>
      <c r="E598" s="12" t="s">
        <v>291</v>
      </c>
      <c r="F598" s="24" t="s">
        <v>1272</v>
      </c>
      <c r="G598" s="859" t="s">
        <v>21</v>
      </c>
      <c r="H598" s="858">
        <v>100015</v>
      </c>
      <c r="I598" s="200" t="s">
        <v>1584</v>
      </c>
      <c r="J598" s="189"/>
      <c r="K598" s="189"/>
      <c r="L598" s="858">
        <v>1</v>
      </c>
      <c r="M598" s="858">
        <v>1</v>
      </c>
      <c r="N598" s="857" t="s">
        <v>892</v>
      </c>
      <c r="O598" s="1196">
        <v>31608</v>
      </c>
      <c r="P598" s="1218">
        <f t="shared" ca="1" si="356"/>
        <v>31.213888888888889</v>
      </c>
      <c r="Q598" s="1148">
        <v>34000</v>
      </c>
      <c r="R598" s="874"/>
      <c r="S598" s="875"/>
      <c r="T598" s="875"/>
      <c r="U598" s="875"/>
      <c r="V598" s="875"/>
      <c r="W598" s="875"/>
      <c r="X598" s="1026">
        <f>(Q598+R598+S598+T598+U598+V598+W598)*M598</f>
        <v>34000</v>
      </c>
      <c r="Y598" s="1512">
        <f>(T598+U598)*M598/(X598-M598*(T598+U598))</f>
        <v>0</v>
      </c>
      <c r="Z598" s="1741">
        <f t="shared" si="357"/>
        <v>1</v>
      </c>
      <c r="AA598" s="1749">
        <f>SUM(AD598:AS598)</f>
        <v>0</v>
      </c>
      <c r="AB598" s="1810">
        <f t="shared" si="358"/>
        <v>0</v>
      </c>
      <c r="AC598" s="876"/>
      <c r="AD598" s="1525">
        <f t="shared" si="359"/>
        <v>0</v>
      </c>
      <c r="AE598" s="1525">
        <f t="shared" si="359"/>
        <v>0</v>
      </c>
      <c r="AF598" s="1525">
        <f t="shared" si="359"/>
        <v>0</v>
      </c>
      <c r="AG598" s="1525">
        <f t="shared" si="359"/>
        <v>0</v>
      </c>
      <c r="AH598" s="1525">
        <f t="shared" si="359"/>
        <v>0</v>
      </c>
      <c r="AI598" s="1525">
        <f t="shared" si="359"/>
        <v>0</v>
      </c>
      <c r="AJ598" s="1525">
        <f t="shared" si="359"/>
        <v>0</v>
      </c>
      <c r="AK598" s="1525">
        <f t="shared" si="359"/>
        <v>0</v>
      </c>
      <c r="AL598" s="1525">
        <f t="shared" si="359"/>
        <v>0</v>
      </c>
      <c r="AM598" s="1525">
        <f t="shared" si="359"/>
        <v>0</v>
      </c>
      <c r="AN598" s="1525">
        <f t="shared" si="359"/>
        <v>0</v>
      </c>
      <c r="AO598" s="1525">
        <f t="shared" si="359"/>
        <v>0</v>
      </c>
      <c r="AP598" s="1525">
        <f t="shared" si="359"/>
        <v>0</v>
      </c>
      <c r="AQ598" s="1525">
        <f t="shared" si="359"/>
        <v>0</v>
      </c>
      <c r="AR598" s="1525">
        <f t="shared" si="359"/>
        <v>0</v>
      </c>
      <c r="AS598" s="1525">
        <f t="shared" si="359"/>
        <v>0</v>
      </c>
      <c r="AU598" s="1525"/>
      <c r="AV598" s="1291"/>
      <c r="AW598" s="1292"/>
      <c r="AX598" s="1292"/>
      <c r="AY598" s="1292"/>
      <c r="AZ598" s="1292"/>
      <c r="BA598" s="1292"/>
      <c r="BB598" s="1292"/>
      <c r="BC598" s="1292"/>
      <c r="BD598" s="1292"/>
      <c r="BE598" s="1292"/>
      <c r="BF598" s="1292"/>
      <c r="BG598" s="1292"/>
      <c r="BH598" s="1292"/>
      <c r="BI598" s="1292"/>
      <c r="BJ598" s="1292"/>
      <c r="BK598" s="1292"/>
      <c r="BL598" s="1292"/>
      <c r="BM598" s="1292"/>
      <c r="BN598" s="1292"/>
      <c r="BO598" s="1292"/>
      <c r="BP598" s="1292"/>
      <c r="BQ598" s="1292"/>
      <c r="BR598" s="1292"/>
      <c r="BS598" s="1292"/>
      <c r="BT598" s="1670">
        <f t="shared" si="360"/>
        <v>0</v>
      </c>
      <c r="BW598" s="859" t="s">
        <v>21</v>
      </c>
    </row>
    <row r="599" spans="2:75" ht="12.75" customHeight="1" x14ac:dyDescent="0.2">
      <c r="B599" s="175">
        <f t="shared" si="341"/>
        <v>4</v>
      </c>
      <c r="C599" s="219">
        <v>14</v>
      </c>
      <c r="E599" s="12" t="s">
        <v>291</v>
      </c>
      <c r="F599" s="24" t="s">
        <v>1745</v>
      </c>
      <c r="G599" s="859" t="s">
        <v>1972</v>
      </c>
      <c r="H599" s="1413">
        <v>165111</v>
      </c>
      <c r="I599" s="200" t="s">
        <v>1584</v>
      </c>
      <c r="J599" s="189">
        <v>1</v>
      </c>
      <c r="K599" s="189"/>
      <c r="L599" s="858">
        <v>0.5</v>
      </c>
      <c r="M599" s="858">
        <v>0.5</v>
      </c>
      <c r="N599" s="857" t="s">
        <v>892</v>
      </c>
      <c r="O599" s="1196">
        <v>31544</v>
      </c>
      <c r="P599" s="1218">
        <f t="shared" ca="1" si="356"/>
        <v>31.388888888888889</v>
      </c>
      <c r="Q599" s="1148">
        <v>34000</v>
      </c>
      <c r="R599" s="874"/>
      <c r="S599" s="875"/>
      <c r="T599" s="875"/>
      <c r="U599" s="875"/>
      <c r="V599" s="875"/>
      <c r="W599" s="875"/>
      <c r="X599" s="1026">
        <f>(Q599+R599+S599+T599+U599+V599+W599)*M599</f>
        <v>17000</v>
      </c>
      <c r="Y599" s="1512">
        <f>(T599+U599)*M599/(X599-M599*(T599+U599))</f>
        <v>0</v>
      </c>
      <c r="Z599" s="1741">
        <f t="shared" si="357"/>
        <v>0.5</v>
      </c>
      <c r="AA599" s="1749">
        <f>SUM(AD599:AS599)</f>
        <v>0</v>
      </c>
      <c r="AB599" s="1810">
        <f t="shared" si="358"/>
        <v>0</v>
      </c>
      <c r="AC599" s="876"/>
      <c r="AD599" s="1525">
        <f t="shared" si="359"/>
        <v>0</v>
      </c>
      <c r="AE599" s="1525">
        <f t="shared" si="359"/>
        <v>0</v>
      </c>
      <c r="AF599" s="1525">
        <f t="shared" si="359"/>
        <v>0</v>
      </c>
      <c r="AG599" s="1525">
        <f t="shared" si="359"/>
        <v>0</v>
      </c>
      <c r="AH599" s="1525">
        <f t="shared" si="359"/>
        <v>0</v>
      </c>
      <c r="AI599" s="1525">
        <f t="shared" si="359"/>
        <v>0</v>
      </c>
      <c r="AJ599" s="1525">
        <f t="shared" si="359"/>
        <v>0</v>
      </c>
      <c r="AK599" s="1525">
        <f t="shared" si="359"/>
        <v>0</v>
      </c>
      <c r="AL599" s="1525">
        <f t="shared" si="359"/>
        <v>0</v>
      </c>
      <c r="AM599" s="1525">
        <f t="shared" si="359"/>
        <v>0</v>
      </c>
      <c r="AN599" s="1525">
        <f t="shared" si="359"/>
        <v>0</v>
      </c>
      <c r="AO599" s="1525">
        <f t="shared" si="359"/>
        <v>0</v>
      </c>
      <c r="AP599" s="1525">
        <f t="shared" si="359"/>
        <v>0</v>
      </c>
      <c r="AQ599" s="1525">
        <f t="shared" si="359"/>
        <v>0</v>
      </c>
      <c r="AR599" s="1525">
        <f t="shared" si="359"/>
        <v>0</v>
      </c>
      <c r="AS599" s="1525">
        <f t="shared" si="359"/>
        <v>0</v>
      </c>
      <c r="AU599" s="1525"/>
      <c r="AV599" s="1291"/>
      <c r="AW599" s="1292"/>
      <c r="AX599" s="1292"/>
      <c r="AY599" s="1292"/>
      <c r="AZ599" s="1292"/>
      <c r="BA599" s="1292"/>
      <c r="BB599" s="1292"/>
      <c r="BC599" s="1292"/>
      <c r="BD599" s="1292"/>
      <c r="BE599" s="1292"/>
      <c r="BF599" s="1292"/>
      <c r="BG599" s="1292"/>
      <c r="BH599" s="1292"/>
      <c r="BI599" s="1292"/>
      <c r="BJ599" s="1292"/>
      <c r="BK599" s="1292"/>
      <c r="BL599" s="1292"/>
      <c r="BM599" s="1292"/>
      <c r="BN599" s="1292"/>
      <c r="BO599" s="1292"/>
      <c r="BP599" s="1292"/>
      <c r="BQ599" s="1292"/>
      <c r="BR599" s="1292"/>
      <c r="BS599" s="1292"/>
      <c r="BT599" s="1670">
        <f t="shared" si="360"/>
        <v>0</v>
      </c>
      <c r="BW599" s="859" t="s">
        <v>1972</v>
      </c>
    </row>
    <row r="600" spans="2:75" ht="12.75" customHeight="1" x14ac:dyDescent="0.2">
      <c r="B600" s="175">
        <f t="shared" si="341"/>
        <v>5</v>
      </c>
      <c r="C600" s="219">
        <v>22</v>
      </c>
      <c r="E600" s="12" t="s">
        <v>291</v>
      </c>
      <c r="F600" s="4" t="s">
        <v>1282</v>
      </c>
      <c r="G600" s="859" t="s">
        <v>651</v>
      </c>
      <c r="H600" s="858">
        <v>91284</v>
      </c>
      <c r="I600" s="197" t="s">
        <v>1584</v>
      </c>
      <c r="J600" s="174"/>
      <c r="K600" s="174"/>
      <c r="L600" s="858">
        <v>0.5</v>
      </c>
      <c r="M600" s="858">
        <f>0.5</f>
        <v>0.5</v>
      </c>
      <c r="N600" s="857" t="s">
        <v>892</v>
      </c>
      <c r="O600" s="1196">
        <v>17380</v>
      </c>
      <c r="P600" s="1218">
        <f t="shared" ca="1" si="356"/>
        <v>70.169444444444451</v>
      </c>
      <c r="Q600" s="1148">
        <v>18000</v>
      </c>
      <c r="R600" s="874"/>
      <c r="S600" s="875"/>
      <c r="T600" s="875"/>
      <c r="U600" s="875"/>
      <c r="V600" s="875"/>
      <c r="W600" s="875"/>
      <c r="X600" s="1026">
        <f>(Q600+R600+S600+T600+U600+V600+W600)*M600</f>
        <v>9000</v>
      </c>
      <c r="Y600" s="1512">
        <f>(T600+U600)*M600/(X600-M600*(T600+U600))</f>
        <v>0</v>
      </c>
      <c r="Z600" s="1741">
        <f t="shared" si="357"/>
        <v>0.5</v>
      </c>
      <c r="AA600" s="1749">
        <f>SUM(AD600:AS600)</f>
        <v>0</v>
      </c>
      <c r="AB600" s="1810">
        <f t="shared" si="358"/>
        <v>0</v>
      </c>
      <c r="AC600" s="876"/>
      <c r="AD600" s="1525">
        <f t="shared" si="359"/>
        <v>0</v>
      </c>
      <c r="AE600" s="1525">
        <f t="shared" si="359"/>
        <v>0</v>
      </c>
      <c r="AF600" s="1525">
        <f t="shared" si="359"/>
        <v>0</v>
      </c>
      <c r="AG600" s="1525">
        <f t="shared" si="359"/>
        <v>0</v>
      </c>
      <c r="AH600" s="1525">
        <f t="shared" si="359"/>
        <v>0</v>
      </c>
      <c r="AI600" s="1525">
        <f t="shared" si="359"/>
        <v>0</v>
      </c>
      <c r="AJ600" s="1525">
        <f t="shared" si="359"/>
        <v>0</v>
      </c>
      <c r="AK600" s="1525">
        <f t="shared" si="359"/>
        <v>0</v>
      </c>
      <c r="AL600" s="1525">
        <f t="shared" si="359"/>
        <v>0</v>
      </c>
      <c r="AM600" s="1525">
        <f t="shared" si="359"/>
        <v>0</v>
      </c>
      <c r="AN600" s="1525">
        <f t="shared" si="359"/>
        <v>0</v>
      </c>
      <c r="AO600" s="1525">
        <f t="shared" si="359"/>
        <v>0</v>
      </c>
      <c r="AP600" s="1525">
        <f t="shared" si="359"/>
        <v>0</v>
      </c>
      <c r="AQ600" s="1525">
        <f t="shared" si="359"/>
        <v>0</v>
      </c>
      <c r="AR600" s="1525">
        <f t="shared" si="359"/>
        <v>0</v>
      </c>
      <c r="AS600" s="1525">
        <f t="shared" si="359"/>
        <v>0</v>
      </c>
      <c r="AU600" s="1525"/>
      <c r="AV600" s="1291"/>
      <c r="AW600" s="1292"/>
      <c r="AX600" s="1292"/>
      <c r="AY600" s="1292"/>
      <c r="AZ600" s="1292"/>
      <c r="BA600" s="1292"/>
      <c r="BB600" s="1292"/>
      <c r="BC600" s="1292"/>
      <c r="BD600" s="1292"/>
      <c r="BE600" s="1292"/>
      <c r="BF600" s="1292"/>
      <c r="BG600" s="1292"/>
      <c r="BH600" s="1292"/>
      <c r="BI600" s="1292"/>
      <c r="BJ600" s="1292"/>
      <c r="BK600" s="1292"/>
      <c r="BL600" s="1292"/>
      <c r="BM600" s="1292"/>
      <c r="BN600" s="1292"/>
      <c r="BO600" s="1292"/>
      <c r="BP600" s="1292"/>
      <c r="BQ600" s="1292"/>
      <c r="BR600" s="1292"/>
      <c r="BS600" s="1292"/>
      <c r="BT600" s="1670">
        <f t="shared" si="360"/>
        <v>0</v>
      </c>
      <c r="BW600" s="859" t="s">
        <v>651</v>
      </c>
    </row>
    <row r="601" spans="2:75" s="164" customFormat="1" ht="12.75" customHeight="1" x14ac:dyDescent="0.2">
      <c r="B601" s="175"/>
      <c r="C601" s="220"/>
      <c r="D601" s="170"/>
      <c r="E601" s="447"/>
      <c r="F601" s="4"/>
      <c r="G601" s="862"/>
      <c r="H601" s="1347" t="s">
        <v>1508</v>
      </c>
      <c r="I601" s="197"/>
      <c r="J601" s="174"/>
      <c r="K601" s="174"/>
      <c r="L601" s="861"/>
      <c r="M601" s="861"/>
      <c r="N601" s="836"/>
      <c r="O601" s="1193"/>
      <c r="P601" s="1262"/>
      <c r="Q601" s="1148"/>
      <c r="R601" s="874"/>
      <c r="S601" s="876"/>
      <c r="T601" s="876"/>
      <c r="U601" s="876"/>
      <c r="V601" s="876"/>
      <c r="W601" s="876"/>
      <c r="X601" s="1026"/>
      <c r="Y601" s="1754"/>
      <c r="Z601" s="1755"/>
      <c r="AA601" s="1775"/>
      <c r="AB601" s="1814"/>
      <c r="AC601" s="876"/>
      <c r="AD601" s="1295"/>
      <c r="AE601" s="1525"/>
      <c r="AF601" s="1525"/>
      <c r="AG601" s="1525"/>
      <c r="AH601" s="1525"/>
      <c r="AI601" s="1525"/>
      <c r="AJ601" s="1525"/>
      <c r="AK601" s="1525"/>
      <c r="AL601" s="1525"/>
      <c r="AM601" s="1525"/>
      <c r="AN601" s="1525"/>
      <c r="AO601" s="1525"/>
      <c r="AP601" s="1525"/>
      <c r="AQ601" s="1525"/>
      <c r="AR601" s="1525"/>
      <c r="AS601" s="1525"/>
      <c r="AU601" s="1525"/>
      <c r="AV601" s="1295"/>
      <c r="AW601" s="1525"/>
      <c r="AX601" s="1525"/>
      <c r="AY601" s="1525"/>
      <c r="AZ601" s="1525"/>
      <c r="BA601" s="1525"/>
      <c r="BB601" s="1525"/>
      <c r="BC601" s="1525"/>
      <c r="BD601" s="1525"/>
      <c r="BE601" s="1525"/>
      <c r="BF601" s="1525"/>
      <c r="BG601" s="1525"/>
      <c r="BH601" s="1525"/>
      <c r="BI601" s="1525"/>
      <c r="BJ601" s="1525"/>
      <c r="BK601" s="1525"/>
      <c r="BL601" s="1525"/>
      <c r="BM601" s="1525"/>
      <c r="BN601" s="1525"/>
      <c r="BO601" s="1525"/>
      <c r="BP601" s="1525"/>
      <c r="BQ601" s="1525"/>
      <c r="BR601" s="1525"/>
      <c r="BS601" s="1525"/>
      <c r="BT601" s="1670"/>
      <c r="BV601"/>
      <c r="BW601" s="862"/>
    </row>
    <row r="602" spans="2:75" s="164" customFormat="1" ht="12.75" customHeight="1" x14ac:dyDescent="0.2">
      <c r="B602" s="175"/>
      <c r="C602" s="220"/>
      <c r="D602" s="170"/>
      <c r="E602" s="447"/>
      <c r="F602" s="4" t="s">
        <v>1973</v>
      </c>
      <c r="G602" s="862"/>
      <c r="H602" s="1347" t="s">
        <v>1508</v>
      </c>
      <c r="I602" s="197"/>
      <c r="J602" s="174"/>
      <c r="K602" s="174"/>
      <c r="L602" s="861"/>
      <c r="M602" s="861"/>
      <c r="N602" s="836"/>
      <c r="O602" s="1193"/>
      <c r="P602" s="1262"/>
      <c r="Q602" s="1148"/>
      <c r="R602" s="874"/>
      <c r="S602" s="876"/>
      <c r="T602" s="876"/>
      <c r="U602" s="876"/>
      <c r="V602" s="876"/>
      <c r="W602" s="876"/>
      <c r="X602" s="1026"/>
      <c r="Y602" s="1754"/>
      <c r="Z602" s="1755"/>
      <c r="AA602" s="1775"/>
      <c r="AB602" s="1814"/>
      <c r="AC602" s="876"/>
      <c r="AD602" s="1295"/>
      <c r="AE602" s="1525"/>
      <c r="AF602" s="1525"/>
      <c r="AG602" s="1525"/>
      <c r="AH602" s="1525"/>
      <c r="AI602" s="1525"/>
      <c r="AJ602" s="1525"/>
      <c r="AK602" s="1525"/>
      <c r="AL602" s="1525"/>
      <c r="AM602" s="1525"/>
      <c r="AN602" s="1525"/>
      <c r="AO602" s="1525"/>
      <c r="AP602" s="1525"/>
      <c r="AQ602" s="1525"/>
      <c r="AR602" s="1525"/>
      <c r="AS602" s="1525"/>
      <c r="AU602" s="1525"/>
      <c r="AV602" s="1295"/>
      <c r="AW602" s="1525"/>
      <c r="AX602" s="1525"/>
      <c r="AY602" s="1525"/>
      <c r="AZ602" s="1525"/>
      <c r="BA602" s="1525"/>
      <c r="BB602" s="1525"/>
      <c r="BC602" s="1525"/>
      <c r="BD602" s="1525"/>
      <c r="BE602" s="1525"/>
      <c r="BF602" s="1525"/>
      <c r="BG602" s="1525"/>
      <c r="BH602" s="1525"/>
      <c r="BI602" s="1525"/>
      <c r="BJ602" s="1525"/>
      <c r="BK602" s="1525"/>
      <c r="BL602" s="1525"/>
      <c r="BM602" s="1525"/>
      <c r="BN602" s="1525"/>
      <c r="BO602" s="1525"/>
      <c r="BP602" s="1525"/>
      <c r="BQ602" s="1525"/>
      <c r="BR602" s="1525"/>
      <c r="BS602" s="1525"/>
      <c r="BT602" s="1670"/>
      <c r="BV602"/>
      <c r="BW602" s="862"/>
    </row>
    <row r="603" spans="2:75" s="164" customFormat="1" ht="12.75" customHeight="1" x14ac:dyDescent="0.2">
      <c r="B603" s="175"/>
      <c r="C603" s="219"/>
      <c r="E603" s="12"/>
      <c r="F603" s="4"/>
      <c r="G603" s="859"/>
      <c r="H603" s="1346" t="s">
        <v>1508</v>
      </c>
      <c r="I603" s="200"/>
      <c r="J603" s="189"/>
      <c r="K603" s="189"/>
      <c r="L603" s="858"/>
      <c r="M603" s="858"/>
      <c r="N603" s="857"/>
      <c r="O603" s="1193"/>
      <c r="P603" s="1218"/>
      <c r="Q603" s="1148"/>
      <c r="R603" s="874"/>
      <c r="S603" s="875"/>
      <c r="T603" s="875"/>
      <c r="U603" s="875"/>
      <c r="V603" s="875"/>
      <c r="W603" s="875"/>
      <c r="X603" s="1026"/>
      <c r="Y603" s="1754"/>
      <c r="Z603" s="1755"/>
      <c r="AA603" s="1775"/>
      <c r="AB603" s="1814"/>
      <c r="AC603" s="876"/>
      <c r="AD603" s="1295"/>
      <c r="AE603" s="1525"/>
      <c r="AF603" s="1525"/>
      <c r="AG603" s="1525"/>
      <c r="AH603" s="1525"/>
      <c r="AI603" s="1525"/>
      <c r="AJ603" s="1525"/>
      <c r="AK603" s="1525"/>
      <c r="AL603" s="1525"/>
      <c r="AM603" s="1525"/>
      <c r="AN603" s="1525"/>
      <c r="AO603" s="1525"/>
      <c r="AP603" s="1525"/>
      <c r="AQ603" s="1525"/>
      <c r="AR603" s="1525"/>
      <c r="AS603" s="1525"/>
      <c r="AU603" s="1525"/>
      <c r="AV603" s="1295"/>
      <c r="AW603" s="1525"/>
      <c r="AX603" s="1525"/>
      <c r="AY603" s="1525"/>
      <c r="AZ603" s="1525"/>
      <c r="BA603" s="1525"/>
      <c r="BB603" s="1525"/>
      <c r="BC603" s="1525"/>
      <c r="BD603" s="1525"/>
      <c r="BE603" s="1525"/>
      <c r="BF603" s="1525"/>
      <c r="BG603" s="1525"/>
      <c r="BH603" s="1525"/>
      <c r="BI603" s="1525"/>
      <c r="BJ603" s="1525"/>
      <c r="BK603" s="1525"/>
      <c r="BL603" s="1525"/>
      <c r="BM603" s="1525"/>
      <c r="BN603" s="1525"/>
      <c r="BO603" s="1525"/>
      <c r="BP603" s="1525"/>
      <c r="BQ603" s="1525"/>
      <c r="BR603" s="1525"/>
      <c r="BS603" s="1525"/>
      <c r="BT603" s="1670"/>
      <c r="BV603"/>
      <c r="BW603" s="859"/>
    </row>
    <row r="604" spans="2:75" ht="12.75" customHeight="1" x14ac:dyDescent="0.2">
      <c r="B604" s="175">
        <f t="shared" si="341"/>
        <v>1</v>
      </c>
      <c r="C604" s="219">
        <v>12</v>
      </c>
      <c r="E604" s="12" t="s">
        <v>291</v>
      </c>
      <c r="F604" s="24" t="s">
        <v>1235</v>
      </c>
      <c r="G604" s="859" t="s">
        <v>255</v>
      </c>
      <c r="H604" s="858">
        <v>6110</v>
      </c>
      <c r="I604" s="200" t="s">
        <v>351</v>
      </c>
      <c r="J604" s="189"/>
      <c r="K604" s="189"/>
      <c r="L604" s="858">
        <v>1</v>
      </c>
      <c r="M604" s="858">
        <f>K604+L604</f>
        <v>1</v>
      </c>
      <c r="N604" s="857" t="s">
        <v>892</v>
      </c>
      <c r="O604" s="1196">
        <v>14204</v>
      </c>
      <c r="P604" s="1218">
        <f ca="1">YEARFRAC(TODAY(),O604)</f>
        <v>78.86666666666666</v>
      </c>
      <c r="Q604" s="1148">
        <v>40000</v>
      </c>
      <c r="R604" s="874"/>
      <c r="S604" s="875"/>
      <c r="T604" s="875">
        <v>3000</v>
      </c>
      <c r="U604" s="875">
        <v>3000</v>
      </c>
      <c r="V604" s="875"/>
      <c r="W604" s="875"/>
      <c r="X604" s="1026">
        <f>(Q604+R604+S604+T604+U604+V604+W604)*M604</f>
        <v>46000</v>
      </c>
      <c r="Y604" s="1512">
        <f>(T604+U604)*M604/(X604-M604*(T604+U604))</f>
        <v>0.15</v>
      </c>
      <c r="Z604" s="1741">
        <f>M604*(1+Y604)</f>
        <v>1.1499999999999999</v>
      </c>
      <c r="AA604" s="1749">
        <f>SUM(AD604:AS604)</f>
        <v>0.25</v>
      </c>
      <c r="AB604" s="1810">
        <f t="shared" ref="AB604:AB606" si="361">100*AA604/Z604</f>
        <v>21.739130434782609</v>
      </c>
      <c r="AC604" s="876"/>
      <c r="AD604" s="1525">
        <f t="shared" ref="AD604:AS606" si="362">SUMIF($AV$6:$BS$6,AD$5,$AV604:$BS604)</f>
        <v>0</v>
      </c>
      <c r="AE604" s="1525">
        <f t="shared" si="362"/>
        <v>0</v>
      </c>
      <c r="AF604" s="1525">
        <f t="shared" si="362"/>
        <v>0</v>
      </c>
      <c r="AG604" s="1525">
        <f t="shared" si="362"/>
        <v>0</v>
      </c>
      <c r="AH604" s="1525">
        <f t="shared" si="362"/>
        <v>0</v>
      </c>
      <c r="AI604" s="1525">
        <f t="shared" si="362"/>
        <v>0.25</v>
      </c>
      <c r="AJ604" s="1525">
        <f t="shared" si="362"/>
        <v>0</v>
      </c>
      <c r="AK604" s="1525">
        <f t="shared" si="362"/>
        <v>0</v>
      </c>
      <c r="AL604" s="1525">
        <f t="shared" si="362"/>
        <v>0</v>
      </c>
      <c r="AM604" s="1525">
        <f t="shared" si="362"/>
        <v>0</v>
      </c>
      <c r="AN604" s="1525">
        <f t="shared" si="362"/>
        <v>0</v>
      </c>
      <c r="AO604" s="1525">
        <f t="shared" si="362"/>
        <v>0</v>
      </c>
      <c r="AP604" s="1525">
        <f t="shared" si="362"/>
        <v>0</v>
      </c>
      <c r="AQ604" s="1525">
        <f t="shared" si="362"/>
        <v>0</v>
      </c>
      <c r="AR604" s="1525">
        <f t="shared" si="362"/>
        <v>0</v>
      </c>
      <c r="AS604" s="1525">
        <f t="shared" si="362"/>
        <v>0</v>
      </c>
      <c r="AU604" s="1525"/>
      <c r="AV604" s="1291"/>
      <c r="AW604" s="1292"/>
      <c r="AX604" s="1292"/>
      <c r="AY604" s="1292"/>
      <c r="AZ604" s="1292"/>
      <c r="BA604" s="1292"/>
      <c r="BB604" s="1292"/>
      <c r="BC604" s="1292"/>
      <c r="BD604" s="1292"/>
      <c r="BE604" s="1292"/>
      <c r="BF604" s="1292"/>
      <c r="BG604" s="1292"/>
      <c r="BH604" s="1292"/>
      <c r="BI604" s="1292"/>
      <c r="BJ604" s="1292"/>
      <c r="BK604" s="1292"/>
      <c r="BL604" s="1292"/>
      <c r="BM604" s="1292">
        <v>0.25</v>
      </c>
      <c r="BN604" s="1292"/>
      <c r="BO604" s="1292"/>
      <c r="BP604" s="1292"/>
      <c r="BQ604" s="1292"/>
      <c r="BR604" s="1292"/>
      <c r="BS604" s="1292"/>
      <c r="BT604" s="1670">
        <f t="shared" ref="BT604:BT606" si="363">SUM(AV604:BS604)</f>
        <v>0.25</v>
      </c>
      <c r="BW604" s="859" t="s">
        <v>255</v>
      </c>
    </row>
    <row r="605" spans="2:75" ht="12.75" customHeight="1" x14ac:dyDescent="0.2">
      <c r="B605" s="175">
        <f>B604+1</f>
        <v>2</v>
      </c>
      <c r="C605" s="219">
        <v>14</v>
      </c>
      <c r="E605" s="12" t="s">
        <v>291</v>
      </c>
      <c r="F605" s="4" t="s">
        <v>626</v>
      </c>
      <c r="G605" s="862" t="s">
        <v>742</v>
      </c>
      <c r="H605" s="861">
        <v>294314</v>
      </c>
      <c r="I605" s="197" t="s">
        <v>1584</v>
      </c>
      <c r="J605" s="174"/>
      <c r="K605" s="174"/>
      <c r="L605" s="861">
        <v>1</v>
      </c>
      <c r="M605" s="861">
        <f>K605+L605</f>
        <v>1</v>
      </c>
      <c r="N605" s="836" t="s">
        <v>1326</v>
      </c>
      <c r="O605" s="1196">
        <v>27209</v>
      </c>
      <c r="P605" s="1218">
        <f ca="1">YEARFRAC(TODAY(),O605)</f>
        <v>43.258333333333333</v>
      </c>
      <c r="Q605" s="1148">
        <v>24000</v>
      </c>
      <c r="R605" s="874">
        <f>Q605*0.1</f>
        <v>2400</v>
      </c>
      <c r="S605" s="1044"/>
      <c r="T605" s="1044">
        <v>3000</v>
      </c>
      <c r="U605" s="1044"/>
      <c r="V605" s="1044"/>
      <c r="W605" s="875"/>
      <c r="X605" s="1026">
        <f>(Q605+R605+S605+T605+U605+V605+W605)*M605</f>
        <v>29400</v>
      </c>
      <c r="Y605" s="1512">
        <f>(T605+U605)*M605/(X605-M605*(T605+U605))</f>
        <v>0.11363636363636363</v>
      </c>
      <c r="Z605" s="1741">
        <f>M605*(1+Y605)</f>
        <v>1.1136363636363635</v>
      </c>
      <c r="AA605" s="1749">
        <f>SUM(AD605:AS605)</f>
        <v>0.1</v>
      </c>
      <c r="AB605" s="1810">
        <f t="shared" si="361"/>
        <v>8.979591836734695</v>
      </c>
      <c r="AC605" s="876"/>
      <c r="AD605" s="1525">
        <f t="shared" si="362"/>
        <v>0</v>
      </c>
      <c r="AE605" s="1525">
        <f t="shared" si="362"/>
        <v>0</v>
      </c>
      <c r="AF605" s="1525">
        <f t="shared" si="362"/>
        <v>0</v>
      </c>
      <c r="AG605" s="1525">
        <f t="shared" si="362"/>
        <v>0</v>
      </c>
      <c r="AH605" s="1525">
        <f t="shared" si="362"/>
        <v>0</v>
      </c>
      <c r="AI605" s="1525">
        <f t="shared" si="362"/>
        <v>0.1</v>
      </c>
      <c r="AJ605" s="1525">
        <f t="shared" si="362"/>
        <v>0</v>
      </c>
      <c r="AK605" s="1525">
        <f t="shared" si="362"/>
        <v>0</v>
      </c>
      <c r="AL605" s="1525">
        <f t="shared" si="362"/>
        <v>0</v>
      </c>
      <c r="AM605" s="1525">
        <f t="shared" si="362"/>
        <v>0</v>
      </c>
      <c r="AN605" s="1525">
        <f t="shared" si="362"/>
        <v>0</v>
      </c>
      <c r="AO605" s="1525">
        <f t="shared" si="362"/>
        <v>0</v>
      </c>
      <c r="AP605" s="1525">
        <f t="shared" si="362"/>
        <v>0</v>
      </c>
      <c r="AQ605" s="1525">
        <f t="shared" si="362"/>
        <v>0</v>
      </c>
      <c r="AR605" s="1525">
        <f t="shared" si="362"/>
        <v>0</v>
      </c>
      <c r="AS605" s="1525">
        <f t="shared" si="362"/>
        <v>0</v>
      </c>
      <c r="AU605" s="1525"/>
      <c r="AV605" s="1291"/>
      <c r="AW605" s="1292"/>
      <c r="AX605" s="1292"/>
      <c r="AY605" s="1292"/>
      <c r="AZ605" s="1292"/>
      <c r="BA605" s="1292"/>
      <c r="BB605" s="1292"/>
      <c r="BC605" s="1292"/>
      <c r="BD605" s="1292"/>
      <c r="BE605" s="1292"/>
      <c r="BF605" s="1292"/>
      <c r="BG605" s="1292"/>
      <c r="BH605" s="1292"/>
      <c r="BI605" s="1292"/>
      <c r="BJ605" s="1292"/>
      <c r="BK605" s="1292"/>
      <c r="BL605" s="1292"/>
      <c r="BM605" s="1292">
        <v>0.1</v>
      </c>
      <c r="BN605" s="1292"/>
      <c r="BO605" s="1292"/>
      <c r="BP605" s="1292"/>
      <c r="BQ605" s="1292"/>
      <c r="BR605" s="1292"/>
      <c r="BS605" s="1292"/>
      <c r="BT605" s="1670">
        <f t="shared" si="363"/>
        <v>0.1</v>
      </c>
      <c r="BW605" s="862" t="s">
        <v>742</v>
      </c>
    </row>
    <row r="606" spans="2:75" ht="12.75" customHeight="1" x14ac:dyDescent="0.2">
      <c r="B606" s="175">
        <f t="shared" si="341"/>
        <v>3</v>
      </c>
      <c r="C606" s="219">
        <v>18</v>
      </c>
      <c r="E606" s="12" t="s">
        <v>291</v>
      </c>
      <c r="F606" s="26" t="s">
        <v>1647</v>
      </c>
      <c r="G606" s="910" t="s">
        <v>1648</v>
      </c>
      <c r="H606" s="873">
        <v>140839</v>
      </c>
      <c r="I606" s="196" t="s">
        <v>998</v>
      </c>
      <c r="J606" s="174"/>
      <c r="K606" s="195"/>
      <c r="L606" s="873">
        <v>0.5</v>
      </c>
      <c r="M606" s="873">
        <v>0.5</v>
      </c>
      <c r="N606" s="872" t="s">
        <v>892</v>
      </c>
      <c r="O606" s="1196">
        <v>15165</v>
      </c>
      <c r="P606" s="1218">
        <f ca="1">YEARFRAC(TODAY(),O606)</f>
        <v>76.233333333333334</v>
      </c>
      <c r="Q606" s="1148">
        <v>33000</v>
      </c>
      <c r="R606" s="874"/>
      <c r="S606" s="1044"/>
      <c r="T606" s="1044"/>
      <c r="U606" s="1044"/>
      <c r="V606" s="1044"/>
      <c r="W606" s="875">
        <f>Q606*0.47</f>
        <v>15510</v>
      </c>
      <c r="X606" s="1026">
        <f>(Q606+R606+S606+T606+U606+V606+W606)*M606</f>
        <v>24255</v>
      </c>
      <c r="Y606" s="1787">
        <f t="shared" ref="Y606" si="364">(T606+U606+W606)*M606/(X606-M606*(T606+U606+W606))</f>
        <v>0.47</v>
      </c>
      <c r="Z606" s="1788">
        <f>M606*(1+Y606)</f>
        <v>0.73499999999999999</v>
      </c>
      <c r="AA606" s="1789">
        <f>SUM(AD606:AS606)</f>
        <v>0</v>
      </c>
      <c r="AB606" s="1816">
        <f t="shared" si="361"/>
        <v>0</v>
      </c>
      <c r="AC606" s="876"/>
      <c r="AD606" s="1525">
        <f t="shared" si="362"/>
        <v>0</v>
      </c>
      <c r="AE606" s="1525">
        <f t="shared" si="362"/>
        <v>0</v>
      </c>
      <c r="AF606" s="1525">
        <f t="shared" si="362"/>
        <v>0</v>
      </c>
      <c r="AG606" s="1525">
        <f t="shared" si="362"/>
        <v>0</v>
      </c>
      <c r="AH606" s="1525">
        <f t="shared" si="362"/>
        <v>0</v>
      </c>
      <c r="AI606" s="1525">
        <f t="shared" si="362"/>
        <v>0</v>
      </c>
      <c r="AJ606" s="1525">
        <f t="shared" si="362"/>
        <v>0</v>
      </c>
      <c r="AK606" s="1525">
        <f t="shared" si="362"/>
        <v>0</v>
      </c>
      <c r="AL606" s="1525">
        <f t="shared" si="362"/>
        <v>0</v>
      </c>
      <c r="AM606" s="1525">
        <f t="shared" si="362"/>
        <v>0</v>
      </c>
      <c r="AN606" s="1525">
        <f t="shared" si="362"/>
        <v>0</v>
      </c>
      <c r="AO606" s="1525">
        <f t="shared" si="362"/>
        <v>0</v>
      </c>
      <c r="AP606" s="1525">
        <f t="shared" si="362"/>
        <v>0</v>
      </c>
      <c r="AQ606" s="1525">
        <f t="shared" si="362"/>
        <v>0</v>
      </c>
      <c r="AR606" s="1525">
        <f t="shared" si="362"/>
        <v>0</v>
      </c>
      <c r="AS606" s="1525">
        <f t="shared" si="362"/>
        <v>0</v>
      </c>
      <c r="AU606" s="1525"/>
      <c r="AV606" s="1291"/>
      <c r="AW606" s="1292"/>
      <c r="AX606" s="1292"/>
      <c r="AY606" s="1292"/>
      <c r="AZ606" s="1292"/>
      <c r="BA606" s="1292"/>
      <c r="BB606" s="1292"/>
      <c r="BC606" s="1292"/>
      <c r="BD606" s="1292"/>
      <c r="BE606" s="1292"/>
      <c r="BF606" s="1292"/>
      <c r="BG606" s="1292"/>
      <c r="BH606" s="1292"/>
      <c r="BI606" s="1292"/>
      <c r="BJ606" s="1292"/>
      <c r="BK606" s="1292"/>
      <c r="BL606" s="1292"/>
      <c r="BM606" s="1292"/>
      <c r="BN606" s="1292"/>
      <c r="BO606" s="1292"/>
      <c r="BP606" s="1292"/>
      <c r="BQ606" s="1292"/>
      <c r="BR606" s="1292"/>
      <c r="BS606" s="1292"/>
      <c r="BT606" s="1670">
        <f t="shared" si="363"/>
        <v>0</v>
      </c>
      <c r="BW606" s="910" t="s">
        <v>1648</v>
      </c>
    </row>
    <row r="607" spans="2:75" s="164" customFormat="1" ht="12.75" customHeight="1" x14ac:dyDescent="0.2">
      <c r="B607" s="175"/>
      <c r="C607" s="219" t="s">
        <v>1120</v>
      </c>
      <c r="F607" s="1" t="s">
        <v>1125</v>
      </c>
      <c r="G607" s="859"/>
      <c r="H607" s="1351" t="s">
        <v>1508</v>
      </c>
      <c r="I607" s="172"/>
      <c r="J607" s="168"/>
      <c r="K607" s="448">
        <f>SUM(K592:K605)</f>
        <v>2</v>
      </c>
      <c r="L607" s="902">
        <f>SUM(L592:L606)</f>
        <v>6</v>
      </c>
      <c r="M607" s="892">
        <f>SUM(M592:M606)</f>
        <v>8</v>
      </c>
      <c r="N607" s="857"/>
      <c r="O607" s="1192"/>
      <c r="P607" s="1218"/>
      <c r="Q607" s="1153"/>
      <c r="R607" s="877"/>
      <c r="S607" s="875"/>
      <c r="T607" s="875"/>
      <c r="U607" s="875"/>
      <c r="V607" s="875"/>
      <c r="W607" s="875"/>
      <c r="X607" s="1026"/>
      <c r="Y607" s="1335"/>
      <c r="Z607" s="1335"/>
      <c r="AA607" s="1292"/>
      <c r="AB607" s="1760"/>
      <c r="AC607" s="876"/>
      <c r="AD607" s="1295"/>
      <c r="AE607" s="1525"/>
      <c r="AF607" s="1525"/>
      <c r="AG607" s="1525"/>
      <c r="AH607" s="1525"/>
      <c r="AI607" s="1525"/>
      <c r="AJ607" s="1525"/>
      <c r="AK607" s="1525"/>
      <c r="AL607" s="1525"/>
      <c r="AM607" s="1525"/>
      <c r="AN607" s="1525"/>
      <c r="AO607" s="1525"/>
      <c r="AP607" s="1525"/>
      <c r="AQ607" s="1525"/>
      <c r="AR607" s="1525"/>
      <c r="AS607" s="1525"/>
      <c r="AU607" s="1525"/>
      <c r="AV607" s="1295"/>
      <c r="AW607" s="1525"/>
      <c r="AX607" s="1525"/>
      <c r="AY607" s="1525"/>
      <c r="AZ607" s="1525"/>
      <c r="BA607" s="1525"/>
      <c r="BB607" s="1525"/>
      <c r="BC607" s="1525"/>
      <c r="BD607" s="1525"/>
      <c r="BE607" s="1525"/>
      <c r="BF607" s="1525"/>
      <c r="BG607" s="1525"/>
      <c r="BH607" s="1525"/>
      <c r="BI607" s="1525"/>
      <c r="BJ607" s="1525"/>
      <c r="BK607" s="1525"/>
      <c r="BL607" s="1525"/>
      <c r="BM607" s="1525"/>
      <c r="BN607" s="1525"/>
      <c r="BO607" s="1525"/>
      <c r="BP607" s="1525"/>
      <c r="BQ607" s="1525"/>
      <c r="BR607" s="1525"/>
      <c r="BS607" s="1525"/>
      <c r="BT607" s="1670"/>
      <c r="BV607"/>
      <c r="BW607" s="859"/>
    </row>
    <row r="608" spans="2:75" s="164" customFormat="1" ht="12.75" customHeight="1" x14ac:dyDescent="0.2">
      <c r="B608" s="175"/>
      <c r="F608" s="1"/>
      <c r="G608" s="859"/>
      <c r="H608" s="1346" t="s">
        <v>1508</v>
      </c>
      <c r="I608" s="172"/>
      <c r="J608" s="168"/>
      <c r="K608" s="168"/>
      <c r="L608" s="858"/>
      <c r="M608" s="858"/>
      <c r="N608" s="857"/>
      <c r="O608" s="1192"/>
      <c r="P608" s="1218"/>
      <c r="Q608" s="1148"/>
      <c r="R608" s="874"/>
      <c r="S608" s="875"/>
      <c r="T608" s="875"/>
      <c r="U608" s="875"/>
      <c r="V608" s="875"/>
      <c r="W608" s="875"/>
      <c r="X608" s="1026"/>
      <c r="Y608" s="1335"/>
      <c r="Z608" s="1335"/>
      <c r="AA608" s="1292"/>
      <c r="AB608" s="1760"/>
      <c r="AC608" s="876"/>
      <c r="AD608" s="1295"/>
      <c r="AE608" s="1525"/>
      <c r="AF608" s="1525"/>
      <c r="AG608" s="1525"/>
      <c r="AH608" s="1525"/>
      <c r="AI608" s="1525"/>
      <c r="AJ608" s="1525"/>
      <c r="AK608" s="1525"/>
      <c r="AL608" s="1525"/>
      <c r="AM608" s="1525"/>
      <c r="AN608" s="1525"/>
      <c r="AO608" s="1525"/>
      <c r="AP608" s="1525"/>
      <c r="AQ608" s="1525"/>
      <c r="AR608" s="1525"/>
      <c r="AS608" s="1525"/>
      <c r="AU608" s="1525"/>
      <c r="AV608" s="1295"/>
      <c r="AW608" s="1525"/>
      <c r="AX608" s="1525"/>
      <c r="AY608" s="1525"/>
      <c r="AZ608" s="1525"/>
      <c r="BA608" s="1525"/>
      <c r="BB608" s="1525"/>
      <c r="BC608" s="1525"/>
      <c r="BD608" s="1525"/>
      <c r="BE608" s="1525"/>
      <c r="BF608" s="1525"/>
      <c r="BG608" s="1525"/>
      <c r="BH608" s="1525"/>
      <c r="BI608" s="1525"/>
      <c r="BJ608" s="1525"/>
      <c r="BK608" s="1525"/>
      <c r="BL608" s="1525"/>
      <c r="BM608" s="1525"/>
      <c r="BN608" s="1525"/>
      <c r="BO608" s="1525"/>
      <c r="BP608" s="1525"/>
      <c r="BQ608" s="1525"/>
      <c r="BR608" s="1525"/>
      <c r="BS608" s="1525"/>
      <c r="BT608" s="1670"/>
      <c r="BV608"/>
      <c r="BW608" s="859"/>
    </row>
    <row r="609" spans="2:75" s="164" customFormat="1" ht="12.75" customHeight="1" x14ac:dyDescent="0.2">
      <c r="B609" s="175"/>
      <c r="F609" s="21" t="s">
        <v>1086</v>
      </c>
      <c r="G609" s="859"/>
      <c r="H609" s="1346" t="s">
        <v>1508</v>
      </c>
      <c r="I609" s="200"/>
      <c r="J609" s="174"/>
      <c r="K609" s="189"/>
      <c r="L609" s="858"/>
      <c r="M609" s="858"/>
      <c r="N609" s="857"/>
      <c r="O609" s="1192"/>
      <c r="P609" s="1218"/>
      <c r="Q609" s="1148"/>
      <c r="R609" s="874"/>
      <c r="S609" s="875"/>
      <c r="T609" s="875"/>
      <c r="U609" s="875"/>
      <c r="V609" s="875"/>
      <c r="W609" s="875"/>
      <c r="X609" s="1026"/>
      <c r="Y609" s="1335"/>
      <c r="Z609" s="1335"/>
      <c r="AA609" s="1292"/>
      <c r="AB609" s="1760"/>
      <c r="AC609" s="876"/>
      <c r="AD609" s="1295"/>
      <c r="AE609" s="1525"/>
      <c r="AF609" s="1525"/>
      <c r="AG609" s="1525"/>
      <c r="AH609" s="1525"/>
      <c r="AI609" s="1525"/>
      <c r="AJ609" s="1525"/>
      <c r="AK609" s="1525"/>
      <c r="AL609" s="1525"/>
      <c r="AM609" s="1525"/>
      <c r="AN609" s="1525"/>
      <c r="AO609" s="1525"/>
      <c r="AP609" s="1525"/>
      <c r="AQ609" s="1525"/>
      <c r="AR609" s="1525"/>
      <c r="AS609" s="1525"/>
      <c r="AU609" s="1525"/>
      <c r="AV609" s="1295"/>
      <c r="AW609" s="1525"/>
      <c r="AX609" s="1525"/>
      <c r="AY609" s="1525"/>
      <c r="AZ609" s="1525"/>
      <c r="BA609" s="1525"/>
      <c r="BB609" s="1525"/>
      <c r="BC609" s="1525"/>
      <c r="BD609" s="1525"/>
      <c r="BE609" s="1525"/>
      <c r="BF609" s="1525"/>
      <c r="BG609" s="1525"/>
      <c r="BH609" s="1525"/>
      <c r="BI609" s="1525"/>
      <c r="BJ609" s="1525"/>
      <c r="BK609" s="1525"/>
      <c r="BL609" s="1525"/>
      <c r="BM609" s="1525"/>
      <c r="BN609" s="1525"/>
      <c r="BO609" s="1525"/>
      <c r="BP609" s="1525"/>
      <c r="BQ609" s="1525"/>
      <c r="BR609" s="1525"/>
      <c r="BS609" s="1525"/>
      <c r="BT609" s="1670"/>
      <c r="BV609"/>
      <c r="BW609" s="859"/>
    </row>
    <row r="610" spans="2:75" s="164" customFormat="1" ht="12.75" customHeight="1" x14ac:dyDescent="0.15">
      <c r="B610" s="175"/>
      <c r="F610" s="24"/>
      <c r="G610" s="859"/>
      <c r="H610" s="1346" t="s">
        <v>1508</v>
      </c>
      <c r="I610" s="200"/>
      <c r="J610" s="189"/>
      <c r="K610" s="189"/>
      <c r="L610" s="858"/>
      <c r="M610" s="858"/>
      <c r="N610" s="857"/>
      <c r="O610" s="1200"/>
      <c r="P610" s="1218"/>
      <c r="Q610" s="1148"/>
      <c r="R610" s="874"/>
      <c r="S610" s="875"/>
      <c r="T610" s="875"/>
      <c r="U610" s="875"/>
      <c r="V610" s="875"/>
      <c r="W610" s="875"/>
      <c r="X610" s="1026"/>
      <c r="Y610" s="1335"/>
      <c r="Z610" s="1335"/>
      <c r="AA610" s="1292"/>
      <c r="AB610" s="1760"/>
      <c r="AC610" s="876"/>
      <c r="AD610" s="1295"/>
      <c r="AE610" s="1525"/>
      <c r="AF610" s="1525"/>
      <c r="AG610" s="1525"/>
      <c r="AH610" s="1525"/>
      <c r="AI610" s="1525"/>
      <c r="AJ610" s="1525"/>
      <c r="AK610" s="1525"/>
      <c r="AL610" s="1525"/>
      <c r="AM610" s="1525"/>
      <c r="AN610" s="1525"/>
      <c r="AO610" s="1525"/>
      <c r="AP610" s="1525"/>
      <c r="AQ610" s="1525"/>
      <c r="AR610" s="1525"/>
      <c r="AS610" s="1525"/>
      <c r="AU610" s="1525"/>
      <c r="AV610" s="1295"/>
      <c r="AW610" s="1525"/>
      <c r="AX610" s="1525"/>
      <c r="AY610" s="1525"/>
      <c r="AZ610" s="1525"/>
      <c r="BA610" s="1525"/>
      <c r="BB610" s="1525"/>
      <c r="BC610" s="1525"/>
      <c r="BD610" s="1525"/>
      <c r="BE610" s="1525"/>
      <c r="BF610" s="1525"/>
      <c r="BG610" s="1525"/>
      <c r="BH610" s="1525"/>
      <c r="BI610" s="1525"/>
      <c r="BJ610" s="1525"/>
      <c r="BK610" s="1525"/>
      <c r="BL610" s="1525"/>
      <c r="BM610" s="1525"/>
      <c r="BN610" s="1525"/>
      <c r="BO610" s="1525"/>
      <c r="BP610" s="1525"/>
      <c r="BQ610" s="1525"/>
      <c r="BR610" s="1525"/>
      <c r="BS610" s="1525"/>
      <c r="BT610" s="1670"/>
      <c r="BV610"/>
      <c r="BW610" s="859"/>
    </row>
    <row r="611" spans="2:75" s="164" customFormat="1" ht="12.75" customHeight="1" x14ac:dyDescent="0.15">
      <c r="B611" s="175">
        <f t="shared" si="341"/>
        <v>1</v>
      </c>
      <c r="C611" s="219">
        <v>11</v>
      </c>
      <c r="E611" s="12" t="s">
        <v>291</v>
      </c>
      <c r="F611" s="24" t="s">
        <v>824</v>
      </c>
      <c r="G611" s="859" t="s">
        <v>1974</v>
      </c>
      <c r="H611" s="1346">
        <v>151220</v>
      </c>
      <c r="I611" s="200" t="s">
        <v>161</v>
      </c>
      <c r="J611" s="189"/>
      <c r="K611" s="189"/>
      <c r="L611" s="858">
        <v>1</v>
      </c>
      <c r="M611" s="858">
        <v>1</v>
      </c>
      <c r="N611" s="857" t="s">
        <v>1326</v>
      </c>
      <c r="O611" s="1331">
        <v>31896</v>
      </c>
      <c r="P611" s="1218">
        <f ca="1">YEARFRAC(TODAY(),O611)</f>
        <v>30.425000000000001</v>
      </c>
      <c r="Q611" s="1148">
        <v>55000</v>
      </c>
      <c r="R611" s="874">
        <f>Q611*0.1</f>
        <v>5500</v>
      </c>
      <c r="S611" s="875"/>
      <c r="T611" s="875"/>
      <c r="U611" s="875"/>
      <c r="V611" s="875"/>
      <c r="W611" s="875"/>
      <c r="X611" s="1026">
        <f t="shared" ref="X611:X619" si="365">(Q611+R611+S611+T611+U611+V611+W611)*M611</f>
        <v>60500</v>
      </c>
      <c r="Y611" s="1790">
        <f t="shared" ref="Y611:Y616" si="366">(T611+U611)*M611/(X611-M611*(T611+U611))</f>
        <v>0</v>
      </c>
      <c r="Z611" s="1791">
        <f t="shared" ref="Z611:Z619" si="367">M611*(1+Y611)</f>
        <v>1</v>
      </c>
      <c r="AA611" s="1792">
        <f t="shared" ref="AA611:AA619" si="368">SUM(AD611:AS611)</f>
        <v>0</v>
      </c>
      <c r="AB611" s="1817">
        <f t="shared" ref="AB611:AB619" si="369">100*AA611/Z611</f>
        <v>0</v>
      </c>
      <c r="AC611" s="876"/>
      <c r="AD611" s="1525">
        <f t="shared" ref="AD611:AS619" si="370">SUMIF($AV$6:$BS$6,AD$5,$AV611:$BS611)</f>
        <v>0</v>
      </c>
      <c r="AE611" s="1525">
        <f t="shared" si="370"/>
        <v>0</v>
      </c>
      <c r="AF611" s="1525">
        <f t="shared" si="370"/>
        <v>0</v>
      </c>
      <c r="AG611" s="1525">
        <f t="shared" si="370"/>
        <v>0</v>
      </c>
      <c r="AH611" s="1525">
        <f t="shared" si="370"/>
        <v>0</v>
      </c>
      <c r="AI611" s="1525">
        <f t="shared" si="370"/>
        <v>0</v>
      </c>
      <c r="AJ611" s="1525">
        <f t="shared" si="370"/>
        <v>0</v>
      </c>
      <c r="AK611" s="1525">
        <f t="shared" si="370"/>
        <v>0</v>
      </c>
      <c r="AL611" s="1525">
        <f t="shared" si="370"/>
        <v>0</v>
      </c>
      <c r="AM611" s="1525">
        <f t="shared" si="370"/>
        <v>0</v>
      </c>
      <c r="AN611" s="1525">
        <f t="shared" si="370"/>
        <v>0</v>
      </c>
      <c r="AO611" s="1525">
        <f t="shared" si="370"/>
        <v>0</v>
      </c>
      <c r="AP611" s="1525">
        <f t="shared" si="370"/>
        <v>0</v>
      </c>
      <c r="AQ611" s="1525">
        <f t="shared" si="370"/>
        <v>0</v>
      </c>
      <c r="AR611" s="1525">
        <f t="shared" si="370"/>
        <v>0</v>
      </c>
      <c r="AS611" s="1525">
        <f t="shared" si="370"/>
        <v>0</v>
      </c>
      <c r="AU611" s="1525"/>
      <c r="AV611" s="1295"/>
      <c r="AW611" s="1525"/>
      <c r="AX611" s="1525"/>
      <c r="AY611" s="1525"/>
      <c r="AZ611" s="1525"/>
      <c r="BA611" s="1525"/>
      <c r="BB611" s="1525"/>
      <c r="BC611" s="1525"/>
      <c r="BD611" s="1525"/>
      <c r="BE611" s="1525"/>
      <c r="BF611" s="1525"/>
      <c r="BG611" s="1525"/>
      <c r="BH611" s="1525"/>
      <c r="BI611" s="1525"/>
      <c r="BJ611" s="1525"/>
      <c r="BK611" s="1525"/>
      <c r="BL611" s="1525"/>
      <c r="BM611" s="1525"/>
      <c r="BN611" s="1525"/>
      <c r="BO611" s="1525"/>
      <c r="BP611" s="1525"/>
      <c r="BQ611" s="1525"/>
      <c r="BR611" s="1525"/>
      <c r="BS611" s="1525"/>
      <c r="BT611" s="1670">
        <f t="shared" ref="BT611:BT619" si="371">SUM(AV611:BS611)</f>
        <v>0</v>
      </c>
      <c r="BV611"/>
      <c r="BW611" s="859" t="s">
        <v>1974</v>
      </c>
    </row>
    <row r="612" spans="2:75" ht="12.75" customHeight="1" x14ac:dyDescent="0.2">
      <c r="B612" s="175">
        <f t="shared" si="341"/>
        <v>2</v>
      </c>
      <c r="C612" s="282">
        <v>12</v>
      </c>
      <c r="D612" s="464"/>
      <c r="E612" s="474" t="s">
        <v>291</v>
      </c>
      <c r="F612" s="24" t="s">
        <v>1235</v>
      </c>
      <c r="G612" s="859" t="s">
        <v>1475</v>
      </c>
      <c r="H612" s="858">
        <v>6152</v>
      </c>
      <c r="I612" s="200" t="s">
        <v>1584</v>
      </c>
      <c r="J612" s="189"/>
      <c r="K612" s="189"/>
      <c r="L612" s="858">
        <v>1</v>
      </c>
      <c r="M612" s="858">
        <f>K612+L612</f>
        <v>1</v>
      </c>
      <c r="N612" s="857" t="s">
        <v>892</v>
      </c>
      <c r="O612" s="1196">
        <v>14740</v>
      </c>
      <c r="P612" s="1218">
        <f t="shared" ref="P612:P619" ca="1" si="372">YEARFRAC(TODAY(),O612)</f>
        <v>77.397222222222226</v>
      </c>
      <c r="Q612" s="1148">
        <v>43500</v>
      </c>
      <c r="R612" s="874"/>
      <c r="S612" s="875"/>
      <c r="T612" s="875">
        <v>3000</v>
      </c>
      <c r="U612" s="875">
        <v>3000</v>
      </c>
      <c r="V612" s="875"/>
      <c r="W612" s="875"/>
      <c r="X612" s="1026">
        <f t="shared" si="365"/>
        <v>49500</v>
      </c>
      <c r="Y612" s="1512">
        <f t="shared" si="366"/>
        <v>0.13793103448275862</v>
      </c>
      <c r="Z612" s="1741">
        <f t="shared" si="367"/>
        <v>1.1379310344827587</v>
      </c>
      <c r="AA612" s="1749">
        <f t="shared" si="368"/>
        <v>0</v>
      </c>
      <c r="AB612" s="1810">
        <f t="shared" si="369"/>
        <v>0</v>
      </c>
      <c r="AC612" s="876"/>
      <c r="AD612" s="1525">
        <f t="shared" si="370"/>
        <v>0</v>
      </c>
      <c r="AE612" s="1525">
        <f t="shared" si="370"/>
        <v>0</v>
      </c>
      <c r="AF612" s="1525">
        <f t="shared" si="370"/>
        <v>0</v>
      </c>
      <c r="AG612" s="1525">
        <f t="shared" si="370"/>
        <v>0</v>
      </c>
      <c r="AH612" s="1525">
        <f t="shared" si="370"/>
        <v>0</v>
      </c>
      <c r="AI612" s="1525">
        <f t="shared" si="370"/>
        <v>0</v>
      </c>
      <c r="AJ612" s="1525">
        <f t="shared" si="370"/>
        <v>0</v>
      </c>
      <c r="AK612" s="1525">
        <f t="shared" si="370"/>
        <v>0</v>
      </c>
      <c r="AL612" s="1525">
        <f t="shared" si="370"/>
        <v>0</v>
      </c>
      <c r="AM612" s="1525">
        <f t="shared" si="370"/>
        <v>0</v>
      </c>
      <c r="AN612" s="1525">
        <f t="shared" si="370"/>
        <v>0</v>
      </c>
      <c r="AO612" s="1525">
        <f t="shared" si="370"/>
        <v>0</v>
      </c>
      <c r="AP612" s="1525">
        <f t="shared" si="370"/>
        <v>0</v>
      </c>
      <c r="AQ612" s="1525">
        <f t="shared" si="370"/>
        <v>0</v>
      </c>
      <c r="AR612" s="1525">
        <f t="shared" si="370"/>
        <v>0</v>
      </c>
      <c r="AS612" s="1525">
        <f t="shared" si="370"/>
        <v>0</v>
      </c>
      <c r="AU612" s="1525"/>
      <c r="AV612" s="1291"/>
      <c r="AW612" s="1292"/>
      <c r="AX612" s="1292"/>
      <c r="AY612" s="1292"/>
      <c r="AZ612" s="1292"/>
      <c r="BA612" s="1292"/>
      <c r="BB612" s="1292"/>
      <c r="BC612" s="1292"/>
      <c r="BD612" s="1292"/>
      <c r="BE612" s="1292"/>
      <c r="BF612" s="1292"/>
      <c r="BG612" s="1292"/>
      <c r="BH612" s="1292"/>
      <c r="BI612" s="1292"/>
      <c r="BJ612" s="1292"/>
      <c r="BK612" s="1292"/>
      <c r="BL612" s="1292"/>
      <c r="BM612" s="1292"/>
      <c r="BN612" s="1292"/>
      <c r="BO612" s="1292"/>
      <c r="BP612" s="1292"/>
      <c r="BQ612" s="1292"/>
      <c r="BR612" s="1292"/>
      <c r="BS612" s="1292"/>
      <c r="BT612" s="1670">
        <f t="shared" si="371"/>
        <v>0</v>
      </c>
      <c r="BW612" s="859" t="s">
        <v>1475</v>
      </c>
    </row>
    <row r="613" spans="2:75" ht="12.75" customHeight="1" x14ac:dyDescent="0.2">
      <c r="B613" s="175">
        <f t="shared" si="341"/>
        <v>3</v>
      </c>
      <c r="C613" s="282">
        <v>13</v>
      </c>
      <c r="D613" s="464"/>
      <c r="E613" s="474" t="s">
        <v>291</v>
      </c>
      <c r="F613" s="4" t="s">
        <v>792</v>
      </c>
      <c r="G613" s="859" t="s">
        <v>1474</v>
      </c>
      <c r="H613" s="858">
        <v>20909</v>
      </c>
      <c r="I613" s="200" t="s">
        <v>1584</v>
      </c>
      <c r="J613" s="189"/>
      <c r="K613" s="189"/>
      <c r="L613" s="858">
        <v>1</v>
      </c>
      <c r="M613" s="858">
        <v>1</v>
      </c>
      <c r="N613" s="857" t="s">
        <v>1326</v>
      </c>
      <c r="O613" s="1196">
        <v>20773</v>
      </c>
      <c r="P613" s="1218">
        <f t="shared" ca="1" si="372"/>
        <v>60.883333333333333</v>
      </c>
      <c r="Q613" s="1148">
        <v>35000</v>
      </c>
      <c r="R613" s="874">
        <f>Q613*0.1</f>
        <v>3500</v>
      </c>
      <c r="S613" s="875"/>
      <c r="T613" s="875"/>
      <c r="U613" s="875"/>
      <c r="V613" s="875"/>
      <c r="W613" s="875"/>
      <c r="X613" s="1026">
        <f t="shared" si="365"/>
        <v>38500</v>
      </c>
      <c r="Y613" s="1512">
        <f t="shared" si="366"/>
        <v>0</v>
      </c>
      <c r="Z613" s="1741">
        <f t="shared" si="367"/>
        <v>1</v>
      </c>
      <c r="AA613" s="1749">
        <f t="shared" si="368"/>
        <v>0</v>
      </c>
      <c r="AB613" s="1810">
        <f t="shared" si="369"/>
        <v>0</v>
      </c>
      <c r="AC613" s="876"/>
      <c r="AD613" s="1525">
        <f t="shared" si="370"/>
        <v>0</v>
      </c>
      <c r="AE613" s="1525">
        <f t="shared" si="370"/>
        <v>0</v>
      </c>
      <c r="AF613" s="1525">
        <f t="shared" si="370"/>
        <v>0</v>
      </c>
      <c r="AG613" s="1525">
        <f t="shared" si="370"/>
        <v>0</v>
      </c>
      <c r="AH613" s="1525">
        <f t="shared" si="370"/>
        <v>0</v>
      </c>
      <c r="AI613" s="1525">
        <f t="shared" si="370"/>
        <v>0</v>
      </c>
      <c r="AJ613" s="1525">
        <f t="shared" si="370"/>
        <v>0</v>
      </c>
      <c r="AK613" s="1525">
        <f t="shared" si="370"/>
        <v>0</v>
      </c>
      <c r="AL613" s="1525">
        <f t="shared" si="370"/>
        <v>0</v>
      </c>
      <c r="AM613" s="1525">
        <f t="shared" si="370"/>
        <v>0</v>
      </c>
      <c r="AN613" s="1525">
        <f t="shared" si="370"/>
        <v>0</v>
      </c>
      <c r="AO613" s="1525">
        <f t="shared" si="370"/>
        <v>0</v>
      </c>
      <c r="AP613" s="1525">
        <f t="shared" si="370"/>
        <v>0</v>
      </c>
      <c r="AQ613" s="1525">
        <f t="shared" si="370"/>
        <v>0</v>
      </c>
      <c r="AR613" s="1525">
        <f t="shared" si="370"/>
        <v>0</v>
      </c>
      <c r="AS613" s="1525">
        <f t="shared" si="370"/>
        <v>0</v>
      </c>
      <c r="AU613" s="1525"/>
      <c r="AV613" s="1291"/>
      <c r="AW613" s="1292"/>
      <c r="AX613" s="1292"/>
      <c r="AY613" s="1292"/>
      <c r="AZ613" s="1292"/>
      <c r="BA613" s="1292"/>
      <c r="BB613" s="1292"/>
      <c r="BC613" s="1292"/>
      <c r="BD613" s="1292"/>
      <c r="BE613" s="1292"/>
      <c r="BF613" s="1292"/>
      <c r="BG613" s="1292"/>
      <c r="BH613" s="1292"/>
      <c r="BI613" s="1292"/>
      <c r="BJ613" s="1292"/>
      <c r="BK613" s="1292"/>
      <c r="BL613" s="1292"/>
      <c r="BM613" s="1292"/>
      <c r="BN613" s="1292"/>
      <c r="BO613" s="1292"/>
      <c r="BP613" s="1292"/>
      <c r="BQ613" s="1292"/>
      <c r="BR613" s="1292"/>
      <c r="BS613" s="1292"/>
      <c r="BT613" s="1670">
        <f t="shared" si="371"/>
        <v>0</v>
      </c>
      <c r="BW613" s="859" t="s">
        <v>1474</v>
      </c>
    </row>
    <row r="614" spans="2:75" ht="12.75" customHeight="1" x14ac:dyDescent="0.2">
      <c r="B614" s="175">
        <f t="shared" si="341"/>
        <v>4</v>
      </c>
      <c r="C614" s="219">
        <v>41</v>
      </c>
      <c r="E614" s="12" t="s">
        <v>291</v>
      </c>
      <c r="F614" s="37" t="s">
        <v>1284</v>
      </c>
      <c r="G614" s="862" t="s">
        <v>54</v>
      </c>
      <c r="H614" s="858">
        <v>291229</v>
      </c>
      <c r="I614" s="197" t="s">
        <v>998</v>
      </c>
      <c r="J614" s="174"/>
      <c r="K614" s="174"/>
      <c r="L614" s="861">
        <v>1</v>
      </c>
      <c r="M614" s="858">
        <f t="shared" ref="M614:M619" si="373">K614+L614</f>
        <v>1</v>
      </c>
      <c r="N614" s="857" t="s">
        <v>1326</v>
      </c>
      <c r="O614" s="1196">
        <v>28858</v>
      </c>
      <c r="P614" s="1218">
        <f t="shared" ca="1" si="372"/>
        <v>38.74722222222222</v>
      </c>
      <c r="Q614" s="1148">
        <v>33000</v>
      </c>
      <c r="R614" s="874">
        <f>Q614*0.1</f>
        <v>3300</v>
      </c>
      <c r="S614" s="1044"/>
      <c r="T614" s="1044"/>
      <c r="U614" s="1044"/>
      <c r="V614" s="1044"/>
      <c r="W614" s="1044"/>
      <c r="X614" s="1026">
        <f t="shared" si="365"/>
        <v>36300</v>
      </c>
      <c r="Y614" s="1512">
        <f t="shared" si="366"/>
        <v>0</v>
      </c>
      <c r="Z614" s="1741">
        <f t="shared" si="367"/>
        <v>1</v>
      </c>
      <c r="AA614" s="1749">
        <f t="shared" si="368"/>
        <v>0</v>
      </c>
      <c r="AB614" s="1810">
        <f t="shared" si="369"/>
        <v>0</v>
      </c>
      <c r="AC614" s="876"/>
      <c r="AD614" s="1525">
        <f t="shared" si="370"/>
        <v>0</v>
      </c>
      <c r="AE614" s="1525">
        <f t="shared" si="370"/>
        <v>0</v>
      </c>
      <c r="AF614" s="1525">
        <f t="shared" si="370"/>
        <v>0</v>
      </c>
      <c r="AG614" s="1525">
        <f t="shared" si="370"/>
        <v>0</v>
      </c>
      <c r="AH614" s="1525">
        <f t="shared" si="370"/>
        <v>0</v>
      </c>
      <c r="AI614" s="1525">
        <f t="shared" si="370"/>
        <v>0</v>
      </c>
      <c r="AJ614" s="1525">
        <f t="shared" si="370"/>
        <v>0</v>
      </c>
      <c r="AK614" s="1525">
        <f t="shared" si="370"/>
        <v>0</v>
      </c>
      <c r="AL614" s="1525">
        <f t="shared" si="370"/>
        <v>0</v>
      </c>
      <c r="AM614" s="1525">
        <f t="shared" si="370"/>
        <v>0</v>
      </c>
      <c r="AN614" s="1525">
        <f t="shared" si="370"/>
        <v>0</v>
      </c>
      <c r="AO614" s="1525">
        <f t="shared" si="370"/>
        <v>0</v>
      </c>
      <c r="AP614" s="1525">
        <f t="shared" si="370"/>
        <v>0</v>
      </c>
      <c r="AQ614" s="1525">
        <f t="shared" si="370"/>
        <v>0</v>
      </c>
      <c r="AR614" s="1525">
        <f t="shared" si="370"/>
        <v>0</v>
      </c>
      <c r="AS614" s="1525">
        <f t="shared" si="370"/>
        <v>0</v>
      </c>
      <c r="AU614" s="1525"/>
      <c r="AV614" s="1291"/>
      <c r="AW614" s="1292"/>
      <c r="AX614" s="1292"/>
      <c r="AY614" s="1292"/>
      <c r="AZ614" s="1292"/>
      <c r="BA614" s="1292"/>
      <c r="BB614" s="1292"/>
      <c r="BC614" s="1292"/>
      <c r="BD614" s="1292"/>
      <c r="BE614" s="1292"/>
      <c r="BF614" s="1292"/>
      <c r="BG614" s="1292"/>
      <c r="BH614" s="1292"/>
      <c r="BI614" s="1292"/>
      <c r="BJ614" s="1292"/>
      <c r="BK614" s="1292"/>
      <c r="BL614" s="1292"/>
      <c r="BM614" s="1292"/>
      <c r="BN614" s="1292"/>
      <c r="BO614" s="1292"/>
      <c r="BP614" s="1292"/>
      <c r="BQ614" s="1292"/>
      <c r="BR614" s="1292"/>
      <c r="BS614" s="1292"/>
      <c r="BT614" s="1670">
        <f t="shared" si="371"/>
        <v>0</v>
      </c>
      <c r="BW614" s="862" t="s">
        <v>54</v>
      </c>
    </row>
    <row r="615" spans="2:75" ht="12.75" customHeight="1" x14ac:dyDescent="0.2">
      <c r="B615" s="175">
        <f t="shared" si="341"/>
        <v>5</v>
      </c>
      <c r="C615" s="219">
        <v>18</v>
      </c>
      <c r="E615" s="12" t="s">
        <v>291</v>
      </c>
      <c r="F615" s="4" t="s">
        <v>363</v>
      </c>
      <c r="G615" s="859" t="s">
        <v>364</v>
      </c>
      <c r="H615" s="858">
        <v>60931</v>
      </c>
      <c r="I615" s="200" t="s">
        <v>998</v>
      </c>
      <c r="J615" s="189"/>
      <c r="K615" s="189"/>
      <c r="L615" s="858">
        <v>1</v>
      </c>
      <c r="M615" s="858">
        <f t="shared" si="373"/>
        <v>1</v>
      </c>
      <c r="N615" s="857" t="s">
        <v>1326</v>
      </c>
      <c r="O615" s="1196">
        <v>14225</v>
      </c>
      <c r="P615" s="1218">
        <f t="shared" ca="1" si="372"/>
        <v>78.808333333333337</v>
      </c>
      <c r="Q615" s="1148">
        <v>23000</v>
      </c>
      <c r="R615" s="874">
        <f>Q615*0.1</f>
        <v>2300</v>
      </c>
      <c r="S615" s="875"/>
      <c r="T615" s="875"/>
      <c r="U615" s="875"/>
      <c r="V615" s="875"/>
      <c r="W615" s="875"/>
      <c r="X615" s="1026">
        <f t="shared" si="365"/>
        <v>25300</v>
      </c>
      <c r="Y615" s="1512">
        <f t="shared" si="366"/>
        <v>0</v>
      </c>
      <c r="Z615" s="1741">
        <f t="shared" si="367"/>
        <v>1</v>
      </c>
      <c r="AA615" s="1749">
        <f t="shared" si="368"/>
        <v>0</v>
      </c>
      <c r="AB615" s="1810">
        <f t="shared" si="369"/>
        <v>0</v>
      </c>
      <c r="AC615" s="876"/>
      <c r="AD615" s="1525">
        <f t="shared" si="370"/>
        <v>0</v>
      </c>
      <c r="AE615" s="1525">
        <f t="shared" si="370"/>
        <v>0</v>
      </c>
      <c r="AF615" s="1525">
        <f t="shared" si="370"/>
        <v>0</v>
      </c>
      <c r="AG615" s="1525">
        <f t="shared" si="370"/>
        <v>0</v>
      </c>
      <c r="AH615" s="1525">
        <f t="shared" si="370"/>
        <v>0</v>
      </c>
      <c r="AI615" s="1525">
        <f t="shared" si="370"/>
        <v>0</v>
      </c>
      <c r="AJ615" s="1525">
        <f t="shared" si="370"/>
        <v>0</v>
      </c>
      <c r="AK615" s="1525">
        <f t="shared" si="370"/>
        <v>0</v>
      </c>
      <c r="AL615" s="1525">
        <f t="shared" si="370"/>
        <v>0</v>
      </c>
      <c r="AM615" s="1525">
        <f t="shared" si="370"/>
        <v>0</v>
      </c>
      <c r="AN615" s="1525">
        <f t="shared" si="370"/>
        <v>0</v>
      </c>
      <c r="AO615" s="1525">
        <f t="shared" si="370"/>
        <v>0</v>
      </c>
      <c r="AP615" s="1525">
        <f t="shared" si="370"/>
        <v>0</v>
      </c>
      <c r="AQ615" s="1525">
        <f t="shared" si="370"/>
        <v>0</v>
      </c>
      <c r="AR615" s="1525">
        <f t="shared" si="370"/>
        <v>0</v>
      </c>
      <c r="AS615" s="1525">
        <f t="shared" si="370"/>
        <v>0</v>
      </c>
      <c r="AU615" s="1525"/>
      <c r="AV615" s="1291"/>
      <c r="AW615" s="1292"/>
      <c r="AX615" s="1292"/>
      <c r="AY615" s="1292"/>
      <c r="AZ615" s="1292"/>
      <c r="BA615" s="1292"/>
      <c r="BB615" s="1292"/>
      <c r="BC615" s="1292"/>
      <c r="BD615" s="1292"/>
      <c r="BE615" s="1292"/>
      <c r="BF615" s="1292"/>
      <c r="BG615" s="1292"/>
      <c r="BH615" s="1292"/>
      <c r="BI615" s="1292"/>
      <c r="BJ615" s="1292"/>
      <c r="BK615" s="1292"/>
      <c r="BL615" s="1292"/>
      <c r="BM615" s="1292"/>
      <c r="BN615" s="1292"/>
      <c r="BO615" s="1292"/>
      <c r="BP615" s="1292"/>
      <c r="BQ615" s="1292"/>
      <c r="BR615" s="1292"/>
      <c r="BS615" s="1292"/>
      <c r="BT615" s="1670">
        <f t="shared" si="371"/>
        <v>0</v>
      </c>
      <c r="BW615" s="859" t="s">
        <v>364</v>
      </c>
    </row>
    <row r="616" spans="2:75" ht="12.75" customHeight="1" x14ac:dyDescent="0.2">
      <c r="B616" s="175">
        <f t="shared" si="341"/>
        <v>6</v>
      </c>
      <c r="C616" s="220">
        <v>18</v>
      </c>
      <c r="D616" s="170"/>
      <c r="E616" s="447" t="s">
        <v>291</v>
      </c>
      <c r="F616" s="4" t="s">
        <v>1634</v>
      </c>
      <c r="G616" s="862" t="s">
        <v>1110</v>
      </c>
      <c r="H616" s="861">
        <v>112769</v>
      </c>
      <c r="I616" s="197" t="s">
        <v>998</v>
      </c>
      <c r="J616" s="174"/>
      <c r="K616" s="174"/>
      <c r="L616" s="861">
        <v>1</v>
      </c>
      <c r="M616" s="861">
        <f t="shared" si="373"/>
        <v>1</v>
      </c>
      <c r="N616" s="836" t="s">
        <v>892</v>
      </c>
      <c r="O616" s="1196">
        <v>22123</v>
      </c>
      <c r="P616" s="1262">
        <f t="shared" ca="1" si="372"/>
        <v>57.18333333333333</v>
      </c>
      <c r="Q616" s="1148">
        <v>23000</v>
      </c>
      <c r="R616" s="874"/>
      <c r="S616" s="876"/>
      <c r="T616" s="876"/>
      <c r="U616" s="876"/>
      <c r="V616" s="876"/>
      <c r="W616" s="1045"/>
      <c r="X616" s="1026">
        <f t="shared" si="365"/>
        <v>23000</v>
      </c>
      <c r="Y616" s="1512">
        <f t="shared" si="366"/>
        <v>0</v>
      </c>
      <c r="Z616" s="1741">
        <f t="shared" si="367"/>
        <v>1</v>
      </c>
      <c r="AA616" s="1749">
        <f t="shared" si="368"/>
        <v>0</v>
      </c>
      <c r="AB616" s="1810">
        <f t="shared" si="369"/>
        <v>0</v>
      </c>
      <c r="AC616" s="876"/>
      <c r="AD616" s="1525">
        <f t="shared" si="370"/>
        <v>0</v>
      </c>
      <c r="AE616" s="1525">
        <f t="shared" si="370"/>
        <v>0</v>
      </c>
      <c r="AF616" s="1525">
        <f t="shared" si="370"/>
        <v>0</v>
      </c>
      <c r="AG616" s="1525">
        <f t="shared" si="370"/>
        <v>0</v>
      </c>
      <c r="AH616" s="1525">
        <f t="shared" si="370"/>
        <v>0</v>
      </c>
      <c r="AI616" s="1525">
        <f t="shared" si="370"/>
        <v>0</v>
      </c>
      <c r="AJ616" s="1525">
        <f t="shared" si="370"/>
        <v>0</v>
      </c>
      <c r="AK616" s="1525">
        <f t="shared" si="370"/>
        <v>0</v>
      </c>
      <c r="AL616" s="1525">
        <f t="shared" si="370"/>
        <v>0</v>
      </c>
      <c r="AM616" s="1525">
        <f t="shared" si="370"/>
        <v>0</v>
      </c>
      <c r="AN616" s="1525">
        <f t="shared" si="370"/>
        <v>0</v>
      </c>
      <c r="AO616" s="1525">
        <f t="shared" si="370"/>
        <v>0</v>
      </c>
      <c r="AP616" s="1525">
        <f t="shared" si="370"/>
        <v>0</v>
      </c>
      <c r="AQ616" s="1525">
        <f t="shared" si="370"/>
        <v>0</v>
      </c>
      <c r="AR616" s="1525">
        <f t="shared" si="370"/>
        <v>0</v>
      </c>
      <c r="AS616" s="1525">
        <f t="shared" si="370"/>
        <v>0</v>
      </c>
      <c r="AU616" s="1525"/>
      <c r="AV616" s="1291"/>
      <c r="AW616" s="1292"/>
      <c r="AX616" s="1292"/>
      <c r="AY616" s="1292"/>
      <c r="AZ616" s="1292"/>
      <c r="BA616" s="1292"/>
      <c r="BB616" s="1292"/>
      <c r="BC616" s="1292"/>
      <c r="BD616" s="1292"/>
      <c r="BE616" s="1292"/>
      <c r="BF616" s="1292"/>
      <c r="BG616" s="1292"/>
      <c r="BH616" s="1292"/>
      <c r="BI616" s="1292"/>
      <c r="BJ616" s="1292"/>
      <c r="BK616" s="1292"/>
      <c r="BL616" s="1292"/>
      <c r="BM616" s="1292"/>
      <c r="BN616" s="1292"/>
      <c r="BO616" s="1292"/>
      <c r="BP616" s="1292"/>
      <c r="BQ616" s="1292"/>
      <c r="BR616" s="1292"/>
      <c r="BS616" s="1292"/>
      <c r="BT616" s="1670">
        <f t="shared" si="371"/>
        <v>0</v>
      </c>
      <c r="BW616" s="862" t="s">
        <v>1110</v>
      </c>
    </row>
    <row r="617" spans="2:75" ht="12.75" customHeight="1" x14ac:dyDescent="0.2">
      <c r="B617" s="175">
        <f t="shared" si="341"/>
        <v>7</v>
      </c>
      <c r="C617" s="220">
        <v>43</v>
      </c>
      <c r="D617" s="170"/>
      <c r="E617" s="447" t="s">
        <v>291</v>
      </c>
      <c r="F617" s="4" t="s">
        <v>1635</v>
      </c>
      <c r="G617" s="862" t="s">
        <v>1168</v>
      </c>
      <c r="H617" s="861">
        <v>230880</v>
      </c>
      <c r="I617" s="197" t="s">
        <v>998</v>
      </c>
      <c r="J617" s="174"/>
      <c r="K617" s="174"/>
      <c r="L617" s="861">
        <v>1</v>
      </c>
      <c r="M617" s="861">
        <f t="shared" si="373"/>
        <v>1</v>
      </c>
      <c r="N617" s="836" t="s">
        <v>892</v>
      </c>
      <c r="O617" s="1196">
        <v>20093</v>
      </c>
      <c r="P617" s="1262">
        <f t="shared" ca="1" si="372"/>
        <v>62.744444444444447</v>
      </c>
      <c r="Q617" s="1148">
        <v>26000</v>
      </c>
      <c r="R617" s="874"/>
      <c r="S617" s="876"/>
      <c r="T617" s="876"/>
      <c r="U617" s="876"/>
      <c r="V617" s="876"/>
      <c r="W617" s="876">
        <f>ROUNDUP((Q617+R617)*0.08,0)</f>
        <v>2080</v>
      </c>
      <c r="X617" s="1026">
        <f t="shared" si="365"/>
        <v>28080</v>
      </c>
      <c r="Y617" s="1512">
        <f t="shared" ref="Y617:Y619" si="374">(T617+U617+W617)*M617/(X617-M617*(T617+U617+W617))</f>
        <v>0.08</v>
      </c>
      <c r="Z617" s="1741">
        <f t="shared" si="367"/>
        <v>1.08</v>
      </c>
      <c r="AA617" s="1749">
        <f t="shared" si="368"/>
        <v>0</v>
      </c>
      <c r="AB617" s="1810">
        <f t="shared" si="369"/>
        <v>0</v>
      </c>
      <c r="AC617" s="876"/>
      <c r="AD617" s="1525">
        <f t="shared" si="370"/>
        <v>0</v>
      </c>
      <c r="AE617" s="1525">
        <f t="shared" si="370"/>
        <v>0</v>
      </c>
      <c r="AF617" s="1525">
        <f t="shared" si="370"/>
        <v>0</v>
      </c>
      <c r="AG617" s="1525">
        <f t="shared" si="370"/>
        <v>0</v>
      </c>
      <c r="AH617" s="1525">
        <f t="shared" si="370"/>
        <v>0</v>
      </c>
      <c r="AI617" s="1525">
        <f t="shared" si="370"/>
        <v>0</v>
      </c>
      <c r="AJ617" s="1525">
        <f t="shared" si="370"/>
        <v>0</v>
      </c>
      <c r="AK617" s="1525">
        <f t="shared" si="370"/>
        <v>0</v>
      </c>
      <c r="AL617" s="1525">
        <f t="shared" si="370"/>
        <v>0</v>
      </c>
      <c r="AM617" s="1525">
        <f t="shared" si="370"/>
        <v>0</v>
      </c>
      <c r="AN617" s="1525">
        <f t="shared" si="370"/>
        <v>0</v>
      </c>
      <c r="AO617" s="1525">
        <f t="shared" si="370"/>
        <v>0</v>
      </c>
      <c r="AP617" s="1525">
        <f t="shared" si="370"/>
        <v>0</v>
      </c>
      <c r="AQ617" s="1525">
        <f t="shared" si="370"/>
        <v>0</v>
      </c>
      <c r="AR617" s="1525">
        <f t="shared" si="370"/>
        <v>0</v>
      </c>
      <c r="AS617" s="1525">
        <f t="shared" si="370"/>
        <v>0</v>
      </c>
      <c r="AU617" s="1525"/>
      <c r="AV617" s="1291"/>
      <c r="AW617" s="1292"/>
      <c r="AX617" s="1292"/>
      <c r="AY617" s="1292"/>
      <c r="AZ617" s="1292"/>
      <c r="BA617" s="1292"/>
      <c r="BB617" s="1292"/>
      <c r="BC617" s="1292"/>
      <c r="BD617" s="1292"/>
      <c r="BE617" s="1292"/>
      <c r="BF617" s="1292"/>
      <c r="BG617" s="1292"/>
      <c r="BH617" s="1292"/>
      <c r="BI617" s="1292"/>
      <c r="BJ617" s="1292"/>
      <c r="BK617" s="1292"/>
      <c r="BL617" s="1292"/>
      <c r="BM617" s="1292"/>
      <c r="BN617" s="1292"/>
      <c r="BO617" s="1292"/>
      <c r="BP617" s="1292"/>
      <c r="BQ617" s="1292"/>
      <c r="BR617" s="1292"/>
      <c r="BS617" s="1292"/>
      <c r="BT617" s="1670">
        <f t="shared" si="371"/>
        <v>0</v>
      </c>
      <c r="BW617" s="862" t="s">
        <v>1168</v>
      </c>
    </row>
    <row r="618" spans="2:75" ht="12.75" customHeight="1" x14ac:dyDescent="0.2">
      <c r="B618" s="175">
        <f t="shared" si="341"/>
        <v>8</v>
      </c>
      <c r="C618" s="219">
        <v>18</v>
      </c>
      <c r="E618" s="12" t="s">
        <v>291</v>
      </c>
      <c r="F618" s="4" t="s">
        <v>799</v>
      </c>
      <c r="G618" s="862" t="s">
        <v>362</v>
      </c>
      <c r="H618" s="858">
        <v>282551</v>
      </c>
      <c r="I618" s="197" t="s">
        <v>998</v>
      </c>
      <c r="J618" s="174"/>
      <c r="K618" s="174"/>
      <c r="L618" s="861">
        <v>1</v>
      </c>
      <c r="M618" s="858">
        <f t="shared" si="373"/>
        <v>1</v>
      </c>
      <c r="N618" s="836" t="s">
        <v>1326</v>
      </c>
      <c r="O618" s="1196">
        <v>17899</v>
      </c>
      <c r="P618" s="1218">
        <f t="shared" ca="1" si="372"/>
        <v>68.75277777777778</v>
      </c>
      <c r="Q618" s="1148">
        <v>30000</v>
      </c>
      <c r="R618" s="874">
        <f>Q618*0.1</f>
        <v>3000</v>
      </c>
      <c r="S618" s="875"/>
      <c r="T618" s="875"/>
      <c r="U618" s="875"/>
      <c r="V618" s="875"/>
      <c r="W618" s="875"/>
      <c r="X618" s="1026">
        <f t="shared" si="365"/>
        <v>33000</v>
      </c>
      <c r="Y618" s="1512">
        <f t="shared" si="374"/>
        <v>0</v>
      </c>
      <c r="Z618" s="1741">
        <f t="shared" si="367"/>
        <v>1</v>
      </c>
      <c r="AA618" s="1749">
        <f t="shared" si="368"/>
        <v>0</v>
      </c>
      <c r="AB618" s="1810">
        <f t="shared" si="369"/>
        <v>0</v>
      </c>
      <c r="AC618" s="876"/>
      <c r="AD618" s="1525">
        <f t="shared" si="370"/>
        <v>0</v>
      </c>
      <c r="AE618" s="1525">
        <f t="shared" si="370"/>
        <v>0</v>
      </c>
      <c r="AF618" s="1525">
        <f t="shared" si="370"/>
        <v>0</v>
      </c>
      <c r="AG618" s="1525">
        <f t="shared" si="370"/>
        <v>0</v>
      </c>
      <c r="AH618" s="1525">
        <f t="shared" si="370"/>
        <v>0</v>
      </c>
      <c r="AI618" s="1525">
        <f t="shared" si="370"/>
        <v>0</v>
      </c>
      <c r="AJ618" s="1525">
        <f t="shared" si="370"/>
        <v>0</v>
      </c>
      <c r="AK618" s="1525">
        <f t="shared" si="370"/>
        <v>0</v>
      </c>
      <c r="AL618" s="1525">
        <f t="shared" si="370"/>
        <v>0</v>
      </c>
      <c r="AM618" s="1525">
        <f t="shared" si="370"/>
        <v>0</v>
      </c>
      <c r="AN618" s="1525">
        <f t="shared" si="370"/>
        <v>0</v>
      </c>
      <c r="AO618" s="1525">
        <f t="shared" si="370"/>
        <v>0</v>
      </c>
      <c r="AP618" s="1525">
        <f t="shared" si="370"/>
        <v>0</v>
      </c>
      <c r="AQ618" s="1525">
        <f t="shared" si="370"/>
        <v>0</v>
      </c>
      <c r="AR618" s="1525">
        <f t="shared" si="370"/>
        <v>0</v>
      </c>
      <c r="AS618" s="1525">
        <f t="shared" si="370"/>
        <v>0</v>
      </c>
      <c r="AU618" s="1525"/>
      <c r="AV618" s="1291"/>
      <c r="AW618" s="1292"/>
      <c r="AX618" s="1292"/>
      <c r="AY618" s="1292"/>
      <c r="AZ618" s="1292"/>
      <c r="BA618" s="1292"/>
      <c r="BB618" s="1292"/>
      <c r="BC618" s="1292"/>
      <c r="BD618" s="1292"/>
      <c r="BE618" s="1292"/>
      <c r="BF618" s="1292"/>
      <c r="BG618" s="1292"/>
      <c r="BH618" s="1292"/>
      <c r="BI618" s="1292"/>
      <c r="BJ618" s="1292"/>
      <c r="BK618" s="1292"/>
      <c r="BL618" s="1292"/>
      <c r="BM618" s="1292"/>
      <c r="BN618" s="1292"/>
      <c r="BO618" s="1292"/>
      <c r="BP618" s="1292"/>
      <c r="BQ618" s="1292"/>
      <c r="BR618" s="1292"/>
      <c r="BS618" s="1292"/>
      <c r="BT618" s="1670">
        <f t="shared" si="371"/>
        <v>0</v>
      </c>
      <c r="BW618" s="862" t="s">
        <v>362</v>
      </c>
    </row>
    <row r="619" spans="2:75" ht="12.75" customHeight="1" x14ac:dyDescent="0.2">
      <c r="B619" s="175">
        <f t="shared" si="341"/>
        <v>9</v>
      </c>
      <c r="C619" s="219">
        <v>18</v>
      </c>
      <c r="E619" s="12" t="s">
        <v>291</v>
      </c>
      <c r="F619" s="26" t="s">
        <v>316</v>
      </c>
      <c r="G619" s="910" t="s">
        <v>1628</v>
      </c>
      <c r="H619" s="873">
        <v>104125</v>
      </c>
      <c r="I619" s="196" t="s">
        <v>998</v>
      </c>
      <c r="J619" s="195"/>
      <c r="K619" s="195"/>
      <c r="L619" s="873">
        <v>1</v>
      </c>
      <c r="M619" s="873">
        <f t="shared" si="373"/>
        <v>1</v>
      </c>
      <c r="N619" s="872" t="s">
        <v>1326</v>
      </c>
      <c r="O619" s="1196">
        <v>19065</v>
      </c>
      <c r="P619" s="1218">
        <f t="shared" ca="1" si="372"/>
        <v>65.555555555555557</v>
      </c>
      <c r="Q619" s="1148">
        <v>28000</v>
      </c>
      <c r="R619" s="874">
        <f>Q619*0.1</f>
        <v>2800</v>
      </c>
      <c r="S619" s="875"/>
      <c r="T619" s="875"/>
      <c r="U619" s="875"/>
      <c r="V619" s="875"/>
      <c r="W619" s="1036">
        <f>(Q619+R619)*0.05</f>
        <v>1540</v>
      </c>
      <c r="X619" s="1026">
        <f t="shared" si="365"/>
        <v>32340</v>
      </c>
      <c r="Y619" s="1512">
        <f t="shared" si="374"/>
        <v>0.05</v>
      </c>
      <c r="Z619" s="1741">
        <f t="shared" si="367"/>
        <v>1.05</v>
      </c>
      <c r="AA619" s="1749">
        <f t="shared" si="368"/>
        <v>0</v>
      </c>
      <c r="AB619" s="1810">
        <f t="shared" si="369"/>
        <v>0</v>
      </c>
      <c r="AC619" s="876"/>
      <c r="AD619" s="1525">
        <f t="shared" si="370"/>
        <v>0</v>
      </c>
      <c r="AE619" s="1525">
        <f t="shared" si="370"/>
        <v>0</v>
      </c>
      <c r="AF619" s="1525">
        <f t="shared" si="370"/>
        <v>0</v>
      </c>
      <c r="AG619" s="1525">
        <f t="shared" si="370"/>
        <v>0</v>
      </c>
      <c r="AH619" s="1525">
        <f t="shared" si="370"/>
        <v>0</v>
      </c>
      <c r="AI619" s="1525">
        <f t="shared" si="370"/>
        <v>0</v>
      </c>
      <c r="AJ619" s="1525">
        <f t="shared" si="370"/>
        <v>0</v>
      </c>
      <c r="AK619" s="1525">
        <f t="shared" si="370"/>
        <v>0</v>
      </c>
      <c r="AL619" s="1525">
        <f t="shared" si="370"/>
        <v>0</v>
      </c>
      <c r="AM619" s="1525">
        <f t="shared" si="370"/>
        <v>0</v>
      </c>
      <c r="AN619" s="1525">
        <f t="shared" si="370"/>
        <v>0</v>
      </c>
      <c r="AO619" s="1525">
        <f t="shared" si="370"/>
        <v>0</v>
      </c>
      <c r="AP619" s="1525">
        <f t="shared" si="370"/>
        <v>0</v>
      </c>
      <c r="AQ619" s="1525">
        <f t="shared" si="370"/>
        <v>0</v>
      </c>
      <c r="AR619" s="1525">
        <f t="shared" si="370"/>
        <v>0</v>
      </c>
      <c r="AS619" s="1525">
        <f t="shared" si="370"/>
        <v>0</v>
      </c>
      <c r="AU619" s="1525"/>
      <c r="AV619" s="1291"/>
      <c r="AW619" s="1292"/>
      <c r="AX619" s="1292"/>
      <c r="AY619" s="1292"/>
      <c r="AZ619" s="1292"/>
      <c r="BA619" s="1292"/>
      <c r="BB619" s="1292"/>
      <c r="BC619" s="1292"/>
      <c r="BD619" s="1292"/>
      <c r="BE619" s="1292"/>
      <c r="BF619" s="1292"/>
      <c r="BG619" s="1292"/>
      <c r="BH619" s="1292"/>
      <c r="BI619" s="1292"/>
      <c r="BJ619" s="1292"/>
      <c r="BK619" s="1292"/>
      <c r="BL619" s="1292"/>
      <c r="BM619" s="1292"/>
      <c r="BN619" s="1292"/>
      <c r="BO619" s="1292"/>
      <c r="BP619" s="1292"/>
      <c r="BQ619" s="1292"/>
      <c r="BR619" s="1292"/>
      <c r="BS619" s="1292"/>
      <c r="BT619" s="1670">
        <f t="shared" si="371"/>
        <v>0</v>
      </c>
      <c r="BW619" s="910" t="s">
        <v>1628</v>
      </c>
    </row>
    <row r="620" spans="2:75" s="164" customFormat="1" ht="12.75" customHeight="1" x14ac:dyDescent="0.15">
      <c r="B620" s="175"/>
      <c r="C620" s="219" t="s">
        <v>1120</v>
      </c>
      <c r="F620" s="24" t="s">
        <v>1238</v>
      </c>
      <c r="G620" s="856"/>
      <c r="H620" s="1361" t="s">
        <v>1508</v>
      </c>
      <c r="I620" s="200"/>
      <c r="J620" s="189"/>
      <c r="K620" s="448">
        <f>SUM(K612:K618)</f>
        <v>0</v>
      </c>
      <c r="L620" s="902">
        <f>SUM(L611:L619)</f>
        <v>9</v>
      </c>
      <c r="M620" s="902">
        <f>SUM(M611:M619)</f>
        <v>9</v>
      </c>
      <c r="N620" s="855"/>
      <c r="O620" s="1200"/>
      <c r="P620" s="550"/>
      <c r="Q620" s="1153"/>
      <c r="R620" s="877"/>
      <c r="S620" s="875"/>
      <c r="T620" s="875"/>
      <c r="U620" s="875"/>
      <c r="V620" s="875"/>
      <c r="W620" s="875"/>
      <c r="X620" s="1026"/>
      <c r="Y620" s="1335"/>
      <c r="Z620" s="1335"/>
      <c r="AA620" s="1775"/>
      <c r="AB620" s="1814"/>
      <c r="AC620" s="876"/>
      <c r="AD620" s="1295"/>
      <c r="AE620" s="1525"/>
      <c r="AF620" s="1525"/>
      <c r="AG620" s="1525"/>
      <c r="AH620" s="1525"/>
      <c r="AI620" s="1525"/>
      <c r="AJ620" s="1525"/>
      <c r="AK620" s="1525"/>
      <c r="AL620" s="1525"/>
      <c r="AM620" s="1525"/>
      <c r="AN620" s="1525"/>
      <c r="AO620" s="1525"/>
      <c r="AP620" s="1525"/>
      <c r="AQ620" s="1525"/>
      <c r="AR620" s="1525"/>
      <c r="AS620" s="1525"/>
      <c r="AU620" s="1525"/>
      <c r="AV620" s="1295"/>
      <c r="AW620" s="1525"/>
      <c r="AX620" s="1525"/>
      <c r="AY620" s="1525"/>
      <c r="AZ620" s="1525"/>
      <c r="BA620" s="1525"/>
      <c r="BB620" s="1525"/>
      <c r="BC620" s="1525"/>
      <c r="BD620" s="1525"/>
      <c r="BE620" s="1525"/>
      <c r="BF620" s="1525"/>
      <c r="BG620" s="1525"/>
      <c r="BH620" s="1525"/>
      <c r="BI620" s="1525"/>
      <c r="BJ620" s="1525"/>
      <c r="BK620" s="1525"/>
      <c r="BL620" s="1525"/>
      <c r="BM620" s="1525"/>
      <c r="BN620" s="1525"/>
      <c r="BO620" s="1525"/>
      <c r="BP620" s="1525"/>
      <c r="BQ620" s="1525"/>
      <c r="BR620" s="1525"/>
      <c r="BS620" s="1525"/>
      <c r="BT620" s="1670"/>
      <c r="BV620"/>
      <c r="BW620" s="856"/>
    </row>
    <row r="621" spans="2:75" s="164" customFormat="1" ht="12.75" customHeight="1" x14ac:dyDescent="0.15">
      <c r="B621" s="175"/>
      <c r="F621" s="21"/>
      <c r="G621" s="856"/>
      <c r="H621" s="1370" t="s">
        <v>1508</v>
      </c>
      <c r="I621" s="244"/>
      <c r="J621" s="233"/>
      <c r="K621" s="233"/>
      <c r="L621" s="921"/>
      <c r="M621" s="921"/>
      <c r="N621" s="855"/>
      <c r="O621" s="1200"/>
      <c r="P621" s="550"/>
      <c r="Q621" s="1148"/>
      <c r="R621" s="874"/>
      <c r="S621" s="875"/>
      <c r="T621" s="875"/>
      <c r="U621" s="875"/>
      <c r="V621" s="875"/>
      <c r="W621" s="875"/>
      <c r="X621" s="1026"/>
      <c r="Y621" s="1754"/>
      <c r="Z621" s="1755"/>
      <c r="AA621" s="1775"/>
      <c r="AB621" s="1814"/>
      <c r="AC621" s="876"/>
      <c r="AD621" s="1295"/>
      <c r="AE621" s="1525"/>
      <c r="AF621" s="1525"/>
      <c r="AG621" s="1525"/>
      <c r="AH621" s="1525"/>
      <c r="AI621" s="1525"/>
      <c r="AJ621" s="1525"/>
      <c r="AK621" s="1525"/>
      <c r="AL621" s="1525"/>
      <c r="AM621" s="1525"/>
      <c r="AN621" s="1525"/>
      <c r="AO621" s="1525"/>
      <c r="AP621" s="1525"/>
      <c r="AQ621" s="1525"/>
      <c r="AR621" s="1525"/>
      <c r="AS621" s="1525"/>
      <c r="AU621" s="1525"/>
      <c r="AV621" s="1295"/>
      <c r="AW621" s="1525"/>
      <c r="AX621" s="1525"/>
      <c r="AY621" s="1525"/>
      <c r="AZ621" s="1525"/>
      <c r="BA621" s="1525"/>
      <c r="BB621" s="1525"/>
      <c r="BC621" s="1525"/>
      <c r="BD621" s="1525"/>
      <c r="BE621" s="1525"/>
      <c r="BF621" s="1525"/>
      <c r="BG621" s="1525"/>
      <c r="BH621" s="1525"/>
      <c r="BI621" s="1525"/>
      <c r="BJ621" s="1525"/>
      <c r="BK621" s="1525"/>
      <c r="BL621" s="1525"/>
      <c r="BM621" s="1525"/>
      <c r="BN621" s="1525"/>
      <c r="BO621" s="1525"/>
      <c r="BP621" s="1525"/>
      <c r="BQ621" s="1525"/>
      <c r="BR621" s="1525"/>
      <c r="BS621" s="1525"/>
      <c r="BT621" s="1670"/>
      <c r="BV621"/>
      <c r="BW621" s="856"/>
    </row>
    <row r="622" spans="2:75" s="164" customFormat="1" ht="12.75" customHeight="1" x14ac:dyDescent="0.15">
      <c r="B622" s="175"/>
      <c r="F622" s="21" t="s">
        <v>632</v>
      </c>
      <c r="G622" s="859"/>
      <c r="H622" s="1346" t="s">
        <v>1508</v>
      </c>
      <c r="I622" s="200"/>
      <c r="J622" s="189"/>
      <c r="K622" s="189"/>
      <c r="L622" s="858"/>
      <c r="M622" s="858"/>
      <c r="N622" s="857"/>
      <c r="O622" s="1200"/>
      <c r="P622" s="550"/>
      <c r="Q622" s="1148"/>
      <c r="R622" s="874"/>
      <c r="S622" s="875"/>
      <c r="T622" s="875"/>
      <c r="U622" s="875"/>
      <c r="V622" s="875"/>
      <c r="W622" s="875"/>
      <c r="X622" s="1026"/>
      <c r="Y622" s="1754"/>
      <c r="Z622" s="1755"/>
      <c r="AA622" s="1775"/>
      <c r="AB622" s="1814"/>
      <c r="AC622" s="876"/>
      <c r="AD622" s="1295"/>
      <c r="AE622" s="1525"/>
      <c r="AF622" s="1525"/>
      <c r="AG622" s="1525"/>
      <c r="AH622" s="1525"/>
      <c r="AI622" s="1525"/>
      <c r="AJ622" s="1525"/>
      <c r="AK622" s="1525"/>
      <c r="AL622" s="1525"/>
      <c r="AM622" s="1525"/>
      <c r="AN622" s="1525"/>
      <c r="AO622" s="1525"/>
      <c r="AP622" s="1525"/>
      <c r="AQ622" s="1525"/>
      <c r="AR622" s="1525"/>
      <c r="AS622" s="1525"/>
      <c r="AU622" s="1525"/>
      <c r="AV622" s="1295"/>
      <c r="AW622" s="1525"/>
      <c r="AX622" s="1525"/>
      <c r="AY622" s="1525"/>
      <c r="AZ622" s="1525"/>
      <c r="BA622" s="1525"/>
      <c r="BB622" s="1525"/>
      <c r="BC622" s="1525"/>
      <c r="BD622" s="1525"/>
      <c r="BE622" s="1525"/>
      <c r="BF622" s="1525"/>
      <c r="BG622" s="1525"/>
      <c r="BH622" s="1525"/>
      <c r="BI622" s="1525"/>
      <c r="BJ622" s="1525"/>
      <c r="BK622" s="1525"/>
      <c r="BL622" s="1525"/>
      <c r="BM622" s="1525"/>
      <c r="BN622" s="1525"/>
      <c r="BO622" s="1525"/>
      <c r="BP622" s="1525"/>
      <c r="BQ622" s="1525"/>
      <c r="BR622" s="1525"/>
      <c r="BS622" s="1525"/>
      <c r="BT622" s="1670"/>
      <c r="BV622"/>
      <c r="BW622" s="859"/>
    </row>
    <row r="623" spans="2:75" s="164" customFormat="1" ht="12.75" customHeight="1" x14ac:dyDescent="0.15">
      <c r="B623" s="175"/>
      <c r="F623" s="24"/>
      <c r="G623" s="859"/>
      <c r="H623" s="1346" t="s">
        <v>1508</v>
      </c>
      <c r="I623" s="200"/>
      <c r="J623" s="189"/>
      <c r="K623" s="189"/>
      <c r="L623" s="858"/>
      <c r="M623" s="858"/>
      <c r="N623" s="857"/>
      <c r="O623" s="1200"/>
      <c r="P623" s="550"/>
      <c r="Q623" s="1148"/>
      <c r="R623" s="874"/>
      <c r="S623" s="875"/>
      <c r="T623" s="875"/>
      <c r="U623" s="875"/>
      <c r="V623" s="875"/>
      <c r="W623" s="875"/>
      <c r="X623" s="1026"/>
      <c r="Y623" s="1754"/>
      <c r="Z623" s="1755"/>
      <c r="AA623" s="1775"/>
      <c r="AB623" s="1814"/>
      <c r="AC623" s="876"/>
      <c r="AD623" s="1295"/>
      <c r="AE623" s="1525"/>
      <c r="AF623" s="1525"/>
      <c r="AG623" s="1525"/>
      <c r="AH623" s="1525"/>
      <c r="AI623" s="1525"/>
      <c r="AJ623" s="1525"/>
      <c r="AK623" s="1525"/>
      <c r="AL623" s="1525"/>
      <c r="AM623" s="1525"/>
      <c r="AN623" s="1525"/>
      <c r="AO623" s="1525"/>
      <c r="AP623" s="1525"/>
      <c r="AQ623" s="1525"/>
      <c r="AR623" s="1525"/>
      <c r="AS623" s="1525"/>
      <c r="AU623" s="1525"/>
      <c r="AV623" s="1295"/>
      <c r="AW623" s="1525"/>
      <c r="AX623" s="1525"/>
      <c r="AY623" s="1525"/>
      <c r="AZ623" s="1525"/>
      <c r="BA623" s="1525"/>
      <c r="BB623" s="1525"/>
      <c r="BC623" s="1525"/>
      <c r="BD623" s="1525"/>
      <c r="BE623" s="1525"/>
      <c r="BF623" s="1525"/>
      <c r="BG623" s="1525"/>
      <c r="BH623" s="1525"/>
      <c r="BI623" s="1525"/>
      <c r="BJ623" s="1525"/>
      <c r="BK623" s="1525"/>
      <c r="BL623" s="1525"/>
      <c r="BM623" s="1525"/>
      <c r="BN623" s="1525"/>
      <c r="BO623" s="1525"/>
      <c r="BP623" s="1525"/>
      <c r="BQ623" s="1525"/>
      <c r="BR623" s="1525"/>
      <c r="BS623" s="1525"/>
      <c r="BT623" s="1670"/>
      <c r="BV623"/>
      <c r="BW623" s="859"/>
    </row>
    <row r="624" spans="2:75" ht="12.75" customHeight="1" x14ac:dyDescent="0.2">
      <c r="B624" s="175">
        <f t="shared" si="341"/>
        <v>1</v>
      </c>
      <c r="C624" s="219">
        <v>11</v>
      </c>
      <c r="E624" s="12" t="s">
        <v>291</v>
      </c>
      <c r="F624" s="24" t="s">
        <v>824</v>
      </c>
      <c r="G624" s="859" t="s">
        <v>1909</v>
      </c>
      <c r="H624" s="858">
        <v>211268</v>
      </c>
      <c r="I624" s="172" t="s">
        <v>161</v>
      </c>
      <c r="J624" s="168"/>
      <c r="K624" s="189"/>
      <c r="L624" s="858">
        <v>1</v>
      </c>
      <c r="M624" s="858">
        <f>K624+L624</f>
        <v>1</v>
      </c>
      <c r="N624" s="857" t="s">
        <v>1326</v>
      </c>
      <c r="O624" s="1196">
        <v>28707</v>
      </c>
      <c r="P624" s="1218">
        <f t="shared" ref="P624:P638" ca="1" si="375">YEARFRAC(TODAY(),O624)</f>
        <v>39.158333333333331</v>
      </c>
      <c r="Q624" s="1148">
        <v>45000</v>
      </c>
      <c r="R624" s="874">
        <f>Q624*0.1</f>
        <v>4500</v>
      </c>
      <c r="S624" s="875"/>
      <c r="T624" s="875">
        <v>17700</v>
      </c>
      <c r="U624" s="875"/>
      <c r="V624" s="875"/>
      <c r="W624" s="875"/>
      <c r="X624" s="1026">
        <f t="shared" ref="X624:X637" si="376">(Q624+R624+S624+T624+U624+V624+W624)*M624</f>
        <v>67200</v>
      </c>
      <c r="Y624" s="1512">
        <f t="shared" ref="Y624:Y636" si="377">(T624+U624)*M624/(X624-M624*(T624+U624))</f>
        <v>0.3575757575757576</v>
      </c>
      <c r="Z624" s="1741">
        <f t="shared" ref="Z624:Z638" si="378">M624*(1+Y624)</f>
        <v>1.3575757575757577</v>
      </c>
      <c r="AA624" s="1749">
        <f t="shared" ref="AA624:AA636" si="379">SUM(AD624:AS624)</f>
        <v>0</v>
      </c>
      <c r="AB624" s="1810">
        <f t="shared" ref="AB624:AB636" si="380">100*AA624/Z624</f>
        <v>0</v>
      </c>
      <c r="AC624" s="876"/>
      <c r="AD624" s="1525">
        <f t="shared" ref="AD624:AS637" si="381">SUMIF($AV$6:$BS$6,AD$5,$AV624:$BS624)</f>
        <v>0</v>
      </c>
      <c r="AE624" s="1525">
        <f t="shared" si="381"/>
        <v>0</v>
      </c>
      <c r="AF624" s="1525">
        <f t="shared" si="381"/>
        <v>0</v>
      </c>
      <c r="AG624" s="1525">
        <f t="shared" si="381"/>
        <v>0</v>
      </c>
      <c r="AH624" s="1525">
        <f t="shared" si="381"/>
        <v>0</v>
      </c>
      <c r="AI624" s="1525">
        <f t="shared" si="381"/>
        <v>0</v>
      </c>
      <c r="AJ624" s="1525">
        <f t="shared" si="381"/>
        <v>0</v>
      </c>
      <c r="AK624" s="1525">
        <f t="shared" si="381"/>
        <v>0</v>
      </c>
      <c r="AL624" s="1525">
        <f t="shared" si="381"/>
        <v>0</v>
      </c>
      <c r="AM624" s="1525">
        <f t="shared" si="381"/>
        <v>0</v>
      </c>
      <c r="AN624" s="1525">
        <f t="shared" si="381"/>
        <v>0</v>
      </c>
      <c r="AO624" s="1525">
        <f t="shared" si="381"/>
        <v>0</v>
      </c>
      <c r="AP624" s="1525">
        <f t="shared" si="381"/>
        <v>0</v>
      </c>
      <c r="AQ624" s="1525">
        <f t="shared" si="381"/>
        <v>0</v>
      </c>
      <c r="AR624" s="1525">
        <f t="shared" si="381"/>
        <v>0</v>
      </c>
      <c r="AS624" s="1525">
        <f t="shared" si="381"/>
        <v>0</v>
      </c>
      <c r="AU624" s="1525"/>
      <c r="AV624" s="1291"/>
      <c r="AW624" s="1292"/>
      <c r="AX624" s="1292"/>
      <c r="AY624" s="1292"/>
      <c r="AZ624" s="1292"/>
      <c r="BA624" s="1292"/>
      <c r="BB624" s="1292"/>
      <c r="BC624" s="1292"/>
      <c r="BD624" s="1292"/>
      <c r="BE624" s="1292"/>
      <c r="BF624" s="1292"/>
      <c r="BG624" s="1292"/>
      <c r="BH624" s="1292"/>
      <c r="BI624" s="1292"/>
      <c r="BJ624" s="1292"/>
      <c r="BK624" s="1292"/>
      <c r="BL624" s="1292"/>
      <c r="BM624" s="1292"/>
      <c r="BN624" s="1292"/>
      <c r="BO624" s="1292"/>
      <c r="BP624" s="1292"/>
      <c r="BQ624" s="1292"/>
      <c r="BR624" s="1292"/>
      <c r="BS624" s="1292"/>
      <c r="BT624" s="1670">
        <f t="shared" ref="BT624:BT638" si="382">SUM(AV624:BS624)</f>
        <v>0</v>
      </c>
      <c r="BW624" s="859" t="s">
        <v>1509</v>
      </c>
    </row>
    <row r="625" spans="2:75" ht="12.75" customHeight="1" x14ac:dyDescent="0.2">
      <c r="B625" s="175">
        <f t="shared" si="341"/>
        <v>2</v>
      </c>
      <c r="C625" s="219">
        <v>13</v>
      </c>
      <c r="E625" s="12" t="s">
        <v>291</v>
      </c>
      <c r="F625" s="4" t="s">
        <v>792</v>
      </c>
      <c r="G625" s="859" t="s">
        <v>840</v>
      </c>
      <c r="H625" s="858">
        <v>233310</v>
      </c>
      <c r="I625" s="200" t="s">
        <v>1584</v>
      </c>
      <c r="J625" s="189"/>
      <c r="K625" s="189"/>
      <c r="L625" s="858">
        <v>1</v>
      </c>
      <c r="M625" s="858">
        <v>1</v>
      </c>
      <c r="N625" s="857" t="s">
        <v>1326</v>
      </c>
      <c r="O625" s="1196">
        <v>31465</v>
      </c>
      <c r="P625" s="1218">
        <f ca="1">YEARFRAC(TODAY(),O625)</f>
        <v>31.611111111111111</v>
      </c>
      <c r="Q625" s="1148">
        <v>35000</v>
      </c>
      <c r="R625" s="874">
        <f>Q625*0.1</f>
        <v>3500</v>
      </c>
      <c r="S625" s="875"/>
      <c r="T625" s="875"/>
      <c r="U625" s="875"/>
      <c r="V625" s="875"/>
      <c r="W625" s="875"/>
      <c r="X625" s="1026">
        <f t="shared" si="376"/>
        <v>38500</v>
      </c>
      <c r="Y625" s="1512">
        <f t="shared" si="377"/>
        <v>0</v>
      </c>
      <c r="Z625" s="1741">
        <f t="shared" si="378"/>
        <v>1</v>
      </c>
      <c r="AA625" s="1749">
        <f t="shared" si="379"/>
        <v>0</v>
      </c>
      <c r="AB625" s="1810">
        <f t="shared" si="380"/>
        <v>0</v>
      </c>
      <c r="AC625" s="876"/>
      <c r="AD625" s="1525">
        <f t="shared" si="381"/>
        <v>0</v>
      </c>
      <c r="AE625" s="1525">
        <f t="shared" si="381"/>
        <v>0</v>
      </c>
      <c r="AF625" s="1525">
        <f t="shared" si="381"/>
        <v>0</v>
      </c>
      <c r="AG625" s="1525">
        <f t="shared" si="381"/>
        <v>0</v>
      </c>
      <c r="AH625" s="1525">
        <f t="shared" si="381"/>
        <v>0</v>
      </c>
      <c r="AI625" s="1525">
        <f t="shared" si="381"/>
        <v>0</v>
      </c>
      <c r="AJ625" s="1525">
        <f t="shared" si="381"/>
        <v>0</v>
      </c>
      <c r="AK625" s="1525">
        <f t="shared" si="381"/>
        <v>0</v>
      </c>
      <c r="AL625" s="1525">
        <f t="shared" si="381"/>
        <v>0</v>
      </c>
      <c r="AM625" s="1525">
        <f t="shared" si="381"/>
        <v>0</v>
      </c>
      <c r="AN625" s="1525">
        <f t="shared" si="381"/>
        <v>0</v>
      </c>
      <c r="AO625" s="1525">
        <f t="shared" si="381"/>
        <v>0</v>
      </c>
      <c r="AP625" s="1525">
        <f t="shared" si="381"/>
        <v>0</v>
      </c>
      <c r="AQ625" s="1525">
        <f t="shared" si="381"/>
        <v>0</v>
      </c>
      <c r="AR625" s="1525">
        <f t="shared" si="381"/>
        <v>0</v>
      </c>
      <c r="AS625" s="1525">
        <f t="shared" si="381"/>
        <v>0</v>
      </c>
      <c r="AU625" s="1525"/>
      <c r="AV625" s="1291"/>
      <c r="AW625" s="1292"/>
      <c r="AX625" s="1292"/>
      <c r="AY625" s="1292"/>
      <c r="AZ625" s="1292"/>
      <c r="BA625" s="1292"/>
      <c r="BB625" s="1292"/>
      <c r="BC625" s="1292"/>
      <c r="BD625" s="1292"/>
      <c r="BE625" s="1292"/>
      <c r="BF625" s="1292"/>
      <c r="BG625" s="1292"/>
      <c r="BH625" s="1292"/>
      <c r="BI625" s="1292"/>
      <c r="BJ625" s="1292"/>
      <c r="BK625" s="1292"/>
      <c r="BL625" s="1292"/>
      <c r="BM625" s="1292"/>
      <c r="BN625" s="1292"/>
      <c r="BO625" s="1292"/>
      <c r="BP625" s="1292"/>
      <c r="BQ625" s="1292"/>
      <c r="BR625" s="1292"/>
      <c r="BS625" s="1292"/>
      <c r="BT625" s="1670">
        <f t="shared" si="382"/>
        <v>0</v>
      </c>
      <c r="BW625" s="859" t="s">
        <v>840</v>
      </c>
    </row>
    <row r="626" spans="2:75" ht="12.75" customHeight="1" x14ac:dyDescent="0.2">
      <c r="B626" s="175">
        <f t="shared" si="341"/>
        <v>3</v>
      </c>
      <c r="C626" s="219">
        <v>13</v>
      </c>
      <c r="E626" s="12" t="s">
        <v>291</v>
      </c>
      <c r="F626" s="4" t="s">
        <v>792</v>
      </c>
      <c r="G626" s="859" t="s">
        <v>1746</v>
      </c>
      <c r="H626" s="858">
        <v>151884</v>
      </c>
      <c r="I626" s="172" t="s">
        <v>1584</v>
      </c>
      <c r="J626" s="168"/>
      <c r="K626" s="189"/>
      <c r="L626" s="858">
        <v>1</v>
      </c>
      <c r="M626" s="858">
        <v>1</v>
      </c>
      <c r="N626" s="857" t="s">
        <v>1326</v>
      </c>
      <c r="O626" s="1196">
        <v>23687</v>
      </c>
      <c r="P626" s="1218">
        <f t="shared" ca="1" si="375"/>
        <v>52.905555555555559</v>
      </c>
      <c r="Q626" s="1148">
        <v>35000</v>
      </c>
      <c r="R626" s="874">
        <f>Q626*0.1</f>
        <v>3500</v>
      </c>
      <c r="S626" s="875"/>
      <c r="T626" s="875"/>
      <c r="U626" s="875"/>
      <c r="V626" s="875"/>
      <c r="W626" s="875"/>
      <c r="X626" s="1026">
        <f t="shared" si="376"/>
        <v>38500</v>
      </c>
      <c r="Y626" s="1512">
        <f t="shared" si="377"/>
        <v>0</v>
      </c>
      <c r="Z626" s="1741">
        <f t="shared" si="378"/>
        <v>1</v>
      </c>
      <c r="AA626" s="1749">
        <f t="shared" si="379"/>
        <v>0</v>
      </c>
      <c r="AB626" s="1810">
        <f t="shared" si="380"/>
        <v>0</v>
      </c>
      <c r="AC626" s="876"/>
      <c r="AD626" s="1525">
        <f t="shared" si="381"/>
        <v>0</v>
      </c>
      <c r="AE626" s="1525">
        <f t="shared" si="381"/>
        <v>0</v>
      </c>
      <c r="AF626" s="1525">
        <f t="shared" si="381"/>
        <v>0</v>
      </c>
      <c r="AG626" s="1525">
        <f t="shared" si="381"/>
        <v>0</v>
      </c>
      <c r="AH626" s="1525">
        <f t="shared" si="381"/>
        <v>0</v>
      </c>
      <c r="AI626" s="1525">
        <f t="shared" si="381"/>
        <v>0</v>
      </c>
      <c r="AJ626" s="1525">
        <f t="shared" si="381"/>
        <v>0</v>
      </c>
      <c r="AK626" s="1525">
        <f t="shared" si="381"/>
        <v>0</v>
      </c>
      <c r="AL626" s="1525">
        <f t="shared" si="381"/>
        <v>0</v>
      </c>
      <c r="AM626" s="1525">
        <f t="shared" si="381"/>
        <v>0</v>
      </c>
      <c r="AN626" s="1525">
        <f t="shared" si="381"/>
        <v>0</v>
      </c>
      <c r="AO626" s="1525">
        <f t="shared" si="381"/>
        <v>0</v>
      </c>
      <c r="AP626" s="1525">
        <f t="shared" si="381"/>
        <v>0</v>
      </c>
      <c r="AQ626" s="1525">
        <f t="shared" si="381"/>
        <v>0</v>
      </c>
      <c r="AR626" s="1525">
        <f t="shared" si="381"/>
        <v>0</v>
      </c>
      <c r="AS626" s="1525">
        <f t="shared" si="381"/>
        <v>0</v>
      </c>
      <c r="AU626" s="1525"/>
      <c r="AV626" s="1291"/>
      <c r="AW626" s="1292"/>
      <c r="AX626" s="1292"/>
      <c r="AY626" s="1292"/>
      <c r="AZ626" s="1292"/>
      <c r="BA626" s="1292"/>
      <c r="BB626" s="1292"/>
      <c r="BC626" s="1292"/>
      <c r="BD626" s="1292"/>
      <c r="BE626" s="1292"/>
      <c r="BF626" s="1292"/>
      <c r="BG626" s="1292"/>
      <c r="BH626" s="1292"/>
      <c r="BI626" s="1292"/>
      <c r="BJ626" s="1292"/>
      <c r="BK626" s="1292"/>
      <c r="BL626" s="1292"/>
      <c r="BM626" s="1292"/>
      <c r="BN626" s="1292"/>
      <c r="BO626" s="1292"/>
      <c r="BP626" s="1292"/>
      <c r="BQ626" s="1292"/>
      <c r="BR626" s="1292"/>
      <c r="BS626" s="1292"/>
      <c r="BT626" s="1670">
        <f t="shared" si="382"/>
        <v>0</v>
      </c>
      <c r="BW626" s="859" t="s">
        <v>1746</v>
      </c>
    </row>
    <row r="627" spans="2:75" ht="12.75" customHeight="1" x14ac:dyDescent="0.2">
      <c r="B627" s="175">
        <f t="shared" si="341"/>
        <v>4</v>
      </c>
      <c r="C627" s="219">
        <v>13</v>
      </c>
      <c r="E627" s="12" t="s">
        <v>291</v>
      </c>
      <c r="F627" s="4" t="s">
        <v>792</v>
      </c>
      <c r="G627" s="860" t="s">
        <v>916</v>
      </c>
      <c r="H627" s="858">
        <v>95613</v>
      </c>
      <c r="I627" s="200" t="s">
        <v>352</v>
      </c>
      <c r="J627" s="174"/>
      <c r="K627" s="174"/>
      <c r="L627" s="858">
        <v>1</v>
      </c>
      <c r="M627" s="858">
        <v>1</v>
      </c>
      <c r="N627" s="857" t="s">
        <v>892</v>
      </c>
      <c r="O627" s="1196">
        <v>22832</v>
      </c>
      <c r="P627" s="1218">
        <f t="shared" ca="1" si="375"/>
        <v>55.241666666666667</v>
      </c>
      <c r="Q627" s="1148">
        <v>28000</v>
      </c>
      <c r="R627" s="874"/>
      <c r="S627" s="875"/>
      <c r="T627" s="875"/>
      <c r="U627" s="875"/>
      <c r="V627" s="875"/>
      <c r="W627" s="875"/>
      <c r="X627" s="1026">
        <f t="shared" si="376"/>
        <v>28000</v>
      </c>
      <c r="Y627" s="1512">
        <f t="shared" si="377"/>
        <v>0</v>
      </c>
      <c r="Z627" s="1741">
        <f t="shared" si="378"/>
        <v>1</v>
      </c>
      <c r="AA627" s="1749">
        <f t="shared" si="379"/>
        <v>0</v>
      </c>
      <c r="AB627" s="1810">
        <f t="shared" si="380"/>
        <v>0</v>
      </c>
      <c r="AC627" s="876"/>
      <c r="AD627" s="1525">
        <f t="shared" si="381"/>
        <v>0</v>
      </c>
      <c r="AE627" s="1525">
        <f t="shared" si="381"/>
        <v>0</v>
      </c>
      <c r="AF627" s="1525">
        <f t="shared" si="381"/>
        <v>0</v>
      </c>
      <c r="AG627" s="1525">
        <f t="shared" si="381"/>
        <v>0</v>
      </c>
      <c r="AH627" s="1525">
        <f t="shared" si="381"/>
        <v>0</v>
      </c>
      <c r="AI627" s="1525">
        <f t="shared" si="381"/>
        <v>0</v>
      </c>
      <c r="AJ627" s="1525">
        <f t="shared" si="381"/>
        <v>0</v>
      </c>
      <c r="AK627" s="1525">
        <f t="shared" si="381"/>
        <v>0</v>
      </c>
      <c r="AL627" s="1525">
        <f t="shared" si="381"/>
        <v>0</v>
      </c>
      <c r="AM627" s="1525">
        <f t="shared" si="381"/>
        <v>0</v>
      </c>
      <c r="AN627" s="1525">
        <f t="shared" si="381"/>
        <v>0</v>
      </c>
      <c r="AO627" s="1525">
        <f t="shared" si="381"/>
        <v>0</v>
      </c>
      <c r="AP627" s="1525">
        <f t="shared" si="381"/>
        <v>0</v>
      </c>
      <c r="AQ627" s="1525">
        <f t="shared" si="381"/>
        <v>0</v>
      </c>
      <c r="AR627" s="1525">
        <f t="shared" si="381"/>
        <v>0</v>
      </c>
      <c r="AS627" s="1525">
        <f t="shared" si="381"/>
        <v>0</v>
      </c>
      <c r="AU627" s="1525"/>
      <c r="AV627" s="1291"/>
      <c r="AW627" s="1292"/>
      <c r="AX627" s="1292"/>
      <c r="AY627" s="1292"/>
      <c r="AZ627" s="1292"/>
      <c r="BA627" s="1292"/>
      <c r="BB627" s="1292"/>
      <c r="BC627" s="1292"/>
      <c r="BD627" s="1292"/>
      <c r="BE627" s="1292"/>
      <c r="BF627" s="1292"/>
      <c r="BG627" s="1292"/>
      <c r="BH627" s="1292"/>
      <c r="BI627" s="1292"/>
      <c r="BJ627" s="1292"/>
      <c r="BK627" s="1292"/>
      <c r="BL627" s="1292"/>
      <c r="BM627" s="1292"/>
      <c r="BN627" s="1292"/>
      <c r="BO627" s="1292"/>
      <c r="BP627" s="1292"/>
      <c r="BQ627" s="1292"/>
      <c r="BR627" s="1292"/>
      <c r="BS627" s="1292"/>
      <c r="BT627" s="1670">
        <f t="shared" si="382"/>
        <v>0</v>
      </c>
      <c r="BW627" s="860" t="s">
        <v>916</v>
      </c>
    </row>
    <row r="628" spans="2:75" ht="12.75" customHeight="1" x14ac:dyDescent="0.2">
      <c r="B628" s="175">
        <f t="shared" si="341"/>
        <v>5</v>
      </c>
      <c r="C628" s="219">
        <v>14</v>
      </c>
      <c r="E628" s="12" t="s">
        <v>291</v>
      </c>
      <c r="F628" s="4" t="s">
        <v>626</v>
      </c>
      <c r="G628" s="862" t="s">
        <v>1800</v>
      </c>
      <c r="H628" s="858">
        <v>161208</v>
      </c>
      <c r="I628" s="200" t="s">
        <v>352</v>
      </c>
      <c r="J628" s="174"/>
      <c r="K628" s="174"/>
      <c r="L628" s="858">
        <v>1</v>
      </c>
      <c r="M628" s="858">
        <v>1</v>
      </c>
      <c r="N628" s="857" t="s">
        <v>1326</v>
      </c>
      <c r="O628" s="1196">
        <v>31380</v>
      </c>
      <c r="P628" s="1218">
        <f t="shared" ca="1" si="375"/>
        <v>31.841666666666665</v>
      </c>
      <c r="Q628" s="1148">
        <v>32000</v>
      </c>
      <c r="R628" s="874"/>
      <c r="S628" s="875"/>
      <c r="T628" s="875"/>
      <c r="U628" s="875"/>
      <c r="V628" s="875"/>
      <c r="W628" s="875"/>
      <c r="X628" s="1026">
        <f t="shared" si="376"/>
        <v>32000</v>
      </c>
      <c r="Y628" s="1512">
        <f t="shared" si="377"/>
        <v>0</v>
      </c>
      <c r="Z628" s="1741">
        <f t="shared" si="378"/>
        <v>1</v>
      </c>
      <c r="AA628" s="1749">
        <f t="shared" si="379"/>
        <v>0</v>
      </c>
      <c r="AB628" s="1810">
        <f t="shared" si="380"/>
        <v>0</v>
      </c>
      <c r="AC628" s="876"/>
      <c r="AD628" s="1525">
        <f t="shared" si="381"/>
        <v>0</v>
      </c>
      <c r="AE628" s="1525">
        <f t="shared" si="381"/>
        <v>0</v>
      </c>
      <c r="AF628" s="1525">
        <f t="shared" si="381"/>
        <v>0</v>
      </c>
      <c r="AG628" s="1525">
        <f t="shared" si="381"/>
        <v>0</v>
      </c>
      <c r="AH628" s="1525">
        <f t="shared" si="381"/>
        <v>0</v>
      </c>
      <c r="AI628" s="1525">
        <f t="shared" si="381"/>
        <v>0</v>
      </c>
      <c r="AJ628" s="1525">
        <f t="shared" si="381"/>
        <v>0</v>
      </c>
      <c r="AK628" s="1525">
        <f t="shared" si="381"/>
        <v>0</v>
      </c>
      <c r="AL628" s="1525">
        <f t="shared" si="381"/>
        <v>0</v>
      </c>
      <c r="AM628" s="1525">
        <f t="shared" si="381"/>
        <v>0</v>
      </c>
      <c r="AN628" s="1525">
        <f t="shared" si="381"/>
        <v>0</v>
      </c>
      <c r="AO628" s="1525">
        <f t="shared" si="381"/>
        <v>0</v>
      </c>
      <c r="AP628" s="1525">
        <f t="shared" si="381"/>
        <v>0</v>
      </c>
      <c r="AQ628" s="1525">
        <f t="shared" si="381"/>
        <v>0</v>
      </c>
      <c r="AR628" s="1525">
        <f t="shared" si="381"/>
        <v>0</v>
      </c>
      <c r="AS628" s="1525">
        <f t="shared" si="381"/>
        <v>0</v>
      </c>
      <c r="AU628" s="1525"/>
      <c r="AV628" s="1291"/>
      <c r="AW628" s="1292"/>
      <c r="AX628" s="1292"/>
      <c r="AY628" s="1292"/>
      <c r="AZ628" s="1292"/>
      <c r="BA628" s="1292"/>
      <c r="BB628" s="1292"/>
      <c r="BC628" s="1292"/>
      <c r="BD628" s="1292"/>
      <c r="BE628" s="1292"/>
      <c r="BF628" s="1292"/>
      <c r="BG628" s="1292"/>
      <c r="BH628" s="1292"/>
      <c r="BI628" s="1292"/>
      <c r="BJ628" s="1292"/>
      <c r="BK628" s="1292"/>
      <c r="BL628" s="1292"/>
      <c r="BM628" s="1292"/>
      <c r="BN628" s="1292"/>
      <c r="BO628" s="1292"/>
      <c r="BP628" s="1292"/>
      <c r="BQ628" s="1292"/>
      <c r="BR628" s="1292"/>
      <c r="BS628" s="1292"/>
      <c r="BT628" s="1670">
        <f t="shared" si="382"/>
        <v>0</v>
      </c>
      <c r="BW628" s="862" t="s">
        <v>1800</v>
      </c>
    </row>
    <row r="629" spans="2:75" ht="12.75" customHeight="1" x14ac:dyDescent="0.2">
      <c r="B629" s="175">
        <f t="shared" si="341"/>
        <v>6</v>
      </c>
      <c r="C629" s="219">
        <v>14</v>
      </c>
      <c r="E629" s="12" t="s">
        <v>291</v>
      </c>
      <c r="F629" s="4" t="s">
        <v>626</v>
      </c>
      <c r="G629" s="862" t="s">
        <v>743</v>
      </c>
      <c r="H629" s="858">
        <v>294313</v>
      </c>
      <c r="I629" s="200" t="s">
        <v>352</v>
      </c>
      <c r="J629" s="174"/>
      <c r="K629" s="174"/>
      <c r="L629" s="858">
        <v>1</v>
      </c>
      <c r="M629" s="858">
        <v>1</v>
      </c>
      <c r="N629" s="857" t="s">
        <v>1326</v>
      </c>
      <c r="O629" s="1196">
        <v>28331</v>
      </c>
      <c r="P629" s="1218">
        <f t="shared" ca="1" si="375"/>
        <v>40.18611111111111</v>
      </c>
      <c r="Q629" s="1148">
        <v>30000</v>
      </c>
      <c r="R629" s="874">
        <f>Q629*0.1</f>
        <v>3000</v>
      </c>
      <c r="S629" s="875"/>
      <c r="T629" s="875"/>
      <c r="U629" s="875"/>
      <c r="V629" s="875"/>
      <c r="W629" s="875"/>
      <c r="X629" s="1026">
        <f t="shared" si="376"/>
        <v>33000</v>
      </c>
      <c r="Y629" s="1512">
        <f t="shared" si="377"/>
        <v>0</v>
      </c>
      <c r="Z629" s="1741">
        <f t="shared" si="378"/>
        <v>1</v>
      </c>
      <c r="AA629" s="1749">
        <f t="shared" si="379"/>
        <v>0</v>
      </c>
      <c r="AB629" s="1810">
        <f t="shared" si="380"/>
        <v>0</v>
      </c>
      <c r="AC629" s="876"/>
      <c r="AD629" s="1525">
        <f t="shared" si="381"/>
        <v>0</v>
      </c>
      <c r="AE629" s="1525">
        <f t="shared" si="381"/>
        <v>0</v>
      </c>
      <c r="AF629" s="1525">
        <f t="shared" si="381"/>
        <v>0</v>
      </c>
      <c r="AG629" s="1525">
        <f t="shared" si="381"/>
        <v>0</v>
      </c>
      <c r="AH629" s="1525">
        <f t="shared" si="381"/>
        <v>0</v>
      </c>
      <c r="AI629" s="1525">
        <f t="shared" si="381"/>
        <v>0</v>
      </c>
      <c r="AJ629" s="1525">
        <f t="shared" si="381"/>
        <v>0</v>
      </c>
      <c r="AK629" s="1525">
        <f t="shared" si="381"/>
        <v>0</v>
      </c>
      <c r="AL629" s="1525">
        <f t="shared" si="381"/>
        <v>0</v>
      </c>
      <c r="AM629" s="1525">
        <f t="shared" si="381"/>
        <v>0</v>
      </c>
      <c r="AN629" s="1525">
        <f t="shared" si="381"/>
        <v>0</v>
      </c>
      <c r="AO629" s="1525">
        <f t="shared" si="381"/>
        <v>0</v>
      </c>
      <c r="AP629" s="1525">
        <f t="shared" si="381"/>
        <v>0</v>
      </c>
      <c r="AQ629" s="1525">
        <f t="shared" si="381"/>
        <v>0</v>
      </c>
      <c r="AR629" s="1525">
        <f t="shared" si="381"/>
        <v>0</v>
      </c>
      <c r="AS629" s="1525">
        <f t="shared" si="381"/>
        <v>0</v>
      </c>
      <c r="AU629" s="1525"/>
      <c r="AV629" s="1291"/>
      <c r="AW629" s="1292"/>
      <c r="AX629" s="1292"/>
      <c r="AY629" s="1292"/>
      <c r="AZ629" s="1292"/>
      <c r="BA629" s="1292"/>
      <c r="BB629" s="1292"/>
      <c r="BC629" s="1292"/>
      <c r="BD629" s="1292"/>
      <c r="BE629" s="1292"/>
      <c r="BF629" s="1292"/>
      <c r="BG629" s="1292"/>
      <c r="BH629" s="1292"/>
      <c r="BI629" s="1292"/>
      <c r="BJ629" s="1292"/>
      <c r="BK629" s="1292"/>
      <c r="BL629" s="1292"/>
      <c r="BM629" s="1292"/>
      <c r="BN629" s="1292"/>
      <c r="BO629" s="1292"/>
      <c r="BP629" s="1292"/>
      <c r="BQ629" s="1292"/>
      <c r="BR629" s="1292"/>
      <c r="BS629" s="1292"/>
      <c r="BT629" s="1670">
        <f t="shared" si="382"/>
        <v>0</v>
      </c>
      <c r="BW629" s="862" t="s">
        <v>743</v>
      </c>
    </row>
    <row r="630" spans="2:75" ht="12.75" customHeight="1" x14ac:dyDescent="0.2">
      <c r="B630" s="175">
        <f t="shared" ref="B630:B638" si="383">B629+1</f>
        <v>7</v>
      </c>
      <c r="C630" s="219">
        <v>14</v>
      </c>
      <c r="E630" s="12" t="s">
        <v>291</v>
      </c>
      <c r="F630" s="4" t="s">
        <v>626</v>
      </c>
      <c r="G630" s="862" t="s">
        <v>1975</v>
      </c>
      <c r="H630" s="1413">
        <v>164010</v>
      </c>
      <c r="I630" s="200" t="s">
        <v>583</v>
      </c>
      <c r="J630" s="174"/>
      <c r="K630" s="174"/>
      <c r="L630" s="858">
        <v>1</v>
      </c>
      <c r="M630" s="858">
        <v>1</v>
      </c>
      <c r="N630" s="857" t="s">
        <v>1326</v>
      </c>
      <c r="O630" s="1196">
        <v>33510</v>
      </c>
      <c r="P630" s="1218">
        <f t="shared" ca="1" si="375"/>
        <v>26.008333333333333</v>
      </c>
      <c r="Q630" s="1148">
        <v>35000</v>
      </c>
      <c r="R630" s="874">
        <f>Q630*0.1</f>
        <v>3500</v>
      </c>
      <c r="S630" s="875"/>
      <c r="T630" s="875"/>
      <c r="U630" s="875"/>
      <c r="V630" s="875"/>
      <c r="W630" s="875"/>
      <c r="X630" s="1026">
        <f t="shared" si="376"/>
        <v>38500</v>
      </c>
      <c r="Y630" s="1512">
        <f t="shared" si="377"/>
        <v>0</v>
      </c>
      <c r="Z630" s="1741">
        <f t="shared" si="378"/>
        <v>1</v>
      </c>
      <c r="AA630" s="1749">
        <f t="shared" si="379"/>
        <v>0</v>
      </c>
      <c r="AB630" s="1810">
        <f t="shared" si="380"/>
        <v>0</v>
      </c>
      <c r="AC630" s="876"/>
      <c r="AD630" s="1525">
        <f t="shared" si="381"/>
        <v>0</v>
      </c>
      <c r="AE630" s="1525">
        <f t="shared" si="381"/>
        <v>0</v>
      </c>
      <c r="AF630" s="1525">
        <f t="shared" si="381"/>
        <v>0</v>
      </c>
      <c r="AG630" s="1525">
        <f t="shared" si="381"/>
        <v>0</v>
      </c>
      <c r="AH630" s="1525">
        <f t="shared" si="381"/>
        <v>0</v>
      </c>
      <c r="AI630" s="1525">
        <f t="shared" si="381"/>
        <v>0</v>
      </c>
      <c r="AJ630" s="1525">
        <f t="shared" si="381"/>
        <v>0</v>
      </c>
      <c r="AK630" s="1525">
        <f t="shared" si="381"/>
        <v>0</v>
      </c>
      <c r="AL630" s="1525">
        <f t="shared" si="381"/>
        <v>0</v>
      </c>
      <c r="AM630" s="1525">
        <f t="shared" si="381"/>
        <v>0</v>
      </c>
      <c r="AN630" s="1525">
        <f t="shared" si="381"/>
        <v>0</v>
      </c>
      <c r="AO630" s="1525">
        <f t="shared" si="381"/>
        <v>0</v>
      </c>
      <c r="AP630" s="1525">
        <f t="shared" si="381"/>
        <v>0</v>
      </c>
      <c r="AQ630" s="1525">
        <f t="shared" si="381"/>
        <v>0</v>
      </c>
      <c r="AR630" s="1525">
        <f t="shared" si="381"/>
        <v>0</v>
      </c>
      <c r="AS630" s="1525">
        <f t="shared" si="381"/>
        <v>0</v>
      </c>
      <c r="AU630" s="1525"/>
      <c r="AV630" s="1291"/>
      <c r="AW630" s="1292"/>
      <c r="AX630" s="1292"/>
      <c r="AY630" s="1292"/>
      <c r="AZ630" s="1292"/>
      <c r="BA630" s="1292"/>
      <c r="BB630" s="1292"/>
      <c r="BC630" s="1292"/>
      <c r="BD630" s="1292"/>
      <c r="BE630" s="1292"/>
      <c r="BF630" s="1292"/>
      <c r="BG630" s="1292"/>
      <c r="BH630" s="1292"/>
      <c r="BI630" s="1292"/>
      <c r="BJ630" s="1292"/>
      <c r="BK630" s="1292"/>
      <c r="BL630" s="1292"/>
      <c r="BM630" s="1292"/>
      <c r="BN630" s="1292"/>
      <c r="BO630" s="1292"/>
      <c r="BP630" s="1292"/>
      <c r="BQ630" s="1292"/>
      <c r="BR630" s="1292"/>
      <c r="BS630" s="1292"/>
      <c r="BT630" s="1670">
        <f t="shared" si="382"/>
        <v>0</v>
      </c>
      <c r="BW630" s="862" t="s">
        <v>1975</v>
      </c>
    </row>
    <row r="631" spans="2:75" ht="12.75" customHeight="1" x14ac:dyDescent="0.2">
      <c r="B631" s="175">
        <f t="shared" si="383"/>
        <v>8</v>
      </c>
      <c r="C631" s="219">
        <v>15</v>
      </c>
      <c r="E631" s="12" t="s">
        <v>291</v>
      </c>
      <c r="F631" s="24" t="s">
        <v>631</v>
      </c>
      <c r="G631" s="859" t="s">
        <v>668</v>
      </c>
      <c r="H631" s="858">
        <v>212754</v>
      </c>
      <c r="I631" s="200" t="s">
        <v>1584</v>
      </c>
      <c r="J631" s="189"/>
      <c r="K631" s="189"/>
      <c r="L631" s="858">
        <v>1</v>
      </c>
      <c r="M631" s="858">
        <f t="shared" ref="M631:M636" si="384">K631+L631</f>
        <v>1</v>
      </c>
      <c r="N631" s="857" t="s">
        <v>1326</v>
      </c>
      <c r="O631" s="1196">
        <v>22098</v>
      </c>
      <c r="P631" s="1218">
        <f t="shared" ca="1" si="375"/>
        <v>57.25277777777778</v>
      </c>
      <c r="Q631" s="1148">
        <v>21000</v>
      </c>
      <c r="R631" s="874">
        <f>Q631*0.1</f>
        <v>2100</v>
      </c>
      <c r="S631" s="875"/>
      <c r="T631" s="875"/>
      <c r="U631" s="875"/>
      <c r="V631" s="875"/>
      <c r="W631" s="875"/>
      <c r="X631" s="1026">
        <f t="shared" si="376"/>
        <v>23100</v>
      </c>
      <c r="Y631" s="1512">
        <f t="shared" si="377"/>
        <v>0</v>
      </c>
      <c r="Z631" s="1741">
        <f t="shared" si="378"/>
        <v>1</v>
      </c>
      <c r="AA631" s="1749">
        <f t="shared" si="379"/>
        <v>0</v>
      </c>
      <c r="AB631" s="1810">
        <f t="shared" si="380"/>
        <v>0</v>
      </c>
      <c r="AC631" s="876"/>
      <c r="AD631" s="1525">
        <f t="shared" si="381"/>
        <v>0</v>
      </c>
      <c r="AE631" s="1525">
        <f t="shared" si="381"/>
        <v>0</v>
      </c>
      <c r="AF631" s="1525">
        <f t="shared" si="381"/>
        <v>0</v>
      </c>
      <c r="AG631" s="1525">
        <f t="shared" si="381"/>
        <v>0</v>
      </c>
      <c r="AH631" s="1525">
        <f t="shared" si="381"/>
        <v>0</v>
      </c>
      <c r="AI631" s="1525">
        <f t="shared" si="381"/>
        <v>0</v>
      </c>
      <c r="AJ631" s="1525">
        <f t="shared" si="381"/>
        <v>0</v>
      </c>
      <c r="AK631" s="1525">
        <f t="shared" si="381"/>
        <v>0</v>
      </c>
      <c r="AL631" s="1525">
        <f t="shared" si="381"/>
        <v>0</v>
      </c>
      <c r="AM631" s="1525">
        <f t="shared" si="381"/>
        <v>0</v>
      </c>
      <c r="AN631" s="1525">
        <f t="shared" si="381"/>
        <v>0</v>
      </c>
      <c r="AO631" s="1525">
        <f t="shared" si="381"/>
        <v>0</v>
      </c>
      <c r="AP631" s="1525">
        <f t="shared" si="381"/>
        <v>0</v>
      </c>
      <c r="AQ631" s="1525">
        <f t="shared" si="381"/>
        <v>0</v>
      </c>
      <c r="AR631" s="1525">
        <f t="shared" si="381"/>
        <v>0</v>
      </c>
      <c r="AS631" s="1525">
        <f t="shared" si="381"/>
        <v>0</v>
      </c>
      <c r="AU631" s="1525"/>
      <c r="AV631" s="1291"/>
      <c r="AW631" s="1292"/>
      <c r="AX631" s="1292"/>
      <c r="AY631" s="1292"/>
      <c r="AZ631" s="1292"/>
      <c r="BA631" s="1292"/>
      <c r="BB631" s="1292"/>
      <c r="BC631" s="1292"/>
      <c r="BD631" s="1292"/>
      <c r="BE631" s="1292"/>
      <c r="BF631" s="1292"/>
      <c r="BG631" s="1292"/>
      <c r="BH631" s="1292"/>
      <c r="BI631" s="1292"/>
      <c r="BJ631" s="1292"/>
      <c r="BK631" s="1292"/>
      <c r="BL631" s="1292"/>
      <c r="BM631" s="1292"/>
      <c r="BN631" s="1292"/>
      <c r="BO631" s="1292"/>
      <c r="BP631" s="1292"/>
      <c r="BQ631" s="1292"/>
      <c r="BR631" s="1292"/>
      <c r="BS631" s="1292"/>
      <c r="BT631" s="1670">
        <f t="shared" si="382"/>
        <v>0</v>
      </c>
      <c r="BW631" s="859" t="s">
        <v>668</v>
      </c>
    </row>
    <row r="632" spans="2:75" ht="12.75" customHeight="1" x14ac:dyDescent="0.2">
      <c r="B632" s="175">
        <f t="shared" si="383"/>
        <v>9</v>
      </c>
      <c r="C632" s="219">
        <v>15</v>
      </c>
      <c r="E632" s="12" t="s">
        <v>291</v>
      </c>
      <c r="F632" s="24" t="s">
        <v>631</v>
      </c>
      <c r="G632" s="859" t="s">
        <v>8</v>
      </c>
      <c r="H632" s="858">
        <v>232504</v>
      </c>
      <c r="I632" s="200" t="s">
        <v>1584</v>
      </c>
      <c r="J632" s="189"/>
      <c r="K632" s="189"/>
      <c r="L632" s="858">
        <v>1</v>
      </c>
      <c r="M632" s="858">
        <f t="shared" si="384"/>
        <v>1</v>
      </c>
      <c r="N632" s="857" t="s">
        <v>892</v>
      </c>
      <c r="O632" s="1196">
        <v>23231</v>
      </c>
      <c r="P632" s="1218">
        <f t="shared" ca="1" si="375"/>
        <v>54.15</v>
      </c>
      <c r="Q632" s="1148">
        <v>17000</v>
      </c>
      <c r="R632" s="874"/>
      <c r="S632" s="875"/>
      <c r="T632" s="875">
        <v>5000</v>
      </c>
      <c r="U632" s="875"/>
      <c r="V632" s="875"/>
      <c r="W632" s="875"/>
      <c r="X632" s="1026">
        <f t="shared" si="376"/>
        <v>22000</v>
      </c>
      <c r="Y632" s="1512">
        <f t="shared" si="377"/>
        <v>0.29411764705882354</v>
      </c>
      <c r="Z632" s="1741">
        <f t="shared" si="378"/>
        <v>1.2941176470588236</v>
      </c>
      <c r="AA632" s="1749">
        <f t="shared" si="379"/>
        <v>0</v>
      </c>
      <c r="AB632" s="1810">
        <f t="shared" si="380"/>
        <v>0</v>
      </c>
      <c r="AC632" s="876"/>
      <c r="AD632" s="1525">
        <f t="shared" si="381"/>
        <v>0</v>
      </c>
      <c r="AE632" s="1525">
        <f t="shared" si="381"/>
        <v>0</v>
      </c>
      <c r="AF632" s="1525">
        <f t="shared" si="381"/>
        <v>0</v>
      </c>
      <c r="AG632" s="1525">
        <f t="shared" si="381"/>
        <v>0</v>
      </c>
      <c r="AH632" s="1525">
        <f t="shared" si="381"/>
        <v>0</v>
      </c>
      <c r="AI632" s="1525">
        <f t="shared" si="381"/>
        <v>0</v>
      </c>
      <c r="AJ632" s="1525">
        <f t="shared" si="381"/>
        <v>0</v>
      </c>
      <c r="AK632" s="1525">
        <f t="shared" si="381"/>
        <v>0</v>
      </c>
      <c r="AL632" s="1525">
        <f t="shared" si="381"/>
        <v>0</v>
      </c>
      <c r="AM632" s="1525">
        <f t="shared" si="381"/>
        <v>0</v>
      </c>
      <c r="AN632" s="1525">
        <f t="shared" si="381"/>
        <v>0</v>
      </c>
      <c r="AO632" s="1525">
        <f t="shared" si="381"/>
        <v>0</v>
      </c>
      <c r="AP632" s="1525">
        <f t="shared" si="381"/>
        <v>0</v>
      </c>
      <c r="AQ632" s="1525">
        <f t="shared" si="381"/>
        <v>0</v>
      </c>
      <c r="AR632" s="1525">
        <f t="shared" si="381"/>
        <v>0</v>
      </c>
      <c r="AS632" s="1525">
        <f t="shared" si="381"/>
        <v>0</v>
      </c>
      <c r="AU632" s="1525"/>
      <c r="AV632" s="1291"/>
      <c r="AW632" s="1292"/>
      <c r="AX632" s="1292"/>
      <c r="AY632" s="1292"/>
      <c r="AZ632" s="1292"/>
      <c r="BA632" s="1292"/>
      <c r="BB632" s="1292"/>
      <c r="BC632" s="1292"/>
      <c r="BD632" s="1292"/>
      <c r="BE632" s="1292"/>
      <c r="BF632" s="1292"/>
      <c r="BG632" s="1292"/>
      <c r="BH632" s="1292"/>
      <c r="BI632" s="1292"/>
      <c r="BJ632" s="1292"/>
      <c r="BK632" s="1292"/>
      <c r="BL632" s="1292"/>
      <c r="BM632" s="1292"/>
      <c r="BN632" s="1292"/>
      <c r="BO632" s="1292"/>
      <c r="BP632" s="1292"/>
      <c r="BQ632" s="1292"/>
      <c r="BR632" s="1292"/>
      <c r="BS632" s="1292"/>
      <c r="BT632" s="1670">
        <f t="shared" si="382"/>
        <v>0</v>
      </c>
      <c r="BW632" s="859" t="s">
        <v>8</v>
      </c>
    </row>
    <row r="633" spans="2:75" ht="12.75" customHeight="1" x14ac:dyDescent="0.2">
      <c r="B633" s="175">
        <f t="shared" si="383"/>
        <v>10</v>
      </c>
      <c r="C633" s="219">
        <v>16</v>
      </c>
      <c r="E633" s="12" t="s">
        <v>291</v>
      </c>
      <c r="F633" s="4" t="s">
        <v>9</v>
      </c>
      <c r="G633" s="862" t="s">
        <v>15</v>
      </c>
      <c r="H633" s="861">
        <v>210896</v>
      </c>
      <c r="I633" s="197" t="s">
        <v>1584</v>
      </c>
      <c r="J633" s="189"/>
      <c r="K633" s="174"/>
      <c r="L633" s="861">
        <v>1</v>
      </c>
      <c r="M633" s="861">
        <f t="shared" si="384"/>
        <v>1</v>
      </c>
      <c r="N633" s="836" t="s">
        <v>1326</v>
      </c>
      <c r="O633" s="1196">
        <v>25881</v>
      </c>
      <c r="P633" s="1218">
        <f t="shared" ca="1" si="375"/>
        <v>46.897222222222226</v>
      </c>
      <c r="Q633" s="1148">
        <v>21000</v>
      </c>
      <c r="R633" s="874">
        <f>Q633*0.1</f>
        <v>2100</v>
      </c>
      <c r="S633" s="875"/>
      <c r="T633" s="875">
        <v>3000</v>
      </c>
      <c r="U633" s="875"/>
      <c r="V633" s="875"/>
      <c r="W633" s="875"/>
      <c r="X633" s="1026">
        <f t="shared" si="376"/>
        <v>26100</v>
      </c>
      <c r="Y633" s="1512">
        <f t="shared" si="377"/>
        <v>0.12987012987012986</v>
      </c>
      <c r="Z633" s="1741">
        <f t="shared" si="378"/>
        <v>1.1298701298701299</v>
      </c>
      <c r="AA633" s="1749">
        <f t="shared" si="379"/>
        <v>0</v>
      </c>
      <c r="AB633" s="1810">
        <f t="shared" si="380"/>
        <v>0</v>
      </c>
      <c r="AC633" s="876"/>
      <c r="AD633" s="1525">
        <f t="shared" si="381"/>
        <v>0</v>
      </c>
      <c r="AE633" s="1525">
        <f t="shared" si="381"/>
        <v>0</v>
      </c>
      <c r="AF633" s="1525">
        <f t="shared" si="381"/>
        <v>0</v>
      </c>
      <c r="AG633" s="1525">
        <f t="shared" si="381"/>
        <v>0</v>
      </c>
      <c r="AH633" s="1525">
        <f t="shared" si="381"/>
        <v>0</v>
      </c>
      <c r="AI633" s="1525">
        <f t="shared" si="381"/>
        <v>0</v>
      </c>
      <c r="AJ633" s="1525">
        <f t="shared" si="381"/>
        <v>0</v>
      </c>
      <c r="AK633" s="1525">
        <f t="shared" si="381"/>
        <v>0</v>
      </c>
      <c r="AL633" s="1525">
        <f t="shared" si="381"/>
        <v>0</v>
      </c>
      <c r="AM633" s="1525">
        <f t="shared" si="381"/>
        <v>0</v>
      </c>
      <c r="AN633" s="1525">
        <f t="shared" si="381"/>
        <v>0</v>
      </c>
      <c r="AO633" s="1525">
        <f t="shared" si="381"/>
        <v>0</v>
      </c>
      <c r="AP633" s="1525">
        <f t="shared" si="381"/>
        <v>0</v>
      </c>
      <c r="AQ633" s="1525">
        <f t="shared" si="381"/>
        <v>0</v>
      </c>
      <c r="AR633" s="1525">
        <f t="shared" si="381"/>
        <v>0</v>
      </c>
      <c r="AS633" s="1525">
        <f t="shared" si="381"/>
        <v>0</v>
      </c>
      <c r="AU633" s="1525"/>
      <c r="AV633" s="1291"/>
      <c r="AW633" s="1292"/>
      <c r="AX633" s="1292"/>
      <c r="AY633" s="1292"/>
      <c r="AZ633" s="1292"/>
      <c r="BA633" s="1292"/>
      <c r="BB633" s="1292"/>
      <c r="BC633" s="1292"/>
      <c r="BD633" s="1292"/>
      <c r="BE633" s="1292"/>
      <c r="BF633" s="1292"/>
      <c r="BG633" s="1292"/>
      <c r="BH633" s="1292"/>
      <c r="BI633" s="1292"/>
      <c r="BJ633" s="1292"/>
      <c r="BK633" s="1292"/>
      <c r="BL633" s="1292"/>
      <c r="BM633" s="1292"/>
      <c r="BN633" s="1292"/>
      <c r="BO633" s="1292"/>
      <c r="BP633" s="1292"/>
      <c r="BQ633" s="1292"/>
      <c r="BR633" s="1292"/>
      <c r="BS633" s="1292"/>
      <c r="BT633" s="1670">
        <f t="shared" si="382"/>
        <v>0</v>
      </c>
      <c r="BW633" s="862" t="s">
        <v>15</v>
      </c>
    </row>
    <row r="634" spans="2:75" ht="12.75" customHeight="1" x14ac:dyDescent="0.2">
      <c r="B634" s="175">
        <f t="shared" si="383"/>
        <v>11</v>
      </c>
      <c r="C634" s="219">
        <v>16</v>
      </c>
      <c r="E634" s="12" t="s">
        <v>291</v>
      </c>
      <c r="F634" s="4" t="s">
        <v>9</v>
      </c>
      <c r="G634" s="859" t="s">
        <v>1557</v>
      </c>
      <c r="H634" s="858">
        <v>291647</v>
      </c>
      <c r="I634" s="200" t="s">
        <v>1584</v>
      </c>
      <c r="J634" s="189"/>
      <c r="K634" s="189"/>
      <c r="L634" s="861">
        <v>1</v>
      </c>
      <c r="M634" s="858">
        <f t="shared" si="384"/>
        <v>1</v>
      </c>
      <c r="N634" s="857" t="s">
        <v>1326</v>
      </c>
      <c r="O634" s="1196">
        <v>20358</v>
      </c>
      <c r="P634" s="1218">
        <f t="shared" ca="1" si="375"/>
        <v>62.016666666666666</v>
      </c>
      <c r="Q634" s="1148">
        <v>27000</v>
      </c>
      <c r="R634" s="874">
        <f>Q634*0.1</f>
        <v>2700</v>
      </c>
      <c r="S634" s="875"/>
      <c r="T634" s="875"/>
      <c r="U634" s="875"/>
      <c r="V634" s="875"/>
      <c r="W634" s="875"/>
      <c r="X634" s="1026">
        <f t="shared" si="376"/>
        <v>29700</v>
      </c>
      <c r="Y634" s="1512">
        <f t="shared" si="377"/>
        <v>0</v>
      </c>
      <c r="Z634" s="1741">
        <f t="shared" si="378"/>
        <v>1</v>
      </c>
      <c r="AA634" s="1749">
        <f t="shared" si="379"/>
        <v>0</v>
      </c>
      <c r="AB634" s="1810">
        <f t="shared" si="380"/>
        <v>0</v>
      </c>
      <c r="AC634" s="876"/>
      <c r="AD634" s="1525">
        <f t="shared" si="381"/>
        <v>0</v>
      </c>
      <c r="AE634" s="1525">
        <f t="shared" si="381"/>
        <v>0</v>
      </c>
      <c r="AF634" s="1525">
        <f t="shared" si="381"/>
        <v>0</v>
      </c>
      <c r="AG634" s="1525">
        <f t="shared" si="381"/>
        <v>0</v>
      </c>
      <c r="AH634" s="1525">
        <f t="shared" si="381"/>
        <v>0</v>
      </c>
      <c r="AI634" s="1525">
        <f t="shared" si="381"/>
        <v>0</v>
      </c>
      <c r="AJ634" s="1525">
        <f t="shared" si="381"/>
        <v>0</v>
      </c>
      <c r="AK634" s="1525">
        <f t="shared" si="381"/>
        <v>0</v>
      </c>
      <c r="AL634" s="1525">
        <f t="shared" si="381"/>
        <v>0</v>
      </c>
      <c r="AM634" s="1525">
        <f t="shared" si="381"/>
        <v>0</v>
      </c>
      <c r="AN634" s="1525">
        <f t="shared" si="381"/>
        <v>0</v>
      </c>
      <c r="AO634" s="1525">
        <f t="shared" si="381"/>
        <v>0</v>
      </c>
      <c r="AP634" s="1525">
        <f t="shared" si="381"/>
        <v>0</v>
      </c>
      <c r="AQ634" s="1525">
        <f t="shared" si="381"/>
        <v>0</v>
      </c>
      <c r="AR634" s="1525">
        <f t="shared" si="381"/>
        <v>0</v>
      </c>
      <c r="AS634" s="1525">
        <f t="shared" si="381"/>
        <v>0</v>
      </c>
      <c r="AU634" s="1525"/>
      <c r="AV634" s="1291"/>
      <c r="AW634" s="1292"/>
      <c r="AX634" s="1292"/>
      <c r="AY634" s="1292"/>
      <c r="AZ634" s="1292"/>
      <c r="BA634" s="1292"/>
      <c r="BB634" s="1292"/>
      <c r="BC634" s="1292"/>
      <c r="BD634" s="1292"/>
      <c r="BE634" s="1292"/>
      <c r="BF634" s="1292"/>
      <c r="BG634" s="1292"/>
      <c r="BH634" s="1292"/>
      <c r="BI634" s="1292"/>
      <c r="BJ634" s="1292"/>
      <c r="BK634" s="1292"/>
      <c r="BL634" s="1292"/>
      <c r="BM634" s="1292"/>
      <c r="BN634" s="1292"/>
      <c r="BO634" s="1292"/>
      <c r="BP634" s="1292"/>
      <c r="BQ634" s="1292"/>
      <c r="BR634" s="1292"/>
      <c r="BS634" s="1292"/>
      <c r="BT634" s="1670">
        <f t="shared" si="382"/>
        <v>0</v>
      </c>
      <c r="BW634" s="859" t="s">
        <v>1557</v>
      </c>
    </row>
    <row r="635" spans="2:75" ht="12.75" customHeight="1" x14ac:dyDescent="0.2">
      <c r="B635" s="175">
        <f t="shared" si="383"/>
        <v>12</v>
      </c>
      <c r="C635" s="220">
        <v>18</v>
      </c>
      <c r="D635" s="170"/>
      <c r="E635" s="447" t="s">
        <v>291</v>
      </c>
      <c r="F635" s="4" t="s">
        <v>246</v>
      </c>
      <c r="G635" s="862" t="s">
        <v>1847</v>
      </c>
      <c r="H635" s="861">
        <v>6136</v>
      </c>
      <c r="I635" s="197" t="s">
        <v>998</v>
      </c>
      <c r="J635" s="174"/>
      <c r="K635" s="174"/>
      <c r="L635" s="861">
        <v>1</v>
      </c>
      <c r="M635" s="861">
        <f t="shared" si="384"/>
        <v>1</v>
      </c>
      <c r="N635" s="836" t="s">
        <v>1402</v>
      </c>
      <c r="O635" s="1196">
        <v>15602</v>
      </c>
      <c r="P635" s="1262">
        <f t="shared" ca="1" si="375"/>
        <v>75.038888888888891</v>
      </c>
      <c r="Q635" s="1148">
        <v>21000</v>
      </c>
      <c r="R635" s="874">
        <f>Q635*0.1</f>
        <v>2100</v>
      </c>
      <c r="S635" s="876"/>
      <c r="T635" s="876"/>
      <c r="U635" s="876"/>
      <c r="V635" s="876"/>
      <c r="W635" s="876"/>
      <c r="X635" s="1026">
        <f t="shared" si="376"/>
        <v>23100</v>
      </c>
      <c r="Y635" s="1512">
        <f t="shared" si="377"/>
        <v>0</v>
      </c>
      <c r="Z635" s="1741">
        <f t="shared" si="378"/>
        <v>1</v>
      </c>
      <c r="AA635" s="1749">
        <f t="shared" si="379"/>
        <v>0</v>
      </c>
      <c r="AB635" s="1810">
        <f t="shared" si="380"/>
        <v>0</v>
      </c>
      <c r="AC635" s="876"/>
      <c r="AD635" s="1525">
        <f t="shared" si="381"/>
        <v>0</v>
      </c>
      <c r="AE635" s="1525">
        <f t="shared" si="381"/>
        <v>0</v>
      </c>
      <c r="AF635" s="1525">
        <f t="shared" si="381"/>
        <v>0</v>
      </c>
      <c r="AG635" s="1525">
        <f t="shared" si="381"/>
        <v>0</v>
      </c>
      <c r="AH635" s="1525">
        <f t="shared" si="381"/>
        <v>0</v>
      </c>
      <c r="AI635" s="1525">
        <f t="shared" si="381"/>
        <v>0</v>
      </c>
      <c r="AJ635" s="1525">
        <f t="shared" si="381"/>
        <v>0</v>
      </c>
      <c r="AK635" s="1525">
        <f t="shared" si="381"/>
        <v>0</v>
      </c>
      <c r="AL635" s="1525">
        <f t="shared" si="381"/>
        <v>0</v>
      </c>
      <c r="AM635" s="1525">
        <f t="shared" si="381"/>
        <v>0</v>
      </c>
      <c r="AN635" s="1525">
        <f t="shared" si="381"/>
        <v>0</v>
      </c>
      <c r="AO635" s="1525">
        <f t="shared" si="381"/>
        <v>0</v>
      </c>
      <c r="AP635" s="1525">
        <f t="shared" si="381"/>
        <v>0</v>
      </c>
      <c r="AQ635" s="1525">
        <f t="shared" si="381"/>
        <v>0</v>
      </c>
      <c r="AR635" s="1525">
        <f t="shared" si="381"/>
        <v>0</v>
      </c>
      <c r="AS635" s="1525">
        <f t="shared" si="381"/>
        <v>0</v>
      </c>
      <c r="AU635" s="1525"/>
      <c r="AV635" s="1291"/>
      <c r="AW635" s="1292"/>
      <c r="AX635" s="1292"/>
      <c r="AY635" s="1292"/>
      <c r="AZ635" s="1292"/>
      <c r="BA635" s="1292"/>
      <c r="BB635" s="1292"/>
      <c r="BC635" s="1292"/>
      <c r="BD635" s="1292"/>
      <c r="BE635" s="1292"/>
      <c r="BF635" s="1292"/>
      <c r="BG635" s="1292"/>
      <c r="BH635" s="1292"/>
      <c r="BI635" s="1292"/>
      <c r="BJ635" s="1292"/>
      <c r="BK635" s="1292"/>
      <c r="BL635" s="1292"/>
      <c r="BM635" s="1292"/>
      <c r="BN635" s="1292"/>
      <c r="BO635" s="1292"/>
      <c r="BP635" s="1292"/>
      <c r="BQ635" s="1292"/>
      <c r="BR635" s="1292"/>
      <c r="BS635" s="1292"/>
      <c r="BT635" s="1670">
        <f t="shared" si="382"/>
        <v>0</v>
      </c>
      <c r="BW635" s="862" t="s">
        <v>1847</v>
      </c>
    </row>
    <row r="636" spans="2:75" ht="12.75" customHeight="1" x14ac:dyDescent="0.2">
      <c r="B636" s="175">
        <f t="shared" si="383"/>
        <v>13</v>
      </c>
      <c r="C636" s="219">
        <v>18</v>
      </c>
      <c r="E636" s="12" t="s">
        <v>291</v>
      </c>
      <c r="F636" s="24" t="s">
        <v>246</v>
      </c>
      <c r="G636" s="859" t="s">
        <v>121</v>
      </c>
      <c r="H636" s="858">
        <v>122927</v>
      </c>
      <c r="I636" s="200" t="s">
        <v>998</v>
      </c>
      <c r="J636" s="189"/>
      <c r="K636" s="189"/>
      <c r="L636" s="858">
        <v>1</v>
      </c>
      <c r="M636" s="858">
        <f t="shared" si="384"/>
        <v>1</v>
      </c>
      <c r="N636" s="836" t="s">
        <v>1326</v>
      </c>
      <c r="O636" s="1196">
        <v>29764</v>
      </c>
      <c r="P636" s="1218">
        <f t="shared" ca="1" si="375"/>
        <v>36.263888888888886</v>
      </c>
      <c r="Q636" s="1148">
        <v>20000</v>
      </c>
      <c r="R636" s="874">
        <f>Q636*0.1</f>
        <v>2000</v>
      </c>
      <c r="S636" s="875"/>
      <c r="T636" s="875"/>
      <c r="U636" s="875"/>
      <c r="V636" s="875"/>
      <c r="W636" s="875"/>
      <c r="X636" s="1026">
        <f t="shared" si="376"/>
        <v>22000</v>
      </c>
      <c r="Y636" s="1512">
        <f t="shared" si="377"/>
        <v>0</v>
      </c>
      <c r="Z636" s="1741">
        <f t="shared" si="378"/>
        <v>1</v>
      </c>
      <c r="AA636" s="1749">
        <f t="shared" si="379"/>
        <v>0</v>
      </c>
      <c r="AB636" s="1810">
        <f t="shared" si="380"/>
        <v>0</v>
      </c>
      <c r="AC636" s="876"/>
      <c r="AD636" s="1525">
        <f t="shared" si="381"/>
        <v>0</v>
      </c>
      <c r="AE636" s="1525">
        <f t="shared" si="381"/>
        <v>0</v>
      </c>
      <c r="AF636" s="1525">
        <f t="shared" si="381"/>
        <v>0</v>
      </c>
      <c r="AG636" s="1525">
        <f t="shared" si="381"/>
        <v>0</v>
      </c>
      <c r="AH636" s="1525">
        <f t="shared" si="381"/>
        <v>0</v>
      </c>
      <c r="AI636" s="1525">
        <f t="shared" si="381"/>
        <v>0</v>
      </c>
      <c r="AJ636" s="1525">
        <f t="shared" si="381"/>
        <v>0</v>
      </c>
      <c r="AK636" s="1525">
        <f t="shared" si="381"/>
        <v>0</v>
      </c>
      <c r="AL636" s="1525">
        <f t="shared" si="381"/>
        <v>0</v>
      </c>
      <c r="AM636" s="1525">
        <f t="shared" si="381"/>
        <v>0</v>
      </c>
      <c r="AN636" s="1525">
        <f t="shared" si="381"/>
        <v>0</v>
      </c>
      <c r="AO636" s="1525">
        <f t="shared" si="381"/>
        <v>0</v>
      </c>
      <c r="AP636" s="1525">
        <f t="shared" si="381"/>
        <v>0</v>
      </c>
      <c r="AQ636" s="1525">
        <f t="shared" si="381"/>
        <v>0</v>
      </c>
      <c r="AR636" s="1525">
        <f t="shared" si="381"/>
        <v>0</v>
      </c>
      <c r="AS636" s="1525">
        <f t="shared" si="381"/>
        <v>0</v>
      </c>
      <c r="AU636" s="1525"/>
      <c r="AV636" s="1291"/>
      <c r="AW636" s="1292"/>
      <c r="AX636" s="1292"/>
      <c r="AY636" s="1292"/>
      <c r="AZ636" s="1292"/>
      <c r="BA636" s="1292"/>
      <c r="BB636" s="1292"/>
      <c r="BC636" s="1292"/>
      <c r="BD636" s="1292"/>
      <c r="BE636" s="1292"/>
      <c r="BF636" s="1292"/>
      <c r="BG636" s="1292"/>
      <c r="BH636" s="1292"/>
      <c r="BI636" s="1292"/>
      <c r="BJ636" s="1292"/>
      <c r="BK636" s="1292"/>
      <c r="BL636" s="1292"/>
      <c r="BM636" s="1292"/>
      <c r="BN636" s="1292"/>
      <c r="BO636" s="1292"/>
      <c r="BP636" s="1292"/>
      <c r="BQ636" s="1292"/>
      <c r="BR636" s="1292"/>
      <c r="BS636" s="1292"/>
      <c r="BT636" s="1670">
        <f t="shared" si="382"/>
        <v>0</v>
      </c>
      <c r="BW636" s="859" t="s">
        <v>121</v>
      </c>
    </row>
    <row r="637" spans="2:75" s="164" customFormat="1" ht="12.75" customHeight="1" x14ac:dyDescent="0.2">
      <c r="B637" s="175">
        <f t="shared" si="383"/>
        <v>14</v>
      </c>
      <c r="C637" s="422">
        <v>18</v>
      </c>
      <c r="D637" s="547"/>
      <c r="E637" s="12" t="s">
        <v>291</v>
      </c>
      <c r="F637" s="4" t="s">
        <v>2033</v>
      </c>
      <c r="G637" s="862" t="s">
        <v>841</v>
      </c>
      <c r="H637" s="861">
        <v>6177</v>
      </c>
      <c r="I637" s="825" t="s">
        <v>1442</v>
      </c>
      <c r="J637" s="174"/>
      <c r="K637" s="836"/>
      <c r="L637" s="861">
        <v>1</v>
      </c>
      <c r="M637" s="861">
        <v>1</v>
      </c>
      <c r="N637" s="836" t="s">
        <v>1326</v>
      </c>
      <c r="O637" s="1196">
        <v>18114</v>
      </c>
      <c r="P637" s="1218">
        <f ca="1">YEARFRAC(TODAY(),O637)</f>
        <v>68.161111111111111</v>
      </c>
      <c r="Q637" s="1153">
        <v>27000</v>
      </c>
      <c r="R637" s="884">
        <f t="shared" ref="R637" si="385">Q637*0.1</f>
        <v>2700</v>
      </c>
      <c r="S637" s="876"/>
      <c r="T637" s="876"/>
      <c r="U637" s="876"/>
      <c r="V637" s="876"/>
      <c r="W637" s="876"/>
      <c r="X637" s="1026">
        <f t="shared" si="376"/>
        <v>29700</v>
      </c>
      <c r="Y637" s="1512">
        <f t="shared" ref="Y637" si="386">(T637+U637)*M637/(X637-M637*(T637+U637))</f>
        <v>0</v>
      </c>
      <c r="Z637" s="1741">
        <f t="shared" ref="Z637" si="387">M637*(1+Y637)</f>
        <v>1</v>
      </c>
      <c r="AA637" s="1749">
        <f t="shared" ref="AA637" si="388">SUM(AD637:AS637)</f>
        <v>0</v>
      </c>
      <c r="AB637" s="1810">
        <f t="shared" ref="AB637" si="389">100*AA637/Z637</f>
        <v>0</v>
      </c>
      <c r="AC637" s="224"/>
      <c r="AD637" s="1525">
        <f t="shared" si="381"/>
        <v>0</v>
      </c>
      <c r="AE637" s="1525">
        <f t="shared" si="381"/>
        <v>0</v>
      </c>
      <c r="AF637" s="1525">
        <f t="shared" si="381"/>
        <v>0</v>
      </c>
      <c r="AG637" s="1525">
        <f t="shared" si="381"/>
        <v>0</v>
      </c>
      <c r="AH637" s="1525">
        <f t="shared" si="381"/>
        <v>0</v>
      </c>
      <c r="AI637" s="1525">
        <f t="shared" si="381"/>
        <v>0</v>
      </c>
      <c r="AJ637" s="1525">
        <f t="shared" si="381"/>
        <v>0</v>
      </c>
      <c r="AK637" s="1525">
        <f t="shared" si="381"/>
        <v>0</v>
      </c>
      <c r="AL637" s="1525">
        <f t="shared" si="381"/>
        <v>0</v>
      </c>
      <c r="AM637" s="1525">
        <f t="shared" si="381"/>
        <v>0</v>
      </c>
      <c r="AN637" s="1525">
        <f t="shared" si="381"/>
        <v>0</v>
      </c>
      <c r="AO637" s="1525">
        <f t="shared" si="381"/>
        <v>0</v>
      </c>
      <c r="AP637" s="1525">
        <f t="shared" si="381"/>
        <v>0</v>
      </c>
      <c r="AQ637" s="1525">
        <f t="shared" si="381"/>
        <v>0</v>
      </c>
      <c r="AR637" s="1525">
        <f t="shared" si="381"/>
        <v>0</v>
      </c>
      <c r="AS637" s="1525">
        <f t="shared" si="381"/>
        <v>0</v>
      </c>
      <c r="AV637" s="553"/>
      <c r="AX637" s="553"/>
      <c r="BT637" s="1672"/>
    </row>
    <row r="638" spans="2:75" ht="12.75" customHeight="1" x14ac:dyDescent="0.15">
      <c r="B638" s="175">
        <f t="shared" si="383"/>
        <v>15</v>
      </c>
      <c r="C638" s="219">
        <v>41</v>
      </c>
      <c r="E638" s="12" t="s">
        <v>291</v>
      </c>
      <c r="F638" s="37" t="s">
        <v>1976</v>
      </c>
      <c r="G638" s="862" t="s">
        <v>1977</v>
      </c>
      <c r="H638" s="1347">
        <v>163331</v>
      </c>
      <c r="I638" s="200" t="s">
        <v>998</v>
      </c>
      <c r="J638" s="174"/>
      <c r="K638" s="174"/>
      <c r="L638" s="861">
        <v>1</v>
      </c>
      <c r="M638" s="861">
        <v>1</v>
      </c>
      <c r="N638" s="857" t="s">
        <v>1326</v>
      </c>
      <c r="O638" s="1331">
        <v>29365</v>
      </c>
      <c r="P638" s="1218">
        <f t="shared" ca="1" si="375"/>
        <v>37.355555555555554</v>
      </c>
      <c r="Q638" s="1148">
        <v>23000</v>
      </c>
      <c r="R638" s="874">
        <f>Q638*0.1</f>
        <v>2300</v>
      </c>
      <c r="S638" s="875"/>
      <c r="T638" s="875"/>
      <c r="U638" s="875"/>
      <c r="V638" s="875"/>
      <c r="W638" s="875"/>
      <c r="X638" s="1026">
        <f>(Q638+R638+S638+T638+U638+V638+W638)*M638</f>
        <v>25300</v>
      </c>
      <c r="Y638" s="1512">
        <f>(T638+U638)*M638/(X638-M638*(T638+U638))</f>
        <v>0</v>
      </c>
      <c r="Z638" s="1741">
        <f t="shared" si="378"/>
        <v>1</v>
      </c>
      <c r="AA638" s="1749">
        <f>SUM(AD638:AS638)</f>
        <v>0</v>
      </c>
      <c r="AB638" s="1810">
        <f t="shared" ref="AB638" si="390">100*AA638/Z638</f>
        <v>0</v>
      </c>
      <c r="AC638" s="876"/>
      <c r="AD638" s="1525">
        <f t="shared" ref="AD638:AS638" si="391">SUMIF($AV$6:$BS$6,AD$5,$AV638:$BS638)</f>
        <v>0</v>
      </c>
      <c r="AE638" s="1525">
        <f t="shared" si="391"/>
        <v>0</v>
      </c>
      <c r="AF638" s="1525">
        <f t="shared" si="391"/>
        <v>0</v>
      </c>
      <c r="AG638" s="1525">
        <f t="shared" si="391"/>
        <v>0</v>
      </c>
      <c r="AH638" s="1525">
        <f t="shared" si="391"/>
        <v>0</v>
      </c>
      <c r="AI638" s="1525">
        <f t="shared" si="391"/>
        <v>0</v>
      </c>
      <c r="AJ638" s="1525">
        <f t="shared" si="391"/>
        <v>0</v>
      </c>
      <c r="AK638" s="1525">
        <f t="shared" si="391"/>
        <v>0</v>
      </c>
      <c r="AL638" s="1525">
        <f t="shared" si="391"/>
        <v>0</v>
      </c>
      <c r="AM638" s="1525">
        <f t="shared" si="391"/>
        <v>0</v>
      </c>
      <c r="AN638" s="1525">
        <f t="shared" si="391"/>
        <v>0</v>
      </c>
      <c r="AO638" s="1525">
        <f t="shared" si="391"/>
        <v>0</v>
      </c>
      <c r="AP638" s="1525">
        <f t="shared" si="391"/>
        <v>0</v>
      </c>
      <c r="AQ638" s="1525">
        <f t="shared" si="391"/>
        <v>0</v>
      </c>
      <c r="AR638" s="1525">
        <f t="shared" si="391"/>
        <v>0</v>
      </c>
      <c r="AS638" s="1525">
        <f t="shared" si="391"/>
        <v>0</v>
      </c>
      <c r="AU638" s="1525"/>
      <c r="AV638" s="1291"/>
      <c r="AW638" s="1292"/>
      <c r="AX638" s="1292"/>
      <c r="AY638" s="1292"/>
      <c r="AZ638" s="1292"/>
      <c r="BA638" s="1292"/>
      <c r="BB638" s="1292"/>
      <c r="BC638" s="1292"/>
      <c r="BD638" s="1292"/>
      <c r="BE638" s="1292"/>
      <c r="BF638" s="1292"/>
      <c r="BG638" s="1292"/>
      <c r="BH638" s="1292"/>
      <c r="BI638" s="1292"/>
      <c r="BJ638" s="1292"/>
      <c r="BK638" s="1292"/>
      <c r="BL638" s="1292"/>
      <c r="BM638" s="1292"/>
      <c r="BN638" s="1292"/>
      <c r="BO638" s="1292"/>
      <c r="BP638" s="1292"/>
      <c r="BQ638" s="1292"/>
      <c r="BR638" s="1292"/>
      <c r="BS638" s="1292"/>
      <c r="BT638" s="1670">
        <f t="shared" si="382"/>
        <v>0</v>
      </c>
      <c r="BW638" s="862" t="s">
        <v>1977</v>
      </c>
    </row>
    <row r="639" spans="2:75" s="164" customFormat="1" ht="12.75" customHeight="1" x14ac:dyDescent="0.2">
      <c r="B639" s="175"/>
      <c r="C639" s="219" t="s">
        <v>1120</v>
      </c>
      <c r="F639" s="325" t="s">
        <v>552</v>
      </c>
      <c r="G639" s="928"/>
      <c r="H639" s="1362" t="s">
        <v>1508</v>
      </c>
      <c r="I639" s="327"/>
      <c r="J639" s="326"/>
      <c r="K639" s="449">
        <f>SUM(K624:K635)</f>
        <v>0</v>
      </c>
      <c r="L639" s="903">
        <f>SUM(L624:L638)</f>
        <v>15</v>
      </c>
      <c r="M639" s="903">
        <f>SUM(M624:M638)</f>
        <v>15</v>
      </c>
      <c r="N639" s="905"/>
      <c r="O639" s="1192"/>
      <c r="P639" s="550"/>
      <c r="Q639" s="1153"/>
      <c r="R639" s="877"/>
      <c r="S639" s="875"/>
      <c r="T639" s="875"/>
      <c r="U639" s="875"/>
      <c r="V639" s="875"/>
      <c r="W639" s="875"/>
      <c r="X639" s="1026"/>
      <c r="Y639" s="875"/>
      <c r="Z639" s="1803"/>
      <c r="AA639" s="1749"/>
      <c r="AB639" s="1812"/>
      <c r="AC639" s="876"/>
      <c r="AD639" s="1295"/>
      <c r="AE639" s="1525"/>
      <c r="AF639" s="1525"/>
      <c r="AG639" s="1525"/>
      <c r="AH639" s="1525"/>
      <c r="AI639" s="1525"/>
      <c r="AJ639" s="1525"/>
      <c r="AK639" s="1525"/>
      <c r="AL639" s="1525"/>
      <c r="AM639" s="1525"/>
      <c r="AN639" s="1525"/>
      <c r="AO639" s="1525"/>
      <c r="AP639" s="1525"/>
      <c r="AQ639" s="1525"/>
      <c r="AR639" s="1525"/>
      <c r="AS639" s="1525"/>
      <c r="AU639" s="1525"/>
      <c r="AV639" s="1295"/>
      <c r="AW639" s="1525"/>
      <c r="AX639" s="1525"/>
      <c r="AY639" s="1525"/>
      <c r="AZ639" s="1525"/>
      <c r="BA639" s="1525"/>
      <c r="BB639" s="1525"/>
      <c r="BC639" s="1525"/>
      <c r="BD639" s="1525"/>
      <c r="BE639" s="1525"/>
      <c r="BF639" s="1525"/>
      <c r="BG639" s="1525"/>
      <c r="BH639" s="1525"/>
      <c r="BI639" s="1525"/>
      <c r="BJ639" s="1525"/>
      <c r="BK639" s="1525"/>
      <c r="BL639" s="1525"/>
      <c r="BM639" s="1525"/>
      <c r="BN639" s="1525"/>
      <c r="BO639" s="1525"/>
      <c r="BP639" s="1525"/>
      <c r="BQ639" s="1525"/>
      <c r="BR639" s="1525"/>
      <c r="BS639" s="1525"/>
      <c r="BT639" s="1670"/>
      <c r="BV639"/>
      <c r="BW639" s="928"/>
    </row>
    <row r="640" spans="2:75" s="164" customFormat="1" ht="12.75" customHeight="1" x14ac:dyDescent="0.15">
      <c r="B640" s="175"/>
      <c r="C640" s="707" t="s">
        <v>344</v>
      </c>
      <c r="D640" s="590" t="s">
        <v>346</v>
      </c>
      <c r="E640" s="691" t="s">
        <v>291</v>
      </c>
      <c r="F640" s="624" t="s">
        <v>534</v>
      </c>
      <c r="G640" s="863">
        <f>COUNTA(G582:G639)</f>
        <v>39</v>
      </c>
      <c r="H640" s="1348" t="s">
        <v>1508</v>
      </c>
      <c r="I640" s="587"/>
      <c r="J640" s="588"/>
      <c r="K640" s="606">
        <f>K588+K607+K620+K639</f>
        <v>2</v>
      </c>
      <c r="L640" s="863">
        <f>L588+L607+L620+L639</f>
        <v>35</v>
      </c>
      <c r="M640" s="863">
        <f>M588+M607+M620+M639</f>
        <v>37</v>
      </c>
      <c r="N640" s="840"/>
      <c r="O640" s="840"/>
      <c r="P640" s="1222"/>
      <c r="Q640" s="1154"/>
      <c r="R640" s="887"/>
      <c r="S640" s="880"/>
      <c r="T640" s="880"/>
      <c r="U640" s="880"/>
      <c r="V640" s="880"/>
      <c r="W640" s="880"/>
      <c r="X640" s="1276">
        <f>SUM(X582:X639)</f>
        <v>1465975</v>
      </c>
      <c r="Y640" s="1276"/>
      <c r="Z640" s="1665">
        <f>SUM(Z582:Z639)</f>
        <v>40.343079921556978</v>
      </c>
      <c r="AA640" s="1777">
        <f>SUM(AA582:AA639)</f>
        <v>0.6</v>
      </c>
      <c r="AB640" s="1813">
        <f t="shared" ref="AB640" si="392">100*AA640/Z640</f>
        <v>1.4872439118843654</v>
      </c>
      <c r="AC640" s="1721"/>
      <c r="AD640" s="1291"/>
      <c r="AE640" s="1292"/>
      <c r="AF640" s="1525"/>
      <c r="AG640" s="1525"/>
      <c r="AH640" s="1525"/>
      <c r="AI640" s="1525"/>
      <c r="AJ640" s="1525"/>
      <c r="AK640" s="1525"/>
      <c r="AL640" s="1525"/>
      <c r="AM640" s="1525"/>
      <c r="AN640" s="1525"/>
      <c r="AO640" s="1525"/>
      <c r="AP640" s="1525"/>
      <c r="AQ640" s="1525"/>
      <c r="AR640" s="1525"/>
      <c r="AS640" s="1525"/>
      <c r="AU640" s="1525"/>
      <c r="AV640" s="1295"/>
      <c r="AW640" s="1525"/>
      <c r="AX640" s="1525"/>
      <c r="AY640" s="1525"/>
      <c r="AZ640" s="1525"/>
      <c r="BA640" s="1525"/>
      <c r="BB640" s="1525"/>
      <c r="BC640" s="1525"/>
      <c r="BD640" s="1525"/>
      <c r="BE640" s="1525"/>
      <c r="BF640" s="1525"/>
      <c r="BG640" s="1525"/>
      <c r="BH640" s="1525"/>
      <c r="BI640" s="1525"/>
      <c r="BJ640" s="1525"/>
      <c r="BK640" s="1525"/>
      <c r="BL640" s="1525"/>
      <c r="BM640" s="1525"/>
      <c r="BN640" s="1525"/>
      <c r="BO640" s="1525"/>
      <c r="BP640" s="1525"/>
      <c r="BQ640" s="1525"/>
      <c r="BR640" s="1525"/>
      <c r="BS640" s="1525"/>
      <c r="BT640" s="1670"/>
      <c r="BV640"/>
      <c r="BW640" s="864"/>
    </row>
    <row r="641" spans="2:75" s="164" customFormat="1" ht="12.75" customHeight="1" x14ac:dyDescent="0.15">
      <c r="B641" s="175"/>
      <c r="C641" s="423" t="s">
        <v>136</v>
      </c>
      <c r="D641" s="423"/>
      <c r="E641" s="424" t="s">
        <v>291</v>
      </c>
      <c r="F641" s="424" t="s">
        <v>893</v>
      </c>
      <c r="G641" s="867"/>
      <c r="H641" s="1349" t="s">
        <v>1508</v>
      </c>
      <c r="I641" s="426"/>
      <c r="J641" s="425"/>
      <c r="K641" s="425"/>
      <c r="L641" s="866"/>
      <c r="M641" s="866"/>
      <c r="N641" s="865"/>
      <c r="O641" s="865"/>
      <c r="P641" s="1224"/>
      <c r="Q641" s="1155"/>
      <c r="R641" s="888"/>
      <c r="S641" s="889"/>
      <c r="T641" s="889"/>
      <c r="U641" s="889"/>
      <c r="V641" s="889"/>
      <c r="W641" s="889"/>
      <c r="X641" s="1694">
        <v>43486</v>
      </c>
      <c r="Y641" s="889"/>
      <c r="Z641" s="1807"/>
      <c r="AA641" s="1749"/>
      <c r="AB641" s="1812"/>
      <c r="AC641" s="876"/>
      <c r="AD641" s="1295"/>
      <c r="AE641" s="1525"/>
      <c r="AF641" s="1525"/>
      <c r="AG641" s="1525"/>
      <c r="AH641" s="1525"/>
      <c r="AI641" s="1525"/>
      <c r="AJ641" s="1525"/>
      <c r="AK641" s="1525"/>
      <c r="AL641" s="1525"/>
      <c r="AM641" s="1525"/>
      <c r="AN641" s="1525"/>
      <c r="AO641" s="1525"/>
      <c r="AP641" s="1525"/>
      <c r="AQ641" s="1525"/>
      <c r="AR641" s="1525"/>
      <c r="AS641" s="1525"/>
      <c r="AU641" s="1525"/>
      <c r="AV641" s="1295"/>
      <c r="AW641" s="1525"/>
      <c r="AX641" s="1525"/>
      <c r="AY641" s="1525"/>
      <c r="AZ641" s="1525"/>
      <c r="BA641" s="1525"/>
      <c r="BB641" s="1525"/>
      <c r="BC641" s="1525"/>
      <c r="BD641" s="1525"/>
      <c r="BE641" s="1525"/>
      <c r="BF641" s="1525"/>
      <c r="BG641" s="1525"/>
      <c r="BH641" s="1525"/>
      <c r="BI641" s="1525"/>
      <c r="BJ641" s="1525"/>
      <c r="BK641" s="1525"/>
      <c r="BL641" s="1525"/>
      <c r="BM641" s="1525"/>
      <c r="BN641" s="1525"/>
      <c r="BO641" s="1525"/>
      <c r="BP641" s="1525"/>
      <c r="BQ641" s="1525"/>
      <c r="BR641" s="1525"/>
      <c r="BS641" s="1525"/>
      <c r="BT641" s="1670"/>
      <c r="BV641"/>
      <c r="BW641" s="867"/>
    </row>
    <row r="642" spans="2:75" s="164" customFormat="1" ht="12.75" customHeight="1" x14ac:dyDescent="0.15">
      <c r="B642" s="175"/>
      <c r="C642" s="1440" t="s">
        <v>794</v>
      </c>
      <c r="D642" s="1441"/>
      <c r="E642" s="1442" t="s">
        <v>291</v>
      </c>
      <c r="F642" s="1442" t="s">
        <v>884</v>
      </c>
      <c r="G642" s="1443"/>
      <c r="H642" s="1444" t="s">
        <v>1508</v>
      </c>
      <c r="I642" s="1445"/>
      <c r="J642" s="1446"/>
      <c r="K642" s="1446"/>
      <c r="L642" s="1447"/>
      <c r="M642" s="1447"/>
      <c r="N642" s="1448"/>
      <c r="O642" s="1448"/>
      <c r="P642" s="1449"/>
      <c r="Q642" s="1450"/>
      <c r="R642" s="1451"/>
      <c r="S642" s="1452"/>
      <c r="T642" s="1452"/>
      <c r="U642" s="1452"/>
      <c r="V642" s="1452"/>
      <c r="W642" s="1452"/>
      <c r="X642" s="1706"/>
      <c r="Y642" s="1508"/>
      <c r="Z642" s="1808"/>
      <c r="AA642" s="1749"/>
      <c r="AB642" s="1814"/>
      <c r="AC642" s="876"/>
      <c r="AD642" s="1291"/>
      <c r="AE642" s="1292"/>
      <c r="AF642" s="1292"/>
      <c r="AG642" s="1292"/>
      <c r="AH642" s="1292"/>
      <c r="AI642" s="1292"/>
      <c r="AJ642" s="1292"/>
      <c r="AK642" s="1292"/>
      <c r="AL642" s="1292"/>
      <c r="AM642" s="1292"/>
      <c r="AN642" s="1292"/>
      <c r="AO642" s="1292"/>
      <c r="AP642" s="1292"/>
      <c r="AQ642" s="1292"/>
      <c r="AR642" s="1292"/>
      <c r="AS642" s="1292"/>
      <c r="AT642" s="210"/>
      <c r="AU642" s="1292"/>
      <c r="AV642" s="1291"/>
      <c r="AW642" s="1292"/>
      <c r="AX642" s="1292"/>
      <c r="AY642" s="1292"/>
      <c r="AZ642" s="1292"/>
      <c r="BA642" s="1292"/>
      <c r="BB642" s="1292"/>
      <c r="BC642" s="1292"/>
      <c r="BD642" s="1292"/>
      <c r="BE642" s="1292"/>
      <c r="BF642" s="1292"/>
      <c r="BG642" s="1292"/>
      <c r="BH642" s="1292"/>
      <c r="BI642" s="1292"/>
      <c r="BJ642" s="1292"/>
      <c r="BK642" s="1292"/>
      <c r="BL642" s="1292"/>
      <c r="BM642" s="1292"/>
      <c r="BN642" s="1292">
        <v>0</v>
      </c>
      <c r="BO642" s="1292"/>
      <c r="BP642" s="1292"/>
      <c r="BQ642" s="1292"/>
      <c r="BR642" s="1292"/>
      <c r="BS642" s="1292"/>
      <c r="BT642" s="1670"/>
      <c r="BV642"/>
      <c r="BW642" s="1443"/>
    </row>
    <row r="643" spans="2:75" s="164" customFormat="1" ht="12.75" customHeight="1" x14ac:dyDescent="0.15">
      <c r="B643" s="175"/>
      <c r="F643" s="1"/>
      <c r="G643" s="856"/>
      <c r="H643" s="1364" t="s">
        <v>1508</v>
      </c>
      <c r="I643" s="172"/>
      <c r="J643" s="168"/>
      <c r="K643" s="168"/>
      <c r="L643" s="841"/>
      <c r="M643" s="841"/>
      <c r="N643" s="855"/>
      <c r="O643" s="1200"/>
      <c r="P643" s="550"/>
      <c r="Q643" s="1148"/>
      <c r="R643" s="874"/>
      <c r="S643" s="875"/>
      <c r="T643" s="875"/>
      <c r="U643" s="875"/>
      <c r="V643" s="875"/>
      <c r="W643" s="875"/>
      <c r="X643" s="1026"/>
      <c r="Y643" s="1757"/>
      <c r="Z643" s="1755"/>
      <c r="AA643" s="1775"/>
      <c r="AB643" s="1814"/>
      <c r="AC643" s="876"/>
      <c r="AD643" s="1295"/>
      <c r="AE643" s="1525"/>
      <c r="AF643" s="1525"/>
      <c r="AG643" s="1525"/>
      <c r="AH643" s="1525"/>
      <c r="AI643" s="1525"/>
      <c r="AJ643" s="1525"/>
      <c r="AK643" s="1525"/>
      <c r="AL643" s="1525"/>
      <c r="AM643" s="1525"/>
      <c r="AN643" s="1525"/>
      <c r="AO643" s="1525"/>
      <c r="AP643" s="1525"/>
      <c r="AQ643" s="1525"/>
      <c r="AR643" s="1525"/>
      <c r="AS643" s="1525"/>
      <c r="AU643" s="1525"/>
      <c r="AV643" s="1295"/>
      <c r="AW643" s="1525"/>
      <c r="AX643" s="1525"/>
      <c r="AY643" s="1525"/>
      <c r="AZ643" s="1525"/>
      <c r="BA643" s="1525"/>
      <c r="BB643" s="1525"/>
      <c r="BC643" s="1525"/>
      <c r="BD643" s="1525"/>
      <c r="BE643" s="1525"/>
      <c r="BF643" s="1525"/>
      <c r="BG643" s="1525"/>
      <c r="BH643" s="1525"/>
      <c r="BI643" s="1525"/>
      <c r="BJ643" s="1525"/>
      <c r="BK643" s="1525"/>
      <c r="BL643" s="1525"/>
      <c r="BM643" s="1525"/>
      <c r="BN643" s="1525"/>
      <c r="BO643" s="1525"/>
      <c r="BP643" s="1525"/>
      <c r="BQ643" s="1525"/>
      <c r="BR643" s="1525"/>
      <c r="BS643" s="1525"/>
      <c r="BT643" s="1670"/>
      <c r="BV643"/>
      <c r="BW643" s="856"/>
    </row>
    <row r="644" spans="2:75" s="164" customFormat="1" ht="12.75" customHeight="1" x14ac:dyDescent="0.15">
      <c r="B644" s="175"/>
      <c r="F644" s="2" t="s">
        <v>247</v>
      </c>
      <c r="G644" s="856"/>
      <c r="H644" s="1364" t="s">
        <v>1508</v>
      </c>
      <c r="I644" s="172"/>
      <c r="J644" s="168"/>
      <c r="K644" s="168"/>
      <c r="L644" s="841"/>
      <c r="M644" s="841"/>
      <c r="N644" s="855"/>
      <c r="O644" s="1200"/>
      <c r="P644" s="550"/>
      <c r="Q644" s="1148"/>
      <c r="R644" s="874"/>
      <c r="S644" s="875"/>
      <c r="T644" s="875"/>
      <c r="U644" s="875"/>
      <c r="V644" s="875"/>
      <c r="W644" s="875"/>
      <c r="X644" s="1026"/>
      <c r="Y644" s="1757"/>
      <c r="Z644" s="1755"/>
      <c r="AA644" s="1775"/>
      <c r="AB644" s="1814"/>
      <c r="AC644" s="876"/>
      <c r="AD644" s="1295"/>
      <c r="AE644" s="1525"/>
      <c r="AF644" s="1525"/>
      <c r="AG644" s="1525"/>
      <c r="AH644" s="1525"/>
      <c r="AI644" s="1525"/>
      <c r="AJ644" s="1525"/>
      <c r="AK644" s="1525"/>
      <c r="AL644" s="1525"/>
      <c r="AM644" s="1525"/>
      <c r="AN644" s="1525"/>
      <c r="AO644" s="1525"/>
      <c r="AP644" s="1525"/>
      <c r="AQ644" s="1525"/>
      <c r="AR644" s="1525"/>
      <c r="AS644" s="1525"/>
      <c r="AU644" s="1525"/>
      <c r="AV644" s="1295"/>
      <c r="AW644" s="1525"/>
      <c r="AX644" s="1525"/>
      <c r="AY644" s="1525"/>
      <c r="AZ644" s="1525"/>
      <c r="BA644" s="1525"/>
      <c r="BB644" s="1525"/>
      <c r="BC644" s="1525"/>
      <c r="BD644" s="1525"/>
      <c r="BE644" s="1525"/>
      <c r="BF644" s="1525"/>
      <c r="BG644" s="1525"/>
      <c r="BH644" s="1525"/>
      <c r="BI644" s="1525"/>
      <c r="BJ644" s="1525"/>
      <c r="BK644" s="1525"/>
      <c r="BL644" s="1525"/>
      <c r="BM644" s="1525"/>
      <c r="BN644" s="1525"/>
      <c r="BO644" s="1525"/>
      <c r="BP644" s="1525"/>
      <c r="BQ644" s="1525"/>
      <c r="BR644" s="1525"/>
      <c r="BS644" s="1525"/>
      <c r="BT644" s="1670"/>
      <c r="BV644"/>
      <c r="BW644" s="856"/>
    </row>
    <row r="645" spans="2:75" s="164" customFormat="1" ht="12.75" customHeight="1" x14ac:dyDescent="0.2">
      <c r="B645" s="175"/>
      <c r="F645" s="43" t="s">
        <v>562</v>
      </c>
      <c r="G645" s="856"/>
      <c r="H645" s="1364" t="s">
        <v>1508</v>
      </c>
      <c r="I645" s="172"/>
      <c r="J645" s="168"/>
      <c r="K645" s="168"/>
      <c r="L645" s="841"/>
      <c r="M645" s="841"/>
      <c r="N645" s="939"/>
      <c r="O645" s="1192"/>
      <c r="P645" s="550"/>
      <c r="Q645" s="1148"/>
      <c r="R645" s="874"/>
      <c r="S645" s="875"/>
      <c r="T645" s="875"/>
      <c r="U645" s="875"/>
      <c r="V645" s="875"/>
      <c r="W645" s="875"/>
      <c r="X645" s="1026"/>
      <c r="Y645" s="1757"/>
      <c r="Z645" s="1755"/>
      <c r="AA645" s="1775"/>
      <c r="AB645" s="1814"/>
      <c r="AC645" s="876"/>
      <c r="AD645" s="1295"/>
      <c r="AE645" s="1525"/>
      <c r="AF645" s="1525"/>
      <c r="AG645" s="1525"/>
      <c r="AH645" s="1525"/>
      <c r="AI645" s="1525"/>
      <c r="AJ645" s="1525"/>
      <c r="AK645" s="1525"/>
      <c r="AL645" s="1525"/>
      <c r="AM645" s="1525"/>
      <c r="AN645" s="1525"/>
      <c r="AO645" s="1525"/>
      <c r="AP645" s="1525"/>
      <c r="AQ645" s="1525"/>
      <c r="AR645" s="1525"/>
      <c r="AS645" s="1525"/>
      <c r="AU645" s="1525"/>
      <c r="AV645" s="1295"/>
      <c r="AW645" s="1525"/>
      <c r="AX645" s="1525"/>
      <c r="AY645" s="1525"/>
      <c r="AZ645" s="1525"/>
      <c r="BA645" s="1525"/>
      <c r="BB645" s="1525"/>
      <c r="BC645" s="1525"/>
      <c r="BD645" s="1525"/>
      <c r="BE645" s="1525"/>
      <c r="BF645" s="1525"/>
      <c r="BG645" s="1525"/>
      <c r="BH645" s="1525"/>
      <c r="BI645" s="1525"/>
      <c r="BJ645" s="1525"/>
      <c r="BK645" s="1525"/>
      <c r="BL645" s="1525"/>
      <c r="BM645" s="1525"/>
      <c r="BN645" s="1525"/>
      <c r="BO645" s="1525"/>
      <c r="BP645" s="1525"/>
      <c r="BQ645" s="1525"/>
      <c r="BR645" s="1525"/>
      <c r="BS645" s="1525"/>
      <c r="BT645" s="1670"/>
      <c r="BV645"/>
      <c r="BW645" s="856"/>
    </row>
    <row r="646" spans="2:75" ht="12.75" customHeight="1" x14ac:dyDescent="0.2">
      <c r="B646" s="175">
        <f t="shared" ref="B646:B654" si="393">B645+1</f>
        <v>1</v>
      </c>
      <c r="C646" s="219">
        <v>11</v>
      </c>
      <c r="E646" s="12" t="s">
        <v>293</v>
      </c>
      <c r="F646" s="1" t="s">
        <v>248</v>
      </c>
      <c r="G646" s="856" t="s">
        <v>883</v>
      </c>
      <c r="H646" s="858">
        <v>230577</v>
      </c>
      <c r="I646" s="172" t="s">
        <v>161</v>
      </c>
      <c r="J646" s="168"/>
      <c r="K646" s="168"/>
      <c r="L646" s="841">
        <v>1</v>
      </c>
      <c r="M646" s="858">
        <f t="shared" ref="M646:M654" si="394">K646+L646</f>
        <v>1</v>
      </c>
      <c r="N646" s="855" t="s">
        <v>1326</v>
      </c>
      <c r="O646" s="1196">
        <v>22206</v>
      </c>
      <c r="P646" s="1218">
        <f t="shared" ref="P646:P654" ca="1" si="395">YEARFRAC(TODAY(),O646)</f>
        <v>56.958333333333336</v>
      </c>
      <c r="Q646" s="1148">
        <v>40500</v>
      </c>
      <c r="R646" s="874">
        <f>Q646*0.1</f>
        <v>4050</v>
      </c>
      <c r="S646" s="875"/>
      <c r="T646" s="875"/>
      <c r="U646" s="875"/>
      <c r="V646" s="875"/>
      <c r="W646" s="875"/>
      <c r="X646" s="1026">
        <f t="shared" ref="X646:X654" si="396">(Q646+R646+S646+T646+U646+V646+W646)*M646</f>
        <v>44550</v>
      </c>
      <c r="Y646" s="1512">
        <f t="shared" ref="Y646:Y654" si="397">(T646+U646)*M646/(X646-M646*(T646+U646))</f>
        <v>0</v>
      </c>
      <c r="Z646" s="1741">
        <f t="shared" ref="Z646:Z654" si="398">M646*(1+Y646)</f>
        <v>1</v>
      </c>
      <c r="AA646" s="1749">
        <f t="shared" ref="AA646:AA654" si="399">SUM(AD646:AS646)</f>
        <v>0</v>
      </c>
      <c r="AB646" s="1810">
        <f t="shared" ref="AB646:AB654" si="400">100*AA646/Z646</f>
        <v>0</v>
      </c>
      <c r="AC646" s="876"/>
      <c r="AD646" s="1525">
        <f t="shared" ref="AD646:AS654" si="401">SUMIF($AV$6:$BS$6,AD$5,$AV646:$BS646)</f>
        <v>0</v>
      </c>
      <c r="AE646" s="1525">
        <f t="shared" si="401"/>
        <v>0</v>
      </c>
      <c r="AF646" s="1525">
        <f t="shared" si="401"/>
        <v>0</v>
      </c>
      <c r="AG646" s="1525">
        <f t="shared" si="401"/>
        <v>0</v>
      </c>
      <c r="AH646" s="1525">
        <f t="shared" si="401"/>
        <v>0</v>
      </c>
      <c r="AI646" s="1525">
        <f t="shared" si="401"/>
        <v>0</v>
      </c>
      <c r="AJ646" s="1525">
        <f t="shared" si="401"/>
        <v>0</v>
      </c>
      <c r="AK646" s="1525">
        <f t="shared" si="401"/>
        <v>0</v>
      </c>
      <c r="AL646" s="1525">
        <f t="shared" si="401"/>
        <v>0</v>
      </c>
      <c r="AM646" s="1525">
        <f t="shared" si="401"/>
        <v>0</v>
      </c>
      <c r="AN646" s="1525">
        <f t="shared" si="401"/>
        <v>0</v>
      </c>
      <c r="AO646" s="1525">
        <f t="shared" si="401"/>
        <v>0</v>
      </c>
      <c r="AP646" s="1525">
        <f t="shared" si="401"/>
        <v>0</v>
      </c>
      <c r="AQ646" s="1525">
        <f t="shared" si="401"/>
        <v>0</v>
      </c>
      <c r="AR646" s="1525">
        <f t="shared" si="401"/>
        <v>0</v>
      </c>
      <c r="AS646" s="1525">
        <f t="shared" si="401"/>
        <v>0</v>
      </c>
      <c r="AU646" s="1525"/>
      <c r="AV646" s="1291"/>
      <c r="AW646" s="1292"/>
      <c r="AX646" s="1292"/>
      <c r="AY646" s="1292"/>
      <c r="AZ646" s="1292"/>
      <c r="BA646" s="1292"/>
      <c r="BB646" s="1292"/>
      <c r="BC646" s="1292"/>
      <c r="BD646" s="1292"/>
      <c r="BE646" s="1292"/>
      <c r="BF646" s="1292"/>
      <c r="BG646" s="1292"/>
      <c r="BH646" s="1292"/>
      <c r="BI646" s="1292"/>
      <c r="BJ646" s="1292"/>
      <c r="BK646" s="1292"/>
      <c r="BL646" s="1292"/>
      <c r="BM646" s="1292"/>
      <c r="BN646" s="1292"/>
      <c r="BO646" s="1292"/>
      <c r="BP646" s="1292"/>
      <c r="BQ646" s="1292"/>
      <c r="BR646" s="1292"/>
      <c r="BS646" s="1292"/>
      <c r="BT646" s="1670">
        <f t="shared" ref="BT646:BT654" si="402">SUM(AV646:BS646)</f>
        <v>0</v>
      </c>
      <c r="BW646" s="856" t="s">
        <v>883</v>
      </c>
    </row>
    <row r="647" spans="2:75" ht="12.75" customHeight="1" x14ac:dyDescent="0.2">
      <c r="B647" s="175">
        <f t="shared" si="393"/>
        <v>2</v>
      </c>
      <c r="C647" s="219">
        <v>12</v>
      </c>
      <c r="E647" s="12" t="s">
        <v>293</v>
      </c>
      <c r="F647" s="24" t="s">
        <v>1235</v>
      </c>
      <c r="G647" s="859" t="s">
        <v>1838</v>
      </c>
      <c r="H647" s="858">
        <v>6278</v>
      </c>
      <c r="I647" s="200" t="s">
        <v>1584</v>
      </c>
      <c r="J647" s="189"/>
      <c r="K647" s="189"/>
      <c r="L647" s="858">
        <v>0.5</v>
      </c>
      <c r="M647" s="858">
        <f t="shared" si="394"/>
        <v>0.5</v>
      </c>
      <c r="N647" s="857" t="s">
        <v>892</v>
      </c>
      <c r="O647" s="1196">
        <v>12021</v>
      </c>
      <c r="P647" s="1218">
        <f t="shared" ca="1" si="395"/>
        <v>84.844444444444449</v>
      </c>
      <c r="Q647" s="1148">
        <v>30300</v>
      </c>
      <c r="R647" s="874"/>
      <c r="S647" s="875"/>
      <c r="T647" s="875"/>
      <c r="U647" s="875"/>
      <c r="V647" s="875"/>
      <c r="W647" s="875"/>
      <c r="X647" s="1026">
        <f t="shared" si="396"/>
        <v>15150</v>
      </c>
      <c r="Y647" s="1512">
        <f t="shared" si="397"/>
        <v>0</v>
      </c>
      <c r="Z647" s="1741">
        <f t="shared" si="398"/>
        <v>0.5</v>
      </c>
      <c r="AA647" s="1749">
        <f t="shared" si="399"/>
        <v>0</v>
      </c>
      <c r="AB647" s="1810">
        <f t="shared" si="400"/>
        <v>0</v>
      </c>
      <c r="AC647" s="876"/>
      <c r="AD647" s="1525">
        <f t="shared" si="401"/>
        <v>0</v>
      </c>
      <c r="AE647" s="1525">
        <f t="shared" si="401"/>
        <v>0</v>
      </c>
      <c r="AF647" s="1525">
        <f t="shared" si="401"/>
        <v>0</v>
      </c>
      <c r="AG647" s="1525">
        <f t="shared" si="401"/>
        <v>0</v>
      </c>
      <c r="AH647" s="1525">
        <f t="shared" si="401"/>
        <v>0</v>
      </c>
      <c r="AI647" s="1525">
        <f t="shared" si="401"/>
        <v>0</v>
      </c>
      <c r="AJ647" s="1525">
        <f t="shared" si="401"/>
        <v>0</v>
      </c>
      <c r="AK647" s="1525">
        <f t="shared" si="401"/>
        <v>0</v>
      </c>
      <c r="AL647" s="1525">
        <f t="shared" si="401"/>
        <v>0</v>
      </c>
      <c r="AM647" s="1525">
        <f t="shared" si="401"/>
        <v>0</v>
      </c>
      <c r="AN647" s="1525">
        <f t="shared" si="401"/>
        <v>0</v>
      </c>
      <c r="AO647" s="1525">
        <f t="shared" si="401"/>
        <v>0</v>
      </c>
      <c r="AP647" s="1525">
        <f t="shared" si="401"/>
        <v>0</v>
      </c>
      <c r="AQ647" s="1525">
        <f t="shared" si="401"/>
        <v>0</v>
      </c>
      <c r="AR647" s="1525">
        <f t="shared" si="401"/>
        <v>0</v>
      </c>
      <c r="AS647" s="1525">
        <f t="shared" si="401"/>
        <v>0</v>
      </c>
      <c r="AU647" s="1525"/>
      <c r="AV647" s="1291"/>
      <c r="AW647" s="1292"/>
      <c r="AX647" s="1292"/>
      <c r="AY647" s="1292"/>
      <c r="AZ647" s="1292"/>
      <c r="BA647" s="1292"/>
      <c r="BB647" s="1292"/>
      <c r="BC647" s="1292"/>
      <c r="BD647" s="1292"/>
      <c r="BE647" s="1292"/>
      <c r="BF647" s="1292"/>
      <c r="BG647" s="1292"/>
      <c r="BH647" s="1292"/>
      <c r="BI647" s="1292"/>
      <c r="BJ647" s="1292"/>
      <c r="BK647" s="1292"/>
      <c r="BL647" s="1292"/>
      <c r="BM647" s="1292"/>
      <c r="BN647" s="1292"/>
      <c r="BO647" s="1292"/>
      <c r="BP647" s="1292"/>
      <c r="BQ647" s="1292"/>
      <c r="BR647" s="1292"/>
      <c r="BS647" s="1292"/>
      <c r="BT647" s="1670">
        <f t="shared" si="402"/>
        <v>0</v>
      </c>
      <c r="BW647" s="859" t="s">
        <v>1838</v>
      </c>
    </row>
    <row r="648" spans="2:75" ht="12.75" customHeight="1" x14ac:dyDescent="0.2">
      <c r="B648" s="175">
        <f t="shared" si="393"/>
        <v>3</v>
      </c>
      <c r="C648" s="219">
        <v>12</v>
      </c>
      <c r="E648" s="12" t="s">
        <v>293</v>
      </c>
      <c r="F648" s="4" t="s">
        <v>1235</v>
      </c>
      <c r="G648" s="859" t="s">
        <v>652</v>
      </c>
      <c r="H648" s="858">
        <v>7588</v>
      </c>
      <c r="I648" s="197" t="s">
        <v>1584</v>
      </c>
      <c r="J648" s="174"/>
      <c r="K648" s="174"/>
      <c r="L648" s="858">
        <v>0.5</v>
      </c>
      <c r="M648" s="858">
        <f t="shared" si="394"/>
        <v>0.5</v>
      </c>
      <c r="N648" s="857" t="s">
        <v>892</v>
      </c>
      <c r="O648" s="1196">
        <v>10396</v>
      </c>
      <c r="P648" s="1218">
        <f t="shared" ca="1" si="395"/>
        <v>89.291666666666671</v>
      </c>
      <c r="Q648" s="1148">
        <v>32400</v>
      </c>
      <c r="R648" s="874"/>
      <c r="S648" s="875"/>
      <c r="T648" s="875"/>
      <c r="U648" s="875"/>
      <c r="V648" s="875"/>
      <c r="W648" s="875"/>
      <c r="X648" s="1026">
        <f t="shared" si="396"/>
        <v>16200</v>
      </c>
      <c r="Y648" s="1512">
        <f t="shared" si="397"/>
        <v>0</v>
      </c>
      <c r="Z648" s="1741">
        <f t="shared" si="398"/>
        <v>0.5</v>
      </c>
      <c r="AA648" s="1749">
        <f t="shared" si="399"/>
        <v>0</v>
      </c>
      <c r="AB648" s="1810">
        <f t="shared" si="400"/>
        <v>0</v>
      </c>
      <c r="AC648" s="876"/>
      <c r="AD648" s="1525">
        <f t="shared" si="401"/>
        <v>0</v>
      </c>
      <c r="AE648" s="1525">
        <f t="shared" si="401"/>
        <v>0</v>
      </c>
      <c r="AF648" s="1525">
        <f t="shared" si="401"/>
        <v>0</v>
      </c>
      <c r="AG648" s="1525">
        <f t="shared" si="401"/>
        <v>0</v>
      </c>
      <c r="AH648" s="1525">
        <f t="shared" si="401"/>
        <v>0</v>
      </c>
      <c r="AI648" s="1525">
        <f t="shared" si="401"/>
        <v>0</v>
      </c>
      <c r="AJ648" s="1525">
        <f t="shared" si="401"/>
        <v>0</v>
      </c>
      <c r="AK648" s="1525">
        <f t="shared" si="401"/>
        <v>0</v>
      </c>
      <c r="AL648" s="1525">
        <f t="shared" si="401"/>
        <v>0</v>
      </c>
      <c r="AM648" s="1525">
        <f t="shared" si="401"/>
        <v>0</v>
      </c>
      <c r="AN648" s="1525">
        <f t="shared" si="401"/>
        <v>0</v>
      </c>
      <c r="AO648" s="1525">
        <f t="shared" si="401"/>
        <v>0</v>
      </c>
      <c r="AP648" s="1525">
        <f t="shared" si="401"/>
        <v>0</v>
      </c>
      <c r="AQ648" s="1525">
        <f t="shared" si="401"/>
        <v>0</v>
      </c>
      <c r="AR648" s="1525">
        <f t="shared" si="401"/>
        <v>0</v>
      </c>
      <c r="AS648" s="1525">
        <f t="shared" si="401"/>
        <v>0</v>
      </c>
      <c r="AU648" s="1525"/>
      <c r="AV648" s="1291"/>
      <c r="AW648" s="1292"/>
      <c r="AX648" s="1292"/>
      <c r="AY648" s="1292"/>
      <c r="AZ648" s="1292"/>
      <c r="BA648" s="1292"/>
      <c r="BB648" s="1292"/>
      <c r="BC648" s="1292"/>
      <c r="BD648" s="1292"/>
      <c r="BE648" s="1292"/>
      <c r="BF648" s="1292"/>
      <c r="BG648" s="1292"/>
      <c r="BH648" s="1292"/>
      <c r="BI648" s="1292"/>
      <c r="BJ648" s="1292"/>
      <c r="BK648" s="1292"/>
      <c r="BL648" s="1292"/>
      <c r="BM648" s="1292"/>
      <c r="BN648" s="1292"/>
      <c r="BO648" s="1292"/>
      <c r="BP648" s="1292"/>
      <c r="BQ648" s="1292"/>
      <c r="BR648" s="1292"/>
      <c r="BS648" s="1292"/>
      <c r="BT648" s="1670">
        <f t="shared" si="402"/>
        <v>0</v>
      </c>
      <c r="BW648" s="859" t="s">
        <v>652</v>
      </c>
    </row>
    <row r="649" spans="2:75" ht="12.75" customHeight="1" x14ac:dyDescent="0.2">
      <c r="B649" s="175">
        <f t="shared" si="393"/>
        <v>4</v>
      </c>
      <c r="C649" s="219">
        <v>12</v>
      </c>
      <c r="E649" s="12" t="s">
        <v>293</v>
      </c>
      <c r="F649" s="4" t="s">
        <v>1235</v>
      </c>
      <c r="G649" s="859" t="s">
        <v>653</v>
      </c>
      <c r="H649" s="858">
        <v>6661</v>
      </c>
      <c r="I649" s="197" t="s">
        <v>1584</v>
      </c>
      <c r="J649" s="174"/>
      <c r="K649" s="174"/>
      <c r="L649" s="858">
        <v>0.5</v>
      </c>
      <c r="M649" s="858">
        <f t="shared" si="394"/>
        <v>0.5</v>
      </c>
      <c r="N649" s="857" t="s">
        <v>892</v>
      </c>
      <c r="O649" s="1196">
        <v>11942</v>
      </c>
      <c r="P649" s="1218">
        <f t="shared" ca="1" si="395"/>
        <v>85.061111111111117</v>
      </c>
      <c r="Q649" s="1148">
        <v>27600</v>
      </c>
      <c r="R649" s="874"/>
      <c r="S649" s="875"/>
      <c r="T649" s="875">
        <v>12000</v>
      </c>
      <c r="U649" s="875"/>
      <c r="V649" s="875"/>
      <c r="W649" s="875"/>
      <c r="X649" s="1026">
        <f t="shared" si="396"/>
        <v>19800</v>
      </c>
      <c r="Y649" s="1512">
        <f t="shared" si="397"/>
        <v>0.43478260869565216</v>
      </c>
      <c r="Z649" s="1741">
        <f t="shared" si="398"/>
        <v>0.71739130434782605</v>
      </c>
      <c r="AA649" s="1749">
        <f t="shared" si="399"/>
        <v>0</v>
      </c>
      <c r="AB649" s="1810">
        <f t="shared" si="400"/>
        <v>0</v>
      </c>
      <c r="AC649" s="876"/>
      <c r="AD649" s="1525">
        <f t="shared" si="401"/>
        <v>0</v>
      </c>
      <c r="AE649" s="1525">
        <f t="shared" si="401"/>
        <v>0</v>
      </c>
      <c r="AF649" s="1525">
        <f t="shared" si="401"/>
        <v>0</v>
      </c>
      <c r="AG649" s="1525">
        <f t="shared" si="401"/>
        <v>0</v>
      </c>
      <c r="AH649" s="1525">
        <f t="shared" si="401"/>
        <v>0</v>
      </c>
      <c r="AI649" s="1525">
        <f t="shared" si="401"/>
        <v>0</v>
      </c>
      <c r="AJ649" s="1525">
        <f t="shared" si="401"/>
        <v>0</v>
      </c>
      <c r="AK649" s="1525">
        <f t="shared" si="401"/>
        <v>0</v>
      </c>
      <c r="AL649" s="1525">
        <f t="shared" si="401"/>
        <v>0</v>
      </c>
      <c r="AM649" s="1525">
        <f t="shared" si="401"/>
        <v>0</v>
      </c>
      <c r="AN649" s="1525">
        <f t="shared" si="401"/>
        <v>0</v>
      </c>
      <c r="AO649" s="1525">
        <f t="shared" si="401"/>
        <v>0</v>
      </c>
      <c r="AP649" s="1525">
        <f t="shared" si="401"/>
        <v>0</v>
      </c>
      <c r="AQ649" s="1525">
        <f t="shared" si="401"/>
        <v>0</v>
      </c>
      <c r="AR649" s="1525">
        <f t="shared" si="401"/>
        <v>0</v>
      </c>
      <c r="AS649" s="1525">
        <f t="shared" si="401"/>
        <v>0</v>
      </c>
      <c r="AU649" s="1525"/>
      <c r="AV649" s="1291"/>
      <c r="AW649" s="1292"/>
      <c r="AX649" s="1292"/>
      <c r="AY649" s="1292"/>
      <c r="AZ649" s="1292"/>
      <c r="BA649" s="1292"/>
      <c r="BB649" s="1292"/>
      <c r="BC649" s="1292"/>
      <c r="BD649" s="1292"/>
      <c r="BE649" s="1292"/>
      <c r="BF649" s="1292"/>
      <c r="BG649" s="1292"/>
      <c r="BH649" s="1292"/>
      <c r="BI649" s="1292"/>
      <c r="BJ649" s="1292"/>
      <c r="BK649" s="1292"/>
      <c r="BL649" s="1292"/>
      <c r="BM649" s="1292"/>
      <c r="BN649" s="1292"/>
      <c r="BO649" s="1292"/>
      <c r="BP649" s="1292"/>
      <c r="BQ649" s="1292"/>
      <c r="BR649" s="1292"/>
      <c r="BS649" s="1292"/>
      <c r="BT649" s="1670">
        <f t="shared" si="402"/>
        <v>0</v>
      </c>
      <c r="BW649" s="859" t="s">
        <v>653</v>
      </c>
    </row>
    <row r="650" spans="2:75" ht="12.75" customHeight="1" x14ac:dyDescent="0.2">
      <c r="B650" s="175">
        <f t="shared" si="393"/>
        <v>5</v>
      </c>
      <c r="C650" s="219">
        <v>12</v>
      </c>
      <c r="E650" s="12" t="s">
        <v>293</v>
      </c>
      <c r="F650" s="4" t="s">
        <v>1235</v>
      </c>
      <c r="G650" s="859" t="s">
        <v>513</v>
      </c>
      <c r="H650" s="858">
        <v>131759</v>
      </c>
      <c r="I650" s="197" t="s">
        <v>1584</v>
      </c>
      <c r="J650" s="174"/>
      <c r="K650" s="174"/>
      <c r="L650" s="858">
        <v>1</v>
      </c>
      <c r="M650" s="858">
        <f t="shared" si="394"/>
        <v>1</v>
      </c>
      <c r="N650" s="857" t="s">
        <v>1326</v>
      </c>
      <c r="O650" s="1196">
        <v>20874</v>
      </c>
      <c r="P650" s="1218">
        <f t="shared" ca="1" si="395"/>
        <v>60.608333333333334</v>
      </c>
      <c r="Q650" s="1148">
        <v>34000</v>
      </c>
      <c r="R650" s="874">
        <f>Q650*0.1</f>
        <v>3400</v>
      </c>
      <c r="S650" s="875"/>
      <c r="T650" s="875">
        <v>4000</v>
      </c>
      <c r="U650" s="875"/>
      <c r="V650" s="875"/>
      <c r="W650" s="875"/>
      <c r="X650" s="1026">
        <f t="shared" si="396"/>
        <v>41400</v>
      </c>
      <c r="Y650" s="1512">
        <f t="shared" si="397"/>
        <v>0.10695187165775401</v>
      </c>
      <c r="Z650" s="1741">
        <f t="shared" si="398"/>
        <v>1.106951871657754</v>
      </c>
      <c r="AA650" s="1749">
        <f t="shared" si="399"/>
        <v>0</v>
      </c>
      <c r="AB650" s="1810">
        <f t="shared" si="400"/>
        <v>0</v>
      </c>
      <c r="AC650" s="876"/>
      <c r="AD650" s="1525">
        <f t="shared" si="401"/>
        <v>0</v>
      </c>
      <c r="AE650" s="1525">
        <f t="shared" si="401"/>
        <v>0</v>
      </c>
      <c r="AF650" s="1525">
        <f t="shared" si="401"/>
        <v>0</v>
      </c>
      <c r="AG650" s="1525">
        <f t="shared" si="401"/>
        <v>0</v>
      </c>
      <c r="AH650" s="1525">
        <f t="shared" si="401"/>
        <v>0</v>
      </c>
      <c r="AI650" s="1525">
        <f t="shared" si="401"/>
        <v>0</v>
      </c>
      <c r="AJ650" s="1525">
        <f t="shared" si="401"/>
        <v>0</v>
      </c>
      <c r="AK650" s="1525">
        <f t="shared" si="401"/>
        <v>0</v>
      </c>
      <c r="AL650" s="1525">
        <f t="shared" si="401"/>
        <v>0</v>
      </c>
      <c r="AM650" s="1525">
        <f t="shared" si="401"/>
        <v>0</v>
      </c>
      <c r="AN650" s="1525">
        <f t="shared" si="401"/>
        <v>0</v>
      </c>
      <c r="AO650" s="1525">
        <f t="shared" si="401"/>
        <v>0</v>
      </c>
      <c r="AP650" s="1525">
        <f t="shared" si="401"/>
        <v>0</v>
      </c>
      <c r="AQ650" s="1525">
        <f t="shared" si="401"/>
        <v>0</v>
      </c>
      <c r="AR650" s="1525">
        <f t="shared" si="401"/>
        <v>0</v>
      </c>
      <c r="AS650" s="1525">
        <f t="shared" si="401"/>
        <v>0</v>
      </c>
      <c r="AU650" s="1525"/>
      <c r="AV650" s="1291"/>
      <c r="AW650" s="1292"/>
      <c r="AX650" s="1292"/>
      <c r="AY650" s="1292"/>
      <c r="AZ650" s="1292"/>
      <c r="BA650" s="1292"/>
      <c r="BB650" s="1292"/>
      <c r="BC650" s="1292"/>
      <c r="BD650" s="1292"/>
      <c r="BE650" s="1292"/>
      <c r="BF650" s="1292"/>
      <c r="BG650" s="1292"/>
      <c r="BH650" s="1292"/>
      <c r="BI650" s="1292"/>
      <c r="BJ650" s="1292"/>
      <c r="BK650" s="1292"/>
      <c r="BL650" s="1292"/>
      <c r="BM650" s="1292"/>
      <c r="BN650" s="1292"/>
      <c r="BO650" s="1292"/>
      <c r="BP650" s="1292"/>
      <c r="BQ650" s="1292"/>
      <c r="BR650" s="1292"/>
      <c r="BS650" s="1292"/>
      <c r="BT650" s="1670">
        <f t="shared" si="402"/>
        <v>0</v>
      </c>
      <c r="BW650" s="859" t="s">
        <v>513</v>
      </c>
    </row>
    <row r="651" spans="2:75" ht="12.75" customHeight="1" x14ac:dyDescent="0.2">
      <c r="B651" s="175">
        <f t="shared" si="393"/>
        <v>6</v>
      </c>
      <c r="C651" s="219">
        <v>18</v>
      </c>
      <c r="E651" s="12" t="s">
        <v>293</v>
      </c>
      <c r="F651" s="4" t="s">
        <v>1978</v>
      </c>
      <c r="G651" s="859" t="s">
        <v>1709</v>
      </c>
      <c r="H651" s="858">
        <v>150004</v>
      </c>
      <c r="I651" s="200" t="s">
        <v>998</v>
      </c>
      <c r="J651" s="174"/>
      <c r="K651" s="174"/>
      <c r="L651" s="858">
        <v>1</v>
      </c>
      <c r="M651" s="858">
        <f t="shared" si="394"/>
        <v>1</v>
      </c>
      <c r="N651" s="857" t="s">
        <v>416</v>
      </c>
      <c r="O651" s="1196">
        <v>22215</v>
      </c>
      <c r="P651" s="1218">
        <f t="shared" ca="1" si="395"/>
        <v>56.93333333333333</v>
      </c>
      <c r="Q651" s="1148">
        <v>22000</v>
      </c>
      <c r="R651" s="1035">
        <f>Q651*0.15</f>
        <v>3300</v>
      </c>
      <c r="S651" s="875"/>
      <c r="T651" s="875"/>
      <c r="U651" s="875"/>
      <c r="V651" s="875">
        <f>ROUNDUP((Q651+R651)*0.1,0)</f>
        <v>2530</v>
      </c>
      <c r="W651" s="875"/>
      <c r="X651" s="1026">
        <f t="shared" si="396"/>
        <v>27830</v>
      </c>
      <c r="Y651" s="1512">
        <f t="shared" si="397"/>
        <v>0</v>
      </c>
      <c r="Z651" s="1741">
        <f t="shared" si="398"/>
        <v>1</v>
      </c>
      <c r="AA651" s="1749">
        <f t="shared" si="399"/>
        <v>0</v>
      </c>
      <c r="AB651" s="1810">
        <f t="shared" si="400"/>
        <v>0</v>
      </c>
      <c r="AC651" s="876"/>
      <c r="AD651" s="1525">
        <f t="shared" si="401"/>
        <v>0</v>
      </c>
      <c r="AE651" s="1525">
        <f t="shared" si="401"/>
        <v>0</v>
      </c>
      <c r="AF651" s="1525">
        <f t="shared" si="401"/>
        <v>0</v>
      </c>
      <c r="AG651" s="1525">
        <f t="shared" si="401"/>
        <v>0</v>
      </c>
      <c r="AH651" s="1525">
        <f t="shared" si="401"/>
        <v>0</v>
      </c>
      <c r="AI651" s="1525">
        <f t="shared" si="401"/>
        <v>0</v>
      </c>
      <c r="AJ651" s="1525">
        <f t="shared" si="401"/>
        <v>0</v>
      </c>
      <c r="AK651" s="1525">
        <f t="shared" si="401"/>
        <v>0</v>
      </c>
      <c r="AL651" s="1525">
        <f t="shared" si="401"/>
        <v>0</v>
      </c>
      <c r="AM651" s="1525">
        <f t="shared" si="401"/>
        <v>0</v>
      </c>
      <c r="AN651" s="1525">
        <f t="shared" si="401"/>
        <v>0</v>
      </c>
      <c r="AO651" s="1525">
        <f t="shared" si="401"/>
        <v>0</v>
      </c>
      <c r="AP651" s="1525">
        <f t="shared" si="401"/>
        <v>0</v>
      </c>
      <c r="AQ651" s="1525">
        <f t="shared" si="401"/>
        <v>0</v>
      </c>
      <c r="AR651" s="1525">
        <f t="shared" si="401"/>
        <v>0</v>
      </c>
      <c r="AS651" s="1525">
        <f t="shared" si="401"/>
        <v>0</v>
      </c>
      <c r="AU651" s="1525"/>
      <c r="AV651" s="1291"/>
      <c r="AW651" s="1292"/>
      <c r="AX651" s="1292"/>
      <c r="AY651" s="1292"/>
      <c r="AZ651" s="1292"/>
      <c r="BA651" s="1292"/>
      <c r="BB651" s="1292"/>
      <c r="BC651" s="1292"/>
      <c r="BD651" s="1292"/>
      <c r="BE651" s="1292"/>
      <c r="BF651" s="1292"/>
      <c r="BG651" s="1292"/>
      <c r="BH651" s="1292"/>
      <c r="BI651" s="1292"/>
      <c r="BJ651" s="1292"/>
      <c r="BK651" s="1292"/>
      <c r="BL651" s="1292"/>
      <c r="BM651" s="1292"/>
      <c r="BN651" s="1292"/>
      <c r="BO651" s="1292"/>
      <c r="BP651" s="1292"/>
      <c r="BQ651" s="1292"/>
      <c r="BR651" s="1292"/>
      <c r="BS651" s="1292"/>
      <c r="BT651" s="1670">
        <f t="shared" si="402"/>
        <v>0</v>
      </c>
      <c r="BW651" s="859" t="s">
        <v>1709</v>
      </c>
    </row>
    <row r="652" spans="2:75" ht="12.75" customHeight="1" x14ac:dyDescent="0.2">
      <c r="B652" s="175">
        <f t="shared" si="393"/>
        <v>7</v>
      </c>
      <c r="C652" s="219">
        <v>18</v>
      </c>
      <c r="E652" s="12" t="s">
        <v>293</v>
      </c>
      <c r="F652" s="4" t="s">
        <v>1978</v>
      </c>
      <c r="G652" s="859" t="s">
        <v>1837</v>
      </c>
      <c r="H652" s="1413">
        <v>131020</v>
      </c>
      <c r="I652" s="200" t="s">
        <v>998</v>
      </c>
      <c r="J652" s="189"/>
      <c r="K652" s="189"/>
      <c r="L652" s="861">
        <v>1</v>
      </c>
      <c r="M652" s="858">
        <f t="shared" si="394"/>
        <v>1</v>
      </c>
      <c r="N652" s="857" t="s">
        <v>416</v>
      </c>
      <c r="O652" s="1196">
        <v>27454</v>
      </c>
      <c r="P652" s="1218">
        <f t="shared" ca="1" si="395"/>
        <v>42.586111111111109</v>
      </c>
      <c r="Q652" s="1148">
        <v>22000</v>
      </c>
      <c r="R652" s="1035">
        <f>Q652*0.15</f>
        <v>3300</v>
      </c>
      <c r="S652" s="875"/>
      <c r="T652" s="875"/>
      <c r="U652" s="875"/>
      <c r="V652" s="875">
        <f>ROUNDUP((Q652+R652)*0.1,0)</f>
        <v>2530</v>
      </c>
      <c r="W652" s="875"/>
      <c r="X652" s="1026">
        <f t="shared" si="396"/>
        <v>27830</v>
      </c>
      <c r="Y652" s="1512">
        <f t="shared" si="397"/>
        <v>0</v>
      </c>
      <c r="Z652" s="1741">
        <f t="shared" si="398"/>
        <v>1</v>
      </c>
      <c r="AA652" s="1749">
        <f t="shared" si="399"/>
        <v>0</v>
      </c>
      <c r="AB652" s="1810">
        <f t="shared" si="400"/>
        <v>0</v>
      </c>
      <c r="AC652" s="876"/>
      <c r="AD652" s="1525">
        <f t="shared" si="401"/>
        <v>0</v>
      </c>
      <c r="AE652" s="1525">
        <f t="shared" si="401"/>
        <v>0</v>
      </c>
      <c r="AF652" s="1525">
        <f t="shared" si="401"/>
        <v>0</v>
      </c>
      <c r="AG652" s="1525">
        <f t="shared" si="401"/>
        <v>0</v>
      </c>
      <c r="AH652" s="1525">
        <f t="shared" si="401"/>
        <v>0</v>
      </c>
      <c r="AI652" s="1525">
        <f t="shared" si="401"/>
        <v>0</v>
      </c>
      <c r="AJ652" s="1525">
        <f t="shared" si="401"/>
        <v>0</v>
      </c>
      <c r="AK652" s="1525">
        <f t="shared" si="401"/>
        <v>0</v>
      </c>
      <c r="AL652" s="1525">
        <f t="shared" si="401"/>
        <v>0</v>
      </c>
      <c r="AM652" s="1525">
        <f t="shared" si="401"/>
        <v>0</v>
      </c>
      <c r="AN652" s="1525">
        <f t="shared" si="401"/>
        <v>0</v>
      </c>
      <c r="AO652" s="1525">
        <f t="shared" si="401"/>
        <v>0</v>
      </c>
      <c r="AP652" s="1525">
        <f t="shared" si="401"/>
        <v>0</v>
      </c>
      <c r="AQ652" s="1525">
        <f t="shared" si="401"/>
        <v>0</v>
      </c>
      <c r="AR652" s="1525">
        <f t="shared" si="401"/>
        <v>0</v>
      </c>
      <c r="AS652" s="1525">
        <f t="shared" si="401"/>
        <v>0</v>
      </c>
      <c r="AU652" s="1525"/>
      <c r="AV652" s="1291"/>
      <c r="AW652" s="1292"/>
      <c r="AX652" s="1292"/>
      <c r="AY652" s="1292"/>
      <c r="AZ652" s="1292"/>
      <c r="BA652" s="1292"/>
      <c r="BB652" s="1292"/>
      <c r="BC652" s="1292"/>
      <c r="BD652" s="1292"/>
      <c r="BE652" s="1292"/>
      <c r="BF652" s="1292"/>
      <c r="BG652" s="1292"/>
      <c r="BH652" s="1292"/>
      <c r="BI652" s="1292"/>
      <c r="BJ652" s="1292"/>
      <c r="BK652" s="1292"/>
      <c r="BL652" s="1292"/>
      <c r="BM652" s="1292"/>
      <c r="BN652" s="1292"/>
      <c r="BO652" s="1292"/>
      <c r="BP652" s="1292"/>
      <c r="BQ652" s="1292"/>
      <c r="BR652" s="1292"/>
      <c r="BS652" s="1292"/>
      <c r="BT652" s="1670">
        <f t="shared" si="402"/>
        <v>0</v>
      </c>
      <c r="BW652" s="859" t="s">
        <v>1837</v>
      </c>
    </row>
    <row r="653" spans="2:75" ht="12.75" customHeight="1" x14ac:dyDescent="0.2">
      <c r="B653" s="175">
        <f t="shared" si="393"/>
        <v>8</v>
      </c>
      <c r="C653" s="219">
        <v>18</v>
      </c>
      <c r="E653" s="12" t="s">
        <v>293</v>
      </c>
      <c r="F653" s="4" t="s">
        <v>177</v>
      </c>
      <c r="G653" s="859" t="s">
        <v>1046</v>
      </c>
      <c r="H653" s="858">
        <v>6655</v>
      </c>
      <c r="I653" s="200" t="s">
        <v>998</v>
      </c>
      <c r="J653" s="189"/>
      <c r="K653" s="189"/>
      <c r="L653" s="861">
        <v>1</v>
      </c>
      <c r="M653" s="858">
        <f t="shared" si="394"/>
        <v>1</v>
      </c>
      <c r="N653" s="857" t="s">
        <v>416</v>
      </c>
      <c r="O653" s="1196">
        <v>17267</v>
      </c>
      <c r="P653" s="1218">
        <f t="shared" ca="1" si="395"/>
        <v>70.477777777777774</v>
      </c>
      <c r="Q653" s="1148">
        <v>22000</v>
      </c>
      <c r="R653" s="1035">
        <f>Q653*0.15</f>
        <v>3300</v>
      </c>
      <c r="S653" s="875"/>
      <c r="T653" s="875"/>
      <c r="U653" s="875"/>
      <c r="V653" s="875">
        <f>ROUNDUP((Q653+R653)*0.1,0)</f>
        <v>2530</v>
      </c>
      <c r="W653" s="875"/>
      <c r="X653" s="1026">
        <f t="shared" si="396"/>
        <v>27830</v>
      </c>
      <c r="Y653" s="1512">
        <f t="shared" si="397"/>
        <v>0</v>
      </c>
      <c r="Z653" s="1741">
        <f t="shared" si="398"/>
        <v>1</v>
      </c>
      <c r="AA653" s="1749">
        <f t="shared" si="399"/>
        <v>0</v>
      </c>
      <c r="AB653" s="1810">
        <f t="shared" si="400"/>
        <v>0</v>
      </c>
      <c r="AC653" s="876"/>
      <c r="AD653" s="1525">
        <f t="shared" si="401"/>
        <v>0</v>
      </c>
      <c r="AE653" s="1525">
        <f t="shared" si="401"/>
        <v>0</v>
      </c>
      <c r="AF653" s="1525">
        <f t="shared" si="401"/>
        <v>0</v>
      </c>
      <c r="AG653" s="1525">
        <f t="shared" si="401"/>
        <v>0</v>
      </c>
      <c r="AH653" s="1525">
        <f t="shared" si="401"/>
        <v>0</v>
      </c>
      <c r="AI653" s="1525">
        <f t="shared" si="401"/>
        <v>0</v>
      </c>
      <c r="AJ653" s="1525">
        <f t="shared" si="401"/>
        <v>0</v>
      </c>
      <c r="AK653" s="1525">
        <f t="shared" si="401"/>
        <v>0</v>
      </c>
      <c r="AL653" s="1525">
        <f t="shared" si="401"/>
        <v>0</v>
      </c>
      <c r="AM653" s="1525">
        <f t="shared" si="401"/>
        <v>0</v>
      </c>
      <c r="AN653" s="1525">
        <f t="shared" si="401"/>
        <v>0</v>
      </c>
      <c r="AO653" s="1525">
        <f t="shared" si="401"/>
        <v>0</v>
      </c>
      <c r="AP653" s="1525">
        <f t="shared" si="401"/>
        <v>0</v>
      </c>
      <c r="AQ653" s="1525">
        <f t="shared" si="401"/>
        <v>0</v>
      </c>
      <c r="AR653" s="1525">
        <f t="shared" si="401"/>
        <v>0</v>
      </c>
      <c r="AS653" s="1525">
        <f t="shared" si="401"/>
        <v>0</v>
      </c>
      <c r="AU653" s="1525"/>
      <c r="AV653" s="1291"/>
      <c r="AW653" s="1292"/>
      <c r="AX653" s="1292"/>
      <c r="AY653" s="1292"/>
      <c r="AZ653" s="1292"/>
      <c r="BA653" s="1292"/>
      <c r="BB653" s="1292"/>
      <c r="BC653" s="1292"/>
      <c r="BD653" s="1292"/>
      <c r="BE653" s="1292"/>
      <c r="BF653" s="1292"/>
      <c r="BG653" s="1292"/>
      <c r="BH653" s="1292"/>
      <c r="BI653" s="1292"/>
      <c r="BJ653" s="1292"/>
      <c r="BK653" s="1292"/>
      <c r="BL653" s="1292"/>
      <c r="BM653" s="1292"/>
      <c r="BN653" s="1292"/>
      <c r="BO653" s="1292"/>
      <c r="BP653" s="1292"/>
      <c r="BQ653" s="1292"/>
      <c r="BR653" s="1292"/>
      <c r="BS653" s="1292"/>
      <c r="BT653" s="1670">
        <f t="shared" si="402"/>
        <v>0</v>
      </c>
      <c r="BW653" s="859" t="s">
        <v>1046</v>
      </c>
    </row>
    <row r="654" spans="2:75" ht="12.75" customHeight="1" x14ac:dyDescent="0.2">
      <c r="B654" s="175">
        <f t="shared" si="393"/>
        <v>9</v>
      </c>
      <c r="C654" s="219">
        <v>18</v>
      </c>
      <c r="E654" s="12" t="s">
        <v>293</v>
      </c>
      <c r="F654" s="4" t="s">
        <v>1283</v>
      </c>
      <c r="G654" s="862" t="s">
        <v>1047</v>
      </c>
      <c r="H654" s="861">
        <v>6204</v>
      </c>
      <c r="I654" s="197" t="s">
        <v>998</v>
      </c>
      <c r="J654" s="174"/>
      <c r="K654" s="174"/>
      <c r="L654" s="861">
        <v>1</v>
      </c>
      <c r="M654" s="873">
        <f t="shared" si="394"/>
        <v>1</v>
      </c>
      <c r="N654" s="836" t="s">
        <v>416</v>
      </c>
      <c r="O654" s="1196">
        <v>13040</v>
      </c>
      <c r="P654" s="1218">
        <f t="shared" ca="1" si="395"/>
        <v>82.052777777777777</v>
      </c>
      <c r="Q654" s="1148">
        <v>19000</v>
      </c>
      <c r="R654" s="874">
        <f>Q654*0.15</f>
        <v>2850</v>
      </c>
      <c r="S654" s="875"/>
      <c r="T654" s="875"/>
      <c r="U654" s="875"/>
      <c r="V654" s="875"/>
      <c r="W654" s="875"/>
      <c r="X654" s="1026">
        <f t="shared" si="396"/>
        <v>21850</v>
      </c>
      <c r="Y654" s="1512">
        <f t="shared" si="397"/>
        <v>0</v>
      </c>
      <c r="Z654" s="1741">
        <f t="shared" si="398"/>
        <v>1</v>
      </c>
      <c r="AA654" s="1749">
        <f t="shared" si="399"/>
        <v>0</v>
      </c>
      <c r="AB654" s="1810">
        <f t="shared" si="400"/>
        <v>0</v>
      </c>
      <c r="AC654" s="876"/>
      <c r="AD654" s="1525">
        <f t="shared" si="401"/>
        <v>0</v>
      </c>
      <c r="AE654" s="1525">
        <f t="shared" si="401"/>
        <v>0</v>
      </c>
      <c r="AF654" s="1525">
        <f t="shared" si="401"/>
        <v>0</v>
      </c>
      <c r="AG654" s="1525">
        <f t="shared" si="401"/>
        <v>0</v>
      </c>
      <c r="AH654" s="1525">
        <f t="shared" si="401"/>
        <v>0</v>
      </c>
      <c r="AI654" s="1525">
        <f t="shared" si="401"/>
        <v>0</v>
      </c>
      <c r="AJ654" s="1525">
        <f t="shared" si="401"/>
        <v>0</v>
      </c>
      <c r="AK654" s="1525">
        <f t="shared" si="401"/>
        <v>0</v>
      </c>
      <c r="AL654" s="1525">
        <f t="shared" si="401"/>
        <v>0</v>
      </c>
      <c r="AM654" s="1525">
        <f t="shared" si="401"/>
        <v>0</v>
      </c>
      <c r="AN654" s="1525">
        <f t="shared" si="401"/>
        <v>0</v>
      </c>
      <c r="AO654" s="1525">
        <f t="shared" si="401"/>
        <v>0</v>
      </c>
      <c r="AP654" s="1525">
        <f t="shared" si="401"/>
        <v>0</v>
      </c>
      <c r="AQ654" s="1525">
        <f t="shared" si="401"/>
        <v>0</v>
      </c>
      <c r="AR654" s="1525">
        <f t="shared" si="401"/>
        <v>0</v>
      </c>
      <c r="AS654" s="1525">
        <f t="shared" si="401"/>
        <v>0</v>
      </c>
      <c r="AU654" s="1525"/>
      <c r="AV654" s="1291"/>
      <c r="AW654" s="1292"/>
      <c r="AX654" s="1292"/>
      <c r="AY654" s="1292"/>
      <c r="AZ654" s="1292"/>
      <c r="BA654" s="1292"/>
      <c r="BB654" s="1292"/>
      <c r="BC654" s="1292"/>
      <c r="BD654" s="1292"/>
      <c r="BE654" s="1292"/>
      <c r="BF654" s="1292"/>
      <c r="BG654" s="1292"/>
      <c r="BH654" s="1292"/>
      <c r="BI654" s="1292"/>
      <c r="BJ654" s="1292"/>
      <c r="BK654" s="1292"/>
      <c r="BL654" s="1292"/>
      <c r="BM654" s="1292"/>
      <c r="BN654" s="1292"/>
      <c r="BO654" s="1292"/>
      <c r="BP654" s="1292"/>
      <c r="BQ654" s="1292"/>
      <c r="BR654" s="1292"/>
      <c r="BS654" s="1292"/>
      <c r="BT654" s="1670">
        <f t="shared" si="402"/>
        <v>0</v>
      </c>
      <c r="BW654" s="862" t="s">
        <v>1047</v>
      </c>
    </row>
    <row r="655" spans="2:75" ht="12.75" customHeight="1" x14ac:dyDescent="0.2">
      <c r="B655" s="175"/>
      <c r="C655" s="219"/>
      <c r="E655" s="12"/>
      <c r="F655" s="4"/>
      <c r="G655" s="862"/>
      <c r="H655" s="861"/>
      <c r="I655" s="197"/>
      <c r="J655" s="174"/>
      <c r="K655" s="174"/>
      <c r="L655" s="861"/>
      <c r="M655" s="873"/>
      <c r="N655" s="836"/>
      <c r="O655" s="1196"/>
      <c r="P655" s="1218">
        <v>0</v>
      </c>
      <c r="Q655" s="1148"/>
      <c r="R655" s="874"/>
      <c r="S655" s="875"/>
      <c r="T655" s="875"/>
      <c r="U655" s="875"/>
      <c r="V655" s="875"/>
      <c r="W655" s="875"/>
      <c r="X655" s="1026"/>
      <c r="Y655" s="1520"/>
      <c r="Z655" s="1520"/>
      <c r="AA655" s="1749"/>
      <c r="AB655" s="1811"/>
      <c r="AC655" s="876"/>
      <c r="AD655" s="1525"/>
      <c r="AE655" s="1525"/>
      <c r="AF655" s="1525"/>
      <c r="AG655" s="1525"/>
      <c r="AH655" s="1525"/>
      <c r="AI655" s="1525"/>
      <c r="AJ655" s="1525"/>
      <c r="AK655" s="1525"/>
      <c r="AL655" s="1525"/>
      <c r="AM655" s="1525"/>
      <c r="AN655" s="1525"/>
      <c r="AO655" s="1525"/>
      <c r="AP655" s="1525"/>
      <c r="AQ655" s="1525"/>
      <c r="AR655" s="1525"/>
      <c r="AS655" s="1525"/>
      <c r="AU655" s="1525"/>
      <c r="AV655" s="1291"/>
      <c r="AW655" s="1292"/>
      <c r="AX655" s="1292"/>
      <c r="AY655" s="1292"/>
      <c r="AZ655" s="1292"/>
      <c r="BA655" s="1292"/>
      <c r="BB655" s="1292"/>
      <c r="BC655" s="1292"/>
      <c r="BD655" s="1292"/>
      <c r="BE655" s="1292"/>
      <c r="BF655" s="1292"/>
      <c r="BG655" s="1292"/>
      <c r="BH655" s="1292"/>
      <c r="BI655" s="1292"/>
      <c r="BJ655" s="1292"/>
      <c r="BK655" s="1292"/>
      <c r="BL655" s="1292"/>
      <c r="BM655" s="1292"/>
      <c r="BN655" s="1292"/>
      <c r="BO655" s="1292"/>
      <c r="BP655" s="1292"/>
      <c r="BQ655" s="1292"/>
      <c r="BR655" s="1292"/>
      <c r="BS655" s="1292"/>
      <c r="BT655" s="1670"/>
      <c r="BW655" s="862"/>
    </row>
    <row r="656" spans="2:75" s="164" customFormat="1" ht="12.75" customHeight="1" x14ac:dyDescent="0.15">
      <c r="B656" s="175"/>
      <c r="C656" s="707" t="s">
        <v>344</v>
      </c>
      <c r="D656" s="590" t="s">
        <v>346</v>
      </c>
      <c r="E656" s="691" t="s">
        <v>293</v>
      </c>
      <c r="F656" s="343" t="s">
        <v>1048</v>
      </c>
      <c r="G656" s="863">
        <f>COUNTA(G646:G655)</f>
        <v>9</v>
      </c>
      <c r="H656" s="1348" t="s">
        <v>1508</v>
      </c>
      <c r="I656" s="471"/>
      <c r="J656" s="369"/>
      <c r="K656" s="373"/>
      <c r="L656" s="863">
        <f>SUM(L646:L654)</f>
        <v>7.5</v>
      </c>
      <c r="M656" s="863">
        <f>SUM(M646:M654)</f>
        <v>7.5</v>
      </c>
      <c r="N656" s="863" t="s">
        <v>1508</v>
      </c>
      <c r="O656" s="863" t="s">
        <v>1508</v>
      </c>
      <c r="P656" s="1218">
        <v>0</v>
      </c>
      <c r="Q656" s="1154"/>
      <c r="R656" s="1046"/>
      <c r="S656" s="1047"/>
      <c r="T656" s="1047"/>
      <c r="U656" s="1047"/>
      <c r="V656" s="1047"/>
      <c r="W656" s="1047"/>
      <c r="X656" s="1276">
        <f>SUM(X646:X654)</f>
        <v>242440</v>
      </c>
      <c r="Y656" s="1665"/>
      <c r="Z656" s="1665">
        <f t="shared" ref="Z656:AA656" si="403">SUM(Z646:Z654)</f>
        <v>7.8243431760055806</v>
      </c>
      <c r="AA656" s="1777">
        <f t="shared" si="403"/>
        <v>0</v>
      </c>
      <c r="AB656" s="1813">
        <f t="shared" ref="AB656" si="404">100*AA656/Z656</f>
        <v>0</v>
      </c>
      <c r="AC656" s="1721"/>
      <c r="AD656" s="1291"/>
      <c r="AE656" s="1525"/>
      <c r="AF656" s="1525"/>
      <c r="AG656" s="1525"/>
      <c r="AH656" s="1525"/>
      <c r="AI656" s="1525"/>
      <c r="AJ656" s="1525"/>
      <c r="AK656" s="1525"/>
      <c r="AL656" s="1525"/>
      <c r="AM656" s="1525"/>
      <c r="AN656" s="1525"/>
      <c r="AO656" s="1525"/>
      <c r="AP656" s="1525"/>
      <c r="AQ656" s="1525"/>
      <c r="AR656" s="1525"/>
      <c r="AS656" s="1525"/>
      <c r="AU656" s="1525"/>
      <c r="AV656" s="1295"/>
      <c r="AW656" s="1525"/>
      <c r="AX656" s="1525"/>
      <c r="AY656" s="1525"/>
      <c r="AZ656" s="1525"/>
      <c r="BA656" s="1525"/>
      <c r="BB656" s="1525"/>
      <c r="BC656" s="1525"/>
      <c r="BD656" s="1525"/>
      <c r="BE656" s="1525"/>
      <c r="BF656" s="1525"/>
      <c r="BG656" s="1525"/>
      <c r="BH656" s="1525"/>
      <c r="BI656" s="1525"/>
      <c r="BJ656" s="1525"/>
      <c r="BK656" s="1525"/>
      <c r="BL656" s="1525"/>
      <c r="BM656" s="1525"/>
      <c r="BN656" s="1525"/>
      <c r="BO656" s="1525"/>
      <c r="BP656" s="1525"/>
      <c r="BQ656" s="1525"/>
      <c r="BR656" s="1525"/>
      <c r="BS656" s="1525"/>
      <c r="BT656" s="1670"/>
      <c r="BV656"/>
      <c r="BW656" s="863" t="s">
        <v>1508</v>
      </c>
    </row>
    <row r="657" spans="2:75" s="164" customFormat="1" ht="12.75" customHeight="1" thickBot="1" x14ac:dyDescent="0.2">
      <c r="B657" s="175"/>
      <c r="C657" s="423" t="s">
        <v>136</v>
      </c>
      <c r="D657" s="423"/>
      <c r="E657" s="424" t="s">
        <v>293</v>
      </c>
      <c r="F657" s="424" t="s">
        <v>893</v>
      </c>
      <c r="G657" s="866" t="s">
        <v>1508</v>
      </c>
      <c r="H657" s="1349" t="s">
        <v>1508</v>
      </c>
      <c r="I657" s="426"/>
      <c r="J657" s="425"/>
      <c r="K657" s="425"/>
      <c r="L657" s="866"/>
      <c r="M657" s="866"/>
      <c r="N657" s="866" t="s">
        <v>1508</v>
      </c>
      <c r="O657" s="866" t="s">
        <v>1508</v>
      </c>
      <c r="P657" s="1218">
        <v>0</v>
      </c>
      <c r="Q657" s="1158"/>
      <c r="R657" s="1027"/>
      <c r="S657" s="1028"/>
      <c r="T657" s="1028"/>
      <c r="U657" s="1028"/>
      <c r="V657" s="1028"/>
      <c r="W657" s="1028"/>
      <c r="X657" s="1697">
        <v>15566</v>
      </c>
      <c r="Y657" s="1028"/>
      <c r="Z657" s="1800"/>
      <c r="AA657" s="1749"/>
      <c r="AB657" s="1812"/>
      <c r="AC657" s="876"/>
      <c r="AD657" s="1295"/>
      <c r="AE657" s="1525"/>
      <c r="AF657" s="1525"/>
      <c r="AG657" s="1525"/>
      <c r="AH657" s="1525"/>
      <c r="AI657" s="1525"/>
      <c r="AJ657" s="1525"/>
      <c r="AK657" s="1525"/>
      <c r="AL657" s="1525"/>
      <c r="AM657" s="1525"/>
      <c r="AN657" s="1525"/>
      <c r="AO657" s="1525"/>
      <c r="AP657" s="1525"/>
      <c r="AQ657" s="1525"/>
      <c r="AR657" s="1525"/>
      <c r="AS657" s="1525"/>
      <c r="AU657" s="1525"/>
      <c r="AV657" s="1295"/>
      <c r="AW657" s="1525"/>
      <c r="AX657" s="1525"/>
      <c r="AY657" s="1525"/>
      <c r="AZ657" s="1525"/>
      <c r="BA657" s="1525"/>
      <c r="BB657" s="1525"/>
      <c r="BC657" s="1525"/>
      <c r="BD657" s="1525"/>
      <c r="BE657" s="1525"/>
      <c r="BF657" s="1525"/>
      <c r="BG657" s="1525"/>
      <c r="BH657" s="1525"/>
      <c r="BI657" s="1525"/>
      <c r="BJ657" s="1525"/>
      <c r="BK657" s="1525"/>
      <c r="BL657" s="1525"/>
      <c r="BM657" s="1525"/>
      <c r="BN657" s="1525"/>
      <c r="BO657" s="1525"/>
      <c r="BP657" s="1525"/>
      <c r="BQ657" s="1525"/>
      <c r="BR657" s="1525"/>
      <c r="BS657" s="1525"/>
      <c r="BT657" s="1670"/>
      <c r="BV657"/>
      <c r="BW657" s="866" t="s">
        <v>1508</v>
      </c>
    </row>
    <row r="658" spans="2:75" s="164" customFormat="1" ht="12.75" customHeight="1" thickBot="1" x14ac:dyDescent="0.2">
      <c r="B658" s="175"/>
      <c r="C658" s="731" t="s">
        <v>139</v>
      </c>
      <c r="D658" s="739" t="s">
        <v>1601</v>
      </c>
      <c r="E658" s="739" t="s">
        <v>1601</v>
      </c>
      <c r="F658" s="634" t="s">
        <v>1414</v>
      </c>
      <c r="G658" s="1146">
        <f>SUMIF(C47:C657,"S",G47:G657)</f>
        <v>335</v>
      </c>
      <c r="H658" s="1138"/>
      <c r="I658" s="848"/>
      <c r="J658" s="848">
        <v>300.97500000000002</v>
      </c>
      <c r="K658" s="1139">
        <f>K156+K324+K640</f>
        <v>6.5</v>
      </c>
      <c r="L658" s="1138">
        <f>L56+L156+L189+L236+L324+L451+L497+L575+L640+L656</f>
        <v>302.93</v>
      </c>
      <c r="M658" s="1138">
        <f>M56+M156+M189+M236+M324+M451+M497+M575+M640+M656</f>
        <v>309.43</v>
      </c>
      <c r="N658" s="1146" t="s">
        <v>1508</v>
      </c>
      <c r="O658" s="1146" t="s">
        <v>1508</v>
      </c>
      <c r="P658" s="1218">
        <v>0</v>
      </c>
      <c r="Q658" s="1154"/>
      <c r="R658" s="1046"/>
      <c r="S658" s="1047"/>
      <c r="T658" s="1047"/>
      <c r="U658" s="1047"/>
      <c r="V658" s="1047"/>
      <c r="W658" s="1047"/>
      <c r="X658" s="1707">
        <f>X56+X156+X189+X236+X324+X451+X497+X575+X640+X656</f>
        <v>12200763.75</v>
      </c>
      <c r="Y658" s="1707"/>
      <c r="Z658" s="1809">
        <f t="shared" ref="Z658:AA658" si="405">Z56+Z156+Z189+Z236+Z324+Z451+Z497+Z575+Z640+Z656</f>
        <v>347.80497575979848</v>
      </c>
      <c r="AA658" s="1795">
        <f t="shared" si="405"/>
        <v>23.1</v>
      </c>
      <c r="AB658" s="1813">
        <f t="shared" ref="AB658" si="406">100*AA658/Z658</f>
        <v>6.6416531130806336</v>
      </c>
      <c r="AC658" s="957"/>
      <c r="AD658" s="1295"/>
      <c r="AE658" s="1525"/>
      <c r="AF658" s="1525"/>
      <c r="AG658" s="1525"/>
      <c r="AH658" s="1525"/>
      <c r="AI658" s="1525"/>
      <c r="AJ658" s="1525"/>
      <c r="AK658" s="1525"/>
      <c r="AL658" s="1525"/>
      <c r="AM658" s="1525"/>
      <c r="AN658" s="1525"/>
      <c r="AO658" s="1525"/>
      <c r="AP658" s="1525"/>
      <c r="AQ658" s="1525"/>
      <c r="AR658" s="1525"/>
      <c r="AS658" s="1525"/>
      <c r="AU658" s="1525"/>
      <c r="AV658" s="1295"/>
      <c r="AW658" s="1525"/>
      <c r="AX658" s="1525"/>
      <c r="AY658" s="1525"/>
      <c r="AZ658" s="1525"/>
      <c r="BA658" s="1525"/>
      <c r="BB658" s="1525"/>
      <c r="BC658" s="1525"/>
      <c r="BD658" s="1525"/>
      <c r="BE658" s="1525"/>
      <c r="BF658" s="1525"/>
      <c r="BG658" s="1525"/>
      <c r="BH658" s="1525"/>
      <c r="BI658" s="1525"/>
      <c r="BJ658" s="1525"/>
      <c r="BK658" s="1525"/>
      <c r="BL658" s="1525"/>
      <c r="BM658" s="1525"/>
      <c r="BN658" s="1525"/>
      <c r="BO658" s="1525"/>
      <c r="BP658" s="1525"/>
      <c r="BQ658" s="1525"/>
      <c r="BR658" s="1525"/>
      <c r="BS658" s="1525"/>
      <c r="BT658" s="1670"/>
      <c r="BV658"/>
      <c r="BW658" s="1146" t="s">
        <v>1508</v>
      </c>
    </row>
    <row r="659" spans="2:75" s="164" customFormat="1" ht="12.75" customHeight="1" x14ac:dyDescent="0.15">
      <c r="B659" s="175"/>
      <c r="C659" s="657" t="s">
        <v>1132</v>
      </c>
      <c r="D659" s="721" t="s">
        <v>137</v>
      </c>
      <c r="E659" s="721" t="s">
        <v>137</v>
      </c>
      <c r="F659" s="620"/>
      <c r="G659" s="869" t="s">
        <v>1508</v>
      </c>
      <c r="H659" s="1350" t="s">
        <v>1508</v>
      </c>
      <c r="I659" s="866"/>
      <c r="J659" s="866"/>
      <c r="K659" s="527"/>
      <c r="L659" s="869"/>
      <c r="M659" s="869"/>
      <c r="N659" s="869" t="s">
        <v>1508</v>
      </c>
      <c r="O659" s="869" t="s">
        <v>1508</v>
      </c>
      <c r="P659" s="1218">
        <v>0</v>
      </c>
      <c r="Q659" s="1155"/>
      <c r="R659" s="888"/>
      <c r="S659" s="889"/>
      <c r="T659" s="889"/>
      <c r="U659" s="889"/>
      <c r="V659" s="889"/>
      <c r="W659" s="889"/>
      <c r="X659" s="1708">
        <f>X57+X157+X190+X237+X325+X452+X498+X576+X641+X657</f>
        <v>648452</v>
      </c>
      <c r="Y659" s="1040"/>
      <c r="Z659" s="1040"/>
      <c r="AA659" s="1749"/>
      <c r="AB659" s="1812"/>
      <c r="AC659" s="957"/>
      <c r="AD659" s="1295"/>
      <c r="AE659" s="1525"/>
      <c r="AF659" s="1525"/>
      <c r="AG659" s="1525"/>
      <c r="AH659" s="1525"/>
      <c r="AI659" s="1525"/>
      <c r="AJ659" s="1525"/>
      <c r="AK659" s="1525"/>
      <c r="AL659" s="1525"/>
      <c r="AM659" s="1525"/>
      <c r="AN659" s="1525"/>
      <c r="AO659" s="1525"/>
      <c r="AP659" s="1525"/>
      <c r="AQ659" s="1525"/>
      <c r="AR659" s="1525"/>
      <c r="AS659" s="1525"/>
      <c r="AU659" s="1525"/>
      <c r="AV659" s="1295"/>
      <c r="AW659" s="1525"/>
      <c r="AX659" s="1525"/>
      <c r="AY659" s="1525"/>
      <c r="AZ659" s="1525"/>
      <c r="BA659" s="1525"/>
      <c r="BB659" s="1525"/>
      <c r="BC659" s="1525"/>
      <c r="BD659" s="1525"/>
      <c r="BE659" s="1525"/>
      <c r="BF659" s="1525"/>
      <c r="BG659" s="1525"/>
      <c r="BH659" s="1525"/>
      <c r="BI659" s="1525"/>
      <c r="BJ659" s="1525"/>
      <c r="BK659" s="1525"/>
      <c r="BL659" s="1525"/>
      <c r="BM659" s="1525"/>
      <c r="BN659" s="1525"/>
      <c r="BO659" s="1525"/>
      <c r="BP659" s="1525"/>
      <c r="BQ659" s="1525"/>
      <c r="BR659" s="1525"/>
      <c r="BS659" s="1525"/>
      <c r="BT659" s="1670"/>
      <c r="BV659"/>
      <c r="BW659" s="869" t="s">
        <v>1508</v>
      </c>
    </row>
    <row r="660" spans="2:75" s="164" customFormat="1" ht="12.75" customHeight="1" x14ac:dyDescent="0.2">
      <c r="B660" s="175"/>
      <c r="F660" s="1"/>
      <c r="G660" s="856"/>
      <c r="H660" s="1364" t="s">
        <v>1508</v>
      </c>
      <c r="I660" s="172"/>
      <c r="J660" s="168"/>
      <c r="K660" s="168"/>
      <c r="L660" s="841"/>
      <c r="M660" s="841"/>
      <c r="N660" s="855"/>
      <c r="O660" s="1192"/>
      <c r="P660" s="1218">
        <v>0</v>
      </c>
      <c r="Q660" s="1160"/>
      <c r="R660" s="876"/>
      <c r="S660" s="876"/>
      <c r="T660" s="876"/>
      <c r="U660" s="876"/>
      <c r="V660" s="876"/>
      <c r="W660" s="876"/>
      <c r="X660" s="1026"/>
      <c r="Y660" s="1757"/>
      <c r="Z660" s="1756"/>
      <c r="AA660" s="1775"/>
      <c r="AB660" s="1814"/>
      <c r="AC660" s="876"/>
      <c r="AD660" s="1295"/>
      <c r="AE660" s="1525"/>
      <c r="AF660" s="1525"/>
      <c r="AG660" s="1525"/>
      <c r="AH660" s="1525"/>
      <c r="AI660" s="1525"/>
      <c r="AJ660" s="1525"/>
      <c r="AK660" s="1525"/>
      <c r="AL660" s="1525"/>
      <c r="AM660" s="1525"/>
      <c r="AN660" s="1525"/>
      <c r="AO660" s="1525"/>
      <c r="AP660" s="1525"/>
      <c r="AQ660" s="1525"/>
      <c r="AR660" s="1525"/>
      <c r="AS660" s="1525"/>
      <c r="AU660" s="1525"/>
      <c r="AV660" s="1295"/>
      <c r="AW660" s="1525"/>
      <c r="AX660" s="1525"/>
      <c r="AY660" s="1525"/>
      <c r="AZ660" s="1525"/>
      <c r="BA660" s="1525"/>
      <c r="BB660" s="1525"/>
      <c r="BC660" s="1525"/>
      <c r="BD660" s="1525"/>
      <c r="BE660" s="1525"/>
      <c r="BF660" s="1525"/>
      <c r="BG660" s="1525"/>
      <c r="BH660" s="1525"/>
      <c r="BI660" s="1525"/>
      <c r="BJ660" s="1525"/>
      <c r="BK660" s="1525"/>
      <c r="BL660" s="1525"/>
      <c r="BM660" s="1525"/>
      <c r="BN660" s="1525"/>
      <c r="BO660" s="1525"/>
      <c r="BP660" s="1525"/>
      <c r="BQ660" s="1525"/>
      <c r="BR660" s="1525"/>
      <c r="BS660" s="1525"/>
      <c r="BT660" s="1670"/>
      <c r="BV660"/>
      <c r="BW660" s="856"/>
    </row>
    <row r="661" spans="2:75" s="164" customFormat="1" ht="12.75" customHeight="1" x14ac:dyDescent="0.2">
      <c r="B661" s="175"/>
      <c r="F661" s="44" t="s">
        <v>670</v>
      </c>
      <c r="G661" s="856"/>
      <c r="H661" s="1346" t="s">
        <v>1508</v>
      </c>
      <c r="I661" s="200"/>
      <c r="J661" s="189"/>
      <c r="K661" s="189"/>
      <c r="L661" s="858"/>
      <c r="M661" s="858"/>
      <c r="N661" s="855"/>
      <c r="O661" s="1192"/>
      <c r="P661" s="1218">
        <v>0</v>
      </c>
      <c r="Q661" s="1151"/>
      <c r="R661" s="876"/>
      <c r="S661" s="876"/>
      <c r="T661" s="876"/>
      <c r="U661" s="876"/>
      <c r="V661" s="876"/>
      <c r="W661" s="876"/>
      <c r="X661" s="1026"/>
      <c r="Y661" s="1757"/>
      <c r="Z661" s="1756"/>
      <c r="AA661" s="1775"/>
      <c r="AB661" s="1814"/>
      <c r="AC661" s="876"/>
      <c r="AD661" s="1295"/>
      <c r="AE661" s="1525"/>
      <c r="AF661" s="1525"/>
      <c r="AG661" s="1525"/>
      <c r="AH661" s="1525"/>
      <c r="AI661" s="1525"/>
      <c r="AJ661" s="1525"/>
      <c r="AK661" s="1525"/>
      <c r="AL661" s="1525"/>
      <c r="AM661" s="1525"/>
      <c r="AN661" s="1525"/>
      <c r="AO661" s="1525"/>
      <c r="AP661" s="1525"/>
      <c r="AQ661" s="1525"/>
      <c r="AR661" s="1525"/>
      <c r="AS661" s="1525"/>
      <c r="AU661" s="1525"/>
      <c r="AV661" s="1295"/>
      <c r="AW661" s="1525"/>
      <c r="AX661" s="1525"/>
      <c r="AY661" s="1525"/>
      <c r="AZ661" s="1525"/>
      <c r="BA661" s="1525"/>
      <c r="BB661" s="1525"/>
      <c r="BC661" s="1525"/>
      <c r="BD661" s="1525"/>
      <c r="BE661" s="1525"/>
      <c r="BF661" s="1525"/>
      <c r="BG661" s="1525"/>
      <c r="BH661" s="1525"/>
      <c r="BI661" s="1525"/>
      <c r="BJ661" s="1525"/>
      <c r="BK661" s="1525"/>
      <c r="BL661" s="1525"/>
      <c r="BM661" s="1525"/>
      <c r="BN661" s="1525"/>
      <c r="BO661" s="1525"/>
      <c r="BP661" s="1525"/>
      <c r="BQ661" s="1525"/>
      <c r="BR661" s="1525"/>
      <c r="BS661" s="1525"/>
      <c r="BT661" s="1670"/>
      <c r="BV661"/>
      <c r="BW661" s="856"/>
    </row>
    <row r="662" spans="2:75" s="164" customFormat="1" ht="12.75" customHeight="1" x14ac:dyDescent="0.15">
      <c r="B662" s="175"/>
      <c r="F662" s="1"/>
      <c r="G662" s="856"/>
      <c r="H662" s="1364" t="s">
        <v>1508</v>
      </c>
      <c r="I662" s="172"/>
      <c r="J662" s="168"/>
      <c r="K662" s="168"/>
      <c r="L662" s="841"/>
      <c r="M662" s="841"/>
      <c r="N662" s="855"/>
      <c r="O662" s="1200"/>
      <c r="P662" s="1218">
        <v>0</v>
      </c>
      <c r="Q662" s="1151"/>
      <c r="R662" s="876"/>
      <c r="S662" s="876"/>
      <c r="T662" s="876"/>
      <c r="U662" s="876"/>
      <c r="V662" s="876"/>
      <c r="W662" s="876"/>
      <c r="X662" s="1026"/>
      <c r="Y662" s="1757"/>
      <c r="Z662" s="1756"/>
      <c r="AA662" s="1775"/>
      <c r="AB662" s="1814"/>
      <c r="AC662" s="876"/>
      <c r="AD662" s="1295"/>
      <c r="AE662" s="1525"/>
      <c r="AF662" s="1525"/>
      <c r="AG662" s="1525"/>
      <c r="AH662" s="1525"/>
      <c r="AI662" s="1525"/>
      <c r="AJ662" s="1525"/>
      <c r="AK662" s="1525"/>
      <c r="AL662" s="1525"/>
      <c r="AM662" s="1525"/>
      <c r="AN662" s="1525"/>
      <c r="AO662" s="1525"/>
      <c r="AP662" s="1525"/>
      <c r="AQ662" s="1525"/>
      <c r="AR662" s="1525"/>
      <c r="AS662" s="1525"/>
      <c r="AU662" s="1525"/>
      <c r="AV662" s="1295"/>
      <c r="AW662" s="1525"/>
      <c r="AX662" s="1525"/>
      <c r="AY662" s="1525"/>
      <c r="AZ662" s="1525"/>
      <c r="BA662" s="1525"/>
      <c r="BB662" s="1525"/>
      <c r="BC662" s="1525"/>
      <c r="BD662" s="1525"/>
      <c r="BE662" s="1525"/>
      <c r="BF662" s="1525"/>
      <c r="BG662" s="1525"/>
      <c r="BH662" s="1525"/>
      <c r="BI662" s="1525"/>
      <c r="BJ662" s="1525"/>
      <c r="BK662" s="1525"/>
      <c r="BL662" s="1525"/>
      <c r="BM662" s="1525"/>
      <c r="BN662" s="1525"/>
      <c r="BO662" s="1525"/>
      <c r="BP662" s="1525"/>
      <c r="BQ662" s="1525"/>
      <c r="BR662" s="1525"/>
      <c r="BS662" s="1525"/>
      <c r="BT662" s="1670"/>
      <c r="BV662"/>
      <c r="BW662" s="856"/>
    </row>
    <row r="663" spans="2:75" ht="12.75" customHeight="1" x14ac:dyDescent="0.2">
      <c r="B663" s="175">
        <f>B662+1</f>
        <v>1</v>
      </c>
      <c r="C663" s="219">
        <v>27</v>
      </c>
      <c r="E663" s="474" t="s">
        <v>590</v>
      </c>
      <c r="F663" s="26" t="s">
        <v>1607</v>
      </c>
      <c r="G663" s="830" t="s">
        <v>1458</v>
      </c>
      <c r="H663" s="873">
        <v>134827</v>
      </c>
      <c r="I663" s="196" t="s">
        <v>161</v>
      </c>
      <c r="J663" s="195"/>
      <c r="K663" s="195"/>
      <c r="L663" s="873">
        <v>1</v>
      </c>
      <c r="M663" s="873">
        <f>K663+L663</f>
        <v>1</v>
      </c>
      <c r="N663" s="940" t="s">
        <v>1326</v>
      </c>
      <c r="O663" s="1196">
        <v>21375</v>
      </c>
      <c r="P663" s="1218">
        <f ca="1">YEARFRAC(TODAY(),O663)</f>
        <v>59.230555555555554</v>
      </c>
      <c r="Q663" s="1148">
        <v>40000</v>
      </c>
      <c r="R663" s="874">
        <f>Q663*0.1</f>
        <v>4000</v>
      </c>
      <c r="S663" s="875"/>
      <c r="T663" s="875">
        <v>3000</v>
      </c>
      <c r="U663" s="875"/>
      <c r="V663" s="875"/>
      <c r="W663" s="875"/>
      <c r="X663" s="1026">
        <f>(Q663+R663+S663+T663+U663+V663+W663)*M663</f>
        <v>47000</v>
      </c>
      <c r="Y663" s="1512">
        <f>(T663+U663)*M663/(X663-M663*(T663+U663))</f>
        <v>6.8181818181818177E-2</v>
      </c>
      <c r="Z663" s="1741">
        <f>M663*(1+Y663)</f>
        <v>1.0681818181818181</v>
      </c>
      <c r="AA663" s="1749">
        <f>SUM(AD663:AS663)</f>
        <v>0</v>
      </c>
      <c r="AB663" s="1810">
        <f t="shared" ref="AB663" si="407">100*AA663/Z663</f>
        <v>0</v>
      </c>
      <c r="AC663" s="876"/>
      <c r="AD663" s="1525">
        <f t="shared" ref="AD663:AS663" si="408">SUMIF($AV$6:$BS$6,AD$5,$AV663:$BS663)</f>
        <v>0</v>
      </c>
      <c r="AE663" s="1525">
        <f t="shared" si="408"/>
        <v>0</v>
      </c>
      <c r="AF663" s="1525">
        <f t="shared" si="408"/>
        <v>0</v>
      </c>
      <c r="AG663" s="1525">
        <f t="shared" si="408"/>
        <v>0</v>
      </c>
      <c r="AH663" s="1525">
        <f t="shared" si="408"/>
        <v>0</v>
      </c>
      <c r="AI663" s="1525">
        <f t="shared" si="408"/>
        <v>0</v>
      </c>
      <c r="AJ663" s="1525">
        <f t="shared" si="408"/>
        <v>0</v>
      </c>
      <c r="AK663" s="1525">
        <f t="shared" si="408"/>
        <v>0</v>
      </c>
      <c r="AL663" s="1525">
        <f t="shared" si="408"/>
        <v>0</v>
      </c>
      <c r="AM663" s="1525">
        <f t="shared" si="408"/>
        <v>0</v>
      </c>
      <c r="AN663" s="1525">
        <f t="shared" si="408"/>
        <v>0</v>
      </c>
      <c r="AO663" s="1525">
        <f t="shared" si="408"/>
        <v>0</v>
      </c>
      <c r="AP663" s="1525">
        <f t="shared" si="408"/>
        <v>0</v>
      </c>
      <c r="AQ663" s="1525">
        <f t="shared" si="408"/>
        <v>0</v>
      </c>
      <c r="AR663" s="1525">
        <f t="shared" si="408"/>
        <v>0</v>
      </c>
      <c r="AS663" s="1525">
        <f t="shared" si="408"/>
        <v>0</v>
      </c>
      <c r="AU663" s="1525"/>
      <c r="AV663" s="1291"/>
      <c r="AW663" s="1292"/>
      <c r="AX663" s="1292"/>
      <c r="AY663" s="1292"/>
      <c r="AZ663" s="1292"/>
      <c r="BA663" s="1292"/>
      <c r="BB663" s="1292"/>
      <c r="BC663" s="1292"/>
      <c r="BD663" s="1292"/>
      <c r="BE663" s="1292"/>
      <c r="BF663" s="1292"/>
      <c r="BG663" s="1292"/>
      <c r="BH663" s="1292"/>
      <c r="BI663" s="1292"/>
      <c r="BJ663" s="1292"/>
      <c r="BK663" s="1292"/>
      <c r="BL663" s="1292"/>
      <c r="BM663" s="1292"/>
      <c r="BN663" s="1292"/>
      <c r="BO663" s="1292"/>
      <c r="BP663" s="1292"/>
      <c r="BQ663" s="1292"/>
      <c r="BR663" s="1292"/>
      <c r="BS663" s="1292"/>
      <c r="BT663" s="1670">
        <f t="shared" ref="BT663" si="409">SUM(AV663:BS663)</f>
        <v>0</v>
      </c>
      <c r="BW663" s="830" t="s">
        <v>1458</v>
      </c>
    </row>
    <row r="664" spans="2:75" s="164" customFormat="1" ht="12.75" customHeight="1" x14ac:dyDescent="0.2">
      <c r="B664" s="175"/>
      <c r="C664" s="219" t="s">
        <v>1120</v>
      </c>
      <c r="F664" s="4" t="s">
        <v>1459</v>
      </c>
      <c r="G664" s="825"/>
      <c r="H664" s="1351" t="s">
        <v>1508</v>
      </c>
      <c r="I664" s="197"/>
      <c r="J664" s="174"/>
      <c r="K664" s="446">
        <f>SUM(K663:K663)</f>
        <v>0</v>
      </c>
      <c r="L664" s="892">
        <f>SUM(L663:L663)</f>
        <v>1</v>
      </c>
      <c r="M664" s="892">
        <f>SUM(M663:M663)</f>
        <v>1</v>
      </c>
      <c r="N664" s="855"/>
      <c r="O664" s="1192"/>
      <c r="P664" s="550"/>
      <c r="Q664" s="1153"/>
      <c r="R664" s="877"/>
      <c r="S664" s="875"/>
      <c r="T664" s="875"/>
      <c r="U664" s="875"/>
      <c r="V664" s="875"/>
      <c r="W664" s="875"/>
      <c r="X664" s="1026"/>
      <c r="Y664" s="1335"/>
      <c r="Z664" s="1335"/>
      <c r="AA664" s="1775"/>
      <c r="AB664" s="1814"/>
      <c r="AC664" s="876"/>
      <c r="AD664" s="1295"/>
      <c r="AE664" s="1525"/>
      <c r="AF664" s="1525"/>
      <c r="AG664" s="1525"/>
      <c r="AH664" s="1525"/>
      <c r="AI664" s="1525"/>
      <c r="AJ664" s="1525"/>
      <c r="AK664" s="1525"/>
      <c r="AL664" s="1525"/>
      <c r="AM664" s="1525"/>
      <c r="AN664" s="1525"/>
      <c r="AO664" s="1525"/>
      <c r="AP664" s="1525"/>
      <c r="AQ664" s="1525"/>
      <c r="AR664" s="1525"/>
      <c r="AS664" s="1525"/>
      <c r="AU664" s="1525"/>
      <c r="AV664" s="1295"/>
      <c r="AW664" s="1525"/>
      <c r="AX664" s="1525"/>
      <c r="AY664" s="1525"/>
      <c r="AZ664" s="1525"/>
      <c r="BA664" s="1525"/>
      <c r="BB664" s="1525"/>
      <c r="BC664" s="1525"/>
      <c r="BD664" s="1525"/>
      <c r="BE664" s="1525"/>
      <c r="BF664" s="1525"/>
      <c r="BG664" s="1525"/>
      <c r="BH664" s="1525"/>
      <c r="BI664" s="1525"/>
      <c r="BJ664" s="1525"/>
      <c r="BK664" s="1525"/>
      <c r="BL664" s="1525"/>
      <c r="BM664" s="1525"/>
      <c r="BN664" s="1525"/>
      <c r="BO664" s="1525"/>
      <c r="BP664" s="1525"/>
      <c r="BQ664" s="1525"/>
      <c r="BR664" s="1525"/>
      <c r="BS664" s="1525"/>
      <c r="BT664" s="1670"/>
      <c r="BV664"/>
      <c r="BW664" s="825"/>
    </row>
    <row r="665" spans="2:75" s="164" customFormat="1" ht="12.75" customHeight="1" x14ac:dyDescent="0.15">
      <c r="B665" s="175"/>
      <c r="F665" s="4"/>
      <c r="G665" s="825"/>
      <c r="H665" s="1347" t="s">
        <v>1508</v>
      </c>
      <c r="I665" s="197"/>
      <c r="J665" s="174"/>
      <c r="K665" s="174"/>
      <c r="L665" s="861"/>
      <c r="M665" s="861"/>
      <c r="N665" s="855"/>
      <c r="O665" s="1200"/>
      <c r="P665" s="550"/>
      <c r="Q665" s="1148"/>
      <c r="R665" s="874"/>
      <c r="S665" s="875"/>
      <c r="T665" s="875"/>
      <c r="U665" s="875"/>
      <c r="V665" s="875"/>
      <c r="W665" s="875"/>
      <c r="X665" s="1026"/>
      <c r="Y665" s="1754"/>
      <c r="Z665" s="1755"/>
      <c r="AA665" s="1775"/>
      <c r="AB665" s="1814"/>
      <c r="AC665" s="876"/>
      <c r="AD665" s="1295"/>
      <c r="AE665" s="1525"/>
      <c r="AF665" s="1525"/>
      <c r="AG665" s="1525"/>
      <c r="AH665" s="1525"/>
      <c r="AI665" s="1525"/>
      <c r="AJ665" s="1525"/>
      <c r="AK665" s="1525"/>
      <c r="AL665" s="1525"/>
      <c r="AM665" s="1525"/>
      <c r="AN665" s="1525"/>
      <c r="AO665" s="1525"/>
      <c r="AP665" s="1525"/>
      <c r="AQ665" s="1525"/>
      <c r="AR665" s="1525"/>
      <c r="AS665" s="1525"/>
      <c r="AU665" s="1525"/>
      <c r="AV665" s="1295"/>
      <c r="AW665" s="1525"/>
      <c r="AX665" s="1525"/>
      <c r="AY665" s="1525"/>
      <c r="AZ665" s="1525"/>
      <c r="BA665" s="1525"/>
      <c r="BB665" s="1525"/>
      <c r="BC665" s="1525"/>
      <c r="BD665" s="1525"/>
      <c r="BE665" s="1525"/>
      <c r="BF665" s="1525"/>
      <c r="BG665" s="1525"/>
      <c r="BH665" s="1525"/>
      <c r="BI665" s="1525"/>
      <c r="BJ665" s="1525"/>
      <c r="BK665" s="1525"/>
      <c r="BL665" s="1525"/>
      <c r="BM665" s="1525"/>
      <c r="BN665" s="1525"/>
      <c r="BO665" s="1525"/>
      <c r="BP665" s="1525"/>
      <c r="BQ665" s="1525"/>
      <c r="BR665" s="1525"/>
      <c r="BS665" s="1525"/>
      <c r="BT665" s="1670"/>
      <c r="BV665"/>
      <c r="BW665" s="825"/>
    </row>
    <row r="666" spans="2:75" s="164" customFormat="1" ht="12.75" customHeight="1" x14ac:dyDescent="0.2">
      <c r="B666" s="175"/>
      <c r="F666" s="2" t="s">
        <v>1460</v>
      </c>
      <c r="G666" s="859"/>
      <c r="H666" s="1346" t="s">
        <v>1508</v>
      </c>
      <c r="I666" s="172"/>
      <c r="J666" s="168"/>
      <c r="K666" s="168"/>
      <c r="L666" s="858"/>
      <c r="M666" s="858"/>
      <c r="N666" s="857"/>
      <c r="O666" s="1192"/>
      <c r="P666" s="550"/>
      <c r="Q666" s="1148"/>
      <c r="R666" s="874"/>
      <c r="S666" s="875"/>
      <c r="T666" s="875"/>
      <c r="U666" s="875"/>
      <c r="V666" s="875"/>
      <c r="W666" s="875"/>
      <c r="X666" s="1026"/>
      <c r="Y666" s="1754"/>
      <c r="Z666" s="1755"/>
      <c r="AA666" s="1775"/>
      <c r="AB666" s="1814"/>
      <c r="AC666" s="876"/>
      <c r="AD666" s="1295"/>
      <c r="AE666" s="1525"/>
      <c r="AF666" s="1525"/>
      <c r="AG666" s="1525"/>
      <c r="AH666" s="1525"/>
      <c r="AI666" s="1525"/>
      <c r="AJ666" s="1525"/>
      <c r="AK666" s="1525"/>
      <c r="AL666" s="1525"/>
      <c r="AM666" s="1525"/>
      <c r="AN666" s="1525"/>
      <c r="AO666" s="1525"/>
      <c r="AP666" s="1525"/>
      <c r="AQ666" s="1525"/>
      <c r="AR666" s="1525"/>
      <c r="AS666" s="1525"/>
      <c r="AU666" s="1525"/>
      <c r="AV666" s="1295"/>
      <c r="AW666" s="1525"/>
      <c r="AX666" s="1525"/>
      <c r="AY666" s="1525"/>
      <c r="AZ666" s="1525"/>
      <c r="BA666" s="1525"/>
      <c r="BB666" s="1525"/>
      <c r="BC666" s="1525"/>
      <c r="BD666" s="1525"/>
      <c r="BE666" s="1525"/>
      <c r="BF666" s="1525"/>
      <c r="BG666" s="1525"/>
      <c r="BH666" s="1525"/>
      <c r="BI666" s="1525"/>
      <c r="BJ666" s="1525"/>
      <c r="BK666" s="1525"/>
      <c r="BL666" s="1525"/>
      <c r="BM666" s="1525"/>
      <c r="BN666" s="1525"/>
      <c r="BO666" s="1525"/>
      <c r="BP666" s="1525"/>
      <c r="BQ666" s="1525"/>
      <c r="BR666" s="1525"/>
      <c r="BS666" s="1525"/>
      <c r="BT666" s="1670"/>
      <c r="BV666"/>
      <c r="BW666" s="859"/>
    </row>
    <row r="667" spans="2:75" s="164" customFormat="1" ht="12.75" customHeight="1" x14ac:dyDescent="0.2">
      <c r="B667" s="175"/>
      <c r="F667" s="1"/>
      <c r="G667" s="859"/>
      <c r="H667" s="1346" t="s">
        <v>1508</v>
      </c>
      <c r="I667" s="172"/>
      <c r="J667" s="168"/>
      <c r="K667" s="168"/>
      <c r="L667" s="858"/>
      <c r="M667" s="858"/>
      <c r="N667" s="857"/>
      <c r="O667" s="1192"/>
      <c r="P667" s="550"/>
      <c r="Q667" s="1148"/>
      <c r="R667" s="874"/>
      <c r="S667" s="875"/>
      <c r="T667" s="875"/>
      <c r="U667" s="875"/>
      <c r="V667" s="875"/>
      <c r="W667" s="875"/>
      <c r="X667" s="1026"/>
      <c r="Y667" s="1754"/>
      <c r="Z667" s="1755"/>
      <c r="AA667" s="1775"/>
      <c r="AB667" s="1814"/>
      <c r="AC667" s="876"/>
      <c r="AD667" s="1295"/>
      <c r="AE667" s="1525"/>
      <c r="AF667" s="1525"/>
      <c r="AG667" s="1525"/>
      <c r="AH667" s="1525"/>
      <c r="AI667" s="1525"/>
      <c r="AJ667" s="1525"/>
      <c r="AK667" s="1525"/>
      <c r="AL667" s="1525"/>
      <c r="AM667" s="1525"/>
      <c r="AN667" s="1525"/>
      <c r="AO667" s="1525"/>
      <c r="AP667" s="1525"/>
      <c r="AQ667" s="1525"/>
      <c r="AR667" s="1525"/>
      <c r="AS667" s="1525"/>
      <c r="AU667" s="1525"/>
      <c r="AV667" s="1295"/>
      <c r="AW667" s="1525"/>
      <c r="AX667" s="1525"/>
      <c r="AY667" s="1525"/>
      <c r="AZ667" s="1525"/>
      <c r="BA667" s="1525"/>
      <c r="BB667" s="1525"/>
      <c r="BC667" s="1525"/>
      <c r="BD667" s="1525"/>
      <c r="BE667" s="1525"/>
      <c r="BF667" s="1525"/>
      <c r="BG667" s="1525"/>
      <c r="BH667" s="1525"/>
      <c r="BI667" s="1525"/>
      <c r="BJ667" s="1525"/>
      <c r="BK667" s="1525"/>
      <c r="BL667" s="1525"/>
      <c r="BM667" s="1525"/>
      <c r="BN667" s="1525"/>
      <c r="BO667" s="1525"/>
      <c r="BP667" s="1525"/>
      <c r="BQ667" s="1525"/>
      <c r="BR667" s="1525"/>
      <c r="BS667" s="1525"/>
      <c r="BT667" s="1670"/>
      <c r="BV667"/>
      <c r="BW667" s="859"/>
    </row>
    <row r="668" spans="2:75" ht="12.75" customHeight="1" x14ac:dyDescent="0.2">
      <c r="B668" s="175">
        <f t="shared" ref="B668:B717" si="410">B667+1</f>
        <v>1</v>
      </c>
      <c r="C668" s="219">
        <v>11</v>
      </c>
      <c r="E668" s="474" t="s">
        <v>590</v>
      </c>
      <c r="F668" s="24" t="s">
        <v>824</v>
      </c>
      <c r="G668" s="859" t="s">
        <v>35</v>
      </c>
      <c r="H668" s="858">
        <v>7747</v>
      </c>
      <c r="I668" s="172" t="s">
        <v>161</v>
      </c>
      <c r="J668" s="168"/>
      <c r="K668" s="189"/>
      <c r="L668" s="858">
        <v>1</v>
      </c>
      <c r="M668" s="858">
        <f>K668+L668</f>
        <v>1</v>
      </c>
      <c r="N668" s="857" t="s">
        <v>892</v>
      </c>
      <c r="O668" s="1196">
        <v>20267</v>
      </c>
      <c r="P668" s="1218">
        <f t="shared" ref="P668:P679" ca="1" si="411">YEARFRAC(TODAY(),O668)</f>
        <v>62.263888888888886</v>
      </c>
      <c r="Q668" s="1148">
        <v>40000</v>
      </c>
      <c r="R668" s="874"/>
      <c r="S668" s="875"/>
      <c r="T668" s="875">
        <v>4000</v>
      </c>
      <c r="U668" s="875"/>
      <c r="V668" s="875"/>
      <c r="W668" s="875"/>
      <c r="X668" s="1026">
        <f t="shared" ref="X668:X679" si="412">(Q668+R668+S668+T668+U668+V668+W668)*M668</f>
        <v>44000</v>
      </c>
      <c r="Y668" s="1512">
        <f t="shared" ref="Y668:Y679" si="413">(T668+U668)*M668/(X668-M668*(T668+U668))</f>
        <v>0.1</v>
      </c>
      <c r="Z668" s="1741">
        <f t="shared" ref="Z668:Z679" si="414">M668*(1+Y668)</f>
        <v>1.1000000000000001</v>
      </c>
      <c r="AA668" s="1749">
        <f t="shared" ref="AA668:AA679" si="415">SUM(AD668:AS668)</f>
        <v>0</v>
      </c>
      <c r="AB668" s="1810">
        <f t="shared" ref="AB668:AB679" si="416">100*AA668/Z668</f>
        <v>0</v>
      </c>
      <c r="AC668" s="876"/>
      <c r="AD668" s="1525">
        <f t="shared" ref="AD668:AS679" si="417">SUMIF($AV$6:$BS$6,AD$5,$AV668:$BS668)</f>
        <v>0</v>
      </c>
      <c r="AE668" s="1525">
        <f t="shared" si="417"/>
        <v>0</v>
      </c>
      <c r="AF668" s="1525">
        <f t="shared" si="417"/>
        <v>0</v>
      </c>
      <c r="AG668" s="1525">
        <f t="shared" si="417"/>
        <v>0</v>
      </c>
      <c r="AH668" s="1525">
        <f t="shared" si="417"/>
        <v>0</v>
      </c>
      <c r="AI668" s="1525">
        <f t="shared" si="417"/>
        <v>0</v>
      </c>
      <c r="AJ668" s="1525">
        <f t="shared" si="417"/>
        <v>0</v>
      </c>
      <c r="AK668" s="1525">
        <f t="shared" si="417"/>
        <v>0</v>
      </c>
      <c r="AL668" s="1525">
        <f t="shared" si="417"/>
        <v>0</v>
      </c>
      <c r="AM668" s="1525">
        <f t="shared" si="417"/>
        <v>0</v>
      </c>
      <c r="AN668" s="1525">
        <f t="shared" si="417"/>
        <v>0</v>
      </c>
      <c r="AO668" s="1525">
        <f t="shared" si="417"/>
        <v>0</v>
      </c>
      <c r="AP668" s="1525">
        <f t="shared" si="417"/>
        <v>0</v>
      </c>
      <c r="AQ668" s="1525">
        <f t="shared" si="417"/>
        <v>0</v>
      </c>
      <c r="AR668" s="1525">
        <f t="shared" si="417"/>
        <v>0</v>
      </c>
      <c r="AS668" s="1525">
        <f t="shared" si="417"/>
        <v>0</v>
      </c>
      <c r="AU668" s="1525"/>
      <c r="AV668" s="1291"/>
      <c r="AW668" s="1292"/>
      <c r="AX668" s="1292"/>
      <c r="AY668" s="1292"/>
      <c r="AZ668" s="1292"/>
      <c r="BA668" s="1292"/>
      <c r="BB668" s="1292"/>
      <c r="BC668" s="1292"/>
      <c r="BD668" s="1292"/>
      <c r="BE668" s="1292"/>
      <c r="BF668" s="1292"/>
      <c r="BG668" s="1292"/>
      <c r="BH668" s="1292"/>
      <c r="BI668" s="1292"/>
      <c r="BJ668" s="1292"/>
      <c r="BK668" s="1292"/>
      <c r="BL668" s="1292"/>
      <c r="BM668" s="1292"/>
      <c r="BN668" s="1292"/>
      <c r="BO668" s="1292"/>
      <c r="BP668" s="1292"/>
      <c r="BQ668" s="1292"/>
      <c r="BR668" s="1292"/>
      <c r="BS668" s="1292"/>
      <c r="BT668" s="1670">
        <f t="shared" ref="BT668:BT679" si="418">SUM(AV668:BS668)</f>
        <v>0</v>
      </c>
      <c r="BW668" s="859" t="s">
        <v>35</v>
      </c>
    </row>
    <row r="669" spans="2:75" ht="12.75" customHeight="1" x14ac:dyDescent="0.2">
      <c r="B669" s="175">
        <f t="shared" si="410"/>
        <v>2</v>
      </c>
      <c r="C669" s="219">
        <v>28</v>
      </c>
      <c r="E669" s="474" t="s">
        <v>590</v>
      </c>
      <c r="F669" s="24" t="s">
        <v>1087</v>
      </c>
      <c r="G669" s="859" t="s">
        <v>374</v>
      </c>
      <c r="H669" s="858">
        <v>7785</v>
      </c>
      <c r="I669" s="172" t="s">
        <v>161</v>
      </c>
      <c r="J669" s="168"/>
      <c r="K669" s="189"/>
      <c r="L669" s="858">
        <v>1</v>
      </c>
      <c r="M669" s="858">
        <f>K669+L669</f>
        <v>1</v>
      </c>
      <c r="N669" s="857" t="s">
        <v>1326</v>
      </c>
      <c r="O669" s="1196">
        <v>19805</v>
      </c>
      <c r="P669" s="1218">
        <f t="shared" ca="1" si="411"/>
        <v>63.527777777777779</v>
      </c>
      <c r="Q669" s="1148">
        <v>25500</v>
      </c>
      <c r="R669" s="874">
        <f>Q669*0.1</f>
        <v>2550</v>
      </c>
      <c r="S669" s="875"/>
      <c r="T669" s="875"/>
      <c r="U669" s="875"/>
      <c r="V669" s="875"/>
      <c r="W669" s="875"/>
      <c r="X669" s="1026">
        <f t="shared" si="412"/>
        <v>28050</v>
      </c>
      <c r="Y669" s="1512">
        <f t="shared" si="413"/>
        <v>0</v>
      </c>
      <c r="Z669" s="1741">
        <f t="shared" si="414"/>
        <v>1</v>
      </c>
      <c r="AA669" s="1749">
        <f t="shared" si="415"/>
        <v>0</v>
      </c>
      <c r="AB669" s="1810">
        <f t="shared" si="416"/>
        <v>0</v>
      </c>
      <c r="AC669" s="876"/>
      <c r="AD669" s="1525">
        <f t="shared" si="417"/>
        <v>0</v>
      </c>
      <c r="AE669" s="1525">
        <f t="shared" si="417"/>
        <v>0</v>
      </c>
      <c r="AF669" s="1525">
        <f t="shared" si="417"/>
        <v>0</v>
      </c>
      <c r="AG669" s="1525">
        <f t="shared" si="417"/>
        <v>0</v>
      </c>
      <c r="AH669" s="1525">
        <f t="shared" si="417"/>
        <v>0</v>
      </c>
      <c r="AI669" s="1525">
        <f t="shared" si="417"/>
        <v>0</v>
      </c>
      <c r="AJ669" s="1525">
        <f t="shared" si="417"/>
        <v>0</v>
      </c>
      <c r="AK669" s="1525">
        <f t="shared" si="417"/>
        <v>0</v>
      </c>
      <c r="AL669" s="1525">
        <f t="shared" si="417"/>
        <v>0</v>
      </c>
      <c r="AM669" s="1525">
        <f t="shared" si="417"/>
        <v>0</v>
      </c>
      <c r="AN669" s="1525">
        <f t="shared" si="417"/>
        <v>0</v>
      </c>
      <c r="AO669" s="1525">
        <f t="shared" si="417"/>
        <v>0</v>
      </c>
      <c r="AP669" s="1525">
        <f t="shared" si="417"/>
        <v>0</v>
      </c>
      <c r="AQ669" s="1525">
        <f t="shared" si="417"/>
        <v>0</v>
      </c>
      <c r="AR669" s="1525">
        <f t="shared" si="417"/>
        <v>0</v>
      </c>
      <c r="AS669" s="1525">
        <f t="shared" si="417"/>
        <v>0</v>
      </c>
      <c r="AU669" s="1525"/>
      <c r="AV669" s="1291"/>
      <c r="AW669" s="1292"/>
      <c r="AX669" s="1292"/>
      <c r="AY669" s="1292"/>
      <c r="AZ669" s="1292"/>
      <c r="BA669" s="1292"/>
      <c r="BB669" s="1292"/>
      <c r="BC669" s="1292"/>
      <c r="BD669" s="1292"/>
      <c r="BE669" s="1292"/>
      <c r="BF669" s="1292"/>
      <c r="BG669" s="1292"/>
      <c r="BH669" s="1292"/>
      <c r="BI669" s="1292"/>
      <c r="BJ669" s="1292"/>
      <c r="BK669" s="1292"/>
      <c r="BL669" s="1292"/>
      <c r="BM669" s="1292"/>
      <c r="BN669" s="1292"/>
      <c r="BO669" s="1292"/>
      <c r="BP669" s="1292"/>
      <c r="BQ669" s="1292"/>
      <c r="BR669" s="1292"/>
      <c r="BS669" s="1292"/>
      <c r="BT669" s="1670">
        <f t="shared" si="418"/>
        <v>0</v>
      </c>
      <c r="BW669" s="859" t="s">
        <v>374</v>
      </c>
    </row>
    <row r="670" spans="2:75" ht="12.75" customHeight="1" x14ac:dyDescent="0.2">
      <c r="B670" s="175">
        <f t="shared" si="410"/>
        <v>3</v>
      </c>
      <c r="C670" s="219">
        <v>12</v>
      </c>
      <c r="E670" s="474" t="s">
        <v>590</v>
      </c>
      <c r="F670" s="24" t="s">
        <v>1235</v>
      </c>
      <c r="G670" s="859" t="s">
        <v>1839</v>
      </c>
      <c r="H670" s="1413">
        <v>151685</v>
      </c>
      <c r="I670" s="197" t="s">
        <v>1584</v>
      </c>
      <c r="J670" s="168">
        <v>1</v>
      </c>
      <c r="K670" s="189"/>
      <c r="L670" s="858">
        <v>0.5</v>
      </c>
      <c r="M670" s="858">
        <v>0.5</v>
      </c>
      <c r="N670" s="857" t="s">
        <v>892</v>
      </c>
      <c r="O670" s="1196">
        <v>29400</v>
      </c>
      <c r="P670" s="1218">
        <f t="shared" ca="1" si="411"/>
        <v>37.261111111111113</v>
      </c>
      <c r="Q670" s="1148">
        <v>38000</v>
      </c>
      <c r="R670" s="874"/>
      <c r="S670" s="875"/>
      <c r="T670" s="875">
        <v>10000</v>
      </c>
      <c r="U670" s="875"/>
      <c r="V670" s="875"/>
      <c r="W670" s="875"/>
      <c r="X670" s="1026">
        <f t="shared" si="412"/>
        <v>24000</v>
      </c>
      <c r="Y670" s="1512">
        <f t="shared" si="413"/>
        <v>0.26315789473684209</v>
      </c>
      <c r="Z670" s="1741">
        <f t="shared" si="414"/>
        <v>0.63157894736842102</v>
      </c>
      <c r="AA670" s="1749">
        <f t="shared" si="415"/>
        <v>0</v>
      </c>
      <c r="AB670" s="1810">
        <f t="shared" si="416"/>
        <v>0</v>
      </c>
      <c r="AC670" s="876"/>
      <c r="AD670" s="1525">
        <f t="shared" si="417"/>
        <v>0</v>
      </c>
      <c r="AE670" s="1525">
        <f t="shared" si="417"/>
        <v>0</v>
      </c>
      <c r="AF670" s="1525">
        <f t="shared" si="417"/>
        <v>0</v>
      </c>
      <c r="AG670" s="1525">
        <f t="shared" si="417"/>
        <v>0</v>
      </c>
      <c r="AH670" s="1525">
        <f t="shared" si="417"/>
        <v>0</v>
      </c>
      <c r="AI670" s="1525">
        <f t="shared" si="417"/>
        <v>0</v>
      </c>
      <c r="AJ670" s="1525">
        <f t="shared" si="417"/>
        <v>0</v>
      </c>
      <c r="AK670" s="1525">
        <f t="shared" si="417"/>
        <v>0</v>
      </c>
      <c r="AL670" s="1525">
        <f t="shared" si="417"/>
        <v>0</v>
      </c>
      <c r="AM670" s="1525">
        <f t="shared" si="417"/>
        <v>0</v>
      </c>
      <c r="AN670" s="1525">
        <f t="shared" si="417"/>
        <v>0</v>
      </c>
      <c r="AO670" s="1525">
        <f t="shared" si="417"/>
        <v>0</v>
      </c>
      <c r="AP670" s="1525">
        <f t="shared" si="417"/>
        <v>0</v>
      </c>
      <c r="AQ670" s="1525">
        <f t="shared" si="417"/>
        <v>0</v>
      </c>
      <c r="AR670" s="1525">
        <f t="shared" si="417"/>
        <v>0</v>
      </c>
      <c r="AS670" s="1525">
        <f t="shared" si="417"/>
        <v>0</v>
      </c>
      <c r="AU670" s="1525"/>
      <c r="AV670" s="1291"/>
      <c r="AW670" s="1292"/>
      <c r="AX670" s="1292"/>
      <c r="AY670" s="1292"/>
      <c r="AZ670" s="1292"/>
      <c r="BA670" s="1292"/>
      <c r="BB670" s="1292"/>
      <c r="BC670" s="1292"/>
      <c r="BD670" s="1292"/>
      <c r="BE670" s="1292"/>
      <c r="BF670" s="1292"/>
      <c r="BG670" s="1292"/>
      <c r="BH670" s="1292"/>
      <c r="BI670" s="1292"/>
      <c r="BJ670" s="1292"/>
      <c r="BK670" s="1292"/>
      <c r="BL670" s="1292"/>
      <c r="BM670" s="1292"/>
      <c r="BN670" s="1292"/>
      <c r="BO670" s="1292"/>
      <c r="BP670" s="1292"/>
      <c r="BQ670" s="1292"/>
      <c r="BR670" s="1292"/>
      <c r="BS670" s="1292"/>
      <c r="BT670" s="1670">
        <f t="shared" si="418"/>
        <v>0</v>
      </c>
      <c r="BW670" s="859" t="s">
        <v>1839</v>
      </c>
    </row>
    <row r="671" spans="2:75" ht="12.75" customHeight="1" x14ac:dyDescent="0.2">
      <c r="B671" s="175">
        <f t="shared" si="410"/>
        <v>4</v>
      </c>
      <c r="C671" s="219">
        <v>12</v>
      </c>
      <c r="E671" s="474" t="s">
        <v>590</v>
      </c>
      <c r="F671" s="24" t="s">
        <v>1235</v>
      </c>
      <c r="G671" s="859" t="s">
        <v>1801</v>
      </c>
      <c r="H671" s="858">
        <v>160442</v>
      </c>
      <c r="I671" s="197" t="s">
        <v>1584</v>
      </c>
      <c r="J671" s="168"/>
      <c r="K671" s="189"/>
      <c r="L671" s="858">
        <v>1</v>
      </c>
      <c r="M671" s="858">
        <v>1</v>
      </c>
      <c r="N671" s="857" t="s">
        <v>1326</v>
      </c>
      <c r="O671" s="1196">
        <v>24706</v>
      </c>
      <c r="P671" s="1218">
        <f t="shared" ca="1" si="411"/>
        <v>50.111111111111114</v>
      </c>
      <c r="Q671" s="1148">
        <v>37000</v>
      </c>
      <c r="R671" s="874">
        <f>Q671*0.1</f>
        <v>3700</v>
      </c>
      <c r="S671" s="875"/>
      <c r="T671" s="875">
        <v>5000</v>
      </c>
      <c r="U671" s="875"/>
      <c r="V671" s="875"/>
      <c r="W671" s="875"/>
      <c r="X671" s="1026">
        <f t="shared" si="412"/>
        <v>45700</v>
      </c>
      <c r="Y671" s="1512">
        <f t="shared" si="413"/>
        <v>0.12285012285012285</v>
      </c>
      <c r="Z671" s="1741">
        <f t="shared" si="414"/>
        <v>1.1228501228501229</v>
      </c>
      <c r="AA671" s="1749">
        <f t="shared" si="415"/>
        <v>0</v>
      </c>
      <c r="AB671" s="1810">
        <f t="shared" si="416"/>
        <v>0</v>
      </c>
      <c r="AC671" s="876"/>
      <c r="AD671" s="1525">
        <f t="shared" si="417"/>
        <v>0</v>
      </c>
      <c r="AE671" s="1525">
        <f t="shared" si="417"/>
        <v>0</v>
      </c>
      <c r="AF671" s="1525">
        <f t="shared" si="417"/>
        <v>0</v>
      </c>
      <c r="AG671" s="1525">
        <f t="shared" si="417"/>
        <v>0</v>
      </c>
      <c r="AH671" s="1525">
        <f t="shared" si="417"/>
        <v>0</v>
      </c>
      <c r="AI671" s="1525">
        <f t="shared" si="417"/>
        <v>0</v>
      </c>
      <c r="AJ671" s="1525">
        <f t="shared" si="417"/>
        <v>0</v>
      </c>
      <c r="AK671" s="1525">
        <f t="shared" si="417"/>
        <v>0</v>
      </c>
      <c r="AL671" s="1525">
        <f t="shared" si="417"/>
        <v>0</v>
      </c>
      <c r="AM671" s="1525">
        <f t="shared" si="417"/>
        <v>0</v>
      </c>
      <c r="AN671" s="1525">
        <f t="shared" si="417"/>
        <v>0</v>
      </c>
      <c r="AO671" s="1525">
        <f t="shared" si="417"/>
        <v>0</v>
      </c>
      <c r="AP671" s="1525">
        <f t="shared" si="417"/>
        <v>0</v>
      </c>
      <c r="AQ671" s="1525">
        <f t="shared" si="417"/>
        <v>0</v>
      </c>
      <c r="AR671" s="1525">
        <f t="shared" si="417"/>
        <v>0</v>
      </c>
      <c r="AS671" s="1525">
        <f t="shared" si="417"/>
        <v>0</v>
      </c>
      <c r="AU671" s="1525"/>
      <c r="AV671" s="1291"/>
      <c r="AW671" s="1292"/>
      <c r="AX671" s="1292"/>
      <c r="AY671" s="1292"/>
      <c r="AZ671" s="1292"/>
      <c r="BA671" s="1292"/>
      <c r="BB671" s="1292"/>
      <c r="BC671" s="1292"/>
      <c r="BD671" s="1292"/>
      <c r="BE671" s="1292"/>
      <c r="BF671" s="1292"/>
      <c r="BG671" s="1292"/>
      <c r="BH671" s="1292"/>
      <c r="BI671" s="1292"/>
      <c r="BJ671" s="1292"/>
      <c r="BK671" s="1292"/>
      <c r="BL671" s="1292"/>
      <c r="BM671" s="1292"/>
      <c r="BN671" s="1292"/>
      <c r="BO671" s="1292"/>
      <c r="BP671" s="1292"/>
      <c r="BQ671" s="1292"/>
      <c r="BR671" s="1292"/>
      <c r="BS671" s="1292"/>
      <c r="BT671" s="1670">
        <f t="shared" si="418"/>
        <v>0</v>
      </c>
      <c r="BW671" s="859" t="s">
        <v>1801</v>
      </c>
    </row>
    <row r="672" spans="2:75" ht="12.75" customHeight="1" x14ac:dyDescent="0.2">
      <c r="B672" s="175">
        <f t="shared" si="410"/>
        <v>5</v>
      </c>
      <c r="C672" s="219">
        <v>14</v>
      </c>
      <c r="E672" s="474" t="s">
        <v>590</v>
      </c>
      <c r="F672" s="4" t="s">
        <v>626</v>
      </c>
      <c r="G672" s="859" t="s">
        <v>375</v>
      </c>
      <c r="H672" s="858">
        <v>7737</v>
      </c>
      <c r="I672" s="197" t="s">
        <v>1584</v>
      </c>
      <c r="J672" s="174"/>
      <c r="K672" s="174"/>
      <c r="L672" s="858">
        <v>1</v>
      </c>
      <c r="M672" s="858">
        <f t="shared" ref="M672:M679" si="419">K672+L672</f>
        <v>1</v>
      </c>
      <c r="N672" s="857" t="s">
        <v>892</v>
      </c>
      <c r="O672" s="1196">
        <v>17524</v>
      </c>
      <c r="P672" s="1218">
        <f t="shared" ca="1" si="411"/>
        <v>69.775000000000006</v>
      </c>
      <c r="Q672" s="1148">
        <v>22500</v>
      </c>
      <c r="R672" s="874"/>
      <c r="S672" s="875"/>
      <c r="T672" s="875"/>
      <c r="U672" s="875"/>
      <c r="V672" s="875"/>
      <c r="W672" s="875"/>
      <c r="X672" s="1026">
        <f t="shared" si="412"/>
        <v>22500</v>
      </c>
      <c r="Y672" s="1512">
        <f t="shared" si="413"/>
        <v>0</v>
      </c>
      <c r="Z672" s="1741">
        <f t="shared" si="414"/>
        <v>1</v>
      </c>
      <c r="AA672" s="1749">
        <f t="shared" si="415"/>
        <v>0</v>
      </c>
      <c r="AB672" s="1810">
        <f t="shared" si="416"/>
        <v>0</v>
      </c>
      <c r="AC672" s="876"/>
      <c r="AD672" s="1525">
        <f t="shared" si="417"/>
        <v>0</v>
      </c>
      <c r="AE672" s="1525">
        <f t="shared" si="417"/>
        <v>0</v>
      </c>
      <c r="AF672" s="1525">
        <f t="shared" si="417"/>
        <v>0</v>
      </c>
      <c r="AG672" s="1525">
        <f t="shared" si="417"/>
        <v>0</v>
      </c>
      <c r="AH672" s="1525">
        <f t="shared" si="417"/>
        <v>0</v>
      </c>
      <c r="AI672" s="1525">
        <f t="shared" si="417"/>
        <v>0</v>
      </c>
      <c r="AJ672" s="1525">
        <f t="shared" si="417"/>
        <v>0</v>
      </c>
      <c r="AK672" s="1525">
        <f t="shared" si="417"/>
        <v>0</v>
      </c>
      <c r="AL672" s="1525">
        <f t="shared" si="417"/>
        <v>0</v>
      </c>
      <c r="AM672" s="1525">
        <f t="shared" si="417"/>
        <v>0</v>
      </c>
      <c r="AN672" s="1525">
        <f t="shared" si="417"/>
        <v>0</v>
      </c>
      <c r="AO672" s="1525">
        <f t="shared" si="417"/>
        <v>0</v>
      </c>
      <c r="AP672" s="1525">
        <f t="shared" si="417"/>
        <v>0</v>
      </c>
      <c r="AQ672" s="1525">
        <f t="shared" si="417"/>
        <v>0</v>
      </c>
      <c r="AR672" s="1525">
        <f t="shared" si="417"/>
        <v>0</v>
      </c>
      <c r="AS672" s="1525">
        <f t="shared" si="417"/>
        <v>0</v>
      </c>
      <c r="AU672" s="1525"/>
      <c r="AV672" s="1291"/>
      <c r="AW672" s="1292"/>
      <c r="AX672" s="1292"/>
      <c r="AY672" s="1292"/>
      <c r="AZ672" s="1292"/>
      <c r="BA672" s="1292"/>
      <c r="BB672" s="1292"/>
      <c r="BC672" s="1292"/>
      <c r="BD672" s="1292"/>
      <c r="BE672" s="1292"/>
      <c r="BF672" s="1292"/>
      <c r="BG672" s="1292"/>
      <c r="BH672" s="1292"/>
      <c r="BI672" s="1292"/>
      <c r="BJ672" s="1292"/>
      <c r="BK672" s="1292"/>
      <c r="BL672" s="1292"/>
      <c r="BM672" s="1292"/>
      <c r="BN672" s="1292"/>
      <c r="BO672" s="1292"/>
      <c r="BP672" s="1292"/>
      <c r="BQ672" s="1292"/>
      <c r="BR672" s="1292"/>
      <c r="BS672" s="1292"/>
      <c r="BT672" s="1670">
        <f t="shared" si="418"/>
        <v>0</v>
      </c>
      <c r="BW672" s="859" t="s">
        <v>375</v>
      </c>
    </row>
    <row r="673" spans="2:75" ht="12.75" customHeight="1" x14ac:dyDescent="0.2">
      <c r="B673" s="175">
        <f t="shared" si="410"/>
        <v>6</v>
      </c>
      <c r="C673" s="220">
        <v>14</v>
      </c>
      <c r="D673" s="170"/>
      <c r="E673" s="1306" t="s">
        <v>590</v>
      </c>
      <c r="F673" s="4" t="s">
        <v>626</v>
      </c>
      <c r="G673" s="862" t="s">
        <v>410</v>
      </c>
      <c r="H673" s="861">
        <v>133322</v>
      </c>
      <c r="I673" s="197" t="s">
        <v>1584</v>
      </c>
      <c r="J673" s="174"/>
      <c r="K673" s="174"/>
      <c r="L673" s="861">
        <v>1</v>
      </c>
      <c r="M673" s="861">
        <f t="shared" si="419"/>
        <v>1</v>
      </c>
      <c r="N673" s="836" t="s">
        <v>892</v>
      </c>
      <c r="O673" s="1196">
        <v>20205</v>
      </c>
      <c r="P673" s="1262">
        <f t="shared" ca="1" si="411"/>
        <v>62.43333333333333</v>
      </c>
      <c r="Q673" s="1148">
        <v>22500</v>
      </c>
      <c r="R673" s="874"/>
      <c r="S673" s="876"/>
      <c r="T673" s="876"/>
      <c r="U673" s="876"/>
      <c r="V673" s="876"/>
      <c r="W673" s="876"/>
      <c r="X673" s="1026">
        <f t="shared" si="412"/>
        <v>22500</v>
      </c>
      <c r="Y673" s="1512">
        <f t="shared" si="413"/>
        <v>0</v>
      </c>
      <c r="Z673" s="1741">
        <f t="shared" si="414"/>
        <v>1</v>
      </c>
      <c r="AA673" s="1749">
        <f t="shared" si="415"/>
        <v>0</v>
      </c>
      <c r="AB673" s="1810">
        <f t="shared" si="416"/>
        <v>0</v>
      </c>
      <c r="AC673" s="876"/>
      <c r="AD673" s="1525">
        <f t="shared" si="417"/>
        <v>0</v>
      </c>
      <c r="AE673" s="1525">
        <f t="shared" si="417"/>
        <v>0</v>
      </c>
      <c r="AF673" s="1525">
        <f t="shared" si="417"/>
        <v>0</v>
      </c>
      <c r="AG673" s="1525">
        <f t="shared" si="417"/>
        <v>0</v>
      </c>
      <c r="AH673" s="1525">
        <f t="shared" si="417"/>
        <v>0</v>
      </c>
      <c r="AI673" s="1525">
        <f t="shared" si="417"/>
        <v>0</v>
      </c>
      <c r="AJ673" s="1525">
        <f t="shared" si="417"/>
        <v>0</v>
      </c>
      <c r="AK673" s="1525">
        <f t="shared" si="417"/>
        <v>0</v>
      </c>
      <c r="AL673" s="1525">
        <f t="shared" si="417"/>
        <v>0</v>
      </c>
      <c r="AM673" s="1525">
        <f t="shared" si="417"/>
        <v>0</v>
      </c>
      <c r="AN673" s="1525">
        <f t="shared" si="417"/>
        <v>0</v>
      </c>
      <c r="AO673" s="1525">
        <f t="shared" si="417"/>
        <v>0</v>
      </c>
      <c r="AP673" s="1525">
        <f t="shared" si="417"/>
        <v>0</v>
      </c>
      <c r="AQ673" s="1525">
        <f t="shared" si="417"/>
        <v>0</v>
      </c>
      <c r="AR673" s="1525">
        <f t="shared" si="417"/>
        <v>0</v>
      </c>
      <c r="AS673" s="1525">
        <f t="shared" si="417"/>
        <v>0</v>
      </c>
      <c r="AU673" s="1525"/>
      <c r="AV673" s="1291"/>
      <c r="AW673" s="1292"/>
      <c r="AX673" s="1292"/>
      <c r="AY673" s="1292"/>
      <c r="AZ673" s="1292"/>
      <c r="BA673" s="1292"/>
      <c r="BB673" s="1292"/>
      <c r="BC673" s="1292"/>
      <c r="BD673" s="1292"/>
      <c r="BE673" s="1292"/>
      <c r="BF673" s="1292"/>
      <c r="BG673" s="1292"/>
      <c r="BH673" s="1292"/>
      <c r="BI673" s="1292"/>
      <c r="BJ673" s="1292"/>
      <c r="BK673" s="1292"/>
      <c r="BL673" s="1292"/>
      <c r="BM673" s="1292"/>
      <c r="BN673" s="1292"/>
      <c r="BO673" s="1292"/>
      <c r="BP673" s="1292"/>
      <c r="BQ673" s="1292"/>
      <c r="BR673" s="1292"/>
      <c r="BS673" s="1292"/>
      <c r="BT673" s="1670">
        <f t="shared" si="418"/>
        <v>0</v>
      </c>
      <c r="BW673" s="862" t="s">
        <v>410</v>
      </c>
    </row>
    <row r="674" spans="2:75" ht="12.75" customHeight="1" x14ac:dyDescent="0.2">
      <c r="B674" s="175">
        <f t="shared" si="410"/>
        <v>7</v>
      </c>
      <c r="C674" s="219">
        <v>14</v>
      </c>
      <c r="E674" s="474" t="s">
        <v>590</v>
      </c>
      <c r="F674" s="4" t="s">
        <v>626</v>
      </c>
      <c r="G674" s="859" t="s">
        <v>376</v>
      </c>
      <c r="H674" s="858">
        <v>66080</v>
      </c>
      <c r="I674" s="197" t="s">
        <v>1584</v>
      </c>
      <c r="J674" s="174"/>
      <c r="K674" s="174"/>
      <c r="L674" s="858">
        <v>1</v>
      </c>
      <c r="M674" s="858">
        <f t="shared" si="419"/>
        <v>1</v>
      </c>
      <c r="N674" s="857" t="s">
        <v>892</v>
      </c>
      <c r="O674" s="1196">
        <v>22912</v>
      </c>
      <c r="P674" s="1218">
        <f t="shared" ca="1" si="411"/>
        <v>55.024999999999999</v>
      </c>
      <c r="Q674" s="1148">
        <v>22500</v>
      </c>
      <c r="R674" s="874"/>
      <c r="S674" s="875"/>
      <c r="T674" s="875"/>
      <c r="U674" s="875"/>
      <c r="V674" s="875"/>
      <c r="W674" s="875"/>
      <c r="X674" s="1026">
        <f t="shared" si="412"/>
        <v>22500</v>
      </c>
      <c r="Y674" s="1512">
        <f t="shared" si="413"/>
        <v>0</v>
      </c>
      <c r="Z674" s="1741">
        <f t="shared" si="414"/>
        <v>1</v>
      </c>
      <c r="AA674" s="1749">
        <f t="shared" si="415"/>
        <v>0</v>
      </c>
      <c r="AB674" s="1810">
        <f t="shared" si="416"/>
        <v>0</v>
      </c>
      <c r="AC674" s="876"/>
      <c r="AD674" s="1525">
        <f t="shared" si="417"/>
        <v>0</v>
      </c>
      <c r="AE674" s="1525">
        <f t="shared" si="417"/>
        <v>0</v>
      </c>
      <c r="AF674" s="1525">
        <f t="shared" si="417"/>
        <v>0</v>
      </c>
      <c r="AG674" s="1525">
        <f t="shared" si="417"/>
        <v>0</v>
      </c>
      <c r="AH674" s="1525">
        <f t="shared" si="417"/>
        <v>0</v>
      </c>
      <c r="AI674" s="1525">
        <f t="shared" si="417"/>
        <v>0</v>
      </c>
      <c r="AJ674" s="1525">
        <f t="shared" si="417"/>
        <v>0</v>
      </c>
      <c r="AK674" s="1525">
        <f t="shared" si="417"/>
        <v>0</v>
      </c>
      <c r="AL674" s="1525">
        <f t="shared" si="417"/>
        <v>0</v>
      </c>
      <c r="AM674" s="1525">
        <f t="shared" si="417"/>
        <v>0</v>
      </c>
      <c r="AN674" s="1525">
        <f t="shared" si="417"/>
        <v>0</v>
      </c>
      <c r="AO674" s="1525">
        <f t="shared" si="417"/>
        <v>0</v>
      </c>
      <c r="AP674" s="1525">
        <f t="shared" si="417"/>
        <v>0</v>
      </c>
      <c r="AQ674" s="1525">
        <f t="shared" si="417"/>
        <v>0</v>
      </c>
      <c r="AR674" s="1525">
        <f t="shared" si="417"/>
        <v>0</v>
      </c>
      <c r="AS674" s="1525">
        <f t="shared" si="417"/>
        <v>0</v>
      </c>
      <c r="AU674" s="1525"/>
      <c r="AV674" s="1291"/>
      <c r="AW674" s="1292"/>
      <c r="AX674" s="1292"/>
      <c r="AY674" s="1292"/>
      <c r="AZ674" s="1292"/>
      <c r="BA674" s="1292"/>
      <c r="BB674" s="1292"/>
      <c r="BC674" s="1292"/>
      <c r="BD674" s="1292"/>
      <c r="BE674" s="1292"/>
      <c r="BF674" s="1292"/>
      <c r="BG674" s="1292"/>
      <c r="BH674" s="1292"/>
      <c r="BI674" s="1292"/>
      <c r="BJ674" s="1292"/>
      <c r="BK674" s="1292"/>
      <c r="BL674" s="1292"/>
      <c r="BM674" s="1292"/>
      <c r="BN674" s="1292"/>
      <c r="BO674" s="1292"/>
      <c r="BP674" s="1292"/>
      <c r="BQ674" s="1292"/>
      <c r="BR674" s="1292"/>
      <c r="BS674" s="1292"/>
      <c r="BT674" s="1670">
        <f t="shared" si="418"/>
        <v>0</v>
      </c>
      <c r="BW674" s="859" t="s">
        <v>376</v>
      </c>
    </row>
    <row r="675" spans="2:75" ht="12.75" customHeight="1" x14ac:dyDescent="0.2">
      <c r="B675" s="175">
        <f t="shared" si="410"/>
        <v>8</v>
      </c>
      <c r="C675" s="219">
        <v>14</v>
      </c>
      <c r="E675" s="474" t="s">
        <v>590</v>
      </c>
      <c r="F675" s="4" t="s">
        <v>626</v>
      </c>
      <c r="G675" s="859" t="s">
        <v>727</v>
      </c>
      <c r="H675" s="858">
        <v>3221</v>
      </c>
      <c r="I675" s="197" t="s">
        <v>1584</v>
      </c>
      <c r="J675" s="174"/>
      <c r="K675" s="174"/>
      <c r="L675" s="858">
        <v>1</v>
      </c>
      <c r="M675" s="858">
        <f t="shared" si="419"/>
        <v>1</v>
      </c>
      <c r="N675" s="857" t="s">
        <v>1326</v>
      </c>
      <c r="O675" s="1196">
        <v>19712</v>
      </c>
      <c r="P675" s="1218">
        <f t="shared" ca="1" si="411"/>
        <v>63.786111111111111</v>
      </c>
      <c r="Q675" s="1148">
        <v>22000</v>
      </c>
      <c r="R675" s="874">
        <f>Q675*0.1</f>
        <v>2200</v>
      </c>
      <c r="S675" s="875"/>
      <c r="T675" s="875"/>
      <c r="U675" s="875"/>
      <c r="V675" s="875"/>
      <c r="W675" s="875"/>
      <c r="X675" s="1026">
        <f t="shared" si="412"/>
        <v>24200</v>
      </c>
      <c r="Y675" s="1512">
        <f t="shared" si="413"/>
        <v>0</v>
      </c>
      <c r="Z675" s="1741">
        <f t="shared" si="414"/>
        <v>1</v>
      </c>
      <c r="AA675" s="1749">
        <f t="shared" si="415"/>
        <v>0</v>
      </c>
      <c r="AB675" s="1810">
        <f t="shared" si="416"/>
        <v>0</v>
      </c>
      <c r="AC675" s="876"/>
      <c r="AD675" s="1525">
        <f t="shared" si="417"/>
        <v>0</v>
      </c>
      <c r="AE675" s="1525">
        <f t="shared" si="417"/>
        <v>0</v>
      </c>
      <c r="AF675" s="1525">
        <f t="shared" si="417"/>
        <v>0</v>
      </c>
      <c r="AG675" s="1525">
        <f t="shared" si="417"/>
        <v>0</v>
      </c>
      <c r="AH675" s="1525">
        <f t="shared" si="417"/>
        <v>0</v>
      </c>
      <c r="AI675" s="1525">
        <f t="shared" si="417"/>
        <v>0</v>
      </c>
      <c r="AJ675" s="1525">
        <f t="shared" si="417"/>
        <v>0</v>
      </c>
      <c r="AK675" s="1525">
        <f t="shared" si="417"/>
        <v>0</v>
      </c>
      <c r="AL675" s="1525">
        <f t="shared" si="417"/>
        <v>0</v>
      </c>
      <c r="AM675" s="1525">
        <f t="shared" si="417"/>
        <v>0</v>
      </c>
      <c r="AN675" s="1525">
        <f t="shared" si="417"/>
        <v>0</v>
      </c>
      <c r="AO675" s="1525">
        <f t="shared" si="417"/>
        <v>0</v>
      </c>
      <c r="AP675" s="1525">
        <f t="shared" si="417"/>
        <v>0</v>
      </c>
      <c r="AQ675" s="1525">
        <f t="shared" si="417"/>
        <v>0</v>
      </c>
      <c r="AR675" s="1525">
        <f t="shared" si="417"/>
        <v>0</v>
      </c>
      <c r="AS675" s="1525">
        <f t="shared" si="417"/>
        <v>0</v>
      </c>
      <c r="AU675" s="1525"/>
      <c r="AV675" s="1291"/>
      <c r="AW675" s="1292"/>
      <c r="AX675" s="1292"/>
      <c r="AY675" s="1292"/>
      <c r="AZ675" s="1292"/>
      <c r="BA675" s="1292"/>
      <c r="BB675" s="1292"/>
      <c r="BC675" s="1292"/>
      <c r="BD675" s="1292"/>
      <c r="BE675" s="1292"/>
      <c r="BF675" s="1292"/>
      <c r="BG675" s="1292"/>
      <c r="BH675" s="1292"/>
      <c r="BI675" s="1292"/>
      <c r="BJ675" s="1292"/>
      <c r="BK675" s="1292"/>
      <c r="BL675" s="1292"/>
      <c r="BM675" s="1292"/>
      <c r="BN675" s="1292"/>
      <c r="BO675" s="1292"/>
      <c r="BP675" s="1292"/>
      <c r="BQ675" s="1292"/>
      <c r="BR675" s="1292"/>
      <c r="BS675" s="1292"/>
      <c r="BT675" s="1670">
        <f t="shared" si="418"/>
        <v>0</v>
      </c>
      <c r="BW675" s="859" t="s">
        <v>727</v>
      </c>
    </row>
    <row r="676" spans="2:75" ht="12.75" customHeight="1" x14ac:dyDescent="0.2">
      <c r="B676" s="175">
        <f t="shared" si="410"/>
        <v>9</v>
      </c>
      <c r="C676" s="219">
        <v>14</v>
      </c>
      <c r="E676" s="474" t="s">
        <v>590</v>
      </c>
      <c r="F676" s="4" t="s">
        <v>626</v>
      </c>
      <c r="G676" s="859" t="s">
        <v>377</v>
      </c>
      <c r="H676" s="858">
        <v>67991</v>
      </c>
      <c r="I676" s="197" t="s">
        <v>1584</v>
      </c>
      <c r="J676" s="174"/>
      <c r="K676" s="174"/>
      <c r="L676" s="858">
        <v>1</v>
      </c>
      <c r="M676" s="858">
        <f t="shared" si="419"/>
        <v>1</v>
      </c>
      <c r="N676" s="857" t="s">
        <v>892</v>
      </c>
      <c r="O676" s="1196">
        <v>23499</v>
      </c>
      <c r="P676" s="1218">
        <f t="shared" ca="1" si="411"/>
        <v>53.416666666666664</v>
      </c>
      <c r="Q676" s="1148">
        <v>25000</v>
      </c>
      <c r="R676" s="874"/>
      <c r="S676" s="875"/>
      <c r="T676" s="875"/>
      <c r="U676" s="875"/>
      <c r="V676" s="875"/>
      <c r="W676" s="875"/>
      <c r="X676" s="1026">
        <f t="shared" si="412"/>
        <v>25000</v>
      </c>
      <c r="Y676" s="1512">
        <f t="shared" si="413"/>
        <v>0</v>
      </c>
      <c r="Z676" s="1741">
        <f t="shared" si="414"/>
        <v>1</v>
      </c>
      <c r="AA676" s="1749">
        <f t="shared" si="415"/>
        <v>0</v>
      </c>
      <c r="AB676" s="1810">
        <f t="shared" si="416"/>
        <v>0</v>
      </c>
      <c r="AC676" s="876"/>
      <c r="AD676" s="1525">
        <f t="shared" si="417"/>
        <v>0</v>
      </c>
      <c r="AE676" s="1525">
        <f t="shared" si="417"/>
        <v>0</v>
      </c>
      <c r="AF676" s="1525">
        <f t="shared" si="417"/>
        <v>0</v>
      </c>
      <c r="AG676" s="1525">
        <f t="shared" si="417"/>
        <v>0</v>
      </c>
      <c r="AH676" s="1525">
        <f t="shared" si="417"/>
        <v>0</v>
      </c>
      <c r="AI676" s="1525">
        <f t="shared" si="417"/>
        <v>0</v>
      </c>
      <c r="AJ676" s="1525">
        <f t="shared" si="417"/>
        <v>0</v>
      </c>
      <c r="AK676" s="1525">
        <f t="shared" si="417"/>
        <v>0</v>
      </c>
      <c r="AL676" s="1525">
        <f t="shared" si="417"/>
        <v>0</v>
      </c>
      <c r="AM676" s="1525">
        <f t="shared" si="417"/>
        <v>0</v>
      </c>
      <c r="AN676" s="1525">
        <f t="shared" si="417"/>
        <v>0</v>
      </c>
      <c r="AO676" s="1525">
        <f t="shared" si="417"/>
        <v>0</v>
      </c>
      <c r="AP676" s="1525">
        <f t="shared" si="417"/>
        <v>0</v>
      </c>
      <c r="AQ676" s="1525">
        <f t="shared" si="417"/>
        <v>0</v>
      </c>
      <c r="AR676" s="1525">
        <f t="shared" si="417"/>
        <v>0</v>
      </c>
      <c r="AS676" s="1525">
        <f t="shared" si="417"/>
        <v>0</v>
      </c>
      <c r="AU676" s="1525"/>
      <c r="AV676" s="1291"/>
      <c r="AW676" s="1292"/>
      <c r="AX676" s="1292"/>
      <c r="AY676" s="1292"/>
      <c r="AZ676" s="1292"/>
      <c r="BA676" s="1292"/>
      <c r="BB676" s="1292"/>
      <c r="BC676" s="1292"/>
      <c r="BD676" s="1292"/>
      <c r="BE676" s="1292"/>
      <c r="BF676" s="1292"/>
      <c r="BG676" s="1292"/>
      <c r="BH676" s="1292"/>
      <c r="BI676" s="1292"/>
      <c r="BJ676" s="1292"/>
      <c r="BK676" s="1292"/>
      <c r="BL676" s="1292"/>
      <c r="BM676" s="1292"/>
      <c r="BN676" s="1292"/>
      <c r="BO676" s="1292"/>
      <c r="BP676" s="1292"/>
      <c r="BQ676" s="1292"/>
      <c r="BR676" s="1292"/>
      <c r="BS676" s="1292"/>
      <c r="BT676" s="1670">
        <f t="shared" si="418"/>
        <v>0</v>
      </c>
      <c r="BW676" s="859" t="s">
        <v>377</v>
      </c>
    </row>
    <row r="677" spans="2:75" ht="12.75" customHeight="1" x14ac:dyDescent="0.2">
      <c r="B677" s="175">
        <f t="shared" si="410"/>
        <v>10</v>
      </c>
      <c r="C677" s="219">
        <v>18</v>
      </c>
      <c r="E677" s="474" t="s">
        <v>590</v>
      </c>
      <c r="F677" s="4" t="s">
        <v>276</v>
      </c>
      <c r="G677" s="862" t="s">
        <v>277</v>
      </c>
      <c r="H677" s="861">
        <v>7819</v>
      </c>
      <c r="I677" s="197" t="s">
        <v>998</v>
      </c>
      <c r="J677" s="174"/>
      <c r="K677" s="174"/>
      <c r="L677" s="861">
        <v>1</v>
      </c>
      <c r="M677" s="861">
        <f t="shared" si="419"/>
        <v>1</v>
      </c>
      <c r="N677" s="857" t="s">
        <v>1326</v>
      </c>
      <c r="O677" s="1196">
        <v>20134</v>
      </c>
      <c r="P677" s="1218">
        <f t="shared" ca="1" si="411"/>
        <v>62.633333333333333</v>
      </c>
      <c r="Q677" s="1148">
        <v>23000</v>
      </c>
      <c r="R677" s="874">
        <f>Q677*0.1</f>
        <v>2300</v>
      </c>
      <c r="S677" s="875"/>
      <c r="T677" s="875"/>
      <c r="U677" s="875"/>
      <c r="V677" s="875"/>
      <c r="W677" s="875"/>
      <c r="X677" s="1026">
        <f t="shared" si="412"/>
        <v>25300</v>
      </c>
      <c r="Y677" s="1512">
        <f t="shared" si="413"/>
        <v>0</v>
      </c>
      <c r="Z677" s="1741">
        <f t="shared" si="414"/>
        <v>1</v>
      </c>
      <c r="AA677" s="1749">
        <f t="shared" si="415"/>
        <v>0</v>
      </c>
      <c r="AB677" s="1810">
        <f t="shared" si="416"/>
        <v>0</v>
      </c>
      <c r="AC677" s="876"/>
      <c r="AD677" s="1525">
        <f t="shared" si="417"/>
        <v>0</v>
      </c>
      <c r="AE677" s="1525">
        <f t="shared" si="417"/>
        <v>0</v>
      </c>
      <c r="AF677" s="1525">
        <f t="shared" si="417"/>
        <v>0</v>
      </c>
      <c r="AG677" s="1525">
        <f t="shared" si="417"/>
        <v>0</v>
      </c>
      <c r="AH677" s="1525">
        <f t="shared" si="417"/>
        <v>0</v>
      </c>
      <c r="AI677" s="1525">
        <f t="shared" si="417"/>
        <v>0</v>
      </c>
      <c r="AJ677" s="1525">
        <f t="shared" si="417"/>
        <v>0</v>
      </c>
      <c r="AK677" s="1525">
        <f t="shared" si="417"/>
        <v>0</v>
      </c>
      <c r="AL677" s="1525">
        <f t="shared" si="417"/>
        <v>0</v>
      </c>
      <c r="AM677" s="1525">
        <f t="shared" si="417"/>
        <v>0</v>
      </c>
      <c r="AN677" s="1525">
        <f t="shared" si="417"/>
        <v>0</v>
      </c>
      <c r="AO677" s="1525">
        <f t="shared" si="417"/>
        <v>0</v>
      </c>
      <c r="AP677" s="1525">
        <f t="shared" si="417"/>
        <v>0</v>
      </c>
      <c r="AQ677" s="1525">
        <f t="shared" si="417"/>
        <v>0</v>
      </c>
      <c r="AR677" s="1525">
        <f t="shared" si="417"/>
        <v>0</v>
      </c>
      <c r="AS677" s="1525">
        <f t="shared" si="417"/>
        <v>0</v>
      </c>
      <c r="AU677" s="1525"/>
      <c r="AV677" s="1291"/>
      <c r="AW677" s="1292"/>
      <c r="AX677" s="1292"/>
      <c r="AY677" s="1292"/>
      <c r="AZ677" s="1292"/>
      <c r="BA677" s="1292"/>
      <c r="BB677" s="1292"/>
      <c r="BC677" s="1292"/>
      <c r="BD677" s="1292"/>
      <c r="BE677" s="1292"/>
      <c r="BF677" s="1292"/>
      <c r="BG677" s="1292"/>
      <c r="BH677" s="1292"/>
      <c r="BI677" s="1292"/>
      <c r="BJ677" s="1292"/>
      <c r="BK677" s="1292"/>
      <c r="BL677" s="1292"/>
      <c r="BM677" s="1292"/>
      <c r="BN677" s="1292"/>
      <c r="BO677" s="1292"/>
      <c r="BP677" s="1292"/>
      <c r="BQ677" s="1292"/>
      <c r="BR677" s="1292"/>
      <c r="BS677" s="1292"/>
      <c r="BT677" s="1670">
        <f t="shared" si="418"/>
        <v>0</v>
      </c>
      <c r="BW677" s="862" t="s">
        <v>277</v>
      </c>
    </row>
    <row r="678" spans="2:75" ht="12.75" customHeight="1" x14ac:dyDescent="0.2">
      <c r="B678" s="175">
        <f t="shared" si="410"/>
        <v>11</v>
      </c>
      <c r="C678" s="219">
        <v>18</v>
      </c>
      <c r="E678" s="474" t="s">
        <v>590</v>
      </c>
      <c r="F678" s="4" t="s">
        <v>359</v>
      </c>
      <c r="G678" s="862" t="s">
        <v>14</v>
      </c>
      <c r="H678" s="861">
        <v>110413</v>
      </c>
      <c r="I678" s="197" t="s">
        <v>998</v>
      </c>
      <c r="J678" s="174"/>
      <c r="K678" s="174"/>
      <c r="L678" s="861">
        <v>1</v>
      </c>
      <c r="M678" s="861">
        <f t="shared" si="419"/>
        <v>1</v>
      </c>
      <c r="N678" s="857" t="s">
        <v>1326</v>
      </c>
      <c r="O678" s="1196">
        <v>25747</v>
      </c>
      <c r="P678" s="1218">
        <f t="shared" ca="1" si="411"/>
        <v>47.261111111111113</v>
      </c>
      <c r="Q678" s="1148">
        <v>22800</v>
      </c>
      <c r="R678" s="874">
        <f>Q678*0.1</f>
        <v>2280</v>
      </c>
      <c r="S678" s="875"/>
      <c r="T678" s="875"/>
      <c r="U678" s="875"/>
      <c r="V678" s="875"/>
      <c r="W678" s="875"/>
      <c r="X678" s="1026">
        <f t="shared" si="412"/>
        <v>25080</v>
      </c>
      <c r="Y678" s="1512">
        <f t="shared" si="413"/>
        <v>0</v>
      </c>
      <c r="Z678" s="1741">
        <f t="shared" si="414"/>
        <v>1</v>
      </c>
      <c r="AA678" s="1749">
        <f t="shared" si="415"/>
        <v>0</v>
      </c>
      <c r="AB678" s="1810">
        <f t="shared" si="416"/>
        <v>0</v>
      </c>
      <c r="AC678" s="876"/>
      <c r="AD678" s="1525">
        <f t="shared" si="417"/>
        <v>0</v>
      </c>
      <c r="AE678" s="1525">
        <f t="shared" si="417"/>
        <v>0</v>
      </c>
      <c r="AF678" s="1525">
        <f t="shared" si="417"/>
        <v>0</v>
      </c>
      <c r="AG678" s="1525">
        <f t="shared" si="417"/>
        <v>0</v>
      </c>
      <c r="AH678" s="1525">
        <f t="shared" si="417"/>
        <v>0</v>
      </c>
      <c r="AI678" s="1525">
        <f t="shared" si="417"/>
        <v>0</v>
      </c>
      <c r="AJ678" s="1525">
        <f t="shared" si="417"/>
        <v>0</v>
      </c>
      <c r="AK678" s="1525">
        <f t="shared" si="417"/>
        <v>0</v>
      </c>
      <c r="AL678" s="1525">
        <f t="shared" si="417"/>
        <v>0</v>
      </c>
      <c r="AM678" s="1525">
        <f t="shared" si="417"/>
        <v>0</v>
      </c>
      <c r="AN678" s="1525">
        <f t="shared" si="417"/>
        <v>0</v>
      </c>
      <c r="AO678" s="1525">
        <f t="shared" si="417"/>
        <v>0</v>
      </c>
      <c r="AP678" s="1525">
        <f t="shared" si="417"/>
        <v>0</v>
      </c>
      <c r="AQ678" s="1525">
        <f t="shared" si="417"/>
        <v>0</v>
      </c>
      <c r="AR678" s="1525">
        <f t="shared" si="417"/>
        <v>0</v>
      </c>
      <c r="AS678" s="1525">
        <f t="shared" si="417"/>
        <v>0</v>
      </c>
      <c r="AU678" s="1525"/>
      <c r="AV678" s="1291"/>
      <c r="AW678" s="1292"/>
      <c r="AX678" s="1292"/>
      <c r="AY678" s="1292"/>
      <c r="AZ678" s="1292"/>
      <c r="BA678" s="1292"/>
      <c r="BB678" s="1292"/>
      <c r="BC678" s="1292"/>
      <c r="BD678" s="1292"/>
      <c r="BE678" s="1292"/>
      <c r="BF678" s="1292"/>
      <c r="BG678" s="1292"/>
      <c r="BH678" s="1292"/>
      <c r="BI678" s="1292"/>
      <c r="BJ678" s="1292"/>
      <c r="BK678" s="1292"/>
      <c r="BL678" s="1292"/>
      <c r="BM678" s="1292"/>
      <c r="BN678" s="1292"/>
      <c r="BO678" s="1292"/>
      <c r="BP678" s="1292"/>
      <c r="BQ678" s="1292"/>
      <c r="BR678" s="1292"/>
      <c r="BS678" s="1292"/>
      <c r="BT678" s="1670">
        <f t="shared" si="418"/>
        <v>0</v>
      </c>
      <c r="BW678" s="862" t="s">
        <v>14</v>
      </c>
    </row>
    <row r="679" spans="2:75" ht="12.75" customHeight="1" x14ac:dyDescent="0.2">
      <c r="B679" s="175">
        <f t="shared" si="410"/>
        <v>12</v>
      </c>
      <c r="C679" s="219">
        <v>18</v>
      </c>
      <c r="E679" s="474" t="s">
        <v>590</v>
      </c>
      <c r="F679" s="26" t="s">
        <v>359</v>
      </c>
      <c r="G679" s="910" t="s">
        <v>456</v>
      </c>
      <c r="H679" s="873">
        <v>115533</v>
      </c>
      <c r="I679" s="196" t="s">
        <v>998</v>
      </c>
      <c r="J679" s="195"/>
      <c r="K679" s="195"/>
      <c r="L679" s="873">
        <v>1</v>
      </c>
      <c r="M679" s="873">
        <f t="shared" si="419"/>
        <v>1</v>
      </c>
      <c r="N679" s="872" t="s">
        <v>1326</v>
      </c>
      <c r="O679" s="1196">
        <v>20823</v>
      </c>
      <c r="P679" s="1218">
        <f t="shared" ca="1" si="411"/>
        <v>60.74722222222222</v>
      </c>
      <c r="Q679" s="1148">
        <v>22800</v>
      </c>
      <c r="R679" s="874">
        <f>Q679*0.1</f>
        <v>2280</v>
      </c>
      <c r="S679" s="875"/>
      <c r="T679" s="875"/>
      <c r="U679" s="875"/>
      <c r="V679" s="875"/>
      <c r="W679" s="875"/>
      <c r="X679" s="1026">
        <f t="shared" si="412"/>
        <v>25080</v>
      </c>
      <c r="Y679" s="1512">
        <f t="shared" si="413"/>
        <v>0</v>
      </c>
      <c r="Z679" s="1741">
        <f t="shared" si="414"/>
        <v>1</v>
      </c>
      <c r="AA679" s="1749">
        <f t="shared" si="415"/>
        <v>0</v>
      </c>
      <c r="AB679" s="1810">
        <f t="shared" si="416"/>
        <v>0</v>
      </c>
      <c r="AC679" s="876"/>
      <c r="AD679" s="1525">
        <f t="shared" si="417"/>
        <v>0</v>
      </c>
      <c r="AE679" s="1525">
        <f t="shared" si="417"/>
        <v>0</v>
      </c>
      <c r="AF679" s="1525">
        <f t="shared" si="417"/>
        <v>0</v>
      </c>
      <c r="AG679" s="1525">
        <f t="shared" si="417"/>
        <v>0</v>
      </c>
      <c r="AH679" s="1525">
        <f t="shared" si="417"/>
        <v>0</v>
      </c>
      <c r="AI679" s="1525">
        <f t="shared" si="417"/>
        <v>0</v>
      </c>
      <c r="AJ679" s="1525">
        <f t="shared" si="417"/>
        <v>0</v>
      </c>
      <c r="AK679" s="1525">
        <f t="shared" si="417"/>
        <v>0</v>
      </c>
      <c r="AL679" s="1525">
        <f t="shared" si="417"/>
        <v>0</v>
      </c>
      <c r="AM679" s="1525">
        <f t="shared" si="417"/>
        <v>0</v>
      </c>
      <c r="AN679" s="1525">
        <f t="shared" si="417"/>
        <v>0</v>
      </c>
      <c r="AO679" s="1525">
        <f t="shared" si="417"/>
        <v>0</v>
      </c>
      <c r="AP679" s="1525">
        <f t="shared" si="417"/>
        <v>0</v>
      </c>
      <c r="AQ679" s="1525">
        <f t="shared" si="417"/>
        <v>0</v>
      </c>
      <c r="AR679" s="1525">
        <f t="shared" si="417"/>
        <v>0</v>
      </c>
      <c r="AS679" s="1525">
        <f t="shared" si="417"/>
        <v>0</v>
      </c>
      <c r="AU679" s="1525"/>
      <c r="AV679" s="1291"/>
      <c r="AW679" s="1292"/>
      <c r="AX679" s="1292"/>
      <c r="AY679" s="1292"/>
      <c r="AZ679" s="1292"/>
      <c r="BA679" s="1292"/>
      <c r="BB679" s="1292"/>
      <c r="BC679" s="1292"/>
      <c r="BD679" s="1292"/>
      <c r="BE679" s="1292"/>
      <c r="BF679" s="1292"/>
      <c r="BG679" s="1292"/>
      <c r="BH679" s="1292"/>
      <c r="BI679" s="1292"/>
      <c r="BJ679" s="1292"/>
      <c r="BK679" s="1292"/>
      <c r="BL679" s="1292"/>
      <c r="BM679" s="1292"/>
      <c r="BN679" s="1292"/>
      <c r="BO679" s="1292"/>
      <c r="BP679" s="1292"/>
      <c r="BQ679" s="1292"/>
      <c r="BR679" s="1292"/>
      <c r="BS679" s="1292"/>
      <c r="BT679" s="1670">
        <f t="shared" si="418"/>
        <v>0</v>
      </c>
      <c r="BW679" s="910" t="s">
        <v>456</v>
      </c>
    </row>
    <row r="680" spans="2:75" s="164" customFormat="1" ht="12.75" customHeight="1" x14ac:dyDescent="0.15">
      <c r="B680" s="175"/>
      <c r="C680" s="219" t="s">
        <v>1120</v>
      </c>
      <c r="F680" s="24" t="s">
        <v>1289</v>
      </c>
      <c r="G680" s="859"/>
      <c r="H680" s="1361" t="s">
        <v>1508</v>
      </c>
      <c r="I680" s="200"/>
      <c r="J680" s="189"/>
      <c r="K680" s="448">
        <f>SUM(K668:K677)</f>
        <v>0</v>
      </c>
      <c r="L680" s="902">
        <f>SUM(L668:L679)</f>
        <v>11.5</v>
      </c>
      <c r="M680" s="902">
        <f>SUM(M668:M679)</f>
        <v>11.5</v>
      </c>
      <c r="N680" s="857"/>
      <c r="O680" s="1200"/>
      <c r="P680" s="550"/>
      <c r="Q680" s="1153"/>
      <c r="R680" s="877"/>
      <c r="S680" s="875"/>
      <c r="T680" s="875"/>
      <c r="U680" s="875"/>
      <c r="V680" s="875"/>
      <c r="W680" s="875"/>
      <c r="X680" s="1026"/>
      <c r="Y680" s="1335"/>
      <c r="Z680" s="1335"/>
      <c r="AA680" s="1775"/>
      <c r="AB680" s="1814"/>
      <c r="AC680" s="876"/>
      <c r="AD680" s="1295"/>
      <c r="AE680" s="1525"/>
      <c r="AF680" s="1525"/>
      <c r="AG680" s="1525"/>
      <c r="AH680" s="1525"/>
      <c r="AI680" s="1525"/>
      <c r="AJ680" s="1525"/>
      <c r="AK680" s="1525"/>
      <c r="AL680" s="1525"/>
      <c r="AM680" s="1525"/>
      <c r="AN680" s="1525"/>
      <c r="AO680" s="1525"/>
      <c r="AP680" s="1525"/>
      <c r="AQ680" s="1525"/>
      <c r="AR680" s="1525"/>
      <c r="AS680" s="1525"/>
      <c r="AU680" s="1525"/>
      <c r="AV680" s="1295"/>
      <c r="AW680" s="1525"/>
      <c r="AX680" s="1525"/>
      <c r="AY680" s="1525"/>
      <c r="AZ680" s="1525"/>
      <c r="BA680" s="1525"/>
      <c r="BB680" s="1525"/>
      <c r="BC680" s="1525"/>
      <c r="BD680" s="1525"/>
      <c r="BE680" s="1525"/>
      <c r="BF680" s="1525"/>
      <c r="BG680" s="1525"/>
      <c r="BH680" s="1525"/>
      <c r="BI680" s="1525"/>
      <c r="BJ680" s="1525"/>
      <c r="BK680" s="1525"/>
      <c r="BL680" s="1525"/>
      <c r="BM680" s="1525"/>
      <c r="BN680" s="1525"/>
      <c r="BO680" s="1525"/>
      <c r="BP680" s="1525"/>
      <c r="BQ680" s="1525"/>
      <c r="BR680" s="1525"/>
      <c r="BS680" s="1525"/>
      <c r="BT680" s="1670"/>
      <c r="BV680"/>
      <c r="BW680" s="859"/>
    </row>
    <row r="681" spans="2:75" s="164" customFormat="1" ht="12.75" customHeight="1" x14ac:dyDescent="0.2">
      <c r="B681" s="175"/>
      <c r="F681" s="1"/>
      <c r="G681" s="856"/>
      <c r="H681" s="1364" t="s">
        <v>1508</v>
      </c>
      <c r="I681" s="172"/>
      <c r="J681" s="168"/>
      <c r="K681" s="168"/>
      <c r="L681" s="841"/>
      <c r="M681" s="841"/>
      <c r="N681" s="855"/>
      <c r="O681" s="1192"/>
      <c r="P681" s="550"/>
      <c r="Q681" s="1148"/>
      <c r="R681" s="874"/>
      <c r="S681" s="875"/>
      <c r="T681" s="875"/>
      <c r="U681" s="875"/>
      <c r="V681" s="875"/>
      <c r="W681" s="875"/>
      <c r="X681" s="1026"/>
      <c r="Y681" s="1754"/>
      <c r="Z681" s="1755"/>
      <c r="AA681" s="1775"/>
      <c r="AB681" s="1814"/>
      <c r="AC681" s="876"/>
      <c r="AD681" s="1295"/>
      <c r="AE681" s="1525"/>
      <c r="AF681" s="1525"/>
      <c r="AG681" s="1525"/>
      <c r="AH681" s="1525"/>
      <c r="AI681" s="1525"/>
      <c r="AJ681" s="1525"/>
      <c r="AK681" s="1525"/>
      <c r="AL681" s="1525"/>
      <c r="AM681" s="1525"/>
      <c r="AN681" s="1525"/>
      <c r="AO681" s="1525"/>
      <c r="AP681" s="1525"/>
      <c r="AQ681" s="1525"/>
      <c r="AR681" s="1525"/>
      <c r="AS681" s="1525"/>
      <c r="AU681" s="1525"/>
      <c r="AV681" s="1295"/>
      <c r="AW681" s="1525"/>
      <c r="AX681" s="1525"/>
      <c r="AY681" s="1525"/>
      <c r="AZ681" s="1525"/>
      <c r="BA681" s="1525"/>
      <c r="BB681" s="1525"/>
      <c r="BC681" s="1525"/>
      <c r="BD681" s="1525"/>
      <c r="BE681" s="1525"/>
      <c r="BF681" s="1525"/>
      <c r="BG681" s="1525"/>
      <c r="BH681" s="1525"/>
      <c r="BI681" s="1525"/>
      <c r="BJ681" s="1525"/>
      <c r="BK681" s="1525"/>
      <c r="BL681" s="1525"/>
      <c r="BM681" s="1525"/>
      <c r="BN681" s="1525"/>
      <c r="BO681" s="1525"/>
      <c r="BP681" s="1525"/>
      <c r="BQ681" s="1525"/>
      <c r="BR681" s="1525"/>
      <c r="BS681" s="1525"/>
      <c r="BT681" s="1670"/>
      <c r="BV681"/>
      <c r="BW681" s="856"/>
    </row>
    <row r="682" spans="2:75" s="164" customFormat="1" ht="12.75" customHeight="1" x14ac:dyDescent="0.15">
      <c r="B682" s="175"/>
      <c r="F682" s="2" t="s">
        <v>805</v>
      </c>
      <c r="G682" s="825"/>
      <c r="H682" s="1347" t="s">
        <v>1508</v>
      </c>
      <c r="I682" s="197"/>
      <c r="J682" s="174"/>
      <c r="K682" s="174"/>
      <c r="L682" s="861"/>
      <c r="M682" s="861"/>
      <c r="N682" s="857"/>
      <c r="O682" s="1200"/>
      <c r="P682" s="550"/>
      <c r="Q682" s="1148"/>
      <c r="R682" s="874"/>
      <c r="S682" s="875"/>
      <c r="T682" s="875"/>
      <c r="U682" s="875"/>
      <c r="V682" s="875"/>
      <c r="W682" s="875"/>
      <c r="X682" s="1026"/>
      <c r="Y682" s="1754"/>
      <c r="Z682" s="1755"/>
      <c r="AA682" s="1775"/>
      <c r="AB682" s="1814"/>
      <c r="AC682" s="876"/>
      <c r="AD682" s="1295"/>
      <c r="AE682" s="1525"/>
      <c r="AF682" s="1525"/>
      <c r="AG682" s="1525"/>
      <c r="AH682" s="1525"/>
      <c r="AI682" s="1525"/>
      <c r="AJ682" s="1525"/>
      <c r="AK682" s="1525"/>
      <c r="AL682" s="1525"/>
      <c r="AM682" s="1525"/>
      <c r="AN682" s="1525"/>
      <c r="AO682" s="1525"/>
      <c r="AP682" s="1525"/>
      <c r="AQ682" s="1525"/>
      <c r="AR682" s="1525"/>
      <c r="AS682" s="1525"/>
      <c r="AU682" s="1525"/>
      <c r="AV682" s="1295"/>
      <c r="AW682" s="1525"/>
      <c r="AX682" s="1525"/>
      <c r="AY682" s="1525"/>
      <c r="AZ682" s="1525"/>
      <c r="BA682" s="1525"/>
      <c r="BB682" s="1525"/>
      <c r="BC682" s="1525"/>
      <c r="BD682" s="1525"/>
      <c r="BE682" s="1525"/>
      <c r="BF682" s="1525"/>
      <c r="BG682" s="1525"/>
      <c r="BH682" s="1525"/>
      <c r="BI682" s="1525"/>
      <c r="BJ682" s="1525"/>
      <c r="BK682" s="1525"/>
      <c r="BL682" s="1525"/>
      <c r="BM682" s="1525"/>
      <c r="BN682" s="1525"/>
      <c r="BO682" s="1525"/>
      <c r="BP682" s="1525"/>
      <c r="BQ682" s="1525"/>
      <c r="BR682" s="1525"/>
      <c r="BS682" s="1525"/>
      <c r="BT682" s="1670"/>
      <c r="BV682"/>
      <c r="BW682" s="825"/>
    </row>
    <row r="683" spans="2:75" s="164" customFormat="1" ht="12.75" customHeight="1" x14ac:dyDescent="0.15">
      <c r="B683" s="175"/>
      <c r="F683" s="2"/>
      <c r="G683" s="825"/>
      <c r="H683" s="1347" t="s">
        <v>1508</v>
      </c>
      <c r="I683" s="197"/>
      <c r="J683" s="174"/>
      <c r="K683" s="174"/>
      <c r="L683" s="861"/>
      <c r="M683" s="861"/>
      <c r="N683" s="857"/>
      <c r="O683" s="1200"/>
      <c r="P683" s="550"/>
      <c r="Q683" s="1148"/>
      <c r="R683" s="874"/>
      <c r="S683" s="875"/>
      <c r="T683" s="875"/>
      <c r="U683" s="875"/>
      <c r="V683" s="875"/>
      <c r="W683" s="875"/>
      <c r="X683" s="1026"/>
      <c r="Y683" s="1754"/>
      <c r="Z683" s="1755"/>
      <c r="AA683" s="1775"/>
      <c r="AB683" s="1814"/>
      <c r="AC683" s="876"/>
      <c r="AD683" s="1295"/>
      <c r="AE683" s="1525"/>
      <c r="AF683" s="1525"/>
      <c r="AG683" s="1525"/>
      <c r="AH683" s="1525"/>
      <c r="AI683" s="1525"/>
      <c r="AJ683" s="1525"/>
      <c r="AK683" s="1525"/>
      <c r="AL683" s="1525"/>
      <c r="AM683" s="1525"/>
      <c r="AN683" s="1525"/>
      <c r="AO683" s="1525"/>
      <c r="AP683" s="1525"/>
      <c r="AQ683" s="1525"/>
      <c r="AR683" s="1525"/>
      <c r="AS683" s="1525"/>
      <c r="AU683" s="1525"/>
      <c r="AV683" s="1295"/>
      <c r="AW683" s="1525"/>
      <c r="AX683" s="1525"/>
      <c r="AY683" s="1525"/>
      <c r="AZ683" s="1525"/>
      <c r="BA683" s="1525"/>
      <c r="BB683" s="1525"/>
      <c r="BC683" s="1525"/>
      <c r="BD683" s="1525"/>
      <c r="BE683" s="1525"/>
      <c r="BF683" s="1525"/>
      <c r="BG683" s="1525"/>
      <c r="BH683" s="1525"/>
      <c r="BI683" s="1525"/>
      <c r="BJ683" s="1525"/>
      <c r="BK683" s="1525"/>
      <c r="BL683" s="1525"/>
      <c r="BM683" s="1525"/>
      <c r="BN683" s="1525"/>
      <c r="BO683" s="1525"/>
      <c r="BP683" s="1525"/>
      <c r="BQ683" s="1525"/>
      <c r="BR683" s="1525"/>
      <c r="BS683" s="1525"/>
      <c r="BT683" s="1670"/>
      <c r="BV683"/>
      <c r="BW683" s="825"/>
    </row>
    <row r="684" spans="2:75" s="164" customFormat="1" ht="12.75" customHeight="1" x14ac:dyDescent="0.2">
      <c r="B684" s="175">
        <f t="shared" si="410"/>
        <v>1</v>
      </c>
      <c r="C684" s="219">
        <v>11</v>
      </c>
      <c r="E684" s="474" t="s">
        <v>590</v>
      </c>
      <c r="F684" s="24" t="s">
        <v>824</v>
      </c>
      <c r="G684" s="859" t="s">
        <v>457</v>
      </c>
      <c r="H684" s="861">
        <v>114819</v>
      </c>
      <c r="I684" s="172" t="s">
        <v>161</v>
      </c>
      <c r="J684" s="174"/>
      <c r="K684" s="174"/>
      <c r="L684" s="861">
        <v>1</v>
      </c>
      <c r="M684" s="861">
        <v>1</v>
      </c>
      <c r="N684" s="857" t="s">
        <v>1326</v>
      </c>
      <c r="O684" s="1196">
        <v>23833</v>
      </c>
      <c r="P684" s="1218">
        <f t="shared" ref="P684:P694" ca="1" si="420">YEARFRAC(TODAY(),O684)</f>
        <v>52.50277777777778</v>
      </c>
      <c r="Q684" s="1148">
        <v>40000</v>
      </c>
      <c r="R684" s="874">
        <f>Q684*0.1</f>
        <v>4000</v>
      </c>
      <c r="S684" s="875"/>
      <c r="T684" s="875">
        <v>2000</v>
      </c>
      <c r="U684" s="875"/>
      <c r="V684" s="875"/>
      <c r="W684" s="875"/>
      <c r="X684" s="1026">
        <f t="shared" ref="X684:X698" si="421">(Q684+R684+S684+T684+U684+V684+W684)*M684</f>
        <v>46000</v>
      </c>
      <c r="Y684" s="1512">
        <f t="shared" ref="Y684:Y691" si="422">(T684+U684)*M684/(X684-M684*(T684+U684))</f>
        <v>4.5454545454545456E-2</v>
      </c>
      <c r="Z684" s="1741">
        <f t="shared" ref="Z684:Z698" si="423">M684*(1+Y684)</f>
        <v>1.0454545454545454</v>
      </c>
      <c r="AA684" s="1749">
        <f t="shared" ref="AA684:AA698" si="424">SUM(AD684:AS684)</f>
        <v>0</v>
      </c>
      <c r="AB684" s="1810">
        <f t="shared" ref="AB684:AB698" si="425">100*AA684/Z684</f>
        <v>0</v>
      </c>
      <c r="AC684" s="876"/>
      <c r="AD684" s="1525">
        <f t="shared" ref="AD684:AS698" si="426">SUMIF($AV$6:$BS$6,AD$5,$AV684:$BS684)</f>
        <v>0</v>
      </c>
      <c r="AE684" s="1525">
        <f t="shared" si="426"/>
        <v>0</v>
      </c>
      <c r="AF684" s="1525">
        <f t="shared" si="426"/>
        <v>0</v>
      </c>
      <c r="AG684" s="1525">
        <f t="shared" si="426"/>
        <v>0</v>
      </c>
      <c r="AH684" s="1525">
        <f t="shared" si="426"/>
        <v>0</v>
      </c>
      <c r="AI684" s="1525">
        <f t="shared" si="426"/>
        <v>0</v>
      </c>
      <c r="AJ684" s="1525">
        <f t="shared" si="426"/>
        <v>0</v>
      </c>
      <c r="AK684" s="1525">
        <f t="shared" si="426"/>
        <v>0</v>
      </c>
      <c r="AL684" s="1525">
        <f t="shared" si="426"/>
        <v>0</v>
      </c>
      <c r="AM684" s="1525">
        <f t="shared" si="426"/>
        <v>0</v>
      </c>
      <c r="AN684" s="1525">
        <f t="shared" si="426"/>
        <v>0</v>
      </c>
      <c r="AO684" s="1525">
        <f t="shared" si="426"/>
        <v>0</v>
      </c>
      <c r="AP684" s="1525">
        <f t="shared" si="426"/>
        <v>0</v>
      </c>
      <c r="AQ684" s="1525">
        <f t="shared" si="426"/>
        <v>0</v>
      </c>
      <c r="AR684" s="1525">
        <f t="shared" si="426"/>
        <v>0</v>
      </c>
      <c r="AS684" s="1525">
        <f t="shared" si="426"/>
        <v>0</v>
      </c>
      <c r="AU684" s="1525"/>
      <c r="AV684" s="1295"/>
      <c r="AW684" s="1525"/>
      <c r="AX684" s="1525"/>
      <c r="AY684" s="1525"/>
      <c r="AZ684" s="1525"/>
      <c r="BA684" s="1525"/>
      <c r="BB684" s="1525"/>
      <c r="BC684" s="1525"/>
      <c r="BD684" s="1525"/>
      <c r="BE684" s="1525"/>
      <c r="BF684" s="1525"/>
      <c r="BG684" s="1525"/>
      <c r="BH684" s="1525"/>
      <c r="BI684" s="1525"/>
      <c r="BJ684" s="1525"/>
      <c r="BK684" s="1525"/>
      <c r="BL684" s="1525"/>
      <c r="BM684" s="1525"/>
      <c r="BN684" s="1525"/>
      <c r="BO684" s="1525"/>
      <c r="BP684" s="1525"/>
      <c r="BQ684" s="1525"/>
      <c r="BR684" s="1525"/>
      <c r="BS684" s="1525"/>
      <c r="BT684" s="1670">
        <f t="shared" ref="BT684:BT698" si="427">SUM(AV684:BS684)</f>
        <v>0</v>
      </c>
      <c r="BV684"/>
      <c r="BW684" s="859" t="s">
        <v>457</v>
      </c>
    </row>
    <row r="685" spans="2:75" ht="12.75" customHeight="1" x14ac:dyDescent="0.2">
      <c r="B685" s="175">
        <f t="shared" si="410"/>
        <v>2</v>
      </c>
      <c r="C685" s="219">
        <v>29</v>
      </c>
      <c r="E685" s="474" t="s">
        <v>590</v>
      </c>
      <c r="F685" s="37" t="s">
        <v>465</v>
      </c>
      <c r="G685" s="862" t="s">
        <v>55</v>
      </c>
      <c r="H685" s="861">
        <v>290279</v>
      </c>
      <c r="I685" s="180" t="s">
        <v>161</v>
      </c>
      <c r="J685" s="173"/>
      <c r="K685" s="173"/>
      <c r="L685" s="861">
        <v>1</v>
      </c>
      <c r="M685" s="861">
        <v>1</v>
      </c>
      <c r="N685" s="836" t="s">
        <v>1326</v>
      </c>
      <c r="O685" s="1196">
        <v>19877</v>
      </c>
      <c r="P685" s="1218">
        <f t="shared" ca="1" si="420"/>
        <v>63.333333333333336</v>
      </c>
      <c r="Q685" s="1148">
        <v>35000</v>
      </c>
      <c r="R685" s="874">
        <f>Q685*0.1</f>
        <v>3500</v>
      </c>
      <c r="S685" s="875"/>
      <c r="T685" s="875"/>
      <c r="U685" s="875"/>
      <c r="V685" s="875"/>
      <c r="W685" s="875"/>
      <c r="X685" s="1026">
        <f t="shared" si="421"/>
        <v>38500</v>
      </c>
      <c r="Y685" s="1512">
        <f t="shared" si="422"/>
        <v>0</v>
      </c>
      <c r="Z685" s="1741">
        <f t="shared" si="423"/>
        <v>1</v>
      </c>
      <c r="AA685" s="1749">
        <f t="shared" si="424"/>
        <v>0</v>
      </c>
      <c r="AB685" s="1810">
        <f t="shared" si="425"/>
        <v>0</v>
      </c>
      <c r="AC685" s="876"/>
      <c r="AD685" s="1525">
        <f t="shared" si="426"/>
        <v>0</v>
      </c>
      <c r="AE685" s="1525">
        <f t="shared" si="426"/>
        <v>0</v>
      </c>
      <c r="AF685" s="1525">
        <f t="shared" si="426"/>
        <v>0</v>
      </c>
      <c r="AG685" s="1525">
        <f t="shared" si="426"/>
        <v>0</v>
      </c>
      <c r="AH685" s="1525">
        <f t="shared" si="426"/>
        <v>0</v>
      </c>
      <c r="AI685" s="1525">
        <f t="shared" si="426"/>
        <v>0</v>
      </c>
      <c r="AJ685" s="1525">
        <f t="shared" si="426"/>
        <v>0</v>
      </c>
      <c r="AK685" s="1525">
        <f t="shared" si="426"/>
        <v>0</v>
      </c>
      <c r="AL685" s="1525">
        <f t="shared" si="426"/>
        <v>0</v>
      </c>
      <c r="AM685" s="1525">
        <f t="shared" si="426"/>
        <v>0</v>
      </c>
      <c r="AN685" s="1525">
        <f t="shared" si="426"/>
        <v>0</v>
      </c>
      <c r="AO685" s="1525">
        <f t="shared" si="426"/>
        <v>0</v>
      </c>
      <c r="AP685" s="1525">
        <f t="shared" si="426"/>
        <v>0</v>
      </c>
      <c r="AQ685" s="1525">
        <f t="shared" si="426"/>
        <v>0</v>
      </c>
      <c r="AR685" s="1525">
        <f t="shared" si="426"/>
        <v>0</v>
      </c>
      <c r="AS685" s="1525">
        <f t="shared" si="426"/>
        <v>0</v>
      </c>
      <c r="AU685" s="1525"/>
      <c r="AV685" s="1291"/>
      <c r="AW685" s="1292"/>
      <c r="AX685" s="1292"/>
      <c r="AY685" s="1292"/>
      <c r="AZ685" s="1292"/>
      <c r="BA685" s="1292"/>
      <c r="BB685" s="1292"/>
      <c r="BC685" s="1292"/>
      <c r="BD685" s="1292"/>
      <c r="BE685" s="1292"/>
      <c r="BF685" s="1292"/>
      <c r="BG685" s="1292"/>
      <c r="BH685" s="1292"/>
      <c r="BI685" s="1292"/>
      <c r="BJ685" s="1292"/>
      <c r="BK685" s="1292"/>
      <c r="BL685" s="1292"/>
      <c r="BM685" s="1292"/>
      <c r="BN685" s="1292"/>
      <c r="BO685" s="1292"/>
      <c r="BP685" s="1292"/>
      <c r="BQ685" s="1292"/>
      <c r="BR685" s="1292"/>
      <c r="BS685" s="1292"/>
      <c r="BT685" s="1670">
        <f t="shared" si="427"/>
        <v>0</v>
      </c>
      <c r="BW685" s="862" t="s">
        <v>55</v>
      </c>
    </row>
    <row r="686" spans="2:75" ht="12.75" customHeight="1" x14ac:dyDescent="0.2">
      <c r="B686" s="175">
        <f t="shared" si="410"/>
        <v>3</v>
      </c>
      <c r="C686" s="219">
        <v>12</v>
      </c>
      <c r="E686" s="474" t="s">
        <v>590</v>
      </c>
      <c r="F686" s="1" t="s">
        <v>1235</v>
      </c>
      <c r="G686" s="825" t="s">
        <v>1823</v>
      </c>
      <c r="H686" s="858">
        <v>68467</v>
      </c>
      <c r="I686" s="200" t="s">
        <v>583</v>
      </c>
      <c r="J686" s="168"/>
      <c r="K686" s="168"/>
      <c r="L686" s="858">
        <v>0.5</v>
      </c>
      <c r="M686" s="858">
        <v>0.5</v>
      </c>
      <c r="N686" s="857" t="s">
        <v>892</v>
      </c>
      <c r="O686" s="1196">
        <v>16073</v>
      </c>
      <c r="P686" s="1218">
        <f t="shared" ca="1" si="420"/>
        <v>73.75</v>
      </c>
      <c r="Q686" s="1148">
        <v>31700</v>
      </c>
      <c r="R686" s="874"/>
      <c r="S686" s="875"/>
      <c r="T686" s="875"/>
      <c r="U686" s="875"/>
      <c r="V686" s="875"/>
      <c r="W686" s="875"/>
      <c r="X686" s="1026">
        <f t="shared" si="421"/>
        <v>15850</v>
      </c>
      <c r="Y686" s="1512">
        <f t="shared" si="422"/>
        <v>0</v>
      </c>
      <c r="Z686" s="1741">
        <f t="shared" si="423"/>
        <v>0.5</v>
      </c>
      <c r="AA686" s="1749">
        <f t="shared" si="424"/>
        <v>0</v>
      </c>
      <c r="AB686" s="1810">
        <f t="shared" si="425"/>
        <v>0</v>
      </c>
      <c r="AC686" s="876"/>
      <c r="AD686" s="1525">
        <f t="shared" si="426"/>
        <v>0</v>
      </c>
      <c r="AE686" s="1525">
        <f t="shared" si="426"/>
        <v>0</v>
      </c>
      <c r="AF686" s="1525">
        <f t="shared" si="426"/>
        <v>0</v>
      </c>
      <c r="AG686" s="1525">
        <f t="shared" si="426"/>
        <v>0</v>
      </c>
      <c r="AH686" s="1525">
        <f t="shared" si="426"/>
        <v>0</v>
      </c>
      <c r="AI686" s="1525">
        <f t="shared" si="426"/>
        <v>0</v>
      </c>
      <c r="AJ686" s="1525">
        <f t="shared" si="426"/>
        <v>0</v>
      </c>
      <c r="AK686" s="1525">
        <f t="shared" si="426"/>
        <v>0</v>
      </c>
      <c r="AL686" s="1525">
        <f t="shared" si="426"/>
        <v>0</v>
      </c>
      <c r="AM686" s="1525">
        <f t="shared" si="426"/>
        <v>0</v>
      </c>
      <c r="AN686" s="1525">
        <f t="shared" si="426"/>
        <v>0</v>
      </c>
      <c r="AO686" s="1525">
        <f t="shared" si="426"/>
        <v>0</v>
      </c>
      <c r="AP686" s="1525">
        <f t="shared" si="426"/>
        <v>0</v>
      </c>
      <c r="AQ686" s="1525">
        <f t="shared" si="426"/>
        <v>0</v>
      </c>
      <c r="AR686" s="1525">
        <f t="shared" si="426"/>
        <v>0</v>
      </c>
      <c r="AS686" s="1525">
        <f t="shared" si="426"/>
        <v>0</v>
      </c>
      <c r="AU686" s="1525"/>
      <c r="AV686" s="1291"/>
      <c r="AW686" s="1292"/>
      <c r="AX686" s="1292"/>
      <c r="AY686" s="1292"/>
      <c r="AZ686" s="1292"/>
      <c r="BA686" s="1292"/>
      <c r="BB686" s="1292"/>
      <c r="BC686" s="1292"/>
      <c r="BD686" s="1292"/>
      <c r="BE686" s="1292"/>
      <c r="BF686" s="1292"/>
      <c r="BG686" s="1292"/>
      <c r="BH686" s="1292"/>
      <c r="BI686" s="1292"/>
      <c r="BJ686" s="1292"/>
      <c r="BK686" s="1292"/>
      <c r="BL686" s="1292"/>
      <c r="BM686" s="1292"/>
      <c r="BN686" s="1292"/>
      <c r="BO686" s="1292"/>
      <c r="BP686" s="1292"/>
      <c r="BQ686" s="1292"/>
      <c r="BR686" s="1292"/>
      <c r="BS686" s="1292"/>
      <c r="BT686" s="1670">
        <f t="shared" si="427"/>
        <v>0</v>
      </c>
      <c r="BW686" s="825" t="s">
        <v>1823</v>
      </c>
    </row>
    <row r="687" spans="2:75" ht="12.75" customHeight="1" x14ac:dyDescent="0.2">
      <c r="B687" s="175">
        <f t="shared" si="410"/>
        <v>4</v>
      </c>
      <c r="C687" s="219">
        <v>13</v>
      </c>
      <c r="E687" s="474" t="s">
        <v>590</v>
      </c>
      <c r="F687" s="4" t="s">
        <v>792</v>
      </c>
      <c r="G687" s="825" t="s">
        <v>1824</v>
      </c>
      <c r="H687" s="858">
        <v>3091</v>
      </c>
      <c r="I687" s="200" t="s">
        <v>583</v>
      </c>
      <c r="J687" s="168"/>
      <c r="K687" s="168"/>
      <c r="L687" s="858">
        <v>1</v>
      </c>
      <c r="M687" s="858">
        <v>1</v>
      </c>
      <c r="N687" s="857" t="s">
        <v>892</v>
      </c>
      <c r="O687" s="1196">
        <v>14492</v>
      </c>
      <c r="P687" s="1218">
        <f t="shared" ca="1" si="420"/>
        <v>78.077777777777783</v>
      </c>
      <c r="Q687" s="1148">
        <v>15500</v>
      </c>
      <c r="R687" s="874"/>
      <c r="S687" s="875"/>
      <c r="T687" s="875"/>
      <c r="U687" s="875"/>
      <c r="V687" s="875"/>
      <c r="W687" s="875"/>
      <c r="X687" s="1026">
        <f t="shared" si="421"/>
        <v>15500</v>
      </c>
      <c r="Y687" s="1512">
        <f t="shared" si="422"/>
        <v>0</v>
      </c>
      <c r="Z687" s="1741">
        <f t="shared" si="423"/>
        <v>1</v>
      </c>
      <c r="AA687" s="1749">
        <f t="shared" si="424"/>
        <v>0</v>
      </c>
      <c r="AB687" s="1810">
        <f t="shared" si="425"/>
        <v>0</v>
      </c>
      <c r="AC687" s="876"/>
      <c r="AD687" s="1525">
        <f t="shared" si="426"/>
        <v>0</v>
      </c>
      <c r="AE687" s="1525">
        <f t="shared" si="426"/>
        <v>0</v>
      </c>
      <c r="AF687" s="1525">
        <f t="shared" si="426"/>
        <v>0</v>
      </c>
      <c r="AG687" s="1525">
        <f t="shared" si="426"/>
        <v>0</v>
      </c>
      <c r="AH687" s="1525">
        <f t="shared" si="426"/>
        <v>0</v>
      </c>
      <c r="AI687" s="1525">
        <f t="shared" si="426"/>
        <v>0</v>
      </c>
      <c r="AJ687" s="1525">
        <f t="shared" si="426"/>
        <v>0</v>
      </c>
      <c r="AK687" s="1525">
        <f t="shared" si="426"/>
        <v>0</v>
      </c>
      <c r="AL687" s="1525">
        <f t="shared" si="426"/>
        <v>0</v>
      </c>
      <c r="AM687" s="1525">
        <f t="shared" si="426"/>
        <v>0</v>
      </c>
      <c r="AN687" s="1525">
        <f t="shared" si="426"/>
        <v>0</v>
      </c>
      <c r="AO687" s="1525">
        <f t="shared" si="426"/>
        <v>0</v>
      </c>
      <c r="AP687" s="1525">
        <f t="shared" si="426"/>
        <v>0</v>
      </c>
      <c r="AQ687" s="1525">
        <f t="shared" si="426"/>
        <v>0</v>
      </c>
      <c r="AR687" s="1525">
        <f t="shared" si="426"/>
        <v>0</v>
      </c>
      <c r="AS687" s="1525">
        <f t="shared" si="426"/>
        <v>0</v>
      </c>
      <c r="AU687" s="1525"/>
      <c r="AV687" s="1291"/>
      <c r="AW687" s="1292"/>
      <c r="AX687" s="1292"/>
      <c r="AY687" s="1292"/>
      <c r="AZ687" s="1292"/>
      <c r="BA687" s="1292"/>
      <c r="BB687" s="1292"/>
      <c r="BC687" s="1292"/>
      <c r="BD687" s="1292"/>
      <c r="BE687" s="1292"/>
      <c r="BF687" s="1292"/>
      <c r="BG687" s="1292"/>
      <c r="BH687" s="1292"/>
      <c r="BI687" s="1292"/>
      <c r="BJ687" s="1292"/>
      <c r="BK687" s="1292"/>
      <c r="BL687" s="1292"/>
      <c r="BM687" s="1292"/>
      <c r="BN687" s="1292"/>
      <c r="BO687" s="1292"/>
      <c r="BP687" s="1292"/>
      <c r="BQ687" s="1292"/>
      <c r="BR687" s="1292"/>
      <c r="BS687" s="1292"/>
      <c r="BT687" s="1670">
        <f t="shared" si="427"/>
        <v>0</v>
      </c>
      <c r="BW687" s="825" t="s">
        <v>1824</v>
      </c>
    </row>
    <row r="688" spans="2:75" ht="12.75" customHeight="1" x14ac:dyDescent="0.2">
      <c r="B688" s="175">
        <f t="shared" si="410"/>
        <v>5</v>
      </c>
      <c r="C688" s="219">
        <v>14</v>
      </c>
      <c r="E688" s="474" t="s">
        <v>590</v>
      </c>
      <c r="F688" s="24" t="s">
        <v>626</v>
      </c>
      <c r="G688" s="859" t="s">
        <v>164</v>
      </c>
      <c r="H688" s="858">
        <v>283448</v>
      </c>
      <c r="I688" s="200" t="s">
        <v>998</v>
      </c>
      <c r="J688" s="189"/>
      <c r="K688" s="189"/>
      <c r="L688" s="861">
        <v>1</v>
      </c>
      <c r="M688" s="858">
        <f>K688+L688</f>
        <v>1</v>
      </c>
      <c r="N688" s="857" t="s">
        <v>1326</v>
      </c>
      <c r="O688" s="1196">
        <v>30051</v>
      </c>
      <c r="P688" s="1218">
        <f t="shared" ca="1" si="420"/>
        <v>35.477777777777774</v>
      </c>
      <c r="Q688" s="1148">
        <v>28000</v>
      </c>
      <c r="R688" s="874">
        <f>Q688*0.1</f>
        <v>2800</v>
      </c>
      <c r="S688" s="875"/>
      <c r="T688" s="875"/>
      <c r="U688" s="875"/>
      <c r="V688" s="875"/>
      <c r="W688" s="875"/>
      <c r="X688" s="1026">
        <f t="shared" si="421"/>
        <v>30800</v>
      </c>
      <c r="Y688" s="1512">
        <f t="shared" si="422"/>
        <v>0</v>
      </c>
      <c r="Z688" s="1741">
        <f t="shared" si="423"/>
        <v>1</v>
      </c>
      <c r="AA688" s="1749">
        <f t="shared" si="424"/>
        <v>0</v>
      </c>
      <c r="AB688" s="1810">
        <f t="shared" si="425"/>
        <v>0</v>
      </c>
      <c r="AC688" s="876"/>
      <c r="AD688" s="1525">
        <f t="shared" si="426"/>
        <v>0</v>
      </c>
      <c r="AE688" s="1525">
        <f t="shared" si="426"/>
        <v>0</v>
      </c>
      <c r="AF688" s="1525">
        <f t="shared" si="426"/>
        <v>0</v>
      </c>
      <c r="AG688" s="1525">
        <f t="shared" si="426"/>
        <v>0</v>
      </c>
      <c r="AH688" s="1525">
        <f t="shared" si="426"/>
        <v>0</v>
      </c>
      <c r="AI688" s="1525">
        <f t="shared" si="426"/>
        <v>0</v>
      </c>
      <c r="AJ688" s="1525">
        <f t="shared" si="426"/>
        <v>0</v>
      </c>
      <c r="AK688" s="1525">
        <f t="shared" si="426"/>
        <v>0</v>
      </c>
      <c r="AL688" s="1525">
        <f t="shared" si="426"/>
        <v>0</v>
      </c>
      <c r="AM688" s="1525">
        <f t="shared" si="426"/>
        <v>0</v>
      </c>
      <c r="AN688" s="1525">
        <f t="shared" si="426"/>
        <v>0</v>
      </c>
      <c r="AO688" s="1525">
        <f t="shared" si="426"/>
        <v>0</v>
      </c>
      <c r="AP688" s="1525">
        <f t="shared" si="426"/>
        <v>0</v>
      </c>
      <c r="AQ688" s="1525">
        <f t="shared" si="426"/>
        <v>0</v>
      </c>
      <c r="AR688" s="1525">
        <f t="shared" si="426"/>
        <v>0</v>
      </c>
      <c r="AS688" s="1525">
        <f t="shared" si="426"/>
        <v>0</v>
      </c>
      <c r="AU688" s="1525"/>
      <c r="AV688" s="1291"/>
      <c r="AW688" s="1292"/>
      <c r="AX688" s="1292"/>
      <c r="AY688" s="1292"/>
      <c r="AZ688" s="1292"/>
      <c r="BA688" s="1292"/>
      <c r="BB688" s="1292"/>
      <c r="BC688" s="1292"/>
      <c r="BD688" s="1292"/>
      <c r="BE688" s="1292"/>
      <c r="BF688" s="1292"/>
      <c r="BG688" s="1292"/>
      <c r="BH688" s="1292"/>
      <c r="BI688" s="1292"/>
      <c r="BJ688" s="1292"/>
      <c r="BK688" s="1292"/>
      <c r="BL688" s="1292"/>
      <c r="BM688" s="1292"/>
      <c r="BN688" s="1292"/>
      <c r="BO688" s="1292"/>
      <c r="BP688" s="1292"/>
      <c r="BQ688" s="1292"/>
      <c r="BR688" s="1292"/>
      <c r="BS688" s="1292"/>
      <c r="BT688" s="1670">
        <f t="shared" si="427"/>
        <v>0</v>
      </c>
      <c r="BW688" s="859" t="s">
        <v>164</v>
      </c>
    </row>
    <row r="689" spans="2:75" ht="12.75" customHeight="1" x14ac:dyDescent="0.2">
      <c r="B689" s="175">
        <f t="shared" si="410"/>
        <v>6</v>
      </c>
      <c r="C689" s="219">
        <v>18</v>
      </c>
      <c r="E689" s="474" t="s">
        <v>590</v>
      </c>
      <c r="F689" s="4" t="s">
        <v>1710</v>
      </c>
      <c r="G689" s="859" t="s">
        <v>1979</v>
      </c>
      <c r="H689" s="1413">
        <v>164296</v>
      </c>
      <c r="I689" s="200" t="s">
        <v>998</v>
      </c>
      <c r="J689" s="189"/>
      <c r="K689" s="189"/>
      <c r="L689" s="861">
        <v>1</v>
      </c>
      <c r="M689" s="858">
        <v>1</v>
      </c>
      <c r="N689" s="857" t="s">
        <v>1326</v>
      </c>
      <c r="O689" s="1196">
        <v>24170</v>
      </c>
      <c r="P689" s="1218">
        <f t="shared" ca="1" si="420"/>
        <v>51.577777777777776</v>
      </c>
      <c r="Q689" s="1148">
        <v>24000</v>
      </c>
      <c r="R689" s="874">
        <f>Q689*0.1</f>
        <v>2400</v>
      </c>
      <c r="S689" s="875"/>
      <c r="T689" s="875"/>
      <c r="U689" s="875"/>
      <c r="V689" s="875"/>
      <c r="W689" s="875"/>
      <c r="X689" s="1026">
        <f t="shared" si="421"/>
        <v>26400</v>
      </c>
      <c r="Y689" s="1512">
        <f t="shared" si="422"/>
        <v>0</v>
      </c>
      <c r="Z689" s="1741">
        <f t="shared" si="423"/>
        <v>1</v>
      </c>
      <c r="AA689" s="1749">
        <f t="shared" si="424"/>
        <v>0</v>
      </c>
      <c r="AB689" s="1810">
        <f t="shared" si="425"/>
        <v>0</v>
      </c>
      <c r="AC689" s="876"/>
      <c r="AD689" s="1525">
        <f t="shared" si="426"/>
        <v>0</v>
      </c>
      <c r="AE689" s="1525">
        <f t="shared" si="426"/>
        <v>0</v>
      </c>
      <c r="AF689" s="1525">
        <f t="shared" si="426"/>
        <v>0</v>
      </c>
      <c r="AG689" s="1525">
        <f t="shared" si="426"/>
        <v>0</v>
      </c>
      <c r="AH689" s="1525">
        <f t="shared" si="426"/>
        <v>0</v>
      </c>
      <c r="AI689" s="1525">
        <f t="shared" si="426"/>
        <v>0</v>
      </c>
      <c r="AJ689" s="1525">
        <f t="shared" si="426"/>
        <v>0</v>
      </c>
      <c r="AK689" s="1525">
        <f t="shared" si="426"/>
        <v>0</v>
      </c>
      <c r="AL689" s="1525">
        <f t="shared" si="426"/>
        <v>0</v>
      </c>
      <c r="AM689" s="1525">
        <f t="shared" si="426"/>
        <v>0</v>
      </c>
      <c r="AN689" s="1525">
        <f t="shared" si="426"/>
        <v>0</v>
      </c>
      <c r="AO689" s="1525">
        <f t="shared" si="426"/>
        <v>0</v>
      </c>
      <c r="AP689" s="1525">
        <f t="shared" si="426"/>
        <v>0</v>
      </c>
      <c r="AQ689" s="1525">
        <f t="shared" si="426"/>
        <v>0</v>
      </c>
      <c r="AR689" s="1525">
        <f t="shared" si="426"/>
        <v>0</v>
      </c>
      <c r="AS689" s="1525">
        <f t="shared" si="426"/>
        <v>0</v>
      </c>
      <c r="AU689" s="1525"/>
      <c r="AV689" s="1291"/>
      <c r="AW689" s="1292"/>
      <c r="AX689" s="1292"/>
      <c r="AY689" s="1292"/>
      <c r="AZ689" s="1292"/>
      <c r="BA689" s="1292"/>
      <c r="BB689" s="1292"/>
      <c r="BC689" s="1292"/>
      <c r="BD689" s="1292"/>
      <c r="BE689" s="1292"/>
      <c r="BF689" s="1292"/>
      <c r="BG689" s="1292"/>
      <c r="BH689" s="1292"/>
      <c r="BI689" s="1292"/>
      <c r="BJ689" s="1292"/>
      <c r="BK689" s="1292"/>
      <c r="BL689" s="1292"/>
      <c r="BM689" s="1292"/>
      <c r="BN689" s="1292"/>
      <c r="BO689" s="1292"/>
      <c r="BP689" s="1292"/>
      <c r="BQ689" s="1292"/>
      <c r="BR689" s="1292"/>
      <c r="BS689" s="1292"/>
      <c r="BT689" s="1670">
        <f t="shared" si="427"/>
        <v>0</v>
      </c>
      <c r="BW689" s="859" t="s">
        <v>1979</v>
      </c>
    </row>
    <row r="690" spans="2:75" ht="12.75" customHeight="1" x14ac:dyDescent="0.2">
      <c r="B690" s="175">
        <f t="shared" si="410"/>
        <v>7</v>
      </c>
      <c r="C690" s="219">
        <v>18</v>
      </c>
      <c r="E690" s="474" t="s">
        <v>590</v>
      </c>
      <c r="F690" s="4" t="s">
        <v>1710</v>
      </c>
      <c r="G690" s="859" t="s">
        <v>1754</v>
      </c>
      <c r="H690" s="858">
        <v>153789</v>
      </c>
      <c r="I690" s="197" t="s">
        <v>998</v>
      </c>
      <c r="J690" s="189"/>
      <c r="K690" s="189"/>
      <c r="L690" s="861">
        <v>1</v>
      </c>
      <c r="M690" s="858">
        <v>1</v>
      </c>
      <c r="N690" s="857" t="s">
        <v>892</v>
      </c>
      <c r="O690" s="1196">
        <v>25856</v>
      </c>
      <c r="P690" s="1218">
        <f t="shared" ca="1" si="420"/>
        <v>46.963888888888889</v>
      </c>
      <c r="Q690" s="1148">
        <v>19000</v>
      </c>
      <c r="R690" s="874"/>
      <c r="S690" s="875"/>
      <c r="T690" s="875"/>
      <c r="U690" s="875"/>
      <c r="V690" s="875"/>
      <c r="W690" s="875"/>
      <c r="X690" s="1026">
        <f t="shared" si="421"/>
        <v>19000</v>
      </c>
      <c r="Y690" s="1512">
        <f t="shared" si="422"/>
        <v>0</v>
      </c>
      <c r="Z690" s="1741">
        <f t="shared" si="423"/>
        <v>1</v>
      </c>
      <c r="AA690" s="1749">
        <f t="shared" si="424"/>
        <v>0</v>
      </c>
      <c r="AB690" s="1810">
        <f t="shared" si="425"/>
        <v>0</v>
      </c>
      <c r="AC690" s="876"/>
      <c r="AD690" s="1525">
        <f t="shared" si="426"/>
        <v>0</v>
      </c>
      <c r="AE690" s="1525">
        <f t="shared" si="426"/>
        <v>0</v>
      </c>
      <c r="AF690" s="1525">
        <f t="shared" si="426"/>
        <v>0</v>
      </c>
      <c r="AG690" s="1525">
        <f t="shared" si="426"/>
        <v>0</v>
      </c>
      <c r="AH690" s="1525">
        <f t="shared" si="426"/>
        <v>0</v>
      </c>
      <c r="AI690" s="1525">
        <f t="shared" si="426"/>
        <v>0</v>
      </c>
      <c r="AJ690" s="1525">
        <f t="shared" si="426"/>
        <v>0</v>
      </c>
      <c r="AK690" s="1525">
        <f t="shared" si="426"/>
        <v>0</v>
      </c>
      <c r="AL690" s="1525">
        <f t="shared" si="426"/>
        <v>0</v>
      </c>
      <c r="AM690" s="1525">
        <f t="shared" si="426"/>
        <v>0</v>
      </c>
      <c r="AN690" s="1525">
        <f t="shared" si="426"/>
        <v>0</v>
      </c>
      <c r="AO690" s="1525">
        <f t="shared" si="426"/>
        <v>0</v>
      </c>
      <c r="AP690" s="1525">
        <f t="shared" si="426"/>
        <v>0</v>
      </c>
      <c r="AQ690" s="1525">
        <f t="shared" si="426"/>
        <v>0</v>
      </c>
      <c r="AR690" s="1525">
        <f t="shared" si="426"/>
        <v>0</v>
      </c>
      <c r="AS690" s="1525">
        <f t="shared" si="426"/>
        <v>0</v>
      </c>
      <c r="AU690" s="1525"/>
      <c r="AV690" s="1291"/>
      <c r="AW690" s="1292"/>
      <c r="AX690" s="1292"/>
      <c r="AY690" s="1292"/>
      <c r="AZ690" s="1292"/>
      <c r="BA690" s="1292"/>
      <c r="BB690" s="1292"/>
      <c r="BC690" s="1292"/>
      <c r="BD690" s="1292"/>
      <c r="BE690" s="1292"/>
      <c r="BF690" s="1292"/>
      <c r="BG690" s="1292"/>
      <c r="BH690" s="1292"/>
      <c r="BI690" s="1292"/>
      <c r="BJ690" s="1292"/>
      <c r="BK690" s="1292"/>
      <c r="BL690" s="1292"/>
      <c r="BM690" s="1292"/>
      <c r="BN690" s="1292"/>
      <c r="BO690" s="1292"/>
      <c r="BP690" s="1292"/>
      <c r="BQ690" s="1292"/>
      <c r="BR690" s="1292"/>
      <c r="BS690" s="1292"/>
      <c r="BT690" s="1670">
        <f t="shared" si="427"/>
        <v>0</v>
      </c>
      <c r="BW690" s="859" t="s">
        <v>1754</v>
      </c>
    </row>
    <row r="691" spans="2:75" ht="12.75" customHeight="1" x14ac:dyDescent="0.2">
      <c r="B691" s="175">
        <f t="shared" si="410"/>
        <v>8</v>
      </c>
      <c r="C691" s="219">
        <v>18</v>
      </c>
      <c r="E691" s="474" t="s">
        <v>590</v>
      </c>
      <c r="F691" s="4" t="s">
        <v>1773</v>
      </c>
      <c r="G691" s="859" t="s">
        <v>172</v>
      </c>
      <c r="H691" s="858">
        <v>155218</v>
      </c>
      <c r="I691" s="197" t="s">
        <v>998</v>
      </c>
      <c r="J691" s="189"/>
      <c r="K691" s="189"/>
      <c r="L691" s="861">
        <v>1</v>
      </c>
      <c r="M691" s="858">
        <v>1</v>
      </c>
      <c r="N691" s="857" t="s">
        <v>892</v>
      </c>
      <c r="O691" s="1196">
        <v>26011</v>
      </c>
      <c r="P691" s="1218">
        <f t="shared" ca="1" si="420"/>
        <v>46.536111111111111</v>
      </c>
      <c r="Q691" s="1148">
        <v>22000</v>
      </c>
      <c r="R691" s="874"/>
      <c r="S691" s="875"/>
      <c r="T691" s="875"/>
      <c r="U691" s="875"/>
      <c r="V691" s="875"/>
      <c r="W691" s="875"/>
      <c r="X691" s="1026">
        <f t="shared" si="421"/>
        <v>22000</v>
      </c>
      <c r="Y691" s="1512">
        <f t="shared" si="422"/>
        <v>0</v>
      </c>
      <c r="Z691" s="1741">
        <f t="shared" si="423"/>
        <v>1</v>
      </c>
      <c r="AA691" s="1749">
        <f t="shared" si="424"/>
        <v>0</v>
      </c>
      <c r="AB691" s="1810">
        <f t="shared" si="425"/>
        <v>0</v>
      </c>
      <c r="AC691" s="876"/>
      <c r="AD691" s="1525">
        <f t="shared" si="426"/>
        <v>0</v>
      </c>
      <c r="AE691" s="1525">
        <f t="shared" si="426"/>
        <v>0</v>
      </c>
      <c r="AF691" s="1525">
        <f t="shared" si="426"/>
        <v>0</v>
      </c>
      <c r="AG691" s="1525">
        <f t="shared" si="426"/>
        <v>0</v>
      </c>
      <c r="AH691" s="1525">
        <f t="shared" si="426"/>
        <v>0</v>
      </c>
      <c r="AI691" s="1525">
        <f t="shared" si="426"/>
        <v>0</v>
      </c>
      <c r="AJ691" s="1525">
        <f t="shared" si="426"/>
        <v>0</v>
      </c>
      <c r="AK691" s="1525">
        <f t="shared" si="426"/>
        <v>0</v>
      </c>
      <c r="AL691" s="1525">
        <f t="shared" si="426"/>
        <v>0</v>
      </c>
      <c r="AM691" s="1525">
        <f t="shared" si="426"/>
        <v>0</v>
      </c>
      <c r="AN691" s="1525">
        <f t="shared" si="426"/>
        <v>0</v>
      </c>
      <c r="AO691" s="1525">
        <f t="shared" si="426"/>
        <v>0</v>
      </c>
      <c r="AP691" s="1525">
        <f t="shared" si="426"/>
        <v>0</v>
      </c>
      <c r="AQ691" s="1525">
        <f t="shared" si="426"/>
        <v>0</v>
      </c>
      <c r="AR691" s="1525">
        <f t="shared" si="426"/>
        <v>0</v>
      </c>
      <c r="AS691" s="1525">
        <f t="shared" si="426"/>
        <v>0</v>
      </c>
      <c r="AU691" s="1525"/>
      <c r="AV691" s="1291"/>
      <c r="AW691" s="1292"/>
      <c r="AX691" s="1292"/>
      <c r="AY691" s="1292"/>
      <c r="AZ691" s="1292"/>
      <c r="BA691" s="1292"/>
      <c r="BB691" s="1292"/>
      <c r="BC691" s="1292"/>
      <c r="BD691" s="1292"/>
      <c r="BE691" s="1292"/>
      <c r="BF691" s="1292"/>
      <c r="BG691" s="1292"/>
      <c r="BH691" s="1292"/>
      <c r="BI691" s="1292"/>
      <c r="BJ691" s="1292"/>
      <c r="BK691" s="1292"/>
      <c r="BL691" s="1292"/>
      <c r="BM691" s="1292"/>
      <c r="BN691" s="1292"/>
      <c r="BO691" s="1292"/>
      <c r="BP691" s="1292"/>
      <c r="BQ691" s="1292"/>
      <c r="BR691" s="1292"/>
      <c r="BS691" s="1292"/>
      <c r="BT691" s="1670">
        <f t="shared" si="427"/>
        <v>0</v>
      </c>
      <c r="BW691" s="859" t="s">
        <v>172</v>
      </c>
    </row>
    <row r="692" spans="2:75" ht="12.75" customHeight="1" x14ac:dyDescent="0.2">
      <c r="B692" s="175">
        <f t="shared" si="410"/>
        <v>9</v>
      </c>
      <c r="C692" s="219">
        <v>18</v>
      </c>
      <c r="E692" s="474" t="s">
        <v>590</v>
      </c>
      <c r="F692" s="4" t="s">
        <v>565</v>
      </c>
      <c r="G692" s="862" t="s">
        <v>1223</v>
      </c>
      <c r="H692" s="861">
        <v>283220</v>
      </c>
      <c r="I692" s="197" t="s">
        <v>998</v>
      </c>
      <c r="J692" s="174"/>
      <c r="K692" s="174"/>
      <c r="L692" s="861">
        <v>1</v>
      </c>
      <c r="M692" s="861">
        <v>1</v>
      </c>
      <c r="N692" s="832" t="s">
        <v>1326</v>
      </c>
      <c r="O692" s="1196">
        <v>20137</v>
      </c>
      <c r="P692" s="1218">
        <f t="shared" ca="1" si="420"/>
        <v>62.625</v>
      </c>
      <c r="Q692" s="1148">
        <v>22500</v>
      </c>
      <c r="R692" s="874">
        <f>Q692*0.1</f>
        <v>2250</v>
      </c>
      <c r="S692" s="875"/>
      <c r="T692" s="875"/>
      <c r="U692" s="875"/>
      <c r="V692" s="875"/>
      <c r="W692" s="1026">
        <f>(Q692+R692)*0.14</f>
        <v>3465.0000000000005</v>
      </c>
      <c r="X692" s="1026">
        <f t="shared" si="421"/>
        <v>28215</v>
      </c>
      <c r="Y692" s="1512">
        <f t="shared" ref="Y692:Y698" si="428">(T692+U692+W692)*M692/(X692-M692*(T692+U692+W692))</f>
        <v>0.14000000000000001</v>
      </c>
      <c r="Z692" s="1741">
        <f t="shared" si="423"/>
        <v>1.1400000000000001</v>
      </c>
      <c r="AA692" s="1749">
        <f t="shared" si="424"/>
        <v>0</v>
      </c>
      <c r="AB692" s="1810">
        <f t="shared" si="425"/>
        <v>0</v>
      </c>
      <c r="AC692" s="876"/>
      <c r="AD692" s="1525">
        <f t="shared" si="426"/>
        <v>0</v>
      </c>
      <c r="AE692" s="1525">
        <f t="shared" si="426"/>
        <v>0</v>
      </c>
      <c r="AF692" s="1525">
        <f t="shared" si="426"/>
        <v>0</v>
      </c>
      <c r="AG692" s="1525">
        <f t="shared" si="426"/>
        <v>0</v>
      </c>
      <c r="AH692" s="1525">
        <f t="shared" si="426"/>
        <v>0</v>
      </c>
      <c r="AI692" s="1525">
        <f t="shared" si="426"/>
        <v>0</v>
      </c>
      <c r="AJ692" s="1525">
        <f t="shared" si="426"/>
        <v>0</v>
      </c>
      <c r="AK692" s="1525">
        <f t="shared" si="426"/>
        <v>0</v>
      </c>
      <c r="AL692" s="1525">
        <f t="shared" si="426"/>
        <v>0</v>
      </c>
      <c r="AM692" s="1525">
        <f t="shared" si="426"/>
        <v>0</v>
      </c>
      <c r="AN692" s="1525">
        <f t="shared" si="426"/>
        <v>0</v>
      </c>
      <c r="AO692" s="1525">
        <f t="shared" si="426"/>
        <v>0</v>
      </c>
      <c r="AP692" s="1525">
        <f t="shared" si="426"/>
        <v>0</v>
      </c>
      <c r="AQ692" s="1525">
        <f t="shared" si="426"/>
        <v>0</v>
      </c>
      <c r="AR692" s="1525">
        <f t="shared" si="426"/>
        <v>0</v>
      </c>
      <c r="AS692" s="1525">
        <f t="shared" si="426"/>
        <v>0</v>
      </c>
      <c r="AU692" s="1525"/>
      <c r="AV692" s="1291"/>
      <c r="AW692" s="1292"/>
      <c r="AX692" s="1292"/>
      <c r="AY692" s="1292"/>
      <c r="AZ692" s="1292"/>
      <c r="BA692" s="1292"/>
      <c r="BB692" s="1292"/>
      <c r="BC692" s="1292"/>
      <c r="BD692" s="1292"/>
      <c r="BE692" s="1292"/>
      <c r="BF692" s="1292"/>
      <c r="BG692" s="1292"/>
      <c r="BH692" s="1292"/>
      <c r="BI692" s="1292"/>
      <c r="BJ692" s="1292"/>
      <c r="BK692" s="1292"/>
      <c r="BL692" s="1292"/>
      <c r="BM692" s="1292"/>
      <c r="BN692" s="1292"/>
      <c r="BO692" s="1292"/>
      <c r="BP692" s="1292"/>
      <c r="BQ692" s="1292"/>
      <c r="BR692" s="1292"/>
      <c r="BS692" s="1292"/>
      <c r="BT692" s="1670">
        <f t="shared" si="427"/>
        <v>0</v>
      </c>
      <c r="BW692" s="862" t="s">
        <v>1223</v>
      </c>
    </row>
    <row r="693" spans="2:75" ht="12.75" customHeight="1" x14ac:dyDescent="0.2">
      <c r="B693" s="175">
        <f t="shared" si="410"/>
        <v>10</v>
      </c>
      <c r="C693" s="219">
        <v>18</v>
      </c>
      <c r="E693" s="474" t="s">
        <v>590</v>
      </c>
      <c r="F693" s="24" t="s">
        <v>515</v>
      </c>
      <c r="G693" s="859" t="s">
        <v>1649</v>
      </c>
      <c r="H693" s="858">
        <v>141060</v>
      </c>
      <c r="I693" s="200" t="s">
        <v>998</v>
      </c>
      <c r="J693" s="189"/>
      <c r="K693" s="189"/>
      <c r="L693" s="861">
        <v>1</v>
      </c>
      <c r="M693" s="858">
        <v>1</v>
      </c>
      <c r="N693" s="855" t="s">
        <v>1326</v>
      </c>
      <c r="O693" s="1196">
        <v>34951</v>
      </c>
      <c r="P693" s="1218">
        <f t="shared" ca="1" si="420"/>
        <v>22.06388888888889</v>
      </c>
      <c r="Q693" s="1148">
        <v>19500</v>
      </c>
      <c r="R693" s="874">
        <f>Q693*0.1</f>
        <v>1950</v>
      </c>
      <c r="S693" s="875"/>
      <c r="T693" s="875"/>
      <c r="U693" s="875"/>
      <c r="V693" s="875"/>
      <c r="W693" s="875"/>
      <c r="X693" s="1026">
        <f t="shared" si="421"/>
        <v>21450</v>
      </c>
      <c r="Y693" s="1512">
        <f t="shared" si="428"/>
        <v>0</v>
      </c>
      <c r="Z693" s="1741">
        <f t="shared" si="423"/>
        <v>1</v>
      </c>
      <c r="AA693" s="1749">
        <f t="shared" si="424"/>
        <v>0</v>
      </c>
      <c r="AB693" s="1810">
        <f t="shared" si="425"/>
        <v>0</v>
      </c>
      <c r="AC693" s="876"/>
      <c r="AD693" s="1525">
        <f t="shared" si="426"/>
        <v>0</v>
      </c>
      <c r="AE693" s="1525">
        <f t="shared" si="426"/>
        <v>0</v>
      </c>
      <c r="AF693" s="1525">
        <f t="shared" si="426"/>
        <v>0</v>
      </c>
      <c r="AG693" s="1525">
        <f t="shared" si="426"/>
        <v>0</v>
      </c>
      <c r="AH693" s="1525">
        <f t="shared" si="426"/>
        <v>0</v>
      </c>
      <c r="AI693" s="1525">
        <f t="shared" si="426"/>
        <v>0</v>
      </c>
      <c r="AJ693" s="1525">
        <f t="shared" si="426"/>
        <v>0</v>
      </c>
      <c r="AK693" s="1525">
        <f t="shared" si="426"/>
        <v>0</v>
      </c>
      <c r="AL693" s="1525">
        <f t="shared" si="426"/>
        <v>0</v>
      </c>
      <c r="AM693" s="1525">
        <f t="shared" si="426"/>
        <v>0</v>
      </c>
      <c r="AN693" s="1525">
        <f t="shared" si="426"/>
        <v>0</v>
      </c>
      <c r="AO693" s="1525">
        <f t="shared" si="426"/>
        <v>0</v>
      </c>
      <c r="AP693" s="1525">
        <f t="shared" si="426"/>
        <v>0</v>
      </c>
      <c r="AQ693" s="1525">
        <f t="shared" si="426"/>
        <v>0</v>
      </c>
      <c r="AR693" s="1525">
        <f t="shared" si="426"/>
        <v>0</v>
      </c>
      <c r="AS693" s="1525">
        <f t="shared" si="426"/>
        <v>0</v>
      </c>
      <c r="AU693" s="1525"/>
      <c r="AV693" s="1291"/>
      <c r="AW693" s="1292"/>
      <c r="AX693" s="1292"/>
      <c r="AY693" s="1292"/>
      <c r="AZ693" s="1292"/>
      <c r="BA693" s="1292"/>
      <c r="BB693" s="1292"/>
      <c r="BC693" s="1292"/>
      <c r="BD693" s="1292"/>
      <c r="BE693" s="1292"/>
      <c r="BF693" s="1292"/>
      <c r="BG693" s="1292"/>
      <c r="BH693" s="1292"/>
      <c r="BI693" s="1292"/>
      <c r="BJ693" s="1292"/>
      <c r="BK693" s="1292"/>
      <c r="BL693" s="1292"/>
      <c r="BM693" s="1292"/>
      <c r="BN693" s="1292"/>
      <c r="BO693" s="1292"/>
      <c r="BP693" s="1292"/>
      <c r="BQ693" s="1292"/>
      <c r="BR693" s="1292"/>
      <c r="BS693" s="1292"/>
      <c r="BT693" s="1670">
        <f t="shared" si="427"/>
        <v>0</v>
      </c>
      <c r="BW693" s="859" t="s">
        <v>1649</v>
      </c>
    </row>
    <row r="694" spans="2:75" ht="12.75" customHeight="1" x14ac:dyDescent="0.2">
      <c r="B694" s="175">
        <f t="shared" si="410"/>
        <v>11</v>
      </c>
      <c r="C694" s="219">
        <v>18</v>
      </c>
      <c r="E694" s="474" t="s">
        <v>590</v>
      </c>
      <c r="F694" s="24" t="s">
        <v>620</v>
      </c>
      <c r="G694" s="859" t="s">
        <v>621</v>
      </c>
      <c r="H694" s="858">
        <v>7749</v>
      </c>
      <c r="I694" s="200" t="s">
        <v>998</v>
      </c>
      <c r="J694" s="189"/>
      <c r="K694" s="189"/>
      <c r="L694" s="861">
        <v>1</v>
      </c>
      <c r="M694" s="858">
        <v>1</v>
      </c>
      <c r="N694" s="855" t="s">
        <v>892</v>
      </c>
      <c r="O694" s="1196">
        <v>18429</v>
      </c>
      <c r="P694" s="1218">
        <f t="shared" ca="1" si="420"/>
        <v>67.297222222222217</v>
      </c>
      <c r="Q694" s="1148">
        <v>20000</v>
      </c>
      <c r="R694" s="874"/>
      <c r="S694" s="875"/>
      <c r="T694" s="875"/>
      <c r="U694" s="875"/>
      <c r="V694" s="875"/>
      <c r="W694" s="875">
        <f>ROUND(Q694*0.19,0)</f>
        <v>3800</v>
      </c>
      <c r="X694" s="1026">
        <f t="shared" si="421"/>
        <v>23800</v>
      </c>
      <c r="Y694" s="1512">
        <f t="shared" si="428"/>
        <v>0.19</v>
      </c>
      <c r="Z694" s="1741">
        <f t="shared" si="423"/>
        <v>1.19</v>
      </c>
      <c r="AA694" s="1749">
        <f t="shared" si="424"/>
        <v>0</v>
      </c>
      <c r="AB694" s="1810">
        <f t="shared" si="425"/>
        <v>0</v>
      </c>
      <c r="AC694" s="876"/>
      <c r="AD694" s="1525">
        <f t="shared" si="426"/>
        <v>0</v>
      </c>
      <c r="AE694" s="1525">
        <f t="shared" si="426"/>
        <v>0</v>
      </c>
      <c r="AF694" s="1525">
        <f t="shared" si="426"/>
        <v>0</v>
      </c>
      <c r="AG694" s="1525">
        <f t="shared" si="426"/>
        <v>0</v>
      </c>
      <c r="AH694" s="1525">
        <f t="shared" si="426"/>
        <v>0</v>
      </c>
      <c r="AI694" s="1525">
        <f t="shared" si="426"/>
        <v>0</v>
      </c>
      <c r="AJ694" s="1525">
        <f t="shared" si="426"/>
        <v>0</v>
      </c>
      <c r="AK694" s="1525">
        <f t="shared" si="426"/>
        <v>0</v>
      </c>
      <c r="AL694" s="1525">
        <f t="shared" si="426"/>
        <v>0</v>
      </c>
      <c r="AM694" s="1525">
        <f t="shared" si="426"/>
        <v>0</v>
      </c>
      <c r="AN694" s="1525">
        <f t="shared" si="426"/>
        <v>0</v>
      </c>
      <c r="AO694" s="1525">
        <f t="shared" si="426"/>
        <v>0</v>
      </c>
      <c r="AP694" s="1525">
        <f t="shared" si="426"/>
        <v>0</v>
      </c>
      <c r="AQ694" s="1525">
        <f t="shared" si="426"/>
        <v>0</v>
      </c>
      <c r="AR694" s="1525">
        <f t="shared" si="426"/>
        <v>0</v>
      </c>
      <c r="AS694" s="1525">
        <f t="shared" si="426"/>
        <v>0</v>
      </c>
      <c r="AU694" s="1525"/>
      <c r="AV694" s="1291"/>
      <c r="AW694" s="1292"/>
      <c r="AX694" s="1292"/>
      <c r="AY694" s="1292"/>
      <c r="AZ694" s="1292"/>
      <c r="BA694" s="1292"/>
      <c r="BB694" s="1292"/>
      <c r="BC694" s="1292"/>
      <c r="BD694" s="1292"/>
      <c r="BE694" s="1292"/>
      <c r="BF694" s="1292"/>
      <c r="BG694" s="1292"/>
      <c r="BH694" s="1292"/>
      <c r="BI694" s="1292"/>
      <c r="BJ694" s="1292"/>
      <c r="BK694" s="1292"/>
      <c r="BL694" s="1292"/>
      <c r="BM694" s="1292"/>
      <c r="BN694" s="1292"/>
      <c r="BO694" s="1292"/>
      <c r="BP694" s="1292"/>
      <c r="BQ694" s="1292"/>
      <c r="BR694" s="1292"/>
      <c r="BS694" s="1292"/>
      <c r="BT694" s="1670">
        <f t="shared" si="427"/>
        <v>0</v>
      </c>
      <c r="BW694" s="859" t="s">
        <v>621</v>
      </c>
    </row>
    <row r="695" spans="2:75" ht="12.75" customHeight="1" x14ac:dyDescent="0.2">
      <c r="B695" s="175">
        <f t="shared" si="410"/>
        <v>12</v>
      </c>
      <c r="C695" s="219">
        <v>18</v>
      </c>
      <c r="E695" s="474" t="s">
        <v>590</v>
      </c>
      <c r="F695" s="24" t="s">
        <v>564</v>
      </c>
      <c r="G695" s="862" t="s">
        <v>744</v>
      </c>
      <c r="H695" s="858">
        <v>100400</v>
      </c>
      <c r="I695" s="200" t="s">
        <v>998</v>
      </c>
      <c r="J695" s="189"/>
      <c r="K695" s="189"/>
      <c r="L695" s="861">
        <v>1</v>
      </c>
      <c r="M695" s="858">
        <v>1</v>
      </c>
      <c r="N695" s="836" t="s">
        <v>1326</v>
      </c>
      <c r="O695" s="1196">
        <v>19967</v>
      </c>
      <c r="P695" s="1218">
        <f ca="1">YEARFRAC(TODAY(),O695)</f>
        <v>63.088888888888889</v>
      </c>
      <c r="Q695" s="1148">
        <v>21000</v>
      </c>
      <c r="R695" s="874">
        <f>Q695*0.1</f>
        <v>2100</v>
      </c>
      <c r="S695" s="875"/>
      <c r="T695" s="875"/>
      <c r="U695" s="875"/>
      <c r="V695" s="875"/>
      <c r="W695" s="1026">
        <f>(Q695+R695)*0.15</f>
        <v>3465</v>
      </c>
      <c r="X695" s="1026">
        <f t="shared" si="421"/>
        <v>26565</v>
      </c>
      <c r="Y695" s="1512">
        <f t="shared" si="428"/>
        <v>0.15</v>
      </c>
      <c r="Z695" s="1741">
        <f t="shared" si="423"/>
        <v>1.1499999999999999</v>
      </c>
      <c r="AA695" s="1749">
        <f t="shared" si="424"/>
        <v>0</v>
      </c>
      <c r="AB695" s="1810">
        <f t="shared" si="425"/>
        <v>0</v>
      </c>
      <c r="AC695" s="876"/>
      <c r="AD695" s="1525">
        <f t="shared" si="426"/>
        <v>0</v>
      </c>
      <c r="AE695" s="1525">
        <f t="shared" si="426"/>
        <v>0</v>
      </c>
      <c r="AF695" s="1525">
        <f t="shared" si="426"/>
        <v>0</v>
      </c>
      <c r="AG695" s="1525">
        <f t="shared" si="426"/>
        <v>0</v>
      </c>
      <c r="AH695" s="1525">
        <f t="shared" si="426"/>
        <v>0</v>
      </c>
      <c r="AI695" s="1525">
        <f t="shared" si="426"/>
        <v>0</v>
      </c>
      <c r="AJ695" s="1525">
        <f t="shared" si="426"/>
        <v>0</v>
      </c>
      <c r="AK695" s="1525">
        <f t="shared" si="426"/>
        <v>0</v>
      </c>
      <c r="AL695" s="1525">
        <f t="shared" si="426"/>
        <v>0</v>
      </c>
      <c r="AM695" s="1525">
        <f t="shared" si="426"/>
        <v>0</v>
      </c>
      <c r="AN695" s="1525">
        <f t="shared" si="426"/>
        <v>0</v>
      </c>
      <c r="AO695" s="1525">
        <f t="shared" si="426"/>
        <v>0</v>
      </c>
      <c r="AP695" s="1525">
        <f t="shared" si="426"/>
        <v>0</v>
      </c>
      <c r="AQ695" s="1525">
        <f t="shared" si="426"/>
        <v>0</v>
      </c>
      <c r="AR695" s="1525">
        <f t="shared" si="426"/>
        <v>0</v>
      </c>
      <c r="AS695" s="1525">
        <f t="shared" si="426"/>
        <v>0</v>
      </c>
      <c r="AU695" s="1525"/>
      <c r="AV695" s="1291"/>
      <c r="AW695" s="1292"/>
      <c r="AX695" s="1292"/>
      <c r="AY695" s="1292"/>
      <c r="AZ695" s="1292"/>
      <c r="BA695" s="1292"/>
      <c r="BB695" s="1292"/>
      <c r="BC695" s="1292"/>
      <c r="BD695" s="1292"/>
      <c r="BE695" s="1292"/>
      <c r="BF695" s="1292"/>
      <c r="BG695" s="1292"/>
      <c r="BH695" s="1292"/>
      <c r="BI695" s="1292"/>
      <c r="BJ695" s="1292"/>
      <c r="BK695" s="1292"/>
      <c r="BL695" s="1292"/>
      <c r="BM695" s="1292"/>
      <c r="BN695" s="1292"/>
      <c r="BO695" s="1292"/>
      <c r="BP695" s="1292"/>
      <c r="BQ695" s="1292"/>
      <c r="BR695" s="1292"/>
      <c r="BS695" s="1292"/>
      <c r="BT695" s="1670">
        <f t="shared" si="427"/>
        <v>0</v>
      </c>
      <c r="BW695" s="862" t="s">
        <v>744</v>
      </c>
    </row>
    <row r="696" spans="2:75" ht="12.75" customHeight="1" x14ac:dyDescent="0.2">
      <c r="B696" s="175">
        <f t="shared" si="410"/>
        <v>13</v>
      </c>
      <c r="C696" s="219">
        <v>18</v>
      </c>
      <c r="E696" s="474" t="s">
        <v>590</v>
      </c>
      <c r="F696" s="24" t="s">
        <v>614</v>
      </c>
      <c r="G696" s="859" t="s">
        <v>616</v>
      </c>
      <c r="H696" s="858">
        <v>7810</v>
      </c>
      <c r="I696" s="200" t="s">
        <v>998</v>
      </c>
      <c r="J696" s="189"/>
      <c r="K696" s="189"/>
      <c r="L696" s="861">
        <v>1</v>
      </c>
      <c r="M696" s="858">
        <v>1</v>
      </c>
      <c r="N696" s="855" t="s">
        <v>892</v>
      </c>
      <c r="O696" s="1196">
        <v>20021</v>
      </c>
      <c r="P696" s="1218">
        <f ca="1">YEARFRAC(TODAY(),O696)</f>
        <v>62.93888888888889</v>
      </c>
      <c r="Q696" s="1148">
        <v>20000</v>
      </c>
      <c r="R696" s="874"/>
      <c r="S696" s="875"/>
      <c r="T696" s="875"/>
      <c r="U696" s="875"/>
      <c r="V696" s="875"/>
      <c r="W696" s="1036">
        <f>ROUND((Q696+R696)*0.1,0)</f>
        <v>2000</v>
      </c>
      <c r="X696" s="1026">
        <f t="shared" si="421"/>
        <v>22000</v>
      </c>
      <c r="Y696" s="1512">
        <f t="shared" si="428"/>
        <v>0.1</v>
      </c>
      <c r="Z696" s="1741">
        <f t="shared" si="423"/>
        <v>1.1000000000000001</v>
      </c>
      <c r="AA696" s="1749">
        <f t="shared" si="424"/>
        <v>0</v>
      </c>
      <c r="AB696" s="1810">
        <f t="shared" si="425"/>
        <v>0</v>
      </c>
      <c r="AC696" s="876"/>
      <c r="AD696" s="1525">
        <f t="shared" si="426"/>
        <v>0</v>
      </c>
      <c r="AE696" s="1525">
        <f t="shared" si="426"/>
        <v>0</v>
      </c>
      <c r="AF696" s="1525">
        <f t="shared" si="426"/>
        <v>0</v>
      </c>
      <c r="AG696" s="1525">
        <f t="shared" si="426"/>
        <v>0</v>
      </c>
      <c r="AH696" s="1525">
        <f t="shared" si="426"/>
        <v>0</v>
      </c>
      <c r="AI696" s="1525">
        <f t="shared" si="426"/>
        <v>0</v>
      </c>
      <c r="AJ696" s="1525">
        <f t="shared" si="426"/>
        <v>0</v>
      </c>
      <c r="AK696" s="1525">
        <f t="shared" si="426"/>
        <v>0</v>
      </c>
      <c r="AL696" s="1525">
        <f t="shared" si="426"/>
        <v>0</v>
      </c>
      <c r="AM696" s="1525">
        <f t="shared" si="426"/>
        <v>0</v>
      </c>
      <c r="AN696" s="1525">
        <f t="shared" si="426"/>
        <v>0</v>
      </c>
      <c r="AO696" s="1525">
        <f t="shared" si="426"/>
        <v>0</v>
      </c>
      <c r="AP696" s="1525">
        <f t="shared" si="426"/>
        <v>0</v>
      </c>
      <c r="AQ696" s="1525">
        <f t="shared" si="426"/>
        <v>0</v>
      </c>
      <c r="AR696" s="1525">
        <f t="shared" si="426"/>
        <v>0</v>
      </c>
      <c r="AS696" s="1525">
        <f t="shared" si="426"/>
        <v>0</v>
      </c>
      <c r="AU696" s="1525"/>
      <c r="AV696" s="1291"/>
      <c r="AW696" s="1292"/>
      <c r="AX696" s="1292"/>
      <c r="AY696" s="1292"/>
      <c r="AZ696" s="1292"/>
      <c r="BA696" s="1292"/>
      <c r="BB696" s="1292"/>
      <c r="BC696" s="1292"/>
      <c r="BD696" s="1292"/>
      <c r="BE696" s="1292"/>
      <c r="BF696" s="1292"/>
      <c r="BG696" s="1292"/>
      <c r="BH696" s="1292"/>
      <c r="BI696" s="1292"/>
      <c r="BJ696" s="1292"/>
      <c r="BK696" s="1292"/>
      <c r="BL696" s="1292"/>
      <c r="BM696" s="1292"/>
      <c r="BN696" s="1292"/>
      <c r="BO696" s="1292"/>
      <c r="BP696" s="1292"/>
      <c r="BQ696" s="1292"/>
      <c r="BR696" s="1292"/>
      <c r="BS696" s="1292"/>
      <c r="BT696" s="1670">
        <f t="shared" si="427"/>
        <v>0</v>
      </c>
      <c r="BW696" s="859" t="s">
        <v>616</v>
      </c>
    </row>
    <row r="697" spans="2:75" ht="12.75" customHeight="1" x14ac:dyDescent="0.2">
      <c r="B697" s="175">
        <f t="shared" si="410"/>
        <v>14</v>
      </c>
      <c r="C697" s="219">
        <v>18</v>
      </c>
      <c r="E697" s="474" t="s">
        <v>590</v>
      </c>
      <c r="F697" s="24" t="s">
        <v>614</v>
      </c>
      <c r="G697" s="859" t="s">
        <v>615</v>
      </c>
      <c r="H697" s="858">
        <v>7781</v>
      </c>
      <c r="I697" s="200" t="s">
        <v>998</v>
      </c>
      <c r="J697" s="189"/>
      <c r="K697" s="189"/>
      <c r="L697" s="861">
        <v>0.5</v>
      </c>
      <c r="M697" s="858">
        <f>K697+L697</f>
        <v>0.5</v>
      </c>
      <c r="N697" s="857" t="s">
        <v>892</v>
      </c>
      <c r="O697" s="1196">
        <v>17218</v>
      </c>
      <c r="P697" s="1218">
        <f ca="1">YEARFRAC(TODAY(),O697)</f>
        <v>70.61666666666666</v>
      </c>
      <c r="Q697" s="1148">
        <v>20000</v>
      </c>
      <c r="R697" s="874"/>
      <c r="S697" s="875"/>
      <c r="T697" s="875"/>
      <c r="U697" s="875"/>
      <c r="V697" s="875"/>
      <c r="W697" s="875"/>
      <c r="X697" s="1026">
        <f t="shared" si="421"/>
        <v>10000</v>
      </c>
      <c r="Y697" s="1512">
        <f t="shared" si="428"/>
        <v>0</v>
      </c>
      <c r="Z697" s="1741">
        <f t="shared" si="423"/>
        <v>0.5</v>
      </c>
      <c r="AA697" s="1749">
        <f t="shared" si="424"/>
        <v>0</v>
      </c>
      <c r="AB697" s="1810">
        <f t="shared" si="425"/>
        <v>0</v>
      </c>
      <c r="AC697" s="876"/>
      <c r="AD697" s="1525">
        <f t="shared" si="426"/>
        <v>0</v>
      </c>
      <c r="AE697" s="1525">
        <f t="shared" si="426"/>
        <v>0</v>
      </c>
      <c r="AF697" s="1525">
        <f t="shared" si="426"/>
        <v>0</v>
      </c>
      <c r="AG697" s="1525">
        <f t="shared" si="426"/>
        <v>0</v>
      </c>
      <c r="AH697" s="1525">
        <f t="shared" si="426"/>
        <v>0</v>
      </c>
      <c r="AI697" s="1525">
        <f t="shared" si="426"/>
        <v>0</v>
      </c>
      <c r="AJ697" s="1525">
        <f t="shared" si="426"/>
        <v>0</v>
      </c>
      <c r="AK697" s="1525">
        <f t="shared" si="426"/>
        <v>0</v>
      </c>
      <c r="AL697" s="1525">
        <f t="shared" si="426"/>
        <v>0</v>
      </c>
      <c r="AM697" s="1525">
        <f t="shared" si="426"/>
        <v>0</v>
      </c>
      <c r="AN697" s="1525">
        <f t="shared" si="426"/>
        <v>0</v>
      </c>
      <c r="AO697" s="1525">
        <f t="shared" si="426"/>
        <v>0</v>
      </c>
      <c r="AP697" s="1525">
        <f t="shared" si="426"/>
        <v>0</v>
      </c>
      <c r="AQ697" s="1525">
        <f t="shared" si="426"/>
        <v>0</v>
      </c>
      <c r="AR697" s="1525">
        <f t="shared" si="426"/>
        <v>0</v>
      </c>
      <c r="AS697" s="1525">
        <f t="shared" si="426"/>
        <v>0</v>
      </c>
      <c r="AU697" s="1525"/>
      <c r="AV697" s="1291"/>
      <c r="AW697" s="1292"/>
      <c r="AX697" s="1292"/>
      <c r="AY697" s="1292"/>
      <c r="AZ697" s="1292"/>
      <c r="BA697" s="1292"/>
      <c r="BB697" s="1292"/>
      <c r="BC697" s="1292"/>
      <c r="BD697" s="1292"/>
      <c r="BE697" s="1292"/>
      <c r="BF697" s="1292"/>
      <c r="BG697" s="1292"/>
      <c r="BH697" s="1292"/>
      <c r="BI697" s="1292"/>
      <c r="BJ697" s="1292"/>
      <c r="BK697" s="1292"/>
      <c r="BL697" s="1292"/>
      <c r="BM697" s="1292"/>
      <c r="BN697" s="1292"/>
      <c r="BO697" s="1292"/>
      <c r="BP697" s="1292"/>
      <c r="BQ697" s="1292"/>
      <c r="BR697" s="1292"/>
      <c r="BS697" s="1292"/>
      <c r="BT697" s="1670">
        <f t="shared" si="427"/>
        <v>0</v>
      </c>
      <c r="BW697" s="859" t="s">
        <v>615</v>
      </c>
    </row>
    <row r="698" spans="2:75" ht="12.75" customHeight="1" x14ac:dyDescent="0.2">
      <c r="B698" s="175">
        <f t="shared" si="410"/>
        <v>15</v>
      </c>
      <c r="C698" s="219">
        <v>18</v>
      </c>
      <c r="E698" s="474" t="s">
        <v>590</v>
      </c>
      <c r="F698" s="26" t="s">
        <v>565</v>
      </c>
      <c r="G698" s="910" t="s">
        <v>876</v>
      </c>
      <c r="H698" s="873">
        <v>3222</v>
      </c>
      <c r="I698" s="196" t="s">
        <v>998</v>
      </c>
      <c r="J698" s="189"/>
      <c r="K698" s="195"/>
      <c r="L698" s="873">
        <v>1</v>
      </c>
      <c r="M698" s="873">
        <v>1</v>
      </c>
      <c r="N698" s="940" t="s">
        <v>1326</v>
      </c>
      <c r="O698" s="1196">
        <v>20438</v>
      </c>
      <c r="P698" s="1218">
        <f ca="1">YEARFRAC(TODAY(),O698)</f>
        <v>61.797222222222224</v>
      </c>
      <c r="Q698" s="1148">
        <v>24000</v>
      </c>
      <c r="R698" s="874">
        <f>Q698*0.1</f>
        <v>2400</v>
      </c>
      <c r="S698" s="875"/>
      <c r="T698" s="875"/>
      <c r="U698" s="875"/>
      <c r="V698" s="875"/>
      <c r="W698" s="1026">
        <f>(Q698+R698)*0.14</f>
        <v>3696.0000000000005</v>
      </c>
      <c r="X698" s="1026">
        <f t="shared" si="421"/>
        <v>30096</v>
      </c>
      <c r="Y698" s="1512">
        <f t="shared" si="428"/>
        <v>0.14000000000000001</v>
      </c>
      <c r="Z698" s="1741">
        <f t="shared" si="423"/>
        <v>1.1400000000000001</v>
      </c>
      <c r="AA698" s="1749">
        <f t="shared" si="424"/>
        <v>0</v>
      </c>
      <c r="AB698" s="1810">
        <f t="shared" si="425"/>
        <v>0</v>
      </c>
      <c r="AC698" s="876"/>
      <c r="AD698" s="1525">
        <f t="shared" si="426"/>
        <v>0</v>
      </c>
      <c r="AE698" s="1525">
        <f t="shared" si="426"/>
        <v>0</v>
      </c>
      <c r="AF698" s="1525">
        <f t="shared" si="426"/>
        <v>0</v>
      </c>
      <c r="AG698" s="1525">
        <f t="shared" si="426"/>
        <v>0</v>
      </c>
      <c r="AH698" s="1525">
        <f t="shared" si="426"/>
        <v>0</v>
      </c>
      <c r="AI698" s="1525">
        <f t="shared" si="426"/>
        <v>0</v>
      </c>
      <c r="AJ698" s="1525">
        <f t="shared" si="426"/>
        <v>0</v>
      </c>
      <c r="AK698" s="1525">
        <f t="shared" si="426"/>
        <v>0</v>
      </c>
      <c r="AL698" s="1525">
        <f t="shared" si="426"/>
        <v>0</v>
      </c>
      <c r="AM698" s="1525">
        <f t="shared" si="426"/>
        <v>0</v>
      </c>
      <c r="AN698" s="1525">
        <f t="shared" si="426"/>
        <v>0</v>
      </c>
      <c r="AO698" s="1525">
        <f t="shared" si="426"/>
        <v>0</v>
      </c>
      <c r="AP698" s="1525">
        <f t="shared" si="426"/>
        <v>0</v>
      </c>
      <c r="AQ698" s="1525">
        <f t="shared" si="426"/>
        <v>0</v>
      </c>
      <c r="AR698" s="1525">
        <f t="shared" si="426"/>
        <v>0</v>
      </c>
      <c r="AS698" s="1525">
        <f t="shared" si="426"/>
        <v>0</v>
      </c>
      <c r="AU698" s="1525"/>
      <c r="AV698" s="1291"/>
      <c r="AW698" s="1292"/>
      <c r="AX698" s="1292"/>
      <c r="AY698" s="1292"/>
      <c r="AZ698" s="1292"/>
      <c r="BA698" s="1292"/>
      <c r="BB698" s="1292"/>
      <c r="BC698" s="1292"/>
      <c r="BD698" s="1292"/>
      <c r="BE698" s="1292"/>
      <c r="BF698" s="1292"/>
      <c r="BG698" s="1292"/>
      <c r="BH698" s="1292"/>
      <c r="BI698" s="1292"/>
      <c r="BJ698" s="1292"/>
      <c r="BK698" s="1292"/>
      <c r="BL698" s="1292"/>
      <c r="BM698" s="1292"/>
      <c r="BN698" s="1292"/>
      <c r="BO698" s="1292"/>
      <c r="BP698" s="1292"/>
      <c r="BQ698" s="1292"/>
      <c r="BR698" s="1292"/>
      <c r="BS698" s="1292"/>
      <c r="BT698" s="1670">
        <f t="shared" si="427"/>
        <v>0</v>
      </c>
      <c r="BW698" s="910" t="s">
        <v>876</v>
      </c>
    </row>
    <row r="699" spans="2:75" s="164" customFormat="1" ht="12.75" customHeight="1" x14ac:dyDescent="0.2">
      <c r="B699" s="175"/>
      <c r="C699" s="219" t="s">
        <v>1120</v>
      </c>
      <c r="F699" s="4" t="s">
        <v>1602</v>
      </c>
      <c r="G699" s="825"/>
      <c r="H699" s="1351" t="s">
        <v>1508</v>
      </c>
      <c r="I699" s="197"/>
      <c r="J699" s="174"/>
      <c r="K699" s="446">
        <f>SUM(K685:K697)</f>
        <v>0</v>
      </c>
      <c r="L699" s="892">
        <f>SUM(L685:L698)</f>
        <v>13</v>
      </c>
      <c r="M699" s="892">
        <f>SUM(M685:M698)</f>
        <v>13</v>
      </c>
      <c r="N699" s="857"/>
      <c r="O699" s="1192"/>
      <c r="P699" s="550"/>
      <c r="Q699" s="1153"/>
      <c r="R699" s="877"/>
      <c r="S699" s="875"/>
      <c r="T699" s="875"/>
      <c r="U699" s="875"/>
      <c r="V699" s="875"/>
      <c r="W699" s="875"/>
      <c r="X699" s="1026"/>
      <c r="Y699" s="1335"/>
      <c r="Z699" s="1335"/>
      <c r="AA699" s="1775"/>
      <c r="AB699" s="1814"/>
      <c r="AC699" s="876"/>
      <c r="AD699" s="1295"/>
      <c r="AE699" s="1525"/>
      <c r="AF699" s="1525"/>
      <c r="AG699" s="1525"/>
      <c r="AH699" s="1525"/>
      <c r="AI699" s="1525"/>
      <c r="AJ699" s="1525"/>
      <c r="AK699" s="1525"/>
      <c r="AL699" s="1525"/>
      <c r="AM699" s="1525"/>
      <c r="AN699" s="1525"/>
      <c r="AO699" s="1525"/>
      <c r="AP699" s="1525"/>
      <c r="AQ699" s="1525"/>
      <c r="AR699" s="1525"/>
      <c r="AS699" s="1525"/>
      <c r="AU699" s="1525"/>
      <c r="AV699" s="1295"/>
      <c r="AW699" s="1525"/>
      <c r="AX699" s="1525"/>
      <c r="AY699" s="1525"/>
      <c r="AZ699" s="1525"/>
      <c r="BA699" s="1525"/>
      <c r="BB699" s="1525"/>
      <c r="BC699" s="1525"/>
      <c r="BD699" s="1525"/>
      <c r="BE699" s="1525"/>
      <c r="BF699" s="1525"/>
      <c r="BG699" s="1525"/>
      <c r="BH699" s="1525"/>
      <c r="BI699" s="1525"/>
      <c r="BJ699" s="1525"/>
      <c r="BK699" s="1525"/>
      <c r="BL699" s="1525"/>
      <c r="BM699" s="1525"/>
      <c r="BN699" s="1525"/>
      <c r="BO699" s="1525"/>
      <c r="BP699" s="1525"/>
      <c r="BQ699" s="1525"/>
      <c r="BR699" s="1525"/>
      <c r="BS699" s="1525"/>
      <c r="BT699" s="1670"/>
      <c r="BV699"/>
      <c r="BW699" s="825"/>
    </row>
    <row r="700" spans="2:75" s="164" customFormat="1" ht="12.75" customHeight="1" x14ac:dyDescent="0.2">
      <c r="B700" s="175"/>
      <c r="F700" s="36"/>
      <c r="G700" s="825"/>
      <c r="H700" s="1347" t="s">
        <v>1508</v>
      </c>
      <c r="I700" s="197"/>
      <c r="J700" s="174"/>
      <c r="K700" s="174"/>
      <c r="L700" s="861"/>
      <c r="M700" s="861"/>
      <c r="N700" s="857"/>
      <c r="O700" s="1192"/>
      <c r="P700" s="550"/>
      <c r="Q700" s="1148"/>
      <c r="R700" s="874"/>
      <c r="S700" s="875"/>
      <c r="T700" s="875"/>
      <c r="U700" s="875"/>
      <c r="V700" s="875"/>
      <c r="W700" s="875"/>
      <c r="X700" s="1026"/>
      <c r="Y700" s="1754"/>
      <c r="Z700" s="1755"/>
      <c r="AA700" s="1775"/>
      <c r="AB700" s="1814"/>
      <c r="AC700" s="876"/>
      <c r="AD700" s="1295"/>
      <c r="AE700" s="1525"/>
      <c r="AF700" s="1525"/>
      <c r="AG700" s="1525"/>
      <c r="AH700" s="1525"/>
      <c r="AI700" s="1525"/>
      <c r="AJ700" s="1525"/>
      <c r="AK700" s="1525"/>
      <c r="AL700" s="1525"/>
      <c r="AM700" s="1525"/>
      <c r="AN700" s="1525"/>
      <c r="AO700" s="1525"/>
      <c r="AP700" s="1525"/>
      <c r="AQ700" s="1525"/>
      <c r="AR700" s="1525"/>
      <c r="AS700" s="1525"/>
      <c r="AU700" s="1525"/>
      <c r="AV700" s="1295"/>
      <c r="AW700" s="1525"/>
      <c r="AX700" s="1525"/>
      <c r="AY700" s="1525"/>
      <c r="AZ700" s="1525"/>
      <c r="BA700" s="1525"/>
      <c r="BB700" s="1525"/>
      <c r="BC700" s="1525"/>
      <c r="BD700" s="1525"/>
      <c r="BE700" s="1525"/>
      <c r="BF700" s="1525"/>
      <c r="BG700" s="1525"/>
      <c r="BH700" s="1525"/>
      <c r="BI700" s="1525"/>
      <c r="BJ700" s="1525"/>
      <c r="BK700" s="1525"/>
      <c r="BL700" s="1525"/>
      <c r="BM700" s="1525"/>
      <c r="BN700" s="1525"/>
      <c r="BO700" s="1525"/>
      <c r="BP700" s="1525"/>
      <c r="BQ700" s="1525"/>
      <c r="BR700" s="1525"/>
      <c r="BS700" s="1525"/>
      <c r="BT700" s="1670"/>
      <c r="BV700"/>
      <c r="BW700" s="825"/>
    </row>
    <row r="701" spans="2:75" s="164" customFormat="1" ht="12.75" customHeight="1" x14ac:dyDescent="0.2">
      <c r="B701" s="175"/>
      <c r="F701" s="21" t="s">
        <v>1603</v>
      </c>
      <c r="G701" s="825"/>
      <c r="H701" s="1347" t="s">
        <v>1508</v>
      </c>
      <c r="I701" s="197"/>
      <c r="J701" s="174"/>
      <c r="K701" s="174"/>
      <c r="L701" s="861"/>
      <c r="M701" s="861"/>
      <c r="N701" s="857"/>
      <c r="O701" s="1192"/>
      <c r="P701" s="550"/>
      <c r="Q701" s="1148"/>
      <c r="R701" s="874"/>
      <c r="S701" s="875"/>
      <c r="T701" s="875"/>
      <c r="U701" s="875"/>
      <c r="V701" s="875"/>
      <c r="W701" s="875"/>
      <c r="X701" s="1026"/>
      <c r="Y701" s="1754"/>
      <c r="Z701" s="1755"/>
      <c r="AA701" s="1775"/>
      <c r="AB701" s="1814"/>
      <c r="AC701" s="876"/>
      <c r="AD701" s="1295"/>
      <c r="AE701" s="1525"/>
      <c r="AF701" s="1525"/>
      <c r="AG701" s="1525"/>
      <c r="AH701" s="1525"/>
      <c r="AI701" s="1525"/>
      <c r="AJ701" s="1525"/>
      <c r="AK701" s="1525"/>
      <c r="AL701" s="1525"/>
      <c r="AM701" s="1525"/>
      <c r="AN701" s="1525"/>
      <c r="AO701" s="1525"/>
      <c r="AP701" s="1525"/>
      <c r="AQ701" s="1525"/>
      <c r="AR701" s="1525"/>
      <c r="AS701" s="1525"/>
      <c r="AU701" s="1525"/>
      <c r="AV701" s="1295"/>
      <c r="AW701" s="1525"/>
      <c r="AX701" s="1525"/>
      <c r="AY701" s="1525"/>
      <c r="AZ701" s="1525"/>
      <c r="BA701" s="1525"/>
      <c r="BB701" s="1525"/>
      <c r="BC701" s="1525"/>
      <c r="BD701" s="1525"/>
      <c r="BE701" s="1525"/>
      <c r="BF701" s="1525"/>
      <c r="BG701" s="1525"/>
      <c r="BH701" s="1525"/>
      <c r="BI701" s="1525"/>
      <c r="BJ701" s="1525"/>
      <c r="BK701" s="1525"/>
      <c r="BL701" s="1525"/>
      <c r="BM701" s="1525"/>
      <c r="BN701" s="1525"/>
      <c r="BO701" s="1525"/>
      <c r="BP701" s="1525"/>
      <c r="BQ701" s="1525"/>
      <c r="BR701" s="1525"/>
      <c r="BS701" s="1525"/>
      <c r="BT701" s="1670"/>
      <c r="BV701"/>
      <c r="BW701" s="825"/>
    </row>
    <row r="702" spans="2:75" s="164" customFormat="1" ht="12.75" customHeight="1" x14ac:dyDescent="0.2">
      <c r="B702" s="175"/>
      <c r="F702" s="24"/>
      <c r="G702" s="859"/>
      <c r="H702" s="1346" t="s">
        <v>1508</v>
      </c>
      <c r="I702" s="200"/>
      <c r="J702" s="189"/>
      <c r="K702" s="189"/>
      <c r="L702" s="858"/>
      <c r="M702" s="858"/>
      <c r="N702" s="855"/>
      <c r="O702" s="1192"/>
      <c r="P702" s="550"/>
      <c r="Q702" s="1148"/>
      <c r="R702" s="874"/>
      <c r="S702" s="875"/>
      <c r="T702" s="875"/>
      <c r="U702" s="875"/>
      <c r="V702" s="875"/>
      <c r="W702" s="875"/>
      <c r="X702" s="1026"/>
      <c r="Y702" s="1754"/>
      <c r="Z702" s="1755"/>
      <c r="AA702" s="1775"/>
      <c r="AB702" s="1814"/>
      <c r="AC702" s="876"/>
      <c r="AD702" s="1295"/>
      <c r="AE702" s="1525"/>
      <c r="AF702" s="1525"/>
      <c r="AG702" s="1525"/>
      <c r="AH702" s="1525"/>
      <c r="AI702" s="1525"/>
      <c r="AJ702" s="1525"/>
      <c r="AK702" s="1525"/>
      <c r="AL702" s="1525"/>
      <c r="AM702" s="1525"/>
      <c r="AN702" s="1525"/>
      <c r="AO702" s="1525"/>
      <c r="AP702" s="1525"/>
      <c r="AQ702" s="1525"/>
      <c r="AR702" s="1525"/>
      <c r="AS702" s="1525"/>
      <c r="AU702" s="1525"/>
      <c r="AV702" s="1295"/>
      <c r="AW702" s="1525"/>
      <c r="AX702" s="1525"/>
      <c r="AY702" s="1525"/>
      <c r="AZ702" s="1525"/>
      <c r="BA702" s="1525"/>
      <c r="BB702" s="1525"/>
      <c r="BC702" s="1525"/>
      <c r="BD702" s="1525"/>
      <c r="BE702" s="1525"/>
      <c r="BF702" s="1525"/>
      <c r="BG702" s="1525"/>
      <c r="BH702" s="1525"/>
      <c r="BI702" s="1525"/>
      <c r="BJ702" s="1525"/>
      <c r="BK702" s="1525"/>
      <c r="BL702" s="1525"/>
      <c r="BM702" s="1525"/>
      <c r="BN702" s="1525"/>
      <c r="BO702" s="1525"/>
      <c r="BP702" s="1525"/>
      <c r="BQ702" s="1525"/>
      <c r="BR702" s="1525"/>
      <c r="BS702" s="1525"/>
      <c r="BT702" s="1670"/>
      <c r="BV702"/>
      <c r="BW702" s="859"/>
    </row>
    <row r="703" spans="2:75" ht="12.75" customHeight="1" x14ac:dyDescent="0.2">
      <c r="B703" s="175">
        <f t="shared" si="410"/>
        <v>1</v>
      </c>
      <c r="C703" s="219">
        <v>11</v>
      </c>
      <c r="E703" s="474" t="s">
        <v>590</v>
      </c>
      <c r="F703" s="24" t="s">
        <v>824</v>
      </c>
      <c r="G703" s="859" t="s">
        <v>1604</v>
      </c>
      <c r="H703" s="858">
        <v>20879</v>
      </c>
      <c r="I703" s="172" t="s">
        <v>161</v>
      </c>
      <c r="J703" s="168"/>
      <c r="K703" s="189"/>
      <c r="L703" s="858">
        <v>1</v>
      </c>
      <c r="M703" s="858">
        <f>K703+L703</f>
        <v>1</v>
      </c>
      <c r="N703" s="855" t="s">
        <v>1326</v>
      </c>
      <c r="O703" s="1196">
        <v>22195</v>
      </c>
      <c r="P703" s="1218">
        <f t="shared" ref="P703:P738" ca="1" si="429">YEARFRAC(TODAY(),O703)</f>
        <v>56.988888888888887</v>
      </c>
      <c r="Q703" s="1148">
        <v>41000</v>
      </c>
      <c r="R703" s="874">
        <f>Q703*0.1</f>
        <v>4100</v>
      </c>
      <c r="S703" s="875"/>
      <c r="T703" s="875">
        <v>2000</v>
      </c>
      <c r="U703" s="875"/>
      <c r="V703" s="875"/>
      <c r="W703" s="875"/>
      <c r="X703" s="1026">
        <f t="shared" ref="X703:X738" si="430">(Q703+R703+S703+T703+U703+V703+W703)*M703</f>
        <v>47100</v>
      </c>
      <c r="Y703" s="1512">
        <f t="shared" ref="Y703:Y711" si="431">(T703+U703)*M703/(X703-M703*(T703+U703))</f>
        <v>4.4345898004434593E-2</v>
      </c>
      <c r="Z703" s="1741">
        <f t="shared" ref="Z703:Z738" si="432">M703*(1+Y703)</f>
        <v>1.0443458980044347</v>
      </c>
      <c r="AA703" s="1749">
        <f t="shared" ref="AA703:AA738" si="433">SUM(AD703:AS703)</f>
        <v>0</v>
      </c>
      <c r="AB703" s="1810">
        <f t="shared" ref="AB703:AB738" si="434">100*AA703/Z703</f>
        <v>0</v>
      </c>
      <c r="AC703" s="876"/>
      <c r="AD703" s="1525">
        <f t="shared" ref="AD703:AS712" si="435">SUMIF($AV$6:$BS$6,AD$5,$AV703:$BS703)</f>
        <v>0</v>
      </c>
      <c r="AE703" s="1525">
        <f t="shared" si="435"/>
        <v>0</v>
      </c>
      <c r="AF703" s="1525">
        <f t="shared" si="435"/>
        <v>0</v>
      </c>
      <c r="AG703" s="1525">
        <f t="shared" si="435"/>
        <v>0</v>
      </c>
      <c r="AH703" s="1525">
        <f t="shared" si="435"/>
        <v>0</v>
      </c>
      <c r="AI703" s="1525">
        <f t="shared" si="435"/>
        <v>0</v>
      </c>
      <c r="AJ703" s="1525">
        <f t="shared" si="435"/>
        <v>0</v>
      </c>
      <c r="AK703" s="1525">
        <f t="shared" si="435"/>
        <v>0</v>
      </c>
      <c r="AL703" s="1525">
        <f t="shared" si="435"/>
        <v>0</v>
      </c>
      <c r="AM703" s="1525">
        <f t="shared" si="435"/>
        <v>0</v>
      </c>
      <c r="AN703" s="1525">
        <f t="shared" si="435"/>
        <v>0</v>
      </c>
      <c r="AO703" s="1525">
        <f t="shared" si="435"/>
        <v>0</v>
      </c>
      <c r="AP703" s="1525">
        <f t="shared" si="435"/>
        <v>0</v>
      </c>
      <c r="AQ703" s="1525">
        <f t="shared" si="435"/>
        <v>0</v>
      </c>
      <c r="AR703" s="1525">
        <f t="shared" si="435"/>
        <v>0</v>
      </c>
      <c r="AS703" s="1525">
        <f t="shared" si="435"/>
        <v>0</v>
      </c>
      <c r="AU703" s="1525"/>
      <c r="AV703" s="1291"/>
      <c r="AW703" s="1292"/>
      <c r="AX703" s="1292"/>
      <c r="AY703" s="1292"/>
      <c r="AZ703" s="1292"/>
      <c r="BA703" s="1292"/>
      <c r="BB703" s="1292"/>
      <c r="BC703" s="1292"/>
      <c r="BD703" s="1292"/>
      <c r="BE703" s="1292"/>
      <c r="BF703" s="1292"/>
      <c r="BG703" s="1292"/>
      <c r="BH703" s="1292"/>
      <c r="BI703" s="1292"/>
      <c r="BJ703" s="1292"/>
      <c r="BK703" s="1292"/>
      <c r="BL703" s="1292"/>
      <c r="BM703" s="1292"/>
      <c r="BN703" s="1292"/>
      <c r="BO703" s="1292"/>
      <c r="BP703" s="1292"/>
      <c r="BQ703" s="1292"/>
      <c r="BR703" s="1292"/>
      <c r="BS703" s="1292"/>
      <c r="BT703" s="1670">
        <f t="shared" ref="BT703:BT738" si="436">SUM(AV703:BS703)</f>
        <v>0</v>
      </c>
      <c r="BW703" s="859" t="s">
        <v>1604</v>
      </c>
    </row>
    <row r="704" spans="2:75" ht="12.75" customHeight="1" x14ac:dyDescent="0.2">
      <c r="B704" s="175">
        <f t="shared" si="410"/>
        <v>2</v>
      </c>
      <c r="C704" s="219">
        <v>28</v>
      </c>
      <c r="E704" s="474" t="s">
        <v>590</v>
      </c>
      <c r="F704" s="4" t="s">
        <v>1087</v>
      </c>
      <c r="G704" s="821" t="s">
        <v>1980</v>
      </c>
      <c r="H704" s="1346" t="s">
        <v>1473</v>
      </c>
      <c r="I704" s="197" t="s">
        <v>161</v>
      </c>
      <c r="J704" s="174"/>
      <c r="K704" s="174"/>
      <c r="L704" s="858">
        <v>1</v>
      </c>
      <c r="M704" s="858">
        <f>K704+L704</f>
        <v>1</v>
      </c>
      <c r="N704" s="836" t="s">
        <v>1473</v>
      </c>
      <c r="O704" s="1196">
        <v>17953</v>
      </c>
      <c r="P704" s="1218">
        <f t="shared" ca="1" si="429"/>
        <v>68.605555555555554</v>
      </c>
      <c r="Q704" s="1148">
        <v>29000</v>
      </c>
      <c r="R704" s="874">
        <f>Q704*0.1</f>
        <v>2900</v>
      </c>
      <c r="S704" s="875"/>
      <c r="T704" s="875"/>
      <c r="U704" s="875"/>
      <c r="V704" s="875"/>
      <c r="W704" s="875"/>
      <c r="X704" s="1026">
        <f t="shared" si="430"/>
        <v>31900</v>
      </c>
      <c r="Y704" s="1512">
        <f t="shared" si="431"/>
        <v>0</v>
      </c>
      <c r="Z704" s="1741">
        <f t="shared" si="432"/>
        <v>1</v>
      </c>
      <c r="AA704" s="1749">
        <f t="shared" si="433"/>
        <v>0</v>
      </c>
      <c r="AB704" s="1810">
        <f t="shared" si="434"/>
        <v>0</v>
      </c>
      <c r="AC704" s="876"/>
      <c r="AD704" s="1525">
        <f t="shared" si="435"/>
        <v>0</v>
      </c>
      <c r="AE704" s="1525">
        <f t="shared" si="435"/>
        <v>0</v>
      </c>
      <c r="AF704" s="1525">
        <f t="shared" si="435"/>
        <v>0</v>
      </c>
      <c r="AG704" s="1525">
        <f t="shared" si="435"/>
        <v>0</v>
      </c>
      <c r="AH704" s="1525">
        <f t="shared" si="435"/>
        <v>0</v>
      </c>
      <c r="AI704" s="1525">
        <f t="shared" si="435"/>
        <v>0</v>
      </c>
      <c r="AJ704" s="1525">
        <f t="shared" si="435"/>
        <v>0</v>
      </c>
      <c r="AK704" s="1525">
        <f t="shared" si="435"/>
        <v>0</v>
      </c>
      <c r="AL704" s="1525">
        <f t="shared" si="435"/>
        <v>0</v>
      </c>
      <c r="AM704" s="1525">
        <f t="shared" si="435"/>
        <v>0</v>
      </c>
      <c r="AN704" s="1525">
        <f t="shared" si="435"/>
        <v>0</v>
      </c>
      <c r="AO704" s="1525">
        <f t="shared" si="435"/>
        <v>0</v>
      </c>
      <c r="AP704" s="1525">
        <f t="shared" si="435"/>
        <v>0</v>
      </c>
      <c r="AQ704" s="1525">
        <f t="shared" si="435"/>
        <v>0</v>
      </c>
      <c r="AR704" s="1525">
        <f t="shared" si="435"/>
        <v>0</v>
      </c>
      <c r="AS704" s="1525">
        <f t="shared" si="435"/>
        <v>0</v>
      </c>
      <c r="AU704" s="1525"/>
      <c r="AV704" s="1291"/>
      <c r="AW704" s="1292"/>
      <c r="AX704" s="1292"/>
      <c r="AY704" s="1292"/>
      <c r="AZ704" s="1292"/>
      <c r="BA704" s="1292"/>
      <c r="BB704" s="1292"/>
      <c r="BC704" s="1292"/>
      <c r="BD704" s="1292"/>
      <c r="BE704" s="1292"/>
      <c r="BF704" s="1292"/>
      <c r="BG704" s="1292"/>
      <c r="BH704" s="1292"/>
      <c r="BI704" s="1292"/>
      <c r="BJ704" s="1292"/>
      <c r="BK704" s="1292"/>
      <c r="BL704" s="1292"/>
      <c r="BM704" s="1292"/>
      <c r="BN704" s="1292"/>
      <c r="BO704" s="1292"/>
      <c r="BP704" s="1292"/>
      <c r="BQ704" s="1292"/>
      <c r="BR704" s="1292"/>
      <c r="BS704" s="1292"/>
      <c r="BT704" s="1670">
        <f t="shared" si="436"/>
        <v>0</v>
      </c>
      <c r="BW704" s="821" t="s">
        <v>1980</v>
      </c>
    </row>
    <row r="705" spans="2:75" ht="12.75" customHeight="1" x14ac:dyDescent="0.2">
      <c r="B705" s="175">
        <f t="shared" si="410"/>
        <v>3</v>
      </c>
      <c r="C705" s="219">
        <v>29</v>
      </c>
      <c r="E705" s="474" t="s">
        <v>590</v>
      </c>
      <c r="F705" s="4" t="s">
        <v>465</v>
      </c>
      <c r="G705" s="821" t="s">
        <v>594</v>
      </c>
      <c r="H705" s="858">
        <v>213475</v>
      </c>
      <c r="I705" s="197" t="s">
        <v>161</v>
      </c>
      <c r="J705" s="174"/>
      <c r="K705" s="174"/>
      <c r="L705" s="858">
        <v>1</v>
      </c>
      <c r="M705" s="858">
        <v>1</v>
      </c>
      <c r="N705" s="836" t="s">
        <v>1326</v>
      </c>
      <c r="O705" s="1196">
        <v>27872</v>
      </c>
      <c r="P705" s="1218">
        <f t="shared" ca="1" si="429"/>
        <v>41.444444444444443</v>
      </c>
      <c r="Q705" s="1148">
        <v>34000</v>
      </c>
      <c r="R705" s="874">
        <f>Q705*0.1</f>
        <v>3400</v>
      </c>
      <c r="S705" s="875"/>
      <c r="T705" s="875"/>
      <c r="U705" s="875"/>
      <c r="V705" s="875"/>
      <c r="W705" s="875"/>
      <c r="X705" s="1026">
        <f t="shared" si="430"/>
        <v>37400</v>
      </c>
      <c r="Y705" s="1512">
        <f t="shared" si="431"/>
        <v>0</v>
      </c>
      <c r="Z705" s="1741">
        <f t="shared" si="432"/>
        <v>1</v>
      </c>
      <c r="AA705" s="1749">
        <f t="shared" si="433"/>
        <v>0</v>
      </c>
      <c r="AB705" s="1810">
        <f t="shared" si="434"/>
        <v>0</v>
      </c>
      <c r="AC705" s="876"/>
      <c r="AD705" s="1525">
        <f t="shared" si="435"/>
        <v>0</v>
      </c>
      <c r="AE705" s="1525">
        <f t="shared" si="435"/>
        <v>0</v>
      </c>
      <c r="AF705" s="1525">
        <f t="shared" si="435"/>
        <v>0</v>
      </c>
      <c r="AG705" s="1525">
        <f t="shared" si="435"/>
        <v>0</v>
      </c>
      <c r="AH705" s="1525">
        <f t="shared" si="435"/>
        <v>0</v>
      </c>
      <c r="AI705" s="1525">
        <f t="shared" si="435"/>
        <v>0</v>
      </c>
      <c r="AJ705" s="1525">
        <f t="shared" si="435"/>
        <v>0</v>
      </c>
      <c r="AK705" s="1525">
        <f t="shared" si="435"/>
        <v>0</v>
      </c>
      <c r="AL705" s="1525">
        <f t="shared" si="435"/>
        <v>0</v>
      </c>
      <c r="AM705" s="1525">
        <f t="shared" si="435"/>
        <v>0</v>
      </c>
      <c r="AN705" s="1525">
        <f t="shared" si="435"/>
        <v>0</v>
      </c>
      <c r="AO705" s="1525">
        <f t="shared" si="435"/>
        <v>0</v>
      </c>
      <c r="AP705" s="1525">
        <f t="shared" si="435"/>
        <v>0</v>
      </c>
      <c r="AQ705" s="1525">
        <f t="shared" si="435"/>
        <v>0</v>
      </c>
      <c r="AR705" s="1525">
        <f t="shared" si="435"/>
        <v>0</v>
      </c>
      <c r="AS705" s="1525">
        <f t="shared" si="435"/>
        <v>0</v>
      </c>
      <c r="AU705" s="1525"/>
      <c r="AV705" s="1291"/>
      <c r="AW705" s="1292"/>
      <c r="AX705" s="1292"/>
      <c r="AY705" s="1292"/>
      <c r="AZ705" s="1292"/>
      <c r="BA705" s="1292"/>
      <c r="BB705" s="1292"/>
      <c r="BC705" s="1292"/>
      <c r="BD705" s="1292"/>
      <c r="BE705" s="1292"/>
      <c r="BF705" s="1292"/>
      <c r="BG705" s="1292"/>
      <c r="BH705" s="1292"/>
      <c r="BI705" s="1292"/>
      <c r="BJ705" s="1292"/>
      <c r="BK705" s="1292"/>
      <c r="BL705" s="1292"/>
      <c r="BM705" s="1292"/>
      <c r="BN705" s="1292"/>
      <c r="BO705" s="1292"/>
      <c r="BP705" s="1292"/>
      <c r="BQ705" s="1292"/>
      <c r="BR705" s="1292"/>
      <c r="BS705" s="1292"/>
      <c r="BT705" s="1670">
        <f t="shared" si="436"/>
        <v>0</v>
      </c>
      <c r="BW705" s="821" t="s">
        <v>594</v>
      </c>
    </row>
    <row r="706" spans="2:75" ht="12.75" customHeight="1" x14ac:dyDescent="0.2">
      <c r="B706" s="175">
        <f t="shared" si="410"/>
        <v>4</v>
      </c>
      <c r="C706" s="219">
        <v>29</v>
      </c>
      <c r="E706" s="474" t="s">
        <v>590</v>
      </c>
      <c r="F706" s="24" t="s">
        <v>465</v>
      </c>
      <c r="G706" s="859" t="s">
        <v>223</v>
      </c>
      <c r="H706" s="1413">
        <v>40102</v>
      </c>
      <c r="I706" s="172" t="s">
        <v>161</v>
      </c>
      <c r="J706" s="168"/>
      <c r="K706" s="189"/>
      <c r="L706" s="858">
        <v>1</v>
      </c>
      <c r="M706" s="858">
        <f t="shared" ref="M706:M735" si="437">K706+L706</f>
        <v>1</v>
      </c>
      <c r="N706" s="836" t="s">
        <v>892</v>
      </c>
      <c r="O706" s="1196">
        <v>17914</v>
      </c>
      <c r="P706" s="1218">
        <f t="shared" ca="1" si="429"/>
        <v>68.711111111111109</v>
      </c>
      <c r="Q706" s="1148">
        <v>36000</v>
      </c>
      <c r="R706" s="874"/>
      <c r="S706" s="875"/>
      <c r="T706" s="875"/>
      <c r="U706" s="875"/>
      <c r="V706" s="875"/>
      <c r="W706" s="875"/>
      <c r="X706" s="1026">
        <f t="shared" si="430"/>
        <v>36000</v>
      </c>
      <c r="Y706" s="1512">
        <f t="shared" si="431"/>
        <v>0</v>
      </c>
      <c r="Z706" s="1741">
        <f t="shared" si="432"/>
        <v>1</v>
      </c>
      <c r="AA706" s="1749">
        <f t="shared" si="433"/>
        <v>0</v>
      </c>
      <c r="AB706" s="1810">
        <f t="shared" si="434"/>
        <v>0</v>
      </c>
      <c r="AC706" s="876"/>
      <c r="AD706" s="1525">
        <f t="shared" si="435"/>
        <v>0</v>
      </c>
      <c r="AE706" s="1525">
        <f t="shared" si="435"/>
        <v>0</v>
      </c>
      <c r="AF706" s="1525">
        <f t="shared" si="435"/>
        <v>0</v>
      </c>
      <c r="AG706" s="1525">
        <f t="shared" si="435"/>
        <v>0</v>
      </c>
      <c r="AH706" s="1525">
        <f t="shared" si="435"/>
        <v>0</v>
      </c>
      <c r="AI706" s="1525">
        <f t="shared" si="435"/>
        <v>0</v>
      </c>
      <c r="AJ706" s="1525">
        <f t="shared" si="435"/>
        <v>0</v>
      </c>
      <c r="AK706" s="1525">
        <f t="shared" si="435"/>
        <v>0</v>
      </c>
      <c r="AL706" s="1525">
        <f t="shared" si="435"/>
        <v>0</v>
      </c>
      <c r="AM706" s="1525">
        <f t="shared" si="435"/>
        <v>0</v>
      </c>
      <c r="AN706" s="1525">
        <f t="shared" si="435"/>
        <v>0</v>
      </c>
      <c r="AO706" s="1525">
        <f t="shared" si="435"/>
        <v>0</v>
      </c>
      <c r="AP706" s="1525">
        <f t="shared" si="435"/>
        <v>0</v>
      </c>
      <c r="AQ706" s="1525">
        <f t="shared" si="435"/>
        <v>0</v>
      </c>
      <c r="AR706" s="1525">
        <f t="shared" si="435"/>
        <v>0</v>
      </c>
      <c r="AS706" s="1525">
        <f t="shared" si="435"/>
        <v>0</v>
      </c>
      <c r="AU706" s="1525"/>
      <c r="AV706" s="1291"/>
      <c r="AW706" s="1292"/>
      <c r="AX706" s="1292"/>
      <c r="AY706" s="1292"/>
      <c r="AZ706" s="1292"/>
      <c r="BA706" s="1292"/>
      <c r="BB706" s="1292"/>
      <c r="BC706" s="1292"/>
      <c r="BD706" s="1292"/>
      <c r="BE706" s="1292"/>
      <c r="BF706" s="1292"/>
      <c r="BG706" s="1292"/>
      <c r="BH706" s="1292"/>
      <c r="BI706" s="1292"/>
      <c r="BJ706" s="1292"/>
      <c r="BK706" s="1292"/>
      <c r="BL706" s="1292"/>
      <c r="BM706" s="1292"/>
      <c r="BN706" s="1292"/>
      <c r="BO706" s="1292"/>
      <c r="BP706" s="1292"/>
      <c r="BQ706" s="1292"/>
      <c r="BR706" s="1292"/>
      <c r="BS706" s="1292"/>
      <c r="BT706" s="1670">
        <f t="shared" si="436"/>
        <v>0</v>
      </c>
      <c r="BW706" s="859" t="s">
        <v>223</v>
      </c>
    </row>
    <row r="707" spans="2:75" ht="12.75" customHeight="1" x14ac:dyDescent="0.2">
      <c r="B707" s="175">
        <f t="shared" si="410"/>
        <v>5</v>
      </c>
      <c r="C707" s="220">
        <v>13</v>
      </c>
      <c r="D707" s="170"/>
      <c r="E707" s="1306" t="s">
        <v>590</v>
      </c>
      <c r="F707" s="4" t="s">
        <v>1272</v>
      </c>
      <c r="G707" s="862" t="s">
        <v>224</v>
      </c>
      <c r="H707" s="861">
        <v>41584</v>
      </c>
      <c r="I707" s="197" t="s">
        <v>583</v>
      </c>
      <c r="J707" s="174"/>
      <c r="K707" s="174"/>
      <c r="L707" s="861">
        <v>1</v>
      </c>
      <c r="M707" s="861">
        <f t="shared" si="437"/>
        <v>1</v>
      </c>
      <c r="N707" s="836" t="s">
        <v>1326</v>
      </c>
      <c r="O707" s="1196">
        <v>22615</v>
      </c>
      <c r="P707" s="1262">
        <f t="shared" ca="1" si="429"/>
        <v>55.838888888888889</v>
      </c>
      <c r="Q707" s="1148">
        <v>31500</v>
      </c>
      <c r="R707" s="874">
        <f>Q707*0.1</f>
        <v>3150</v>
      </c>
      <c r="S707" s="876"/>
      <c r="T707" s="876"/>
      <c r="U707" s="876"/>
      <c r="V707" s="876"/>
      <c r="W707" s="876"/>
      <c r="X707" s="1026">
        <f t="shared" si="430"/>
        <v>34650</v>
      </c>
      <c r="Y707" s="1512">
        <f t="shared" si="431"/>
        <v>0</v>
      </c>
      <c r="Z707" s="1741">
        <f t="shared" si="432"/>
        <v>1</v>
      </c>
      <c r="AA707" s="1749">
        <f t="shared" si="433"/>
        <v>0</v>
      </c>
      <c r="AB707" s="1810">
        <f t="shared" si="434"/>
        <v>0</v>
      </c>
      <c r="AC707" s="876"/>
      <c r="AD707" s="1525">
        <f t="shared" si="435"/>
        <v>0</v>
      </c>
      <c r="AE707" s="1525">
        <f t="shared" si="435"/>
        <v>0</v>
      </c>
      <c r="AF707" s="1525">
        <f t="shared" si="435"/>
        <v>0</v>
      </c>
      <c r="AG707" s="1525">
        <f t="shared" si="435"/>
        <v>0</v>
      </c>
      <c r="AH707" s="1525">
        <f t="shared" si="435"/>
        <v>0</v>
      </c>
      <c r="AI707" s="1525">
        <f t="shared" si="435"/>
        <v>0</v>
      </c>
      <c r="AJ707" s="1525">
        <f t="shared" si="435"/>
        <v>0</v>
      </c>
      <c r="AK707" s="1525">
        <f t="shared" si="435"/>
        <v>0</v>
      </c>
      <c r="AL707" s="1525">
        <f t="shared" si="435"/>
        <v>0</v>
      </c>
      <c r="AM707" s="1525">
        <f t="shared" si="435"/>
        <v>0</v>
      </c>
      <c r="AN707" s="1525">
        <f t="shared" si="435"/>
        <v>0</v>
      </c>
      <c r="AO707" s="1525">
        <f t="shared" si="435"/>
        <v>0</v>
      </c>
      <c r="AP707" s="1525">
        <f t="shared" si="435"/>
        <v>0</v>
      </c>
      <c r="AQ707" s="1525">
        <f t="shared" si="435"/>
        <v>0</v>
      </c>
      <c r="AR707" s="1525">
        <f t="shared" si="435"/>
        <v>0</v>
      </c>
      <c r="AS707" s="1525">
        <f t="shared" si="435"/>
        <v>0</v>
      </c>
      <c r="AU707" s="1525"/>
      <c r="AV707" s="1291"/>
      <c r="AW707" s="1292"/>
      <c r="AX707" s="1292"/>
      <c r="AY707" s="1292"/>
      <c r="AZ707" s="1292"/>
      <c r="BA707" s="1292"/>
      <c r="BB707" s="1292"/>
      <c r="BC707" s="1292"/>
      <c r="BD707" s="1292"/>
      <c r="BE707" s="1292"/>
      <c r="BF707" s="1292"/>
      <c r="BG707" s="1292"/>
      <c r="BH707" s="1292"/>
      <c r="BI707" s="1292"/>
      <c r="BJ707" s="1292"/>
      <c r="BK707" s="1292"/>
      <c r="BL707" s="1292"/>
      <c r="BM707" s="1292"/>
      <c r="BN707" s="1292"/>
      <c r="BO707" s="1292"/>
      <c r="BP707" s="1292"/>
      <c r="BQ707" s="1292"/>
      <c r="BR707" s="1292"/>
      <c r="BS707" s="1292"/>
      <c r="BT707" s="1670">
        <f t="shared" si="436"/>
        <v>0</v>
      </c>
      <c r="BW707" s="862" t="s">
        <v>224</v>
      </c>
    </row>
    <row r="708" spans="2:75" ht="12.75" customHeight="1" x14ac:dyDescent="0.2">
      <c r="B708" s="175">
        <f t="shared" si="410"/>
        <v>6</v>
      </c>
      <c r="C708" s="219">
        <v>16</v>
      </c>
      <c r="E708" s="474" t="s">
        <v>590</v>
      </c>
      <c r="F708" s="4" t="s">
        <v>466</v>
      </c>
      <c r="G708" s="825" t="s">
        <v>467</v>
      </c>
      <c r="H708" s="858">
        <v>3206</v>
      </c>
      <c r="I708" s="197" t="s">
        <v>583</v>
      </c>
      <c r="J708" s="174"/>
      <c r="K708" s="174"/>
      <c r="L708" s="861">
        <v>1</v>
      </c>
      <c r="M708" s="858">
        <f t="shared" si="437"/>
        <v>1</v>
      </c>
      <c r="N708" s="836" t="s">
        <v>892</v>
      </c>
      <c r="O708" s="1196">
        <v>16555</v>
      </c>
      <c r="P708" s="1218">
        <f t="shared" ca="1" si="429"/>
        <v>72.427777777777777</v>
      </c>
      <c r="Q708" s="1148">
        <v>15800</v>
      </c>
      <c r="R708" s="874"/>
      <c r="S708" s="875"/>
      <c r="T708" s="875"/>
      <c r="U708" s="875"/>
      <c r="V708" s="875"/>
      <c r="W708" s="875"/>
      <c r="X708" s="1026">
        <f t="shared" si="430"/>
        <v>15800</v>
      </c>
      <c r="Y708" s="1512">
        <f t="shared" si="431"/>
        <v>0</v>
      </c>
      <c r="Z708" s="1741">
        <f t="shared" si="432"/>
        <v>1</v>
      </c>
      <c r="AA708" s="1749">
        <f t="shared" si="433"/>
        <v>0</v>
      </c>
      <c r="AB708" s="1810">
        <f t="shared" si="434"/>
        <v>0</v>
      </c>
      <c r="AC708" s="876"/>
      <c r="AD708" s="1525">
        <f t="shared" si="435"/>
        <v>0</v>
      </c>
      <c r="AE708" s="1525">
        <f t="shared" si="435"/>
        <v>0</v>
      </c>
      <c r="AF708" s="1525">
        <f t="shared" si="435"/>
        <v>0</v>
      </c>
      <c r="AG708" s="1525">
        <f t="shared" si="435"/>
        <v>0</v>
      </c>
      <c r="AH708" s="1525">
        <f t="shared" si="435"/>
        <v>0</v>
      </c>
      <c r="AI708" s="1525">
        <f t="shared" si="435"/>
        <v>0</v>
      </c>
      <c r="AJ708" s="1525">
        <f t="shared" si="435"/>
        <v>0</v>
      </c>
      <c r="AK708" s="1525">
        <f t="shared" si="435"/>
        <v>0</v>
      </c>
      <c r="AL708" s="1525">
        <f t="shared" si="435"/>
        <v>0</v>
      </c>
      <c r="AM708" s="1525">
        <f t="shared" si="435"/>
        <v>0</v>
      </c>
      <c r="AN708" s="1525">
        <f t="shared" si="435"/>
        <v>0</v>
      </c>
      <c r="AO708" s="1525">
        <f t="shared" si="435"/>
        <v>0</v>
      </c>
      <c r="AP708" s="1525">
        <f t="shared" si="435"/>
        <v>0</v>
      </c>
      <c r="AQ708" s="1525">
        <f t="shared" si="435"/>
        <v>0</v>
      </c>
      <c r="AR708" s="1525">
        <f t="shared" si="435"/>
        <v>0</v>
      </c>
      <c r="AS708" s="1525">
        <f t="shared" si="435"/>
        <v>0</v>
      </c>
      <c r="AU708" s="1525"/>
      <c r="AV708" s="1291"/>
      <c r="AW708" s="1292"/>
      <c r="AX708" s="1292"/>
      <c r="AY708" s="1292"/>
      <c r="AZ708" s="1292"/>
      <c r="BA708" s="1292"/>
      <c r="BB708" s="1292"/>
      <c r="BC708" s="1292"/>
      <c r="BD708" s="1292"/>
      <c r="BE708" s="1292"/>
      <c r="BF708" s="1292"/>
      <c r="BG708" s="1292"/>
      <c r="BH708" s="1292"/>
      <c r="BI708" s="1292"/>
      <c r="BJ708" s="1292"/>
      <c r="BK708" s="1292"/>
      <c r="BL708" s="1292"/>
      <c r="BM708" s="1292"/>
      <c r="BN708" s="1292"/>
      <c r="BO708" s="1292"/>
      <c r="BP708" s="1292"/>
      <c r="BQ708" s="1292"/>
      <c r="BR708" s="1292"/>
      <c r="BS708" s="1292"/>
      <c r="BT708" s="1670">
        <f t="shared" si="436"/>
        <v>0</v>
      </c>
      <c r="BW708" s="825" t="s">
        <v>467</v>
      </c>
    </row>
    <row r="709" spans="2:75" ht="12.75" customHeight="1" x14ac:dyDescent="0.2">
      <c r="B709" s="175">
        <f t="shared" si="410"/>
        <v>7</v>
      </c>
      <c r="C709" s="219">
        <v>18</v>
      </c>
      <c r="E709" s="474" t="s">
        <v>590</v>
      </c>
      <c r="F709" s="24" t="s">
        <v>514</v>
      </c>
      <c r="G709" s="825" t="s">
        <v>846</v>
      </c>
      <c r="H709" s="858">
        <v>200436</v>
      </c>
      <c r="I709" s="200" t="s">
        <v>998</v>
      </c>
      <c r="J709" s="174"/>
      <c r="K709" s="174"/>
      <c r="L709" s="861">
        <v>1</v>
      </c>
      <c r="M709" s="858">
        <f t="shared" si="437"/>
        <v>1</v>
      </c>
      <c r="N709" s="857" t="s">
        <v>892</v>
      </c>
      <c r="O709" s="1196">
        <v>22723</v>
      </c>
      <c r="P709" s="1218">
        <f t="shared" ca="1" si="429"/>
        <v>55.538888888888891</v>
      </c>
      <c r="Q709" s="1148">
        <v>17000</v>
      </c>
      <c r="R709" s="874"/>
      <c r="S709" s="875"/>
      <c r="T709" s="875"/>
      <c r="U709" s="875"/>
      <c r="V709" s="875"/>
      <c r="W709" s="875"/>
      <c r="X709" s="1026">
        <f t="shared" si="430"/>
        <v>17000</v>
      </c>
      <c r="Y709" s="1512">
        <f t="shared" si="431"/>
        <v>0</v>
      </c>
      <c r="Z709" s="1741">
        <f t="shared" si="432"/>
        <v>1</v>
      </c>
      <c r="AA709" s="1749">
        <f t="shared" si="433"/>
        <v>0</v>
      </c>
      <c r="AB709" s="1810">
        <f t="shared" si="434"/>
        <v>0</v>
      </c>
      <c r="AC709" s="876"/>
      <c r="AD709" s="1525">
        <f t="shared" si="435"/>
        <v>0</v>
      </c>
      <c r="AE709" s="1525">
        <f t="shared" si="435"/>
        <v>0</v>
      </c>
      <c r="AF709" s="1525">
        <f t="shared" si="435"/>
        <v>0</v>
      </c>
      <c r="AG709" s="1525">
        <f t="shared" si="435"/>
        <v>0</v>
      </c>
      <c r="AH709" s="1525">
        <f t="shared" si="435"/>
        <v>0</v>
      </c>
      <c r="AI709" s="1525">
        <f t="shared" si="435"/>
        <v>0</v>
      </c>
      <c r="AJ709" s="1525">
        <f t="shared" si="435"/>
        <v>0</v>
      </c>
      <c r="AK709" s="1525">
        <f t="shared" si="435"/>
        <v>0</v>
      </c>
      <c r="AL709" s="1525">
        <f t="shared" si="435"/>
        <v>0</v>
      </c>
      <c r="AM709" s="1525">
        <f t="shared" si="435"/>
        <v>0</v>
      </c>
      <c r="AN709" s="1525">
        <f t="shared" si="435"/>
        <v>0</v>
      </c>
      <c r="AO709" s="1525">
        <f t="shared" si="435"/>
        <v>0</v>
      </c>
      <c r="AP709" s="1525">
        <f t="shared" si="435"/>
        <v>0</v>
      </c>
      <c r="AQ709" s="1525">
        <f t="shared" si="435"/>
        <v>0</v>
      </c>
      <c r="AR709" s="1525">
        <f t="shared" si="435"/>
        <v>0</v>
      </c>
      <c r="AS709" s="1525">
        <f t="shared" si="435"/>
        <v>0</v>
      </c>
      <c r="AU709" s="1525"/>
      <c r="AV709" s="1291"/>
      <c r="AW709" s="1292"/>
      <c r="AX709" s="1292"/>
      <c r="AY709" s="1292"/>
      <c r="AZ709" s="1292"/>
      <c r="BA709" s="1292"/>
      <c r="BB709" s="1292"/>
      <c r="BC709" s="1292"/>
      <c r="BD709" s="1292"/>
      <c r="BE709" s="1292"/>
      <c r="BF709" s="1292"/>
      <c r="BG709" s="1292"/>
      <c r="BH709" s="1292"/>
      <c r="BI709" s="1292"/>
      <c r="BJ709" s="1292"/>
      <c r="BK709" s="1292"/>
      <c r="BL709" s="1292"/>
      <c r="BM709" s="1292"/>
      <c r="BN709" s="1292"/>
      <c r="BO709" s="1292"/>
      <c r="BP709" s="1292"/>
      <c r="BQ709" s="1292"/>
      <c r="BR709" s="1292"/>
      <c r="BS709" s="1292"/>
      <c r="BT709" s="1670">
        <f t="shared" si="436"/>
        <v>0</v>
      </c>
      <c r="BW709" s="825" t="s">
        <v>846</v>
      </c>
    </row>
    <row r="710" spans="2:75" ht="12.75" customHeight="1" x14ac:dyDescent="0.2">
      <c r="B710" s="175">
        <f t="shared" si="410"/>
        <v>8</v>
      </c>
      <c r="C710" s="219">
        <v>18</v>
      </c>
      <c r="E710" s="474" t="s">
        <v>590</v>
      </c>
      <c r="F710" s="24" t="s">
        <v>468</v>
      </c>
      <c r="G710" s="859" t="s">
        <v>450</v>
      </c>
      <c r="H710" s="858">
        <v>102237</v>
      </c>
      <c r="I710" s="200" t="s">
        <v>998</v>
      </c>
      <c r="J710" s="174"/>
      <c r="K710" s="174"/>
      <c r="L710" s="861">
        <v>1</v>
      </c>
      <c r="M710" s="858">
        <f t="shared" si="437"/>
        <v>1</v>
      </c>
      <c r="N710" s="855" t="s">
        <v>892</v>
      </c>
      <c r="O710" s="1196">
        <v>21985</v>
      </c>
      <c r="P710" s="1218">
        <f t="shared" ca="1" si="429"/>
        <v>57.56111111111111</v>
      </c>
      <c r="Q710" s="1148">
        <v>17500</v>
      </c>
      <c r="R710" s="874"/>
      <c r="S710" s="876"/>
      <c r="T710" s="876"/>
      <c r="U710" s="876"/>
      <c r="V710" s="876"/>
      <c r="W710" s="876"/>
      <c r="X710" s="1026">
        <f t="shared" si="430"/>
        <v>17500</v>
      </c>
      <c r="Y710" s="1512">
        <f t="shared" si="431"/>
        <v>0</v>
      </c>
      <c r="Z710" s="1741">
        <f t="shared" si="432"/>
        <v>1</v>
      </c>
      <c r="AA710" s="1749">
        <f t="shared" si="433"/>
        <v>0</v>
      </c>
      <c r="AB710" s="1810">
        <f t="shared" si="434"/>
        <v>0</v>
      </c>
      <c r="AC710" s="876"/>
      <c r="AD710" s="1525">
        <f t="shared" si="435"/>
        <v>0</v>
      </c>
      <c r="AE710" s="1525">
        <f t="shared" si="435"/>
        <v>0</v>
      </c>
      <c r="AF710" s="1525">
        <f t="shared" si="435"/>
        <v>0</v>
      </c>
      <c r="AG710" s="1525">
        <f t="shared" si="435"/>
        <v>0</v>
      </c>
      <c r="AH710" s="1525">
        <f t="shared" si="435"/>
        <v>0</v>
      </c>
      <c r="AI710" s="1525">
        <f t="shared" si="435"/>
        <v>0</v>
      </c>
      <c r="AJ710" s="1525">
        <f t="shared" si="435"/>
        <v>0</v>
      </c>
      <c r="AK710" s="1525">
        <f t="shared" si="435"/>
        <v>0</v>
      </c>
      <c r="AL710" s="1525">
        <f t="shared" si="435"/>
        <v>0</v>
      </c>
      <c r="AM710" s="1525">
        <f t="shared" si="435"/>
        <v>0</v>
      </c>
      <c r="AN710" s="1525">
        <f t="shared" si="435"/>
        <v>0</v>
      </c>
      <c r="AO710" s="1525">
        <f t="shared" si="435"/>
        <v>0</v>
      </c>
      <c r="AP710" s="1525">
        <f t="shared" si="435"/>
        <v>0</v>
      </c>
      <c r="AQ710" s="1525">
        <f t="shared" si="435"/>
        <v>0</v>
      </c>
      <c r="AR710" s="1525">
        <f t="shared" si="435"/>
        <v>0</v>
      </c>
      <c r="AS710" s="1525">
        <f t="shared" si="435"/>
        <v>0</v>
      </c>
      <c r="AU710" s="1525"/>
      <c r="AV710" s="1291"/>
      <c r="AW710" s="1292"/>
      <c r="AX710" s="1292"/>
      <c r="AY710" s="1292"/>
      <c r="AZ710" s="1292"/>
      <c r="BA710" s="1292"/>
      <c r="BB710" s="1292"/>
      <c r="BC710" s="1292"/>
      <c r="BD710" s="1292"/>
      <c r="BE710" s="1292"/>
      <c r="BF710" s="1292"/>
      <c r="BG710" s="1292"/>
      <c r="BH710" s="1292"/>
      <c r="BI710" s="1292"/>
      <c r="BJ710" s="1292"/>
      <c r="BK710" s="1292"/>
      <c r="BL710" s="1292"/>
      <c r="BM710" s="1292"/>
      <c r="BN710" s="1292"/>
      <c r="BO710" s="1292"/>
      <c r="BP710" s="1292"/>
      <c r="BQ710" s="1292"/>
      <c r="BR710" s="1292"/>
      <c r="BS710" s="1292"/>
      <c r="BT710" s="1670">
        <f t="shared" si="436"/>
        <v>0</v>
      </c>
      <c r="BW710" s="859" t="s">
        <v>450</v>
      </c>
    </row>
    <row r="711" spans="2:75" ht="12.75" customHeight="1" x14ac:dyDescent="0.2">
      <c r="B711" s="175">
        <f t="shared" si="410"/>
        <v>9</v>
      </c>
      <c r="C711" s="219">
        <v>18</v>
      </c>
      <c r="E711" s="474" t="s">
        <v>590</v>
      </c>
      <c r="F711" s="24" t="s">
        <v>566</v>
      </c>
      <c r="G711" s="859" t="s">
        <v>745</v>
      </c>
      <c r="H711" s="858">
        <v>100637</v>
      </c>
      <c r="I711" s="200" t="s">
        <v>998</v>
      </c>
      <c r="J711" s="189"/>
      <c r="K711" s="189"/>
      <c r="L711" s="861">
        <v>1</v>
      </c>
      <c r="M711" s="858">
        <f t="shared" si="437"/>
        <v>1</v>
      </c>
      <c r="N711" s="855" t="s">
        <v>1326</v>
      </c>
      <c r="O711" s="1196">
        <v>22472</v>
      </c>
      <c r="P711" s="1218">
        <f t="shared" ca="1" si="429"/>
        <v>56.227777777777774</v>
      </c>
      <c r="Q711" s="1148">
        <v>23000</v>
      </c>
      <c r="R711" s="874">
        <f>Q711*0.1</f>
        <v>2300</v>
      </c>
      <c r="S711" s="875"/>
      <c r="T711" s="875"/>
      <c r="U711" s="875"/>
      <c r="V711" s="875"/>
      <c r="W711" s="875"/>
      <c r="X711" s="1026">
        <f t="shared" si="430"/>
        <v>25300</v>
      </c>
      <c r="Y711" s="1512">
        <f t="shared" si="431"/>
        <v>0</v>
      </c>
      <c r="Z711" s="1741">
        <f t="shared" si="432"/>
        <v>1</v>
      </c>
      <c r="AA711" s="1749">
        <f t="shared" si="433"/>
        <v>0</v>
      </c>
      <c r="AB711" s="1810">
        <f t="shared" si="434"/>
        <v>0</v>
      </c>
      <c r="AC711" s="876"/>
      <c r="AD711" s="1525">
        <f t="shared" si="435"/>
        <v>0</v>
      </c>
      <c r="AE711" s="1525">
        <f t="shared" si="435"/>
        <v>0</v>
      </c>
      <c r="AF711" s="1525">
        <f t="shared" si="435"/>
        <v>0</v>
      </c>
      <c r="AG711" s="1525">
        <f t="shared" si="435"/>
        <v>0</v>
      </c>
      <c r="AH711" s="1525">
        <f t="shared" si="435"/>
        <v>0</v>
      </c>
      <c r="AI711" s="1525">
        <f t="shared" si="435"/>
        <v>0</v>
      </c>
      <c r="AJ711" s="1525">
        <f t="shared" si="435"/>
        <v>0</v>
      </c>
      <c r="AK711" s="1525">
        <f t="shared" si="435"/>
        <v>0</v>
      </c>
      <c r="AL711" s="1525">
        <f t="shared" si="435"/>
        <v>0</v>
      </c>
      <c r="AM711" s="1525">
        <f t="shared" si="435"/>
        <v>0</v>
      </c>
      <c r="AN711" s="1525">
        <f t="shared" si="435"/>
        <v>0</v>
      </c>
      <c r="AO711" s="1525">
        <f t="shared" si="435"/>
        <v>0</v>
      </c>
      <c r="AP711" s="1525">
        <f t="shared" si="435"/>
        <v>0</v>
      </c>
      <c r="AQ711" s="1525">
        <f t="shared" si="435"/>
        <v>0</v>
      </c>
      <c r="AR711" s="1525">
        <f t="shared" si="435"/>
        <v>0</v>
      </c>
      <c r="AS711" s="1525">
        <f t="shared" si="435"/>
        <v>0</v>
      </c>
      <c r="AU711" s="1525"/>
      <c r="AV711" s="1291"/>
      <c r="AW711" s="1292"/>
      <c r="AX711" s="1292"/>
      <c r="AY711" s="1292"/>
      <c r="AZ711" s="1292"/>
      <c r="BA711" s="1292"/>
      <c r="BB711" s="1292"/>
      <c r="BC711" s="1292"/>
      <c r="BD711" s="1292"/>
      <c r="BE711" s="1292"/>
      <c r="BF711" s="1292"/>
      <c r="BG711" s="1292"/>
      <c r="BH711" s="1292"/>
      <c r="BI711" s="1292"/>
      <c r="BJ711" s="1292"/>
      <c r="BK711" s="1292"/>
      <c r="BL711" s="1292"/>
      <c r="BM711" s="1292"/>
      <c r="BN711" s="1292"/>
      <c r="BO711" s="1292"/>
      <c r="BP711" s="1292"/>
      <c r="BQ711" s="1292"/>
      <c r="BR711" s="1292"/>
      <c r="BS711" s="1292"/>
      <c r="BT711" s="1670">
        <f t="shared" si="436"/>
        <v>0</v>
      </c>
      <c r="BW711" s="859" t="s">
        <v>745</v>
      </c>
    </row>
    <row r="712" spans="2:75" ht="12.75" customHeight="1" x14ac:dyDescent="0.2">
      <c r="B712" s="175">
        <f t="shared" si="410"/>
        <v>10</v>
      </c>
      <c r="C712" s="219">
        <v>18</v>
      </c>
      <c r="E712" s="474" t="s">
        <v>590</v>
      </c>
      <c r="F712" s="24" t="s">
        <v>1725</v>
      </c>
      <c r="G712" s="859" t="s">
        <v>439</v>
      </c>
      <c r="H712" s="858">
        <v>150856</v>
      </c>
      <c r="I712" s="200" t="s">
        <v>998</v>
      </c>
      <c r="J712" s="189"/>
      <c r="K712" s="189"/>
      <c r="L712" s="861">
        <v>1</v>
      </c>
      <c r="M712" s="858">
        <f t="shared" si="437"/>
        <v>1</v>
      </c>
      <c r="N712" s="855"/>
      <c r="O712" s="1196">
        <v>28094</v>
      </c>
      <c r="P712" s="1218">
        <f t="shared" ca="1" si="429"/>
        <v>40.838888888888889</v>
      </c>
      <c r="Q712" s="1148">
        <v>18800</v>
      </c>
      <c r="R712" s="874"/>
      <c r="S712" s="875"/>
      <c r="T712" s="875"/>
      <c r="U712" s="875"/>
      <c r="V712" s="875"/>
      <c r="W712" s="875">
        <f>Q712*0.25</f>
        <v>4700</v>
      </c>
      <c r="X712" s="1026">
        <f t="shared" si="430"/>
        <v>23500</v>
      </c>
      <c r="Y712" s="1512">
        <f t="shared" ref="Y712:Y738" si="438">(T712+U712+W712)*M712/(X712-M712*(T712+U712+W712))</f>
        <v>0.25</v>
      </c>
      <c r="Z712" s="1741">
        <f t="shared" si="432"/>
        <v>1.25</v>
      </c>
      <c r="AA712" s="1749">
        <f t="shared" si="433"/>
        <v>0</v>
      </c>
      <c r="AB712" s="1810">
        <f t="shared" si="434"/>
        <v>0</v>
      </c>
      <c r="AC712" s="876"/>
      <c r="AD712" s="1525">
        <f t="shared" si="435"/>
        <v>0</v>
      </c>
      <c r="AE712" s="1525">
        <f t="shared" si="435"/>
        <v>0</v>
      </c>
      <c r="AF712" s="1525">
        <f t="shared" si="435"/>
        <v>0</v>
      </c>
      <c r="AG712" s="1525">
        <f t="shared" si="435"/>
        <v>0</v>
      </c>
      <c r="AH712" s="1525">
        <f t="shared" si="435"/>
        <v>0</v>
      </c>
      <c r="AI712" s="1525">
        <f t="shared" si="435"/>
        <v>0</v>
      </c>
      <c r="AJ712" s="1525">
        <f t="shared" si="435"/>
        <v>0</v>
      </c>
      <c r="AK712" s="1525">
        <f t="shared" si="435"/>
        <v>0</v>
      </c>
      <c r="AL712" s="1525">
        <f t="shared" si="435"/>
        <v>0</v>
      </c>
      <c r="AM712" s="1525">
        <f t="shared" si="435"/>
        <v>0</v>
      </c>
      <c r="AN712" s="1525">
        <f t="shared" si="435"/>
        <v>0</v>
      </c>
      <c r="AO712" s="1525">
        <f t="shared" si="435"/>
        <v>0</v>
      </c>
      <c r="AP712" s="1525">
        <f t="shared" si="435"/>
        <v>0</v>
      </c>
      <c r="AQ712" s="1525">
        <f t="shared" si="435"/>
        <v>0</v>
      </c>
      <c r="AR712" s="1525">
        <f t="shared" si="435"/>
        <v>0</v>
      </c>
      <c r="AS712" s="1525">
        <f t="shared" si="435"/>
        <v>0</v>
      </c>
      <c r="AU712" s="1525"/>
      <c r="AV712" s="1291"/>
      <c r="AW712" s="1292"/>
      <c r="AX712" s="1292"/>
      <c r="AY712" s="1292"/>
      <c r="AZ712" s="1292"/>
      <c r="BA712" s="1292"/>
      <c r="BB712" s="1292"/>
      <c r="BC712" s="1292"/>
      <c r="BD712" s="1292"/>
      <c r="BE712" s="1292"/>
      <c r="BF712" s="1292"/>
      <c r="BG712" s="1292"/>
      <c r="BH712" s="1292"/>
      <c r="BI712" s="1292"/>
      <c r="BJ712" s="1292"/>
      <c r="BK712" s="1292"/>
      <c r="BL712" s="1292"/>
      <c r="BM712" s="1292"/>
      <c r="BN712" s="1292"/>
      <c r="BO712" s="1292"/>
      <c r="BP712" s="1292"/>
      <c r="BQ712" s="1292"/>
      <c r="BR712" s="1292"/>
      <c r="BS712" s="1292"/>
      <c r="BT712" s="1670">
        <f t="shared" si="436"/>
        <v>0</v>
      </c>
      <c r="BW712" s="859" t="s">
        <v>439</v>
      </c>
    </row>
    <row r="713" spans="2:75" ht="12.75" customHeight="1" x14ac:dyDescent="0.2">
      <c r="B713" s="175">
        <f t="shared" si="410"/>
        <v>11</v>
      </c>
      <c r="C713" s="219">
        <v>18</v>
      </c>
      <c r="E713" s="474" t="s">
        <v>590</v>
      </c>
      <c r="F713" s="24" t="s">
        <v>468</v>
      </c>
      <c r="G713" s="856" t="s">
        <v>845</v>
      </c>
      <c r="H713" s="858">
        <v>6760</v>
      </c>
      <c r="I713" s="200" t="s">
        <v>998</v>
      </c>
      <c r="J713" s="189"/>
      <c r="K713" s="189"/>
      <c r="L713" s="858">
        <v>1</v>
      </c>
      <c r="M713" s="858">
        <f t="shared" si="437"/>
        <v>1</v>
      </c>
      <c r="N713" s="857" t="s">
        <v>892</v>
      </c>
      <c r="O713" s="1196">
        <v>17042</v>
      </c>
      <c r="P713" s="1218">
        <f t="shared" ca="1" si="429"/>
        <v>71.094444444444449</v>
      </c>
      <c r="Q713" s="1148">
        <v>17500</v>
      </c>
      <c r="R713" s="874"/>
      <c r="S713" s="875"/>
      <c r="T713" s="875"/>
      <c r="U713" s="875"/>
      <c r="V713" s="875"/>
      <c r="W713" s="875"/>
      <c r="X713" s="1026">
        <f t="shared" si="430"/>
        <v>17500</v>
      </c>
      <c r="Y713" s="1512">
        <f t="shared" si="438"/>
        <v>0</v>
      </c>
      <c r="Z713" s="1741">
        <f t="shared" si="432"/>
        <v>1</v>
      </c>
      <c r="AA713" s="1749">
        <f t="shared" si="433"/>
        <v>0</v>
      </c>
      <c r="AB713" s="1810">
        <f t="shared" si="434"/>
        <v>0</v>
      </c>
      <c r="AC713" s="876"/>
      <c r="AD713" s="1525">
        <f t="shared" ref="AD713:AS722" si="439">SUMIF($AV$6:$BS$6,AD$5,$AV713:$BS713)</f>
        <v>0</v>
      </c>
      <c r="AE713" s="1525">
        <f t="shared" si="439"/>
        <v>0</v>
      </c>
      <c r="AF713" s="1525">
        <f t="shared" si="439"/>
        <v>0</v>
      </c>
      <c r="AG713" s="1525">
        <f t="shared" si="439"/>
        <v>0</v>
      </c>
      <c r="AH713" s="1525">
        <f t="shared" si="439"/>
        <v>0</v>
      </c>
      <c r="AI713" s="1525">
        <f t="shared" si="439"/>
        <v>0</v>
      </c>
      <c r="AJ713" s="1525">
        <f t="shared" si="439"/>
        <v>0</v>
      </c>
      <c r="AK713" s="1525">
        <f t="shared" si="439"/>
        <v>0</v>
      </c>
      <c r="AL713" s="1525">
        <f t="shared" si="439"/>
        <v>0</v>
      </c>
      <c r="AM713" s="1525">
        <f t="shared" si="439"/>
        <v>0</v>
      </c>
      <c r="AN713" s="1525">
        <f t="shared" si="439"/>
        <v>0</v>
      </c>
      <c r="AO713" s="1525">
        <f t="shared" si="439"/>
        <v>0</v>
      </c>
      <c r="AP713" s="1525">
        <f t="shared" si="439"/>
        <v>0</v>
      </c>
      <c r="AQ713" s="1525">
        <f t="shared" si="439"/>
        <v>0</v>
      </c>
      <c r="AR713" s="1525">
        <f t="shared" si="439"/>
        <v>0</v>
      </c>
      <c r="AS713" s="1525">
        <f t="shared" si="439"/>
        <v>0</v>
      </c>
      <c r="AU713" s="1525"/>
      <c r="AV713" s="1291"/>
      <c r="AW713" s="1292"/>
      <c r="AX713" s="1292"/>
      <c r="AY713" s="1292"/>
      <c r="AZ713" s="1292"/>
      <c r="BA713" s="1292"/>
      <c r="BB713" s="1292"/>
      <c r="BC713" s="1292"/>
      <c r="BD713" s="1292"/>
      <c r="BE713" s="1292"/>
      <c r="BF713" s="1292"/>
      <c r="BG713" s="1292"/>
      <c r="BH713" s="1292"/>
      <c r="BI713" s="1292"/>
      <c r="BJ713" s="1292"/>
      <c r="BK713" s="1292"/>
      <c r="BL713" s="1292"/>
      <c r="BM713" s="1292"/>
      <c r="BN713" s="1292"/>
      <c r="BO713" s="1292"/>
      <c r="BP713" s="1292"/>
      <c r="BQ713" s="1292"/>
      <c r="BR713" s="1292"/>
      <c r="BS713" s="1292"/>
      <c r="BT713" s="1670">
        <f t="shared" si="436"/>
        <v>0</v>
      </c>
      <c r="BW713" s="856" t="s">
        <v>845</v>
      </c>
    </row>
    <row r="714" spans="2:75" ht="12.75" customHeight="1" x14ac:dyDescent="0.2">
      <c r="B714" s="175">
        <f t="shared" si="410"/>
        <v>12</v>
      </c>
      <c r="C714" s="219">
        <v>18</v>
      </c>
      <c r="E714" s="474" t="s">
        <v>590</v>
      </c>
      <c r="F714" s="24" t="s">
        <v>468</v>
      </c>
      <c r="G714" s="859" t="s">
        <v>222</v>
      </c>
      <c r="H714" s="858">
        <v>223772</v>
      </c>
      <c r="I714" s="200" t="s">
        <v>998</v>
      </c>
      <c r="J714" s="189"/>
      <c r="K714" s="189"/>
      <c r="L714" s="861">
        <v>1</v>
      </c>
      <c r="M714" s="858">
        <f t="shared" si="437"/>
        <v>1</v>
      </c>
      <c r="N714" s="855" t="s">
        <v>892</v>
      </c>
      <c r="O714" s="1196">
        <v>22432</v>
      </c>
      <c r="P714" s="1218">
        <f t="shared" ca="1" si="429"/>
        <v>56.338888888888889</v>
      </c>
      <c r="Q714" s="1148">
        <v>19500</v>
      </c>
      <c r="R714" s="874"/>
      <c r="S714" s="875"/>
      <c r="T714" s="875"/>
      <c r="U714" s="875"/>
      <c r="V714" s="875"/>
      <c r="W714" s="875"/>
      <c r="X714" s="1026">
        <f t="shared" si="430"/>
        <v>19500</v>
      </c>
      <c r="Y714" s="1512">
        <f t="shared" si="438"/>
        <v>0</v>
      </c>
      <c r="Z714" s="1741">
        <f t="shared" si="432"/>
        <v>1</v>
      </c>
      <c r="AA714" s="1749">
        <f t="shared" si="433"/>
        <v>0</v>
      </c>
      <c r="AB714" s="1810">
        <f t="shared" si="434"/>
        <v>0</v>
      </c>
      <c r="AC714" s="876"/>
      <c r="AD714" s="1525">
        <f t="shared" si="439"/>
        <v>0</v>
      </c>
      <c r="AE714" s="1525">
        <f t="shared" si="439"/>
        <v>0</v>
      </c>
      <c r="AF714" s="1525">
        <f t="shared" si="439"/>
        <v>0</v>
      </c>
      <c r="AG714" s="1525">
        <f t="shared" si="439"/>
        <v>0</v>
      </c>
      <c r="AH714" s="1525">
        <f t="shared" si="439"/>
        <v>0</v>
      </c>
      <c r="AI714" s="1525">
        <f t="shared" si="439"/>
        <v>0</v>
      </c>
      <c r="AJ714" s="1525">
        <f t="shared" si="439"/>
        <v>0</v>
      </c>
      <c r="AK714" s="1525">
        <f t="shared" si="439"/>
        <v>0</v>
      </c>
      <c r="AL714" s="1525">
        <f t="shared" si="439"/>
        <v>0</v>
      </c>
      <c r="AM714" s="1525">
        <f t="shared" si="439"/>
        <v>0</v>
      </c>
      <c r="AN714" s="1525">
        <f t="shared" si="439"/>
        <v>0</v>
      </c>
      <c r="AO714" s="1525">
        <f t="shared" si="439"/>
        <v>0</v>
      </c>
      <c r="AP714" s="1525">
        <f t="shared" si="439"/>
        <v>0</v>
      </c>
      <c r="AQ714" s="1525">
        <f t="shared" si="439"/>
        <v>0</v>
      </c>
      <c r="AR714" s="1525">
        <f t="shared" si="439"/>
        <v>0</v>
      </c>
      <c r="AS714" s="1525">
        <f t="shared" si="439"/>
        <v>0</v>
      </c>
      <c r="AU714" s="1525"/>
      <c r="AV714" s="1291"/>
      <c r="AW714" s="1292"/>
      <c r="AX714" s="1292"/>
      <c r="AY714" s="1292"/>
      <c r="AZ714" s="1292"/>
      <c r="BA714" s="1292"/>
      <c r="BB714" s="1292"/>
      <c r="BC714" s="1292"/>
      <c r="BD714" s="1292"/>
      <c r="BE714" s="1292"/>
      <c r="BF714" s="1292"/>
      <c r="BG714" s="1292"/>
      <c r="BH714" s="1292"/>
      <c r="BI714" s="1292"/>
      <c r="BJ714" s="1292"/>
      <c r="BK714" s="1292"/>
      <c r="BL714" s="1292"/>
      <c r="BM714" s="1292"/>
      <c r="BN714" s="1292"/>
      <c r="BO714" s="1292"/>
      <c r="BP714" s="1292"/>
      <c r="BQ714" s="1292"/>
      <c r="BR714" s="1292"/>
      <c r="BS714" s="1292"/>
      <c r="BT714" s="1670">
        <f t="shared" si="436"/>
        <v>0</v>
      </c>
      <c r="BW714" s="859" t="s">
        <v>222</v>
      </c>
    </row>
    <row r="715" spans="2:75" ht="12.75" customHeight="1" x14ac:dyDescent="0.2">
      <c r="B715" s="175">
        <f t="shared" si="410"/>
        <v>13</v>
      </c>
      <c r="C715" s="219">
        <v>18</v>
      </c>
      <c r="E715" s="474" t="s">
        <v>590</v>
      </c>
      <c r="F715" s="24" t="s">
        <v>536</v>
      </c>
      <c r="G715" s="859" t="s">
        <v>847</v>
      </c>
      <c r="H715" s="858">
        <v>201813</v>
      </c>
      <c r="I715" s="200" t="s">
        <v>998</v>
      </c>
      <c r="J715" s="189"/>
      <c r="K715" s="189"/>
      <c r="L715" s="861">
        <v>1</v>
      </c>
      <c r="M715" s="858">
        <f t="shared" si="437"/>
        <v>1</v>
      </c>
      <c r="N715" s="855" t="s">
        <v>892</v>
      </c>
      <c r="O715" s="1196">
        <v>22684</v>
      </c>
      <c r="P715" s="1218">
        <f t="shared" ca="1" si="429"/>
        <v>55.652777777777779</v>
      </c>
      <c r="Q715" s="1148">
        <v>17000</v>
      </c>
      <c r="R715" s="874"/>
      <c r="S715" s="875"/>
      <c r="T715" s="875"/>
      <c r="U715" s="875"/>
      <c r="V715" s="875"/>
      <c r="W715" s="875"/>
      <c r="X715" s="1026">
        <f t="shared" si="430"/>
        <v>17000</v>
      </c>
      <c r="Y715" s="1512">
        <f t="shared" si="438"/>
        <v>0</v>
      </c>
      <c r="Z715" s="1741">
        <f t="shared" si="432"/>
        <v>1</v>
      </c>
      <c r="AA715" s="1749">
        <f t="shared" si="433"/>
        <v>0</v>
      </c>
      <c r="AB715" s="1810">
        <f t="shared" si="434"/>
        <v>0</v>
      </c>
      <c r="AC715" s="876"/>
      <c r="AD715" s="1525">
        <f t="shared" si="439"/>
        <v>0</v>
      </c>
      <c r="AE715" s="1525">
        <f t="shared" si="439"/>
        <v>0</v>
      </c>
      <c r="AF715" s="1525">
        <f t="shared" si="439"/>
        <v>0</v>
      </c>
      <c r="AG715" s="1525">
        <f t="shared" si="439"/>
        <v>0</v>
      </c>
      <c r="AH715" s="1525">
        <f t="shared" si="439"/>
        <v>0</v>
      </c>
      <c r="AI715" s="1525">
        <f t="shared" si="439"/>
        <v>0</v>
      </c>
      <c r="AJ715" s="1525">
        <f t="shared" si="439"/>
        <v>0</v>
      </c>
      <c r="AK715" s="1525">
        <f t="shared" si="439"/>
        <v>0</v>
      </c>
      <c r="AL715" s="1525">
        <f t="shared" si="439"/>
        <v>0</v>
      </c>
      <c r="AM715" s="1525">
        <f t="shared" si="439"/>
        <v>0</v>
      </c>
      <c r="AN715" s="1525">
        <f t="shared" si="439"/>
        <v>0</v>
      </c>
      <c r="AO715" s="1525">
        <f t="shared" si="439"/>
        <v>0</v>
      </c>
      <c r="AP715" s="1525">
        <f t="shared" si="439"/>
        <v>0</v>
      </c>
      <c r="AQ715" s="1525">
        <f t="shared" si="439"/>
        <v>0</v>
      </c>
      <c r="AR715" s="1525">
        <f t="shared" si="439"/>
        <v>0</v>
      </c>
      <c r="AS715" s="1525">
        <f t="shared" si="439"/>
        <v>0</v>
      </c>
      <c r="AU715" s="1525"/>
      <c r="AV715" s="1291"/>
      <c r="AW715" s="1292"/>
      <c r="AX715" s="1292"/>
      <c r="AY715" s="1292"/>
      <c r="AZ715" s="1292"/>
      <c r="BA715" s="1292"/>
      <c r="BB715" s="1292"/>
      <c r="BC715" s="1292"/>
      <c r="BD715" s="1292"/>
      <c r="BE715" s="1292"/>
      <c r="BF715" s="1292"/>
      <c r="BG715" s="1292"/>
      <c r="BH715" s="1292"/>
      <c r="BI715" s="1292"/>
      <c r="BJ715" s="1292"/>
      <c r="BK715" s="1292"/>
      <c r="BL715" s="1292"/>
      <c r="BM715" s="1292"/>
      <c r="BN715" s="1292"/>
      <c r="BO715" s="1292"/>
      <c r="BP715" s="1292"/>
      <c r="BQ715" s="1292"/>
      <c r="BR715" s="1292"/>
      <c r="BS715" s="1292"/>
      <c r="BT715" s="1670">
        <f t="shared" si="436"/>
        <v>0</v>
      </c>
      <c r="BW715" s="859" t="s">
        <v>847</v>
      </c>
    </row>
    <row r="716" spans="2:75" ht="12.75" customHeight="1" x14ac:dyDescent="0.2">
      <c r="B716" s="175">
        <f t="shared" si="410"/>
        <v>14</v>
      </c>
      <c r="C716" s="219">
        <v>18</v>
      </c>
      <c r="E716" s="474" t="s">
        <v>590</v>
      </c>
      <c r="F716" s="24" t="s">
        <v>337</v>
      </c>
      <c r="G716" s="859" t="s">
        <v>338</v>
      </c>
      <c r="H716" s="858">
        <v>78331</v>
      </c>
      <c r="I716" s="200" t="s">
        <v>998</v>
      </c>
      <c r="J716" s="189"/>
      <c r="K716" s="189"/>
      <c r="L716" s="861">
        <v>1</v>
      </c>
      <c r="M716" s="858">
        <f t="shared" si="437"/>
        <v>1</v>
      </c>
      <c r="N716" s="855" t="s">
        <v>1326</v>
      </c>
      <c r="O716" s="1196">
        <v>19373</v>
      </c>
      <c r="P716" s="1218">
        <f t="shared" ca="1" si="429"/>
        <v>64.716666666666669</v>
      </c>
      <c r="Q716" s="1148">
        <v>18700</v>
      </c>
      <c r="R716" s="874">
        <f>Q716*0.1</f>
        <v>1870</v>
      </c>
      <c r="S716" s="875"/>
      <c r="T716" s="875"/>
      <c r="U716" s="875"/>
      <c r="V716" s="875"/>
      <c r="W716" s="875"/>
      <c r="X716" s="1026">
        <f t="shared" si="430"/>
        <v>20570</v>
      </c>
      <c r="Y716" s="1512">
        <f t="shared" si="438"/>
        <v>0</v>
      </c>
      <c r="Z716" s="1741">
        <f t="shared" si="432"/>
        <v>1</v>
      </c>
      <c r="AA716" s="1749">
        <f t="shared" si="433"/>
        <v>0</v>
      </c>
      <c r="AB716" s="1810">
        <f t="shared" si="434"/>
        <v>0</v>
      </c>
      <c r="AC716" s="876"/>
      <c r="AD716" s="1525">
        <f t="shared" si="439"/>
        <v>0</v>
      </c>
      <c r="AE716" s="1525">
        <f t="shared" si="439"/>
        <v>0</v>
      </c>
      <c r="AF716" s="1525">
        <f t="shared" si="439"/>
        <v>0</v>
      </c>
      <c r="AG716" s="1525">
        <f t="shared" si="439"/>
        <v>0</v>
      </c>
      <c r="AH716" s="1525">
        <f t="shared" si="439"/>
        <v>0</v>
      </c>
      <c r="AI716" s="1525">
        <f t="shared" si="439"/>
        <v>0</v>
      </c>
      <c r="AJ716" s="1525">
        <f t="shared" si="439"/>
        <v>0</v>
      </c>
      <c r="AK716" s="1525">
        <f t="shared" si="439"/>
        <v>0</v>
      </c>
      <c r="AL716" s="1525">
        <f t="shared" si="439"/>
        <v>0</v>
      </c>
      <c r="AM716" s="1525">
        <f t="shared" si="439"/>
        <v>0</v>
      </c>
      <c r="AN716" s="1525">
        <f t="shared" si="439"/>
        <v>0</v>
      </c>
      <c r="AO716" s="1525">
        <f t="shared" si="439"/>
        <v>0</v>
      </c>
      <c r="AP716" s="1525">
        <f t="shared" si="439"/>
        <v>0</v>
      </c>
      <c r="AQ716" s="1525">
        <f t="shared" si="439"/>
        <v>0</v>
      </c>
      <c r="AR716" s="1525">
        <f t="shared" si="439"/>
        <v>0</v>
      </c>
      <c r="AS716" s="1525">
        <f t="shared" si="439"/>
        <v>0</v>
      </c>
      <c r="AU716" s="1525"/>
      <c r="AV716" s="1291"/>
      <c r="AW716" s="1292"/>
      <c r="AX716" s="1292"/>
      <c r="AY716" s="1292"/>
      <c r="AZ716" s="1292"/>
      <c r="BA716" s="1292"/>
      <c r="BB716" s="1292"/>
      <c r="BC716" s="1292"/>
      <c r="BD716" s="1292"/>
      <c r="BE716" s="1292"/>
      <c r="BF716" s="1292"/>
      <c r="BG716" s="1292"/>
      <c r="BH716" s="1292"/>
      <c r="BI716" s="1292"/>
      <c r="BJ716" s="1292"/>
      <c r="BK716" s="1292"/>
      <c r="BL716" s="1292"/>
      <c r="BM716" s="1292"/>
      <c r="BN716" s="1292"/>
      <c r="BO716" s="1292"/>
      <c r="BP716" s="1292"/>
      <c r="BQ716" s="1292"/>
      <c r="BR716" s="1292"/>
      <c r="BS716" s="1292"/>
      <c r="BT716" s="1670">
        <f t="shared" si="436"/>
        <v>0</v>
      </c>
      <c r="BW716" s="859" t="s">
        <v>338</v>
      </c>
    </row>
    <row r="717" spans="2:75" ht="12.75" customHeight="1" x14ac:dyDescent="0.2">
      <c r="B717" s="175">
        <f t="shared" si="410"/>
        <v>15</v>
      </c>
      <c r="C717" s="219">
        <v>18</v>
      </c>
      <c r="E717" s="474" t="s">
        <v>590</v>
      </c>
      <c r="F717" s="24" t="s">
        <v>536</v>
      </c>
      <c r="G717" s="859" t="s">
        <v>848</v>
      </c>
      <c r="H717" s="858">
        <v>45204</v>
      </c>
      <c r="I717" s="200" t="s">
        <v>998</v>
      </c>
      <c r="J717" s="189"/>
      <c r="K717" s="189"/>
      <c r="L717" s="861">
        <v>1</v>
      </c>
      <c r="M717" s="858">
        <f t="shared" si="437"/>
        <v>1</v>
      </c>
      <c r="N717" s="855" t="s">
        <v>892</v>
      </c>
      <c r="O717" s="1196">
        <v>14023</v>
      </c>
      <c r="P717" s="1218">
        <f t="shared" ca="1" si="429"/>
        <v>79.358333333333334</v>
      </c>
      <c r="Q717" s="1148">
        <v>16800</v>
      </c>
      <c r="R717" s="874"/>
      <c r="S717" s="875"/>
      <c r="T717" s="875"/>
      <c r="U717" s="875"/>
      <c r="V717" s="875"/>
      <c r="W717" s="875"/>
      <c r="X717" s="1026">
        <f t="shared" si="430"/>
        <v>16800</v>
      </c>
      <c r="Y717" s="1512">
        <f t="shared" si="438"/>
        <v>0</v>
      </c>
      <c r="Z717" s="1741">
        <f t="shared" si="432"/>
        <v>1</v>
      </c>
      <c r="AA717" s="1749">
        <f t="shared" si="433"/>
        <v>0</v>
      </c>
      <c r="AB717" s="1810">
        <f t="shared" si="434"/>
        <v>0</v>
      </c>
      <c r="AC717" s="876"/>
      <c r="AD717" s="1525">
        <f t="shared" si="439"/>
        <v>0</v>
      </c>
      <c r="AE717" s="1525">
        <f t="shared" si="439"/>
        <v>0</v>
      </c>
      <c r="AF717" s="1525">
        <f t="shared" si="439"/>
        <v>0</v>
      </c>
      <c r="AG717" s="1525">
        <f t="shared" si="439"/>
        <v>0</v>
      </c>
      <c r="AH717" s="1525">
        <f t="shared" si="439"/>
        <v>0</v>
      </c>
      <c r="AI717" s="1525">
        <f t="shared" si="439"/>
        <v>0</v>
      </c>
      <c r="AJ717" s="1525">
        <f t="shared" si="439"/>
        <v>0</v>
      </c>
      <c r="AK717" s="1525">
        <f t="shared" si="439"/>
        <v>0</v>
      </c>
      <c r="AL717" s="1525">
        <f t="shared" si="439"/>
        <v>0</v>
      </c>
      <c r="AM717" s="1525">
        <f t="shared" si="439"/>
        <v>0</v>
      </c>
      <c r="AN717" s="1525">
        <f t="shared" si="439"/>
        <v>0</v>
      </c>
      <c r="AO717" s="1525">
        <f t="shared" si="439"/>
        <v>0</v>
      </c>
      <c r="AP717" s="1525">
        <f t="shared" si="439"/>
        <v>0</v>
      </c>
      <c r="AQ717" s="1525">
        <f t="shared" si="439"/>
        <v>0</v>
      </c>
      <c r="AR717" s="1525">
        <f t="shared" si="439"/>
        <v>0</v>
      </c>
      <c r="AS717" s="1525">
        <f t="shared" si="439"/>
        <v>0</v>
      </c>
      <c r="AU717" s="1525"/>
      <c r="AV717" s="1291"/>
      <c r="AW717" s="1292"/>
      <c r="AX717" s="1292"/>
      <c r="AY717" s="1292"/>
      <c r="AZ717" s="1292"/>
      <c r="BA717" s="1292"/>
      <c r="BB717" s="1292"/>
      <c r="BC717" s="1292"/>
      <c r="BD717" s="1292"/>
      <c r="BE717" s="1292"/>
      <c r="BF717" s="1292"/>
      <c r="BG717" s="1292"/>
      <c r="BH717" s="1292"/>
      <c r="BI717" s="1292"/>
      <c r="BJ717" s="1292"/>
      <c r="BK717" s="1292"/>
      <c r="BL717" s="1292"/>
      <c r="BM717" s="1292"/>
      <c r="BN717" s="1292"/>
      <c r="BO717" s="1292"/>
      <c r="BP717" s="1292"/>
      <c r="BQ717" s="1292"/>
      <c r="BR717" s="1292"/>
      <c r="BS717" s="1292"/>
      <c r="BT717" s="1670">
        <f t="shared" si="436"/>
        <v>0</v>
      </c>
      <c r="BW717" s="859" t="s">
        <v>848</v>
      </c>
    </row>
    <row r="718" spans="2:75" ht="12.75" customHeight="1" x14ac:dyDescent="0.2">
      <c r="B718" s="175">
        <f t="shared" ref="B718:B746" si="440">B717+1</f>
        <v>16</v>
      </c>
      <c r="C718" s="219">
        <v>18</v>
      </c>
      <c r="E718" s="474" t="s">
        <v>590</v>
      </c>
      <c r="F718" s="24" t="s">
        <v>468</v>
      </c>
      <c r="G718" s="859" t="s">
        <v>1650</v>
      </c>
      <c r="H718" s="858">
        <v>141867</v>
      </c>
      <c r="I718" s="200" t="s">
        <v>998</v>
      </c>
      <c r="J718" s="189"/>
      <c r="K718" s="189"/>
      <c r="L718" s="861">
        <v>1</v>
      </c>
      <c r="M718" s="858">
        <f t="shared" si="437"/>
        <v>1</v>
      </c>
      <c r="N718" s="855" t="s">
        <v>892</v>
      </c>
      <c r="O718" s="1196">
        <v>25469</v>
      </c>
      <c r="P718" s="1218">
        <f t="shared" ca="1" si="429"/>
        <v>48.024999999999999</v>
      </c>
      <c r="Q718" s="1148">
        <v>19500</v>
      </c>
      <c r="R718" s="874"/>
      <c r="S718" s="875"/>
      <c r="T718" s="875"/>
      <c r="U718" s="875"/>
      <c r="V718" s="875"/>
      <c r="W718" s="875"/>
      <c r="X718" s="1026">
        <f t="shared" si="430"/>
        <v>19500</v>
      </c>
      <c r="Y718" s="1512">
        <f t="shared" si="438"/>
        <v>0</v>
      </c>
      <c r="Z718" s="1741">
        <f t="shared" si="432"/>
        <v>1</v>
      </c>
      <c r="AA718" s="1749">
        <f t="shared" si="433"/>
        <v>0</v>
      </c>
      <c r="AB718" s="1810">
        <f t="shared" si="434"/>
        <v>0</v>
      </c>
      <c r="AC718" s="876"/>
      <c r="AD718" s="1525">
        <f t="shared" si="439"/>
        <v>0</v>
      </c>
      <c r="AE718" s="1525">
        <f t="shared" si="439"/>
        <v>0</v>
      </c>
      <c r="AF718" s="1525">
        <f t="shared" si="439"/>
        <v>0</v>
      </c>
      <c r="AG718" s="1525">
        <f t="shared" si="439"/>
        <v>0</v>
      </c>
      <c r="AH718" s="1525">
        <f t="shared" si="439"/>
        <v>0</v>
      </c>
      <c r="AI718" s="1525">
        <f t="shared" si="439"/>
        <v>0</v>
      </c>
      <c r="AJ718" s="1525">
        <f t="shared" si="439"/>
        <v>0</v>
      </c>
      <c r="AK718" s="1525">
        <f t="shared" si="439"/>
        <v>0</v>
      </c>
      <c r="AL718" s="1525">
        <f t="shared" si="439"/>
        <v>0</v>
      </c>
      <c r="AM718" s="1525">
        <f t="shared" si="439"/>
        <v>0</v>
      </c>
      <c r="AN718" s="1525">
        <f t="shared" si="439"/>
        <v>0</v>
      </c>
      <c r="AO718" s="1525">
        <f t="shared" si="439"/>
        <v>0</v>
      </c>
      <c r="AP718" s="1525">
        <f t="shared" si="439"/>
        <v>0</v>
      </c>
      <c r="AQ718" s="1525">
        <f t="shared" si="439"/>
        <v>0</v>
      </c>
      <c r="AR718" s="1525">
        <f t="shared" si="439"/>
        <v>0</v>
      </c>
      <c r="AS718" s="1525">
        <f t="shared" si="439"/>
        <v>0</v>
      </c>
      <c r="AU718" s="1525"/>
      <c r="AV718" s="1291"/>
      <c r="AW718" s="1292"/>
      <c r="AX718" s="1292"/>
      <c r="AY718" s="1292"/>
      <c r="AZ718" s="1292"/>
      <c r="BA718" s="1292"/>
      <c r="BB718" s="1292"/>
      <c r="BC718" s="1292"/>
      <c r="BD718" s="1292"/>
      <c r="BE718" s="1292"/>
      <c r="BF718" s="1292"/>
      <c r="BG718" s="1292"/>
      <c r="BH718" s="1292"/>
      <c r="BI718" s="1292"/>
      <c r="BJ718" s="1292"/>
      <c r="BK718" s="1292"/>
      <c r="BL718" s="1292"/>
      <c r="BM718" s="1292"/>
      <c r="BN718" s="1292"/>
      <c r="BO718" s="1292"/>
      <c r="BP718" s="1292"/>
      <c r="BQ718" s="1292"/>
      <c r="BR718" s="1292"/>
      <c r="BS718" s="1292"/>
      <c r="BT718" s="1670">
        <f t="shared" si="436"/>
        <v>0</v>
      </c>
      <c r="BW718" s="859" t="s">
        <v>1650</v>
      </c>
    </row>
    <row r="719" spans="2:75" ht="12.75" customHeight="1" x14ac:dyDescent="0.2">
      <c r="B719" s="175">
        <f t="shared" si="440"/>
        <v>17</v>
      </c>
      <c r="C719" s="219">
        <v>18</v>
      </c>
      <c r="E719" s="474" t="s">
        <v>590</v>
      </c>
      <c r="F719" s="24" t="s">
        <v>468</v>
      </c>
      <c r="G719" s="859" t="s">
        <v>849</v>
      </c>
      <c r="H719" s="858">
        <v>48393</v>
      </c>
      <c r="I719" s="200" t="s">
        <v>998</v>
      </c>
      <c r="J719" s="189"/>
      <c r="K719" s="189"/>
      <c r="L719" s="861">
        <v>1</v>
      </c>
      <c r="M719" s="858">
        <f t="shared" si="437"/>
        <v>1</v>
      </c>
      <c r="N719" s="855" t="s">
        <v>892</v>
      </c>
      <c r="O719" s="1196">
        <v>23896</v>
      </c>
      <c r="P719" s="1218">
        <f t="shared" ca="1" si="429"/>
        <v>52.330555555555556</v>
      </c>
      <c r="Q719" s="1148">
        <v>16800</v>
      </c>
      <c r="R719" s="874"/>
      <c r="S719" s="875"/>
      <c r="T719" s="875"/>
      <c r="U719" s="875"/>
      <c r="V719" s="875"/>
      <c r="W719" s="875"/>
      <c r="X719" s="1026">
        <f t="shared" si="430"/>
        <v>16800</v>
      </c>
      <c r="Y719" s="1512">
        <f t="shared" si="438"/>
        <v>0</v>
      </c>
      <c r="Z719" s="1741">
        <f t="shared" si="432"/>
        <v>1</v>
      </c>
      <c r="AA719" s="1749">
        <f t="shared" si="433"/>
        <v>0</v>
      </c>
      <c r="AB719" s="1810">
        <f t="shared" si="434"/>
        <v>0</v>
      </c>
      <c r="AC719" s="876"/>
      <c r="AD719" s="1525">
        <f t="shared" si="439"/>
        <v>0</v>
      </c>
      <c r="AE719" s="1525">
        <f t="shared" si="439"/>
        <v>0</v>
      </c>
      <c r="AF719" s="1525">
        <f t="shared" si="439"/>
        <v>0</v>
      </c>
      <c r="AG719" s="1525">
        <f t="shared" si="439"/>
        <v>0</v>
      </c>
      <c r="AH719" s="1525">
        <f t="shared" si="439"/>
        <v>0</v>
      </c>
      <c r="AI719" s="1525">
        <f t="shared" si="439"/>
        <v>0</v>
      </c>
      <c r="AJ719" s="1525">
        <f t="shared" si="439"/>
        <v>0</v>
      </c>
      <c r="AK719" s="1525">
        <f t="shared" si="439"/>
        <v>0</v>
      </c>
      <c r="AL719" s="1525">
        <f t="shared" si="439"/>
        <v>0</v>
      </c>
      <c r="AM719" s="1525">
        <f t="shared" si="439"/>
        <v>0</v>
      </c>
      <c r="AN719" s="1525">
        <f t="shared" si="439"/>
        <v>0</v>
      </c>
      <c r="AO719" s="1525">
        <f t="shared" si="439"/>
        <v>0</v>
      </c>
      <c r="AP719" s="1525">
        <f t="shared" si="439"/>
        <v>0</v>
      </c>
      <c r="AQ719" s="1525">
        <f t="shared" si="439"/>
        <v>0</v>
      </c>
      <c r="AR719" s="1525">
        <f t="shared" si="439"/>
        <v>0</v>
      </c>
      <c r="AS719" s="1525">
        <f t="shared" si="439"/>
        <v>0</v>
      </c>
      <c r="AU719" s="1525"/>
      <c r="AV719" s="1291"/>
      <c r="AW719" s="1292"/>
      <c r="AX719" s="1292"/>
      <c r="AY719" s="1292"/>
      <c r="AZ719" s="1292"/>
      <c r="BA719" s="1292"/>
      <c r="BB719" s="1292"/>
      <c r="BC719" s="1292"/>
      <c r="BD719" s="1292"/>
      <c r="BE719" s="1292"/>
      <c r="BF719" s="1292"/>
      <c r="BG719" s="1292"/>
      <c r="BH719" s="1292"/>
      <c r="BI719" s="1292"/>
      <c r="BJ719" s="1292"/>
      <c r="BK719" s="1292"/>
      <c r="BL719" s="1292"/>
      <c r="BM719" s="1292"/>
      <c r="BN719" s="1292"/>
      <c r="BO719" s="1292"/>
      <c r="BP719" s="1292"/>
      <c r="BQ719" s="1292"/>
      <c r="BR719" s="1292"/>
      <c r="BS719" s="1292"/>
      <c r="BT719" s="1670">
        <f t="shared" si="436"/>
        <v>0</v>
      </c>
      <c r="BW719" s="859" t="s">
        <v>849</v>
      </c>
    </row>
    <row r="720" spans="2:75" ht="12.75" customHeight="1" x14ac:dyDescent="0.2">
      <c r="B720" s="175">
        <f t="shared" si="440"/>
        <v>18</v>
      </c>
      <c r="C720" s="219">
        <v>18</v>
      </c>
      <c r="E720" s="474" t="s">
        <v>590</v>
      </c>
      <c r="F720" s="24" t="s">
        <v>468</v>
      </c>
      <c r="G720" s="859" t="s">
        <v>1694</v>
      </c>
      <c r="H720" s="858">
        <v>145122</v>
      </c>
      <c r="I720" s="200" t="s">
        <v>998</v>
      </c>
      <c r="J720" s="189"/>
      <c r="K720" s="189"/>
      <c r="L720" s="861">
        <v>1</v>
      </c>
      <c r="M720" s="858">
        <f t="shared" si="437"/>
        <v>1</v>
      </c>
      <c r="N720" s="855" t="s">
        <v>892</v>
      </c>
      <c r="O720" s="1196">
        <v>25450</v>
      </c>
      <c r="P720" s="1218">
        <f t="shared" ca="1" si="429"/>
        <v>48.077777777777776</v>
      </c>
      <c r="Q720" s="1148">
        <v>21000</v>
      </c>
      <c r="R720" s="874"/>
      <c r="S720" s="875"/>
      <c r="T720" s="875"/>
      <c r="U720" s="875"/>
      <c r="V720" s="875"/>
      <c r="W720" s="875"/>
      <c r="X720" s="1026">
        <f t="shared" si="430"/>
        <v>21000</v>
      </c>
      <c r="Y720" s="1512">
        <f t="shared" si="438"/>
        <v>0</v>
      </c>
      <c r="Z720" s="1741">
        <f t="shared" si="432"/>
        <v>1</v>
      </c>
      <c r="AA720" s="1749">
        <f t="shared" si="433"/>
        <v>0</v>
      </c>
      <c r="AB720" s="1810">
        <f t="shared" si="434"/>
        <v>0</v>
      </c>
      <c r="AC720" s="876"/>
      <c r="AD720" s="1525">
        <f t="shared" si="439"/>
        <v>0</v>
      </c>
      <c r="AE720" s="1525">
        <f t="shared" si="439"/>
        <v>0</v>
      </c>
      <c r="AF720" s="1525">
        <f t="shared" si="439"/>
        <v>0</v>
      </c>
      <c r="AG720" s="1525">
        <f t="shared" si="439"/>
        <v>0</v>
      </c>
      <c r="AH720" s="1525">
        <f t="shared" si="439"/>
        <v>0</v>
      </c>
      <c r="AI720" s="1525">
        <f t="shared" si="439"/>
        <v>0</v>
      </c>
      <c r="AJ720" s="1525">
        <f t="shared" si="439"/>
        <v>0</v>
      </c>
      <c r="AK720" s="1525">
        <f t="shared" si="439"/>
        <v>0</v>
      </c>
      <c r="AL720" s="1525">
        <f t="shared" si="439"/>
        <v>0</v>
      </c>
      <c r="AM720" s="1525">
        <f t="shared" si="439"/>
        <v>0</v>
      </c>
      <c r="AN720" s="1525">
        <f t="shared" si="439"/>
        <v>0</v>
      </c>
      <c r="AO720" s="1525">
        <f t="shared" si="439"/>
        <v>0</v>
      </c>
      <c r="AP720" s="1525">
        <f t="shared" si="439"/>
        <v>0</v>
      </c>
      <c r="AQ720" s="1525">
        <f t="shared" si="439"/>
        <v>0</v>
      </c>
      <c r="AR720" s="1525">
        <f t="shared" si="439"/>
        <v>0</v>
      </c>
      <c r="AS720" s="1525">
        <f t="shared" si="439"/>
        <v>0</v>
      </c>
      <c r="AU720" s="1525"/>
      <c r="AV720" s="1291"/>
      <c r="AW720" s="1292"/>
      <c r="AX720" s="1292"/>
      <c r="AY720" s="1292"/>
      <c r="AZ720" s="1292"/>
      <c r="BA720" s="1292"/>
      <c r="BB720" s="1292"/>
      <c r="BC720" s="1292"/>
      <c r="BD720" s="1292"/>
      <c r="BE720" s="1292"/>
      <c r="BF720" s="1292"/>
      <c r="BG720" s="1292"/>
      <c r="BH720" s="1292"/>
      <c r="BI720" s="1292"/>
      <c r="BJ720" s="1292"/>
      <c r="BK720" s="1292"/>
      <c r="BL720" s="1292"/>
      <c r="BM720" s="1292"/>
      <c r="BN720" s="1292"/>
      <c r="BO720" s="1292"/>
      <c r="BP720" s="1292"/>
      <c r="BQ720" s="1292"/>
      <c r="BR720" s="1292"/>
      <c r="BS720" s="1292"/>
      <c r="BT720" s="1670">
        <f t="shared" si="436"/>
        <v>0</v>
      </c>
      <c r="BW720" s="859" t="s">
        <v>1694</v>
      </c>
    </row>
    <row r="721" spans="2:75" ht="12.75" customHeight="1" x14ac:dyDescent="0.2">
      <c r="B721" s="175">
        <f t="shared" si="440"/>
        <v>19</v>
      </c>
      <c r="C721" s="219">
        <v>18</v>
      </c>
      <c r="E721" s="474" t="s">
        <v>590</v>
      </c>
      <c r="F721" s="24" t="s">
        <v>468</v>
      </c>
      <c r="G721" s="859" t="s">
        <v>858</v>
      </c>
      <c r="H721" s="858">
        <v>134661</v>
      </c>
      <c r="I721" s="200" t="s">
        <v>998</v>
      </c>
      <c r="J721" s="189"/>
      <c r="K721" s="189"/>
      <c r="L721" s="861">
        <v>1</v>
      </c>
      <c r="M721" s="858">
        <f t="shared" si="437"/>
        <v>1</v>
      </c>
      <c r="N721" s="855" t="s">
        <v>892</v>
      </c>
      <c r="O721" s="1196">
        <v>20196</v>
      </c>
      <c r="P721" s="1218">
        <f t="shared" ca="1" si="429"/>
        <v>62.458333333333336</v>
      </c>
      <c r="Q721" s="1148">
        <v>16800</v>
      </c>
      <c r="R721" s="874"/>
      <c r="S721" s="875"/>
      <c r="T721" s="875"/>
      <c r="U721" s="875"/>
      <c r="V721" s="875"/>
      <c r="W721" s="875"/>
      <c r="X721" s="1026">
        <f t="shared" si="430"/>
        <v>16800</v>
      </c>
      <c r="Y721" s="1512">
        <f t="shared" si="438"/>
        <v>0</v>
      </c>
      <c r="Z721" s="1741">
        <f t="shared" si="432"/>
        <v>1</v>
      </c>
      <c r="AA721" s="1749">
        <f t="shared" si="433"/>
        <v>0</v>
      </c>
      <c r="AB721" s="1810">
        <f t="shared" si="434"/>
        <v>0</v>
      </c>
      <c r="AC721" s="876"/>
      <c r="AD721" s="1525">
        <f t="shared" si="439"/>
        <v>0</v>
      </c>
      <c r="AE721" s="1525">
        <f t="shared" si="439"/>
        <v>0</v>
      </c>
      <c r="AF721" s="1525">
        <f t="shared" si="439"/>
        <v>0</v>
      </c>
      <c r="AG721" s="1525">
        <f t="shared" si="439"/>
        <v>0</v>
      </c>
      <c r="AH721" s="1525">
        <f t="shared" si="439"/>
        <v>0</v>
      </c>
      <c r="AI721" s="1525">
        <f t="shared" si="439"/>
        <v>0</v>
      </c>
      <c r="AJ721" s="1525">
        <f t="shared" si="439"/>
        <v>0</v>
      </c>
      <c r="AK721" s="1525">
        <f t="shared" si="439"/>
        <v>0</v>
      </c>
      <c r="AL721" s="1525">
        <f t="shared" si="439"/>
        <v>0</v>
      </c>
      <c r="AM721" s="1525">
        <f t="shared" si="439"/>
        <v>0</v>
      </c>
      <c r="AN721" s="1525">
        <f t="shared" si="439"/>
        <v>0</v>
      </c>
      <c r="AO721" s="1525">
        <f t="shared" si="439"/>
        <v>0</v>
      </c>
      <c r="AP721" s="1525">
        <f t="shared" si="439"/>
        <v>0</v>
      </c>
      <c r="AQ721" s="1525">
        <f t="shared" si="439"/>
        <v>0</v>
      </c>
      <c r="AR721" s="1525">
        <f t="shared" si="439"/>
        <v>0</v>
      </c>
      <c r="AS721" s="1525">
        <f t="shared" si="439"/>
        <v>0</v>
      </c>
      <c r="AU721" s="1525"/>
      <c r="AV721" s="1291"/>
      <c r="AW721" s="1292"/>
      <c r="AX721" s="1292"/>
      <c r="AY721" s="1292"/>
      <c r="AZ721" s="1292"/>
      <c r="BA721" s="1292"/>
      <c r="BB721" s="1292"/>
      <c r="BC721" s="1292"/>
      <c r="BD721" s="1292"/>
      <c r="BE721" s="1292"/>
      <c r="BF721" s="1292"/>
      <c r="BG721" s="1292"/>
      <c r="BH721" s="1292"/>
      <c r="BI721" s="1292"/>
      <c r="BJ721" s="1292"/>
      <c r="BK721" s="1292"/>
      <c r="BL721" s="1292"/>
      <c r="BM721" s="1292"/>
      <c r="BN721" s="1292"/>
      <c r="BO721" s="1292"/>
      <c r="BP721" s="1292"/>
      <c r="BQ721" s="1292"/>
      <c r="BR721" s="1292"/>
      <c r="BS721" s="1292"/>
      <c r="BT721" s="1670">
        <f t="shared" si="436"/>
        <v>0</v>
      </c>
      <c r="BW721" s="859" t="s">
        <v>858</v>
      </c>
    </row>
    <row r="722" spans="2:75" ht="12.75" customHeight="1" x14ac:dyDescent="0.2">
      <c r="B722" s="175">
        <f>B721+1</f>
        <v>20</v>
      </c>
      <c r="C722" s="219">
        <v>18</v>
      </c>
      <c r="E722" s="474" t="s">
        <v>590</v>
      </c>
      <c r="F722" s="24" t="s">
        <v>536</v>
      </c>
      <c r="G722" s="859" t="s">
        <v>1680</v>
      </c>
      <c r="H722" s="858">
        <v>142372</v>
      </c>
      <c r="I722" s="200" t="s">
        <v>998</v>
      </c>
      <c r="J722" s="189"/>
      <c r="K722" s="189"/>
      <c r="L722" s="861">
        <v>1</v>
      </c>
      <c r="M722" s="858">
        <f t="shared" si="437"/>
        <v>1</v>
      </c>
      <c r="N722" s="857" t="s">
        <v>1326</v>
      </c>
      <c r="O722" s="1196">
        <v>30937</v>
      </c>
      <c r="P722" s="1218">
        <f t="shared" ca="1" si="429"/>
        <v>33.055555555555557</v>
      </c>
      <c r="Q722" s="1148">
        <v>24000</v>
      </c>
      <c r="R722" s="874">
        <f>Q722*0.1</f>
        <v>2400</v>
      </c>
      <c r="S722" s="875"/>
      <c r="T722" s="875"/>
      <c r="U722" s="875"/>
      <c r="V722" s="875"/>
      <c r="W722" s="875"/>
      <c r="X722" s="1026">
        <f t="shared" si="430"/>
        <v>26400</v>
      </c>
      <c r="Y722" s="1512">
        <f t="shared" si="438"/>
        <v>0</v>
      </c>
      <c r="Z722" s="1741">
        <f t="shared" si="432"/>
        <v>1</v>
      </c>
      <c r="AA722" s="1749">
        <f t="shared" si="433"/>
        <v>0</v>
      </c>
      <c r="AB722" s="1810">
        <f t="shared" si="434"/>
        <v>0</v>
      </c>
      <c r="AC722" s="876"/>
      <c r="AD722" s="1525">
        <f t="shared" si="439"/>
        <v>0</v>
      </c>
      <c r="AE722" s="1525">
        <f t="shared" si="439"/>
        <v>0</v>
      </c>
      <c r="AF722" s="1525">
        <f t="shared" si="439"/>
        <v>0</v>
      </c>
      <c r="AG722" s="1525">
        <f t="shared" si="439"/>
        <v>0</v>
      </c>
      <c r="AH722" s="1525">
        <f t="shared" si="439"/>
        <v>0</v>
      </c>
      <c r="AI722" s="1525">
        <f t="shared" si="439"/>
        <v>0</v>
      </c>
      <c r="AJ722" s="1525">
        <f t="shared" si="439"/>
        <v>0</v>
      </c>
      <c r="AK722" s="1525">
        <f t="shared" si="439"/>
        <v>0</v>
      </c>
      <c r="AL722" s="1525">
        <f t="shared" si="439"/>
        <v>0</v>
      </c>
      <c r="AM722" s="1525">
        <f t="shared" si="439"/>
        <v>0</v>
      </c>
      <c r="AN722" s="1525">
        <f t="shared" si="439"/>
        <v>0</v>
      </c>
      <c r="AO722" s="1525">
        <f t="shared" si="439"/>
        <v>0</v>
      </c>
      <c r="AP722" s="1525">
        <f t="shared" si="439"/>
        <v>0</v>
      </c>
      <c r="AQ722" s="1525">
        <f t="shared" si="439"/>
        <v>0</v>
      </c>
      <c r="AR722" s="1525">
        <f t="shared" si="439"/>
        <v>0</v>
      </c>
      <c r="AS722" s="1525">
        <f t="shared" si="439"/>
        <v>0</v>
      </c>
      <c r="AU722" s="1525"/>
      <c r="AV722" s="1291"/>
      <c r="AW722" s="1292"/>
      <c r="AX722" s="1292"/>
      <c r="AY722" s="1292"/>
      <c r="AZ722" s="1292"/>
      <c r="BA722" s="1292"/>
      <c r="BB722" s="1292"/>
      <c r="BC722" s="1292"/>
      <c r="BD722" s="1292"/>
      <c r="BE722" s="1292"/>
      <c r="BF722" s="1292"/>
      <c r="BG722" s="1292"/>
      <c r="BH722" s="1292"/>
      <c r="BI722" s="1292"/>
      <c r="BJ722" s="1292"/>
      <c r="BK722" s="1292"/>
      <c r="BL722" s="1292"/>
      <c r="BM722" s="1292"/>
      <c r="BN722" s="1292"/>
      <c r="BO722" s="1292"/>
      <c r="BP722" s="1292"/>
      <c r="BQ722" s="1292"/>
      <c r="BR722" s="1292"/>
      <c r="BS722" s="1292"/>
      <c r="BT722" s="1670">
        <f t="shared" si="436"/>
        <v>0</v>
      </c>
      <c r="BW722" s="859" t="s">
        <v>1680</v>
      </c>
    </row>
    <row r="723" spans="2:75" ht="12.75" customHeight="1" x14ac:dyDescent="0.2">
      <c r="B723" s="175">
        <f t="shared" si="440"/>
        <v>21</v>
      </c>
      <c r="C723" s="219">
        <v>18</v>
      </c>
      <c r="E723" s="474" t="s">
        <v>590</v>
      </c>
      <c r="F723" s="24" t="s">
        <v>567</v>
      </c>
      <c r="G723" s="859" t="s">
        <v>1513</v>
      </c>
      <c r="H723" s="858">
        <v>290414</v>
      </c>
      <c r="I723" s="200" t="s">
        <v>998</v>
      </c>
      <c r="J723" s="189"/>
      <c r="K723" s="189"/>
      <c r="L723" s="861">
        <v>1</v>
      </c>
      <c r="M723" s="858">
        <f t="shared" si="437"/>
        <v>1</v>
      </c>
      <c r="N723" s="855" t="s">
        <v>1326</v>
      </c>
      <c r="O723" s="1196">
        <v>29395</v>
      </c>
      <c r="P723" s="1218">
        <f t="shared" ca="1" si="429"/>
        <v>37.274999999999999</v>
      </c>
      <c r="Q723" s="1148">
        <v>24000</v>
      </c>
      <c r="R723" s="874">
        <f>Q723*0.1</f>
        <v>2400</v>
      </c>
      <c r="S723" s="875"/>
      <c r="T723" s="875"/>
      <c r="U723" s="875"/>
      <c r="V723" s="875"/>
      <c r="W723" s="875"/>
      <c r="X723" s="1026">
        <f t="shared" si="430"/>
        <v>26400</v>
      </c>
      <c r="Y723" s="1512">
        <f t="shared" si="438"/>
        <v>0</v>
      </c>
      <c r="Z723" s="1741">
        <f t="shared" si="432"/>
        <v>1</v>
      </c>
      <c r="AA723" s="1749">
        <f t="shared" si="433"/>
        <v>0</v>
      </c>
      <c r="AB723" s="1810">
        <f t="shared" si="434"/>
        <v>0</v>
      </c>
      <c r="AC723" s="876"/>
      <c r="AD723" s="1525">
        <f t="shared" ref="AD723:AS732" si="441">SUMIF($AV$6:$BS$6,AD$5,$AV723:$BS723)</f>
        <v>0</v>
      </c>
      <c r="AE723" s="1525">
        <f t="shared" si="441"/>
        <v>0</v>
      </c>
      <c r="AF723" s="1525">
        <f t="shared" si="441"/>
        <v>0</v>
      </c>
      <c r="AG723" s="1525">
        <f t="shared" si="441"/>
        <v>0</v>
      </c>
      <c r="AH723" s="1525">
        <f t="shared" si="441"/>
        <v>0</v>
      </c>
      <c r="AI723" s="1525">
        <f t="shared" si="441"/>
        <v>0</v>
      </c>
      <c r="AJ723" s="1525">
        <f t="shared" si="441"/>
        <v>0</v>
      </c>
      <c r="AK723" s="1525">
        <f t="shared" si="441"/>
        <v>0</v>
      </c>
      <c r="AL723" s="1525">
        <f t="shared" si="441"/>
        <v>0</v>
      </c>
      <c r="AM723" s="1525">
        <f t="shared" si="441"/>
        <v>0</v>
      </c>
      <c r="AN723" s="1525">
        <f t="shared" si="441"/>
        <v>0</v>
      </c>
      <c r="AO723" s="1525">
        <f t="shared" si="441"/>
        <v>0</v>
      </c>
      <c r="AP723" s="1525">
        <f t="shared" si="441"/>
        <v>0</v>
      </c>
      <c r="AQ723" s="1525">
        <f t="shared" si="441"/>
        <v>0</v>
      </c>
      <c r="AR723" s="1525">
        <f t="shared" si="441"/>
        <v>0</v>
      </c>
      <c r="AS723" s="1525">
        <f t="shared" si="441"/>
        <v>0</v>
      </c>
      <c r="AU723" s="1525"/>
      <c r="AV723" s="1291"/>
      <c r="AW723" s="1292"/>
      <c r="AX723" s="1292"/>
      <c r="AY723" s="1292"/>
      <c r="AZ723" s="1292"/>
      <c r="BA723" s="1292"/>
      <c r="BB723" s="1292"/>
      <c r="BC723" s="1292"/>
      <c r="BD723" s="1292"/>
      <c r="BE723" s="1292"/>
      <c r="BF723" s="1292"/>
      <c r="BG723" s="1292"/>
      <c r="BH723" s="1292"/>
      <c r="BI723" s="1292"/>
      <c r="BJ723" s="1292"/>
      <c r="BK723" s="1292"/>
      <c r="BL723" s="1292"/>
      <c r="BM723" s="1292"/>
      <c r="BN723" s="1292"/>
      <c r="BO723" s="1292"/>
      <c r="BP723" s="1292"/>
      <c r="BQ723" s="1292"/>
      <c r="BR723" s="1292"/>
      <c r="BS723" s="1292"/>
      <c r="BT723" s="1670">
        <f t="shared" si="436"/>
        <v>0</v>
      </c>
      <c r="BW723" s="859" t="s">
        <v>1513</v>
      </c>
    </row>
    <row r="724" spans="2:75" ht="12.75" customHeight="1" x14ac:dyDescent="0.2">
      <c r="B724" s="175">
        <f t="shared" si="440"/>
        <v>22</v>
      </c>
      <c r="C724" s="219">
        <v>18</v>
      </c>
      <c r="E724" s="474" t="s">
        <v>590</v>
      </c>
      <c r="F724" s="45" t="s">
        <v>875</v>
      </c>
      <c r="G724" s="859" t="s">
        <v>1841</v>
      </c>
      <c r="H724" s="858">
        <v>7805</v>
      </c>
      <c r="I724" s="200" t="s">
        <v>998</v>
      </c>
      <c r="J724" s="189"/>
      <c r="K724" s="189"/>
      <c r="L724" s="861">
        <v>1</v>
      </c>
      <c r="M724" s="858">
        <f t="shared" si="437"/>
        <v>1</v>
      </c>
      <c r="N724" s="855" t="s">
        <v>1326</v>
      </c>
      <c r="O724" s="1196">
        <v>19793</v>
      </c>
      <c r="P724" s="1218">
        <f t="shared" ca="1" si="429"/>
        <v>63.56111111111111</v>
      </c>
      <c r="Q724" s="1148">
        <v>25000</v>
      </c>
      <c r="R724" s="874">
        <f>Q724*0.1</f>
        <v>2500</v>
      </c>
      <c r="S724" s="875"/>
      <c r="T724" s="875"/>
      <c r="U724" s="875"/>
      <c r="V724" s="875"/>
      <c r="W724" s="1036">
        <f>(Q724+R724)*0.12</f>
        <v>3300</v>
      </c>
      <c r="X724" s="1026">
        <f t="shared" si="430"/>
        <v>30800</v>
      </c>
      <c r="Y724" s="1512">
        <f t="shared" si="438"/>
        <v>0.12</v>
      </c>
      <c r="Z724" s="1741">
        <f t="shared" si="432"/>
        <v>1.1200000000000001</v>
      </c>
      <c r="AA724" s="1749">
        <f t="shared" si="433"/>
        <v>0</v>
      </c>
      <c r="AB724" s="1810">
        <f t="shared" si="434"/>
        <v>0</v>
      </c>
      <c r="AC724" s="876"/>
      <c r="AD724" s="1525">
        <f t="shared" si="441"/>
        <v>0</v>
      </c>
      <c r="AE724" s="1525">
        <f t="shared" si="441"/>
        <v>0</v>
      </c>
      <c r="AF724" s="1525">
        <f t="shared" si="441"/>
        <v>0</v>
      </c>
      <c r="AG724" s="1525">
        <f t="shared" si="441"/>
        <v>0</v>
      </c>
      <c r="AH724" s="1525">
        <f t="shared" si="441"/>
        <v>0</v>
      </c>
      <c r="AI724" s="1525">
        <f t="shared" si="441"/>
        <v>0</v>
      </c>
      <c r="AJ724" s="1525">
        <f t="shared" si="441"/>
        <v>0</v>
      </c>
      <c r="AK724" s="1525">
        <f t="shared" si="441"/>
        <v>0</v>
      </c>
      <c r="AL724" s="1525">
        <f t="shared" si="441"/>
        <v>0</v>
      </c>
      <c r="AM724" s="1525">
        <f t="shared" si="441"/>
        <v>0</v>
      </c>
      <c r="AN724" s="1525">
        <f t="shared" si="441"/>
        <v>0</v>
      </c>
      <c r="AO724" s="1525">
        <f t="shared" si="441"/>
        <v>0</v>
      </c>
      <c r="AP724" s="1525">
        <f t="shared" si="441"/>
        <v>0</v>
      </c>
      <c r="AQ724" s="1525">
        <f t="shared" si="441"/>
        <v>0</v>
      </c>
      <c r="AR724" s="1525">
        <f t="shared" si="441"/>
        <v>0</v>
      </c>
      <c r="AS724" s="1525">
        <f t="shared" si="441"/>
        <v>0</v>
      </c>
      <c r="AU724" s="1525"/>
      <c r="AV724" s="1291"/>
      <c r="AW724" s="1292"/>
      <c r="AX724" s="1292"/>
      <c r="AY724" s="1292"/>
      <c r="AZ724" s="1292"/>
      <c r="BA724" s="1292"/>
      <c r="BB724" s="1292"/>
      <c r="BC724" s="1292"/>
      <c r="BD724" s="1292"/>
      <c r="BE724" s="1292"/>
      <c r="BF724" s="1292"/>
      <c r="BG724" s="1292"/>
      <c r="BH724" s="1292"/>
      <c r="BI724" s="1292"/>
      <c r="BJ724" s="1292"/>
      <c r="BK724" s="1292"/>
      <c r="BL724" s="1292"/>
      <c r="BM724" s="1292"/>
      <c r="BN724" s="1292"/>
      <c r="BO724" s="1292"/>
      <c r="BP724" s="1292"/>
      <c r="BQ724" s="1292"/>
      <c r="BR724" s="1292"/>
      <c r="BS724" s="1292"/>
      <c r="BT724" s="1670">
        <f t="shared" si="436"/>
        <v>0</v>
      </c>
      <c r="BW724" s="859" t="s">
        <v>1841</v>
      </c>
    </row>
    <row r="725" spans="2:75" ht="12.75" customHeight="1" x14ac:dyDescent="0.2">
      <c r="B725" s="175">
        <f t="shared" si="440"/>
        <v>23</v>
      </c>
      <c r="C725" s="219">
        <v>18</v>
      </c>
      <c r="E725" s="474" t="s">
        <v>590</v>
      </c>
      <c r="F725" s="24" t="s">
        <v>567</v>
      </c>
      <c r="G725" s="859" t="s">
        <v>1840</v>
      </c>
      <c r="H725" s="858">
        <v>290812</v>
      </c>
      <c r="I725" s="200" t="s">
        <v>998</v>
      </c>
      <c r="J725" s="189"/>
      <c r="K725" s="189"/>
      <c r="L725" s="861">
        <v>1</v>
      </c>
      <c r="M725" s="858">
        <f t="shared" si="437"/>
        <v>1</v>
      </c>
      <c r="N725" s="855" t="s">
        <v>1326</v>
      </c>
      <c r="O725" s="1196">
        <v>31151</v>
      </c>
      <c r="P725" s="1218">
        <f t="shared" ca="1" si="429"/>
        <v>32.466666666666669</v>
      </c>
      <c r="Q725" s="1148">
        <v>24500</v>
      </c>
      <c r="R725" s="874">
        <f>Q725*0.1</f>
        <v>2450</v>
      </c>
      <c r="S725" s="875"/>
      <c r="T725" s="875"/>
      <c r="U725" s="875"/>
      <c r="V725" s="875"/>
      <c r="W725" s="1036">
        <f>(Q725+R725)*0.12</f>
        <v>3234</v>
      </c>
      <c r="X725" s="1026">
        <f t="shared" si="430"/>
        <v>30184</v>
      </c>
      <c r="Y725" s="1512">
        <f t="shared" si="438"/>
        <v>0.12</v>
      </c>
      <c r="Z725" s="1741">
        <f t="shared" si="432"/>
        <v>1.1200000000000001</v>
      </c>
      <c r="AA725" s="1749">
        <f t="shared" si="433"/>
        <v>0</v>
      </c>
      <c r="AB725" s="1810">
        <f t="shared" si="434"/>
        <v>0</v>
      </c>
      <c r="AC725" s="876"/>
      <c r="AD725" s="1525">
        <f t="shared" si="441"/>
        <v>0</v>
      </c>
      <c r="AE725" s="1525">
        <f t="shared" si="441"/>
        <v>0</v>
      </c>
      <c r="AF725" s="1525">
        <f t="shared" si="441"/>
        <v>0</v>
      </c>
      <c r="AG725" s="1525">
        <f t="shared" si="441"/>
        <v>0</v>
      </c>
      <c r="AH725" s="1525">
        <f t="shared" si="441"/>
        <v>0</v>
      </c>
      <c r="AI725" s="1525">
        <f t="shared" si="441"/>
        <v>0</v>
      </c>
      <c r="AJ725" s="1525">
        <f t="shared" si="441"/>
        <v>0</v>
      </c>
      <c r="AK725" s="1525">
        <f t="shared" si="441"/>
        <v>0</v>
      </c>
      <c r="AL725" s="1525">
        <f t="shared" si="441"/>
        <v>0</v>
      </c>
      <c r="AM725" s="1525">
        <f t="shared" si="441"/>
        <v>0</v>
      </c>
      <c r="AN725" s="1525">
        <f t="shared" si="441"/>
        <v>0</v>
      </c>
      <c r="AO725" s="1525">
        <f t="shared" si="441"/>
        <v>0</v>
      </c>
      <c r="AP725" s="1525">
        <f t="shared" si="441"/>
        <v>0</v>
      </c>
      <c r="AQ725" s="1525">
        <f t="shared" si="441"/>
        <v>0</v>
      </c>
      <c r="AR725" s="1525">
        <f t="shared" si="441"/>
        <v>0</v>
      </c>
      <c r="AS725" s="1525">
        <f t="shared" si="441"/>
        <v>0</v>
      </c>
      <c r="AU725" s="1525"/>
      <c r="AV725" s="1291"/>
      <c r="AW725" s="1292"/>
      <c r="AX725" s="1292"/>
      <c r="AY725" s="1292"/>
      <c r="AZ725" s="1292"/>
      <c r="BA725" s="1292"/>
      <c r="BB725" s="1292"/>
      <c r="BC725" s="1292"/>
      <c r="BD725" s="1292"/>
      <c r="BE725" s="1292"/>
      <c r="BF725" s="1292"/>
      <c r="BG725" s="1292"/>
      <c r="BH725" s="1292"/>
      <c r="BI725" s="1292"/>
      <c r="BJ725" s="1292"/>
      <c r="BK725" s="1292"/>
      <c r="BL725" s="1292"/>
      <c r="BM725" s="1292"/>
      <c r="BN725" s="1292"/>
      <c r="BO725" s="1292"/>
      <c r="BP725" s="1292"/>
      <c r="BQ725" s="1292"/>
      <c r="BR725" s="1292"/>
      <c r="BS725" s="1292"/>
      <c r="BT725" s="1670">
        <f t="shared" si="436"/>
        <v>0</v>
      </c>
      <c r="BW725" s="859" t="s">
        <v>1840</v>
      </c>
    </row>
    <row r="726" spans="2:75" ht="12.75" customHeight="1" x14ac:dyDescent="0.2">
      <c r="B726" s="175">
        <f t="shared" si="440"/>
        <v>24</v>
      </c>
      <c r="C726" s="219">
        <v>18</v>
      </c>
      <c r="E726" s="474" t="s">
        <v>590</v>
      </c>
      <c r="F726" s="24" t="s">
        <v>536</v>
      </c>
      <c r="G726" s="859" t="s">
        <v>1842</v>
      </c>
      <c r="H726" s="858">
        <v>131944</v>
      </c>
      <c r="I726" s="200" t="s">
        <v>998</v>
      </c>
      <c r="J726" s="189"/>
      <c r="K726" s="189"/>
      <c r="L726" s="861">
        <v>1</v>
      </c>
      <c r="M726" s="858">
        <f t="shared" si="437"/>
        <v>1</v>
      </c>
      <c r="N726" s="855" t="s">
        <v>892</v>
      </c>
      <c r="O726" s="1196">
        <v>22267</v>
      </c>
      <c r="P726" s="1218">
        <f t="shared" ca="1" si="429"/>
        <v>56.791666666666664</v>
      </c>
      <c r="Q726" s="1148">
        <v>19500</v>
      </c>
      <c r="R726" s="874"/>
      <c r="S726" s="875"/>
      <c r="T726" s="875"/>
      <c r="U726" s="875"/>
      <c r="V726" s="875"/>
      <c r="W726" s="875"/>
      <c r="X726" s="1026">
        <f t="shared" si="430"/>
        <v>19500</v>
      </c>
      <c r="Y726" s="1512">
        <f t="shared" si="438"/>
        <v>0</v>
      </c>
      <c r="Z726" s="1741">
        <f t="shared" si="432"/>
        <v>1</v>
      </c>
      <c r="AA726" s="1749">
        <f t="shared" si="433"/>
        <v>0</v>
      </c>
      <c r="AB726" s="1810">
        <f t="shared" si="434"/>
        <v>0</v>
      </c>
      <c r="AC726" s="876"/>
      <c r="AD726" s="1525">
        <f t="shared" si="441"/>
        <v>0</v>
      </c>
      <c r="AE726" s="1525">
        <f t="shared" si="441"/>
        <v>0</v>
      </c>
      <c r="AF726" s="1525">
        <f t="shared" si="441"/>
        <v>0</v>
      </c>
      <c r="AG726" s="1525">
        <f t="shared" si="441"/>
        <v>0</v>
      </c>
      <c r="AH726" s="1525">
        <f t="shared" si="441"/>
        <v>0</v>
      </c>
      <c r="AI726" s="1525">
        <f t="shared" si="441"/>
        <v>0</v>
      </c>
      <c r="AJ726" s="1525">
        <f t="shared" si="441"/>
        <v>0</v>
      </c>
      <c r="AK726" s="1525">
        <f t="shared" si="441"/>
        <v>0</v>
      </c>
      <c r="AL726" s="1525">
        <f t="shared" si="441"/>
        <v>0</v>
      </c>
      <c r="AM726" s="1525">
        <f t="shared" si="441"/>
        <v>0</v>
      </c>
      <c r="AN726" s="1525">
        <f t="shared" si="441"/>
        <v>0</v>
      </c>
      <c r="AO726" s="1525">
        <f t="shared" si="441"/>
        <v>0</v>
      </c>
      <c r="AP726" s="1525">
        <f t="shared" si="441"/>
        <v>0</v>
      </c>
      <c r="AQ726" s="1525">
        <f t="shared" si="441"/>
        <v>0</v>
      </c>
      <c r="AR726" s="1525">
        <f t="shared" si="441"/>
        <v>0</v>
      </c>
      <c r="AS726" s="1525">
        <f t="shared" si="441"/>
        <v>0</v>
      </c>
      <c r="AU726" s="1525"/>
      <c r="AV726" s="1291"/>
      <c r="AW726" s="1292"/>
      <c r="AX726" s="1292"/>
      <c r="AY726" s="1292"/>
      <c r="AZ726" s="1292"/>
      <c r="BA726" s="1292"/>
      <c r="BB726" s="1292"/>
      <c r="BC726" s="1292"/>
      <c r="BD726" s="1292"/>
      <c r="BE726" s="1292"/>
      <c r="BF726" s="1292"/>
      <c r="BG726" s="1292"/>
      <c r="BH726" s="1292"/>
      <c r="BI726" s="1292"/>
      <c r="BJ726" s="1292"/>
      <c r="BK726" s="1292"/>
      <c r="BL726" s="1292"/>
      <c r="BM726" s="1292"/>
      <c r="BN726" s="1292"/>
      <c r="BO726" s="1292"/>
      <c r="BP726" s="1292"/>
      <c r="BQ726" s="1292"/>
      <c r="BR726" s="1292"/>
      <c r="BS726" s="1292"/>
      <c r="BT726" s="1670">
        <f t="shared" si="436"/>
        <v>0</v>
      </c>
      <c r="BW726" s="859" t="s">
        <v>1842</v>
      </c>
    </row>
    <row r="727" spans="2:75" ht="12.75" customHeight="1" x14ac:dyDescent="0.2">
      <c r="B727" s="175">
        <f t="shared" si="440"/>
        <v>25</v>
      </c>
      <c r="C727" s="219">
        <v>18</v>
      </c>
      <c r="E727" s="474" t="s">
        <v>590</v>
      </c>
      <c r="F727" s="24" t="s">
        <v>252</v>
      </c>
      <c r="G727" s="859" t="s">
        <v>1111</v>
      </c>
      <c r="H727" s="858">
        <v>113066</v>
      </c>
      <c r="I727" s="200" t="s">
        <v>998</v>
      </c>
      <c r="J727" s="189"/>
      <c r="K727" s="189"/>
      <c r="L727" s="861">
        <v>1</v>
      </c>
      <c r="M727" s="858">
        <f t="shared" si="437"/>
        <v>1</v>
      </c>
      <c r="N727" s="855" t="s">
        <v>1326</v>
      </c>
      <c r="O727" s="1196">
        <v>23257</v>
      </c>
      <c r="P727" s="1218">
        <f t="shared" ca="1" si="429"/>
        <v>54.080555555555556</v>
      </c>
      <c r="Q727" s="1148">
        <v>24500</v>
      </c>
      <c r="R727" s="874">
        <f>Q727*0.1</f>
        <v>2450</v>
      </c>
      <c r="S727" s="875"/>
      <c r="T727" s="875"/>
      <c r="U727" s="875"/>
      <c r="V727" s="875"/>
      <c r="W727" s="875"/>
      <c r="X727" s="1026">
        <f t="shared" si="430"/>
        <v>26950</v>
      </c>
      <c r="Y727" s="1512">
        <f t="shared" si="438"/>
        <v>0</v>
      </c>
      <c r="Z727" s="1741">
        <f t="shared" si="432"/>
        <v>1</v>
      </c>
      <c r="AA727" s="1749">
        <f t="shared" si="433"/>
        <v>0</v>
      </c>
      <c r="AB727" s="1810">
        <f t="shared" si="434"/>
        <v>0</v>
      </c>
      <c r="AC727" s="876"/>
      <c r="AD727" s="1525">
        <f t="shared" si="441"/>
        <v>0</v>
      </c>
      <c r="AE727" s="1525">
        <f t="shared" si="441"/>
        <v>0</v>
      </c>
      <c r="AF727" s="1525">
        <f t="shared" si="441"/>
        <v>0</v>
      </c>
      <c r="AG727" s="1525">
        <f t="shared" si="441"/>
        <v>0</v>
      </c>
      <c r="AH727" s="1525">
        <f t="shared" si="441"/>
        <v>0</v>
      </c>
      <c r="AI727" s="1525">
        <f t="shared" si="441"/>
        <v>0</v>
      </c>
      <c r="AJ727" s="1525">
        <f t="shared" si="441"/>
        <v>0</v>
      </c>
      <c r="AK727" s="1525">
        <f t="shared" si="441"/>
        <v>0</v>
      </c>
      <c r="AL727" s="1525">
        <f t="shared" si="441"/>
        <v>0</v>
      </c>
      <c r="AM727" s="1525">
        <f t="shared" si="441"/>
        <v>0</v>
      </c>
      <c r="AN727" s="1525">
        <f t="shared" si="441"/>
        <v>0</v>
      </c>
      <c r="AO727" s="1525">
        <f t="shared" si="441"/>
        <v>0</v>
      </c>
      <c r="AP727" s="1525">
        <f t="shared" si="441"/>
        <v>0</v>
      </c>
      <c r="AQ727" s="1525">
        <f t="shared" si="441"/>
        <v>0</v>
      </c>
      <c r="AR727" s="1525">
        <f t="shared" si="441"/>
        <v>0</v>
      </c>
      <c r="AS727" s="1525">
        <f t="shared" si="441"/>
        <v>0</v>
      </c>
      <c r="AU727" s="1525"/>
      <c r="AV727" s="1291"/>
      <c r="AW727" s="1292"/>
      <c r="AX727" s="1292"/>
      <c r="AY727" s="1292"/>
      <c r="AZ727" s="1292"/>
      <c r="BA727" s="1292"/>
      <c r="BB727" s="1292"/>
      <c r="BC727" s="1292"/>
      <c r="BD727" s="1292"/>
      <c r="BE727" s="1292"/>
      <c r="BF727" s="1292"/>
      <c r="BG727" s="1292"/>
      <c r="BH727" s="1292"/>
      <c r="BI727" s="1292"/>
      <c r="BJ727" s="1292"/>
      <c r="BK727" s="1292"/>
      <c r="BL727" s="1292"/>
      <c r="BM727" s="1292"/>
      <c r="BN727" s="1292"/>
      <c r="BO727" s="1292"/>
      <c r="BP727" s="1292"/>
      <c r="BQ727" s="1292"/>
      <c r="BR727" s="1292"/>
      <c r="BS727" s="1292"/>
      <c r="BT727" s="1670">
        <f t="shared" si="436"/>
        <v>0</v>
      </c>
      <c r="BW727" s="859" t="s">
        <v>1111</v>
      </c>
    </row>
    <row r="728" spans="2:75" ht="12.75" customHeight="1" x14ac:dyDescent="0.2">
      <c r="B728" s="175">
        <f t="shared" si="440"/>
        <v>26</v>
      </c>
      <c r="C728" s="219">
        <v>18</v>
      </c>
      <c r="E728" s="474" t="s">
        <v>590</v>
      </c>
      <c r="F728" s="24" t="s">
        <v>468</v>
      </c>
      <c r="G728" s="859" t="s">
        <v>850</v>
      </c>
      <c r="H728" s="858">
        <v>66502</v>
      </c>
      <c r="I728" s="200" t="s">
        <v>998</v>
      </c>
      <c r="J728" s="174"/>
      <c r="K728" s="189"/>
      <c r="L728" s="861">
        <v>1</v>
      </c>
      <c r="M728" s="858">
        <f t="shared" si="437"/>
        <v>1</v>
      </c>
      <c r="N728" s="855" t="s">
        <v>892</v>
      </c>
      <c r="O728" s="1196">
        <v>27000</v>
      </c>
      <c r="P728" s="1218">
        <f t="shared" ca="1" si="429"/>
        <v>43.833333333333336</v>
      </c>
      <c r="Q728" s="1148">
        <v>17500</v>
      </c>
      <c r="R728" s="874"/>
      <c r="S728" s="875"/>
      <c r="T728" s="875"/>
      <c r="U728" s="875"/>
      <c r="V728" s="875"/>
      <c r="W728" s="875">
        <f>ROUNDUP(Q728*0.17,0)</f>
        <v>2975</v>
      </c>
      <c r="X728" s="1026">
        <f t="shared" si="430"/>
        <v>20475</v>
      </c>
      <c r="Y728" s="1512">
        <f t="shared" si="438"/>
        <v>0.17</v>
      </c>
      <c r="Z728" s="1741">
        <f t="shared" si="432"/>
        <v>1.17</v>
      </c>
      <c r="AA728" s="1749">
        <f t="shared" si="433"/>
        <v>0</v>
      </c>
      <c r="AB728" s="1810">
        <f t="shared" si="434"/>
        <v>0</v>
      </c>
      <c r="AC728" s="876"/>
      <c r="AD728" s="1525">
        <f t="shared" si="441"/>
        <v>0</v>
      </c>
      <c r="AE728" s="1525">
        <f t="shared" si="441"/>
        <v>0</v>
      </c>
      <c r="AF728" s="1525">
        <f t="shared" si="441"/>
        <v>0</v>
      </c>
      <c r="AG728" s="1525">
        <f t="shared" si="441"/>
        <v>0</v>
      </c>
      <c r="AH728" s="1525">
        <f t="shared" si="441"/>
        <v>0</v>
      </c>
      <c r="AI728" s="1525">
        <f t="shared" si="441"/>
        <v>0</v>
      </c>
      <c r="AJ728" s="1525">
        <f t="shared" si="441"/>
        <v>0</v>
      </c>
      <c r="AK728" s="1525">
        <f t="shared" si="441"/>
        <v>0</v>
      </c>
      <c r="AL728" s="1525">
        <f t="shared" si="441"/>
        <v>0</v>
      </c>
      <c r="AM728" s="1525">
        <f t="shared" si="441"/>
        <v>0</v>
      </c>
      <c r="AN728" s="1525">
        <f t="shared" si="441"/>
        <v>0</v>
      </c>
      <c r="AO728" s="1525">
        <f t="shared" si="441"/>
        <v>0</v>
      </c>
      <c r="AP728" s="1525">
        <f t="shared" si="441"/>
        <v>0</v>
      </c>
      <c r="AQ728" s="1525">
        <f t="shared" si="441"/>
        <v>0</v>
      </c>
      <c r="AR728" s="1525">
        <f t="shared" si="441"/>
        <v>0</v>
      </c>
      <c r="AS728" s="1525">
        <f t="shared" si="441"/>
        <v>0</v>
      </c>
      <c r="AU728" s="1525"/>
      <c r="AV728" s="1291"/>
      <c r="AW728" s="1292"/>
      <c r="AX728" s="1292"/>
      <c r="AY728" s="1292"/>
      <c r="AZ728" s="1292"/>
      <c r="BA728" s="1292"/>
      <c r="BB728" s="1292"/>
      <c r="BC728" s="1292"/>
      <c r="BD728" s="1292"/>
      <c r="BE728" s="1292"/>
      <c r="BF728" s="1292"/>
      <c r="BG728" s="1292"/>
      <c r="BH728" s="1292"/>
      <c r="BI728" s="1292"/>
      <c r="BJ728" s="1292"/>
      <c r="BK728" s="1292"/>
      <c r="BL728" s="1292"/>
      <c r="BM728" s="1292"/>
      <c r="BN728" s="1292"/>
      <c r="BO728" s="1292"/>
      <c r="BP728" s="1292"/>
      <c r="BQ728" s="1292"/>
      <c r="BR728" s="1292"/>
      <c r="BS728" s="1292"/>
      <c r="BT728" s="1670">
        <f t="shared" si="436"/>
        <v>0</v>
      </c>
      <c r="BW728" s="859" t="s">
        <v>850</v>
      </c>
    </row>
    <row r="729" spans="2:75" ht="12.75" customHeight="1" x14ac:dyDescent="0.2">
      <c r="B729" s="175">
        <f t="shared" si="440"/>
        <v>27</v>
      </c>
      <c r="C729" s="219">
        <v>18</v>
      </c>
      <c r="D729">
        <f>D728+1</f>
        <v>1</v>
      </c>
      <c r="E729" s="474" t="s">
        <v>590</v>
      </c>
      <c r="F729" s="24" t="s">
        <v>337</v>
      </c>
      <c r="G729" s="859" t="s">
        <v>1681</v>
      </c>
      <c r="H729" s="858">
        <v>143236</v>
      </c>
      <c r="I729" s="200" t="s">
        <v>998</v>
      </c>
      <c r="J729"/>
      <c r="K729" s="189"/>
      <c r="L729" s="861">
        <v>1</v>
      </c>
      <c r="M729" s="858">
        <f t="shared" si="437"/>
        <v>1</v>
      </c>
      <c r="N729" s="855" t="s">
        <v>892</v>
      </c>
      <c r="O729" s="1196">
        <v>27928</v>
      </c>
      <c r="P729" s="1218">
        <f t="shared" ca="1" si="429"/>
        <v>41.291666666666664</v>
      </c>
      <c r="Q729" s="1148">
        <v>21600</v>
      </c>
      <c r="R729" s="874"/>
      <c r="S729" s="875"/>
      <c r="T729" s="875"/>
      <c r="U729" s="875"/>
      <c r="V729" s="875"/>
      <c r="W729" s="875">
        <f>ROUNDUP(Q729*0.1,0)</f>
        <v>2160</v>
      </c>
      <c r="X729" s="1026">
        <f t="shared" si="430"/>
        <v>23760</v>
      </c>
      <c r="Y729" s="1512">
        <f t="shared" si="438"/>
        <v>0.1</v>
      </c>
      <c r="Z729" s="1741">
        <f t="shared" si="432"/>
        <v>1.1000000000000001</v>
      </c>
      <c r="AA729" s="1749">
        <f t="shared" si="433"/>
        <v>0</v>
      </c>
      <c r="AB729" s="1810">
        <f t="shared" si="434"/>
        <v>0</v>
      </c>
      <c r="AC729" s="876"/>
      <c r="AD729" s="1525">
        <f t="shared" si="441"/>
        <v>0</v>
      </c>
      <c r="AE729" s="1525">
        <f t="shared" si="441"/>
        <v>0</v>
      </c>
      <c r="AF729" s="1525">
        <f t="shared" si="441"/>
        <v>0</v>
      </c>
      <c r="AG729" s="1525">
        <f t="shared" si="441"/>
        <v>0</v>
      </c>
      <c r="AH729" s="1525">
        <f t="shared" si="441"/>
        <v>0</v>
      </c>
      <c r="AI729" s="1525">
        <f t="shared" si="441"/>
        <v>0</v>
      </c>
      <c r="AJ729" s="1525">
        <f t="shared" si="441"/>
        <v>0</v>
      </c>
      <c r="AK729" s="1525">
        <f t="shared" si="441"/>
        <v>0</v>
      </c>
      <c r="AL729" s="1525">
        <f t="shared" si="441"/>
        <v>0</v>
      </c>
      <c r="AM729" s="1525">
        <f t="shared" si="441"/>
        <v>0</v>
      </c>
      <c r="AN729" s="1525">
        <f t="shared" si="441"/>
        <v>0</v>
      </c>
      <c r="AO729" s="1525">
        <f t="shared" si="441"/>
        <v>0</v>
      </c>
      <c r="AP729" s="1525">
        <f t="shared" si="441"/>
        <v>0</v>
      </c>
      <c r="AQ729" s="1525">
        <f t="shared" si="441"/>
        <v>0</v>
      </c>
      <c r="AR729" s="1525">
        <f t="shared" si="441"/>
        <v>0</v>
      </c>
      <c r="AS729" s="1525">
        <f t="shared" si="441"/>
        <v>0</v>
      </c>
      <c r="AU729" s="1525"/>
      <c r="AV729" s="1291"/>
      <c r="AW729" s="1292"/>
      <c r="AX729" s="1292"/>
      <c r="AY729" s="1292"/>
      <c r="AZ729" s="1292"/>
      <c r="BA729" s="1292"/>
      <c r="BB729" s="1292"/>
      <c r="BC729" s="1292"/>
      <c r="BD729" s="1292"/>
      <c r="BE729" s="1292"/>
      <c r="BF729" s="1292"/>
      <c r="BG729" s="1292"/>
      <c r="BH729" s="1292"/>
      <c r="BI729" s="1292"/>
      <c r="BJ729" s="1292"/>
      <c r="BK729" s="1292"/>
      <c r="BL729" s="1292"/>
      <c r="BM729" s="1292"/>
      <c r="BN729" s="1292"/>
      <c r="BO729" s="1292"/>
      <c r="BP729" s="1292"/>
      <c r="BQ729" s="1292"/>
      <c r="BR729" s="1292"/>
      <c r="BS729" s="1292"/>
      <c r="BT729" s="1670">
        <f t="shared" si="436"/>
        <v>0</v>
      </c>
      <c r="BW729" s="859" t="s">
        <v>1681</v>
      </c>
    </row>
    <row r="730" spans="2:75" ht="12.75" customHeight="1" x14ac:dyDescent="0.2">
      <c r="B730" s="175">
        <f t="shared" si="440"/>
        <v>28</v>
      </c>
      <c r="C730" s="219">
        <v>41</v>
      </c>
      <c r="E730" s="474" t="s">
        <v>590</v>
      </c>
      <c r="F730" s="4" t="s">
        <v>1731</v>
      </c>
      <c r="G730" s="862" t="s">
        <v>253</v>
      </c>
      <c r="H730" s="861">
        <v>77948</v>
      </c>
      <c r="I730" s="197" t="s">
        <v>998</v>
      </c>
      <c r="J730" s="174"/>
      <c r="K730" s="174"/>
      <c r="L730" s="861">
        <v>1</v>
      </c>
      <c r="M730" s="861">
        <f t="shared" si="437"/>
        <v>1</v>
      </c>
      <c r="N730" s="855" t="s">
        <v>1326</v>
      </c>
      <c r="O730" s="1196">
        <v>28289</v>
      </c>
      <c r="P730" s="1218">
        <f t="shared" ca="1" si="429"/>
        <v>40.302777777777777</v>
      </c>
      <c r="Q730" s="1148">
        <v>22000</v>
      </c>
      <c r="R730" s="874">
        <f>Q730*0.1</f>
        <v>2200</v>
      </c>
      <c r="S730" s="875"/>
      <c r="T730" s="875"/>
      <c r="U730" s="875"/>
      <c r="V730" s="875"/>
      <c r="W730" s="875"/>
      <c r="X730" s="1026">
        <f t="shared" si="430"/>
        <v>24200</v>
      </c>
      <c r="Y730" s="1512">
        <f t="shared" si="438"/>
        <v>0</v>
      </c>
      <c r="Z730" s="1741">
        <f t="shared" si="432"/>
        <v>1</v>
      </c>
      <c r="AA730" s="1749">
        <f t="shared" si="433"/>
        <v>0</v>
      </c>
      <c r="AB730" s="1810">
        <f t="shared" si="434"/>
        <v>0</v>
      </c>
      <c r="AC730" s="876"/>
      <c r="AD730" s="1525">
        <f t="shared" si="441"/>
        <v>0</v>
      </c>
      <c r="AE730" s="1525">
        <f t="shared" si="441"/>
        <v>0</v>
      </c>
      <c r="AF730" s="1525">
        <f t="shared" si="441"/>
        <v>0</v>
      </c>
      <c r="AG730" s="1525">
        <f t="shared" si="441"/>
        <v>0</v>
      </c>
      <c r="AH730" s="1525">
        <f t="shared" si="441"/>
        <v>0</v>
      </c>
      <c r="AI730" s="1525">
        <f t="shared" si="441"/>
        <v>0</v>
      </c>
      <c r="AJ730" s="1525">
        <f t="shared" si="441"/>
        <v>0</v>
      </c>
      <c r="AK730" s="1525">
        <f t="shared" si="441"/>
        <v>0</v>
      </c>
      <c r="AL730" s="1525">
        <f t="shared" si="441"/>
        <v>0</v>
      </c>
      <c r="AM730" s="1525">
        <f t="shared" si="441"/>
        <v>0</v>
      </c>
      <c r="AN730" s="1525">
        <f t="shared" si="441"/>
        <v>0</v>
      </c>
      <c r="AO730" s="1525">
        <f t="shared" si="441"/>
        <v>0</v>
      </c>
      <c r="AP730" s="1525">
        <f t="shared" si="441"/>
        <v>0</v>
      </c>
      <c r="AQ730" s="1525">
        <f t="shared" si="441"/>
        <v>0</v>
      </c>
      <c r="AR730" s="1525">
        <f t="shared" si="441"/>
        <v>0</v>
      </c>
      <c r="AS730" s="1525">
        <f t="shared" si="441"/>
        <v>0</v>
      </c>
      <c r="AU730" s="1525"/>
      <c r="AV730" s="1291"/>
      <c r="AW730" s="1292"/>
      <c r="AX730" s="1292"/>
      <c r="AY730" s="1292"/>
      <c r="AZ730" s="1292"/>
      <c r="BA730" s="1292"/>
      <c r="BB730" s="1292"/>
      <c r="BC730" s="1292"/>
      <c r="BD730" s="1292"/>
      <c r="BE730" s="1292"/>
      <c r="BF730" s="1292"/>
      <c r="BG730" s="1292"/>
      <c r="BH730" s="1292"/>
      <c r="BI730" s="1292"/>
      <c r="BJ730" s="1292"/>
      <c r="BK730" s="1292"/>
      <c r="BL730" s="1292"/>
      <c r="BM730" s="1292"/>
      <c r="BN730" s="1292"/>
      <c r="BO730" s="1292"/>
      <c r="BP730" s="1292"/>
      <c r="BQ730" s="1292"/>
      <c r="BR730" s="1292"/>
      <c r="BS730" s="1292"/>
      <c r="BT730" s="1670">
        <f t="shared" si="436"/>
        <v>0</v>
      </c>
      <c r="BW730" s="862" t="s">
        <v>253</v>
      </c>
    </row>
    <row r="731" spans="2:75" ht="12.75" customHeight="1" x14ac:dyDescent="0.2">
      <c r="B731" s="175">
        <f t="shared" si="440"/>
        <v>29</v>
      </c>
      <c r="C731" s="219">
        <v>41</v>
      </c>
      <c r="E731" s="474" t="s">
        <v>590</v>
      </c>
      <c r="F731" s="4" t="s">
        <v>1651</v>
      </c>
      <c r="G731" s="821" t="s">
        <v>669</v>
      </c>
      <c r="H731" s="858">
        <v>25286</v>
      </c>
      <c r="I731" s="200" t="s">
        <v>998</v>
      </c>
      <c r="J731" s="189"/>
      <c r="K731" s="189"/>
      <c r="L731" s="861">
        <v>1</v>
      </c>
      <c r="M731" s="858">
        <f t="shared" si="437"/>
        <v>1</v>
      </c>
      <c r="N731" s="836" t="s">
        <v>1402</v>
      </c>
      <c r="O731" s="1196">
        <v>26770</v>
      </c>
      <c r="P731" s="1218">
        <f t="shared" ca="1" si="429"/>
        <v>44.461111111111109</v>
      </c>
      <c r="Q731" s="1148">
        <v>21600</v>
      </c>
      <c r="R731" s="874">
        <f>Q731*0.1</f>
        <v>2160</v>
      </c>
      <c r="S731" s="875"/>
      <c r="T731" s="875"/>
      <c r="U731" s="875"/>
      <c r="V731" s="875"/>
      <c r="W731" s="875"/>
      <c r="X731" s="1026">
        <f t="shared" si="430"/>
        <v>23760</v>
      </c>
      <c r="Y731" s="1512">
        <f t="shared" si="438"/>
        <v>0</v>
      </c>
      <c r="Z731" s="1741">
        <f t="shared" si="432"/>
        <v>1</v>
      </c>
      <c r="AA731" s="1749">
        <f t="shared" si="433"/>
        <v>0</v>
      </c>
      <c r="AB731" s="1810">
        <f t="shared" si="434"/>
        <v>0</v>
      </c>
      <c r="AC731" s="876"/>
      <c r="AD731" s="1525">
        <f t="shared" si="441"/>
        <v>0</v>
      </c>
      <c r="AE731" s="1525">
        <f t="shared" si="441"/>
        <v>0</v>
      </c>
      <c r="AF731" s="1525">
        <f t="shared" si="441"/>
        <v>0</v>
      </c>
      <c r="AG731" s="1525">
        <f t="shared" si="441"/>
        <v>0</v>
      </c>
      <c r="AH731" s="1525">
        <f t="shared" si="441"/>
        <v>0</v>
      </c>
      <c r="AI731" s="1525">
        <f t="shared" si="441"/>
        <v>0</v>
      </c>
      <c r="AJ731" s="1525">
        <f t="shared" si="441"/>
        <v>0</v>
      </c>
      <c r="AK731" s="1525">
        <f t="shared" si="441"/>
        <v>0</v>
      </c>
      <c r="AL731" s="1525">
        <f t="shared" si="441"/>
        <v>0</v>
      </c>
      <c r="AM731" s="1525">
        <f t="shared" si="441"/>
        <v>0</v>
      </c>
      <c r="AN731" s="1525">
        <f t="shared" si="441"/>
        <v>0</v>
      </c>
      <c r="AO731" s="1525">
        <f t="shared" si="441"/>
        <v>0</v>
      </c>
      <c r="AP731" s="1525">
        <f t="shared" si="441"/>
        <v>0</v>
      </c>
      <c r="AQ731" s="1525">
        <f t="shared" si="441"/>
        <v>0</v>
      </c>
      <c r="AR731" s="1525">
        <f t="shared" si="441"/>
        <v>0</v>
      </c>
      <c r="AS731" s="1525">
        <f t="shared" si="441"/>
        <v>0</v>
      </c>
      <c r="AU731" s="1525"/>
      <c r="AV731" s="1291"/>
      <c r="AW731" s="1292"/>
      <c r="AX731" s="1292"/>
      <c r="AY731" s="1292"/>
      <c r="AZ731" s="1292"/>
      <c r="BA731" s="1292"/>
      <c r="BB731" s="1292"/>
      <c r="BC731" s="1292"/>
      <c r="BD731" s="1292"/>
      <c r="BE731" s="1292"/>
      <c r="BF731" s="1292"/>
      <c r="BG731" s="1292"/>
      <c r="BH731" s="1292"/>
      <c r="BI731" s="1292"/>
      <c r="BJ731" s="1292"/>
      <c r="BK731" s="1292"/>
      <c r="BL731" s="1292"/>
      <c r="BM731" s="1292"/>
      <c r="BN731" s="1292"/>
      <c r="BO731" s="1292"/>
      <c r="BP731" s="1292"/>
      <c r="BQ731" s="1292"/>
      <c r="BR731" s="1292"/>
      <c r="BS731" s="1292"/>
      <c r="BT731" s="1670">
        <f t="shared" si="436"/>
        <v>0</v>
      </c>
      <c r="BW731" s="821" t="s">
        <v>669</v>
      </c>
    </row>
    <row r="732" spans="2:75" ht="12.75" customHeight="1" x14ac:dyDescent="0.2">
      <c r="B732" s="175">
        <f t="shared" si="440"/>
        <v>30</v>
      </c>
      <c r="C732" s="219">
        <v>44</v>
      </c>
      <c r="E732" s="474" t="s">
        <v>590</v>
      </c>
      <c r="F732" s="24" t="s">
        <v>1342</v>
      </c>
      <c r="G732" s="859" t="s">
        <v>1558</v>
      </c>
      <c r="H732" s="858">
        <v>291513</v>
      </c>
      <c r="I732" s="200" t="s">
        <v>998</v>
      </c>
      <c r="J732" s="189"/>
      <c r="K732" s="189"/>
      <c r="L732" s="861">
        <v>0.875</v>
      </c>
      <c r="M732" s="858">
        <f t="shared" si="437"/>
        <v>0.875</v>
      </c>
      <c r="N732" s="857" t="s">
        <v>892</v>
      </c>
      <c r="O732" s="1196">
        <v>21396</v>
      </c>
      <c r="P732" s="1218">
        <f t="shared" ca="1" si="429"/>
        <v>59.172222222222224</v>
      </c>
      <c r="Q732" s="1148">
        <v>21800</v>
      </c>
      <c r="R732" s="874"/>
      <c r="S732" s="875"/>
      <c r="T732" s="875"/>
      <c r="U732" s="875"/>
      <c r="V732" s="875"/>
      <c r="W732" s="875"/>
      <c r="X732" s="1026">
        <f t="shared" si="430"/>
        <v>19075</v>
      </c>
      <c r="Y732" s="1512">
        <f t="shared" si="438"/>
        <v>0</v>
      </c>
      <c r="Z732" s="1741">
        <f t="shared" si="432"/>
        <v>0.875</v>
      </c>
      <c r="AA732" s="1749">
        <f t="shared" si="433"/>
        <v>0</v>
      </c>
      <c r="AB732" s="1810">
        <f t="shared" si="434"/>
        <v>0</v>
      </c>
      <c r="AC732" s="876"/>
      <c r="AD732" s="1525">
        <f t="shared" si="441"/>
        <v>0</v>
      </c>
      <c r="AE732" s="1525">
        <f t="shared" si="441"/>
        <v>0</v>
      </c>
      <c r="AF732" s="1525">
        <f t="shared" si="441"/>
        <v>0</v>
      </c>
      <c r="AG732" s="1525">
        <f t="shared" si="441"/>
        <v>0</v>
      </c>
      <c r="AH732" s="1525">
        <f t="shared" si="441"/>
        <v>0</v>
      </c>
      <c r="AI732" s="1525">
        <f t="shared" si="441"/>
        <v>0</v>
      </c>
      <c r="AJ732" s="1525">
        <f t="shared" si="441"/>
        <v>0</v>
      </c>
      <c r="AK732" s="1525">
        <f t="shared" si="441"/>
        <v>0</v>
      </c>
      <c r="AL732" s="1525">
        <f t="shared" si="441"/>
        <v>0</v>
      </c>
      <c r="AM732" s="1525">
        <f t="shared" si="441"/>
        <v>0</v>
      </c>
      <c r="AN732" s="1525">
        <f t="shared" si="441"/>
        <v>0</v>
      </c>
      <c r="AO732" s="1525">
        <f t="shared" si="441"/>
        <v>0</v>
      </c>
      <c r="AP732" s="1525">
        <f t="shared" si="441"/>
        <v>0</v>
      </c>
      <c r="AQ732" s="1525">
        <f t="shared" si="441"/>
        <v>0</v>
      </c>
      <c r="AR732" s="1525">
        <f t="shared" si="441"/>
        <v>0</v>
      </c>
      <c r="AS732" s="1525">
        <f t="shared" si="441"/>
        <v>0</v>
      </c>
      <c r="AU732" s="1525"/>
      <c r="AV732" s="1291"/>
      <c r="AW732" s="1292"/>
      <c r="AX732" s="1292"/>
      <c r="AY732" s="1292"/>
      <c r="AZ732" s="1292"/>
      <c r="BA732" s="1292"/>
      <c r="BB732" s="1292"/>
      <c r="BC732" s="1292"/>
      <c r="BD732" s="1292"/>
      <c r="BE732" s="1292"/>
      <c r="BF732" s="1292"/>
      <c r="BG732" s="1292"/>
      <c r="BH732" s="1292"/>
      <c r="BI732" s="1292"/>
      <c r="BJ732" s="1292"/>
      <c r="BK732" s="1292"/>
      <c r="BL732" s="1292"/>
      <c r="BM732" s="1292"/>
      <c r="BN732" s="1292"/>
      <c r="BO732" s="1292"/>
      <c r="BP732" s="1292"/>
      <c r="BQ732" s="1292"/>
      <c r="BR732" s="1292"/>
      <c r="BS732" s="1292"/>
      <c r="BT732" s="1670">
        <f t="shared" si="436"/>
        <v>0</v>
      </c>
      <c r="BW732" s="859" t="s">
        <v>1558</v>
      </c>
    </row>
    <row r="733" spans="2:75" ht="12.75" customHeight="1" x14ac:dyDescent="0.2">
      <c r="B733" s="175">
        <f t="shared" si="440"/>
        <v>31</v>
      </c>
      <c r="C733" s="219">
        <v>45</v>
      </c>
      <c r="E733" s="474" t="s">
        <v>590</v>
      </c>
      <c r="F733" s="24" t="s">
        <v>1652</v>
      </c>
      <c r="G733" s="859" t="s">
        <v>1465</v>
      </c>
      <c r="H733" s="858">
        <v>125170</v>
      </c>
      <c r="I733" s="200" t="s">
        <v>998</v>
      </c>
      <c r="J733" s="189"/>
      <c r="K733" s="174"/>
      <c r="L733" s="861">
        <v>1</v>
      </c>
      <c r="M733" s="861">
        <f t="shared" si="437"/>
        <v>1</v>
      </c>
      <c r="N733" s="857" t="s">
        <v>1326</v>
      </c>
      <c r="O733" s="1196">
        <v>22598</v>
      </c>
      <c r="P733" s="1218">
        <f t="shared" ca="1" si="429"/>
        <v>55.886111111111113</v>
      </c>
      <c r="Q733" s="1148">
        <v>24000</v>
      </c>
      <c r="R733" s="874">
        <f>Q733*0.1</f>
        <v>2400</v>
      </c>
      <c r="S733" s="875"/>
      <c r="T733" s="875"/>
      <c r="U733" s="875"/>
      <c r="V733" s="875"/>
      <c r="W733" s="875"/>
      <c r="X733" s="1026">
        <f t="shared" si="430"/>
        <v>26400</v>
      </c>
      <c r="Y733" s="1512">
        <f t="shared" si="438"/>
        <v>0</v>
      </c>
      <c r="Z733" s="1741">
        <f t="shared" si="432"/>
        <v>1</v>
      </c>
      <c r="AA733" s="1749">
        <f t="shared" si="433"/>
        <v>0</v>
      </c>
      <c r="AB733" s="1810">
        <f t="shared" si="434"/>
        <v>0</v>
      </c>
      <c r="AC733" s="876"/>
      <c r="AD733" s="1525">
        <f t="shared" ref="AD733:AS738" si="442">SUMIF($AV$6:$BS$6,AD$5,$AV733:$BS733)</f>
        <v>0</v>
      </c>
      <c r="AE733" s="1525">
        <f t="shared" si="442"/>
        <v>0</v>
      </c>
      <c r="AF733" s="1525">
        <f t="shared" si="442"/>
        <v>0</v>
      </c>
      <c r="AG733" s="1525">
        <f t="shared" si="442"/>
        <v>0</v>
      </c>
      <c r="AH733" s="1525">
        <f t="shared" si="442"/>
        <v>0</v>
      </c>
      <c r="AI733" s="1525">
        <f t="shared" si="442"/>
        <v>0</v>
      </c>
      <c r="AJ733" s="1525">
        <f t="shared" si="442"/>
        <v>0</v>
      </c>
      <c r="AK733" s="1525">
        <f t="shared" si="442"/>
        <v>0</v>
      </c>
      <c r="AL733" s="1525">
        <f t="shared" si="442"/>
        <v>0</v>
      </c>
      <c r="AM733" s="1525">
        <f t="shared" si="442"/>
        <v>0</v>
      </c>
      <c r="AN733" s="1525">
        <f t="shared" si="442"/>
        <v>0</v>
      </c>
      <c r="AO733" s="1525">
        <f t="shared" si="442"/>
        <v>0</v>
      </c>
      <c r="AP733" s="1525">
        <f t="shared" si="442"/>
        <v>0</v>
      </c>
      <c r="AQ733" s="1525">
        <f t="shared" si="442"/>
        <v>0</v>
      </c>
      <c r="AR733" s="1525">
        <f t="shared" si="442"/>
        <v>0</v>
      </c>
      <c r="AS733" s="1525">
        <f t="shared" si="442"/>
        <v>0</v>
      </c>
      <c r="AU733" s="1525"/>
      <c r="AV733" s="1291"/>
      <c r="AW733" s="1292"/>
      <c r="AX733" s="1292"/>
      <c r="AY733" s="1292"/>
      <c r="AZ733" s="1292"/>
      <c r="BA733" s="1292"/>
      <c r="BB733" s="1292"/>
      <c r="BC733" s="1292"/>
      <c r="BD733" s="1292"/>
      <c r="BE733" s="1292"/>
      <c r="BF733" s="1292"/>
      <c r="BG733" s="1292"/>
      <c r="BH733" s="1292"/>
      <c r="BI733" s="1292"/>
      <c r="BJ733" s="1292"/>
      <c r="BK733" s="1292"/>
      <c r="BL733" s="1292"/>
      <c r="BM733" s="1292"/>
      <c r="BN733" s="1292"/>
      <c r="BO733" s="1292"/>
      <c r="BP733" s="1292"/>
      <c r="BQ733" s="1292"/>
      <c r="BR733" s="1292"/>
      <c r="BS733" s="1292"/>
      <c r="BT733" s="1670">
        <f t="shared" si="436"/>
        <v>0</v>
      </c>
      <c r="BW733" s="859" t="s">
        <v>1465</v>
      </c>
    </row>
    <row r="734" spans="2:75" ht="12.75" customHeight="1" x14ac:dyDescent="0.2">
      <c r="B734" s="175">
        <f t="shared" si="440"/>
        <v>32</v>
      </c>
      <c r="C734" s="219">
        <v>41</v>
      </c>
      <c r="E734" s="474" t="s">
        <v>590</v>
      </c>
      <c r="F734" s="24" t="s">
        <v>595</v>
      </c>
      <c r="G734" s="859" t="s">
        <v>1461</v>
      </c>
      <c r="H734" s="858">
        <v>56245</v>
      </c>
      <c r="I734" s="200" t="s">
        <v>998</v>
      </c>
      <c r="J734" s="189"/>
      <c r="K734" s="189"/>
      <c r="L734" s="861">
        <v>1</v>
      </c>
      <c r="M734" s="858">
        <f t="shared" si="437"/>
        <v>1</v>
      </c>
      <c r="N734" s="857" t="s">
        <v>1326</v>
      </c>
      <c r="O734" s="1196">
        <v>23484</v>
      </c>
      <c r="P734" s="1218">
        <f t="shared" ca="1" si="429"/>
        <v>53.458333333333336</v>
      </c>
      <c r="Q734" s="1148">
        <v>20400</v>
      </c>
      <c r="R734" s="874">
        <f>Q734*0.1</f>
        <v>2040</v>
      </c>
      <c r="S734" s="875"/>
      <c r="T734" s="875"/>
      <c r="U734" s="875"/>
      <c r="V734" s="875"/>
      <c r="W734" s="875"/>
      <c r="X734" s="1026">
        <f t="shared" si="430"/>
        <v>22440</v>
      </c>
      <c r="Y734" s="1512">
        <f t="shared" si="438"/>
        <v>0</v>
      </c>
      <c r="Z734" s="1741">
        <f t="shared" si="432"/>
        <v>1</v>
      </c>
      <c r="AA734" s="1749">
        <f t="shared" si="433"/>
        <v>0</v>
      </c>
      <c r="AB734" s="1810">
        <f t="shared" si="434"/>
        <v>0</v>
      </c>
      <c r="AC734" s="876"/>
      <c r="AD734" s="1525">
        <f t="shared" si="442"/>
        <v>0</v>
      </c>
      <c r="AE734" s="1525">
        <f t="shared" si="442"/>
        <v>0</v>
      </c>
      <c r="AF734" s="1525">
        <f t="shared" si="442"/>
        <v>0</v>
      </c>
      <c r="AG734" s="1525">
        <f t="shared" si="442"/>
        <v>0</v>
      </c>
      <c r="AH734" s="1525">
        <f t="shared" si="442"/>
        <v>0</v>
      </c>
      <c r="AI734" s="1525">
        <f t="shared" si="442"/>
        <v>0</v>
      </c>
      <c r="AJ734" s="1525">
        <f t="shared" si="442"/>
        <v>0</v>
      </c>
      <c r="AK734" s="1525">
        <f t="shared" si="442"/>
        <v>0</v>
      </c>
      <c r="AL734" s="1525">
        <f t="shared" si="442"/>
        <v>0</v>
      </c>
      <c r="AM734" s="1525">
        <f t="shared" si="442"/>
        <v>0</v>
      </c>
      <c r="AN734" s="1525">
        <f t="shared" si="442"/>
        <v>0</v>
      </c>
      <c r="AO734" s="1525">
        <f t="shared" si="442"/>
        <v>0</v>
      </c>
      <c r="AP734" s="1525">
        <f t="shared" si="442"/>
        <v>0</v>
      </c>
      <c r="AQ734" s="1525">
        <f t="shared" si="442"/>
        <v>0</v>
      </c>
      <c r="AR734" s="1525">
        <f t="shared" si="442"/>
        <v>0</v>
      </c>
      <c r="AS734" s="1525">
        <f t="shared" si="442"/>
        <v>0</v>
      </c>
      <c r="AU734" s="1525"/>
      <c r="AV734" s="1291"/>
      <c r="AW734" s="1292"/>
      <c r="AX734" s="1292"/>
      <c r="AY734" s="1292"/>
      <c r="AZ734" s="1292"/>
      <c r="BA734" s="1292"/>
      <c r="BB734" s="1292"/>
      <c r="BC734" s="1292"/>
      <c r="BD734" s="1292"/>
      <c r="BE734" s="1292"/>
      <c r="BF734" s="1292"/>
      <c r="BG734" s="1292"/>
      <c r="BH734" s="1292"/>
      <c r="BI734" s="1292"/>
      <c r="BJ734" s="1292"/>
      <c r="BK734" s="1292"/>
      <c r="BL734" s="1292"/>
      <c r="BM734" s="1292"/>
      <c r="BN734" s="1292"/>
      <c r="BO734" s="1292"/>
      <c r="BP734" s="1292"/>
      <c r="BQ734" s="1292"/>
      <c r="BR734" s="1292"/>
      <c r="BS734" s="1292"/>
      <c r="BT734" s="1670">
        <f t="shared" si="436"/>
        <v>0</v>
      </c>
      <c r="BW734" s="859" t="s">
        <v>1461</v>
      </c>
    </row>
    <row r="735" spans="2:75" ht="12.75" customHeight="1" x14ac:dyDescent="0.2">
      <c r="B735" s="175">
        <f t="shared" si="440"/>
        <v>33</v>
      </c>
      <c r="C735" s="219">
        <v>41</v>
      </c>
      <c r="E735" s="474" t="s">
        <v>590</v>
      </c>
      <c r="F735" s="24" t="s">
        <v>563</v>
      </c>
      <c r="G735" s="859" t="s">
        <v>1514</v>
      </c>
      <c r="H735" s="858">
        <v>283984</v>
      </c>
      <c r="I735" s="200" t="s">
        <v>998</v>
      </c>
      <c r="J735" s="189"/>
      <c r="K735" s="189"/>
      <c r="L735" s="861">
        <v>1</v>
      </c>
      <c r="M735" s="858">
        <f t="shared" si="437"/>
        <v>1</v>
      </c>
      <c r="N735" s="857" t="s">
        <v>1326</v>
      </c>
      <c r="O735" s="1196">
        <v>21310</v>
      </c>
      <c r="P735" s="1218">
        <f t="shared" ca="1" si="429"/>
        <v>59.408333333333331</v>
      </c>
      <c r="Q735" s="1148">
        <v>23500</v>
      </c>
      <c r="R735" s="874">
        <f>Q735*0.1</f>
        <v>2350</v>
      </c>
      <c r="S735" s="875"/>
      <c r="T735" s="875"/>
      <c r="U735" s="875"/>
      <c r="V735" s="875"/>
      <c r="W735" s="1036">
        <f>(Q735+R735)*0.1</f>
        <v>2585</v>
      </c>
      <c r="X735" s="1026">
        <f t="shared" si="430"/>
        <v>28435</v>
      </c>
      <c r="Y735" s="1512">
        <f t="shared" si="438"/>
        <v>0.1</v>
      </c>
      <c r="Z735" s="1741">
        <f t="shared" si="432"/>
        <v>1.1000000000000001</v>
      </c>
      <c r="AA735" s="1749">
        <f t="shared" si="433"/>
        <v>0</v>
      </c>
      <c r="AB735" s="1810">
        <f t="shared" si="434"/>
        <v>0</v>
      </c>
      <c r="AC735" s="876"/>
      <c r="AD735" s="1525">
        <f t="shared" si="442"/>
        <v>0</v>
      </c>
      <c r="AE735" s="1525">
        <f t="shared" si="442"/>
        <v>0</v>
      </c>
      <c r="AF735" s="1525">
        <f t="shared" si="442"/>
        <v>0</v>
      </c>
      <c r="AG735" s="1525">
        <f t="shared" si="442"/>
        <v>0</v>
      </c>
      <c r="AH735" s="1525">
        <f t="shared" si="442"/>
        <v>0</v>
      </c>
      <c r="AI735" s="1525">
        <f t="shared" si="442"/>
        <v>0</v>
      </c>
      <c r="AJ735" s="1525">
        <f t="shared" si="442"/>
        <v>0</v>
      </c>
      <c r="AK735" s="1525">
        <f t="shared" si="442"/>
        <v>0</v>
      </c>
      <c r="AL735" s="1525">
        <f t="shared" si="442"/>
        <v>0</v>
      </c>
      <c r="AM735" s="1525">
        <f t="shared" si="442"/>
        <v>0</v>
      </c>
      <c r="AN735" s="1525">
        <f t="shared" si="442"/>
        <v>0</v>
      </c>
      <c r="AO735" s="1525">
        <f t="shared" si="442"/>
        <v>0</v>
      </c>
      <c r="AP735" s="1525">
        <f t="shared" si="442"/>
        <v>0</v>
      </c>
      <c r="AQ735" s="1525">
        <f t="shared" si="442"/>
        <v>0</v>
      </c>
      <c r="AR735" s="1525">
        <f t="shared" si="442"/>
        <v>0</v>
      </c>
      <c r="AS735" s="1525">
        <f t="shared" si="442"/>
        <v>0</v>
      </c>
      <c r="AU735" s="1525"/>
      <c r="AV735" s="1291"/>
      <c r="AW735" s="1292"/>
      <c r="AX735" s="1292"/>
      <c r="AY735" s="1292"/>
      <c r="AZ735" s="1292"/>
      <c r="BA735" s="1292"/>
      <c r="BB735" s="1292"/>
      <c r="BC735" s="1292"/>
      <c r="BD735" s="1292"/>
      <c r="BE735" s="1292"/>
      <c r="BF735" s="1292"/>
      <c r="BG735" s="1292"/>
      <c r="BH735" s="1292"/>
      <c r="BI735" s="1292"/>
      <c r="BJ735" s="1292"/>
      <c r="BK735" s="1292"/>
      <c r="BL735" s="1292"/>
      <c r="BM735" s="1292"/>
      <c r="BN735" s="1292"/>
      <c r="BO735" s="1292"/>
      <c r="BP735" s="1292"/>
      <c r="BQ735" s="1292"/>
      <c r="BR735" s="1292"/>
      <c r="BS735" s="1292"/>
      <c r="BT735" s="1670">
        <f t="shared" si="436"/>
        <v>0</v>
      </c>
      <c r="BW735" s="859" t="s">
        <v>1514</v>
      </c>
    </row>
    <row r="736" spans="2:75" ht="12.75" customHeight="1" x14ac:dyDescent="0.2">
      <c r="B736" s="175">
        <f t="shared" si="440"/>
        <v>34</v>
      </c>
      <c r="C736" s="219">
        <v>41</v>
      </c>
      <c r="E736" s="474" t="s">
        <v>590</v>
      </c>
      <c r="F736" s="4" t="s">
        <v>1344</v>
      </c>
      <c r="G736" s="862" t="s">
        <v>976</v>
      </c>
      <c r="H736" s="861">
        <v>293263</v>
      </c>
      <c r="I736" s="197" t="s">
        <v>998</v>
      </c>
      <c r="J736" s="174"/>
      <c r="K736" s="174"/>
      <c r="L736" s="861">
        <v>1</v>
      </c>
      <c r="M736" s="861">
        <v>1</v>
      </c>
      <c r="N736" s="836" t="s">
        <v>1326</v>
      </c>
      <c r="O736" s="1196">
        <v>30615</v>
      </c>
      <c r="P736" s="1218">
        <f t="shared" ca="1" si="429"/>
        <v>33.93333333333333</v>
      </c>
      <c r="Q736" s="1148">
        <v>22400</v>
      </c>
      <c r="R736" s="874">
        <f>Q736*0.1</f>
        <v>2240</v>
      </c>
      <c r="S736" s="875"/>
      <c r="T736" s="875"/>
      <c r="U736" s="875"/>
      <c r="V736" s="875"/>
      <c r="W736" s="875"/>
      <c r="X736" s="1026">
        <f t="shared" si="430"/>
        <v>24640</v>
      </c>
      <c r="Y736" s="1512">
        <f t="shared" si="438"/>
        <v>0</v>
      </c>
      <c r="Z736" s="1741">
        <f t="shared" si="432"/>
        <v>1</v>
      </c>
      <c r="AA736" s="1749">
        <f t="shared" si="433"/>
        <v>0</v>
      </c>
      <c r="AB736" s="1810">
        <f t="shared" si="434"/>
        <v>0</v>
      </c>
      <c r="AC736" s="876"/>
      <c r="AD736" s="1525">
        <f t="shared" si="442"/>
        <v>0</v>
      </c>
      <c r="AE736" s="1525">
        <f t="shared" si="442"/>
        <v>0</v>
      </c>
      <c r="AF736" s="1525">
        <f t="shared" si="442"/>
        <v>0</v>
      </c>
      <c r="AG736" s="1525">
        <f t="shared" si="442"/>
        <v>0</v>
      </c>
      <c r="AH736" s="1525">
        <f t="shared" si="442"/>
        <v>0</v>
      </c>
      <c r="AI736" s="1525">
        <f t="shared" si="442"/>
        <v>0</v>
      </c>
      <c r="AJ736" s="1525">
        <f t="shared" si="442"/>
        <v>0</v>
      </c>
      <c r="AK736" s="1525">
        <f t="shared" si="442"/>
        <v>0</v>
      </c>
      <c r="AL736" s="1525">
        <f t="shared" si="442"/>
        <v>0</v>
      </c>
      <c r="AM736" s="1525">
        <f t="shared" si="442"/>
        <v>0</v>
      </c>
      <c r="AN736" s="1525">
        <f t="shared" si="442"/>
        <v>0</v>
      </c>
      <c r="AO736" s="1525">
        <f t="shared" si="442"/>
        <v>0</v>
      </c>
      <c r="AP736" s="1525">
        <f t="shared" si="442"/>
        <v>0</v>
      </c>
      <c r="AQ736" s="1525">
        <f t="shared" si="442"/>
        <v>0</v>
      </c>
      <c r="AR736" s="1525">
        <f t="shared" si="442"/>
        <v>0</v>
      </c>
      <c r="AS736" s="1525">
        <f t="shared" si="442"/>
        <v>0</v>
      </c>
      <c r="AU736" s="1525"/>
      <c r="AV736" s="1291"/>
      <c r="AW736" s="1292"/>
      <c r="AX736" s="1292"/>
      <c r="AY736" s="1292"/>
      <c r="AZ736" s="1292"/>
      <c r="BA736" s="1292"/>
      <c r="BB736" s="1292"/>
      <c r="BC736" s="1292"/>
      <c r="BD736" s="1292"/>
      <c r="BE736" s="1292"/>
      <c r="BF736" s="1292"/>
      <c r="BG736" s="1292"/>
      <c r="BH736" s="1292"/>
      <c r="BI736" s="1292"/>
      <c r="BJ736" s="1292"/>
      <c r="BK736" s="1292"/>
      <c r="BL736" s="1292"/>
      <c r="BM736" s="1292"/>
      <c r="BN736" s="1292"/>
      <c r="BO736" s="1292"/>
      <c r="BP736" s="1292"/>
      <c r="BQ736" s="1292"/>
      <c r="BR736" s="1292"/>
      <c r="BS736" s="1292"/>
      <c r="BT736" s="1670">
        <f t="shared" si="436"/>
        <v>0</v>
      </c>
      <c r="BW736" s="862" t="s">
        <v>976</v>
      </c>
    </row>
    <row r="737" spans="2:75" ht="12.75" customHeight="1" x14ac:dyDescent="0.2">
      <c r="B737" s="175">
        <f t="shared" si="440"/>
        <v>35</v>
      </c>
      <c r="C737" s="219">
        <v>41</v>
      </c>
      <c r="E737" s="474" t="s">
        <v>590</v>
      </c>
      <c r="F737" s="4" t="s">
        <v>1343</v>
      </c>
      <c r="G737" s="862" t="s">
        <v>1462</v>
      </c>
      <c r="H737" s="861">
        <v>7809</v>
      </c>
      <c r="I737" s="197" t="s">
        <v>998</v>
      </c>
      <c r="J737" s="174"/>
      <c r="K737" s="174"/>
      <c r="L737" s="861">
        <v>1</v>
      </c>
      <c r="M737" s="861">
        <v>1</v>
      </c>
      <c r="N737" s="836" t="s">
        <v>892</v>
      </c>
      <c r="O737" s="1196">
        <v>12878</v>
      </c>
      <c r="P737" s="1218">
        <f t="shared" ca="1" si="429"/>
        <v>82.49444444444444</v>
      </c>
      <c r="Q737" s="1148">
        <v>19000</v>
      </c>
      <c r="R737" s="874"/>
      <c r="S737" s="876"/>
      <c r="T737" s="876"/>
      <c r="U737" s="876"/>
      <c r="V737" s="876"/>
      <c r="W737" s="1026">
        <f>(Q737+R737)*0.1</f>
        <v>1900</v>
      </c>
      <c r="X737" s="1026">
        <f t="shared" si="430"/>
        <v>20900</v>
      </c>
      <c r="Y737" s="1512">
        <f t="shared" si="438"/>
        <v>0.1</v>
      </c>
      <c r="Z737" s="1741">
        <f t="shared" si="432"/>
        <v>1.1000000000000001</v>
      </c>
      <c r="AA737" s="1749">
        <f t="shared" si="433"/>
        <v>0</v>
      </c>
      <c r="AB737" s="1810">
        <f t="shared" si="434"/>
        <v>0</v>
      </c>
      <c r="AC737" s="876"/>
      <c r="AD737" s="1525">
        <f t="shared" si="442"/>
        <v>0</v>
      </c>
      <c r="AE737" s="1525">
        <f t="shared" si="442"/>
        <v>0</v>
      </c>
      <c r="AF737" s="1525">
        <f t="shared" si="442"/>
        <v>0</v>
      </c>
      <c r="AG737" s="1525">
        <f t="shared" si="442"/>
        <v>0</v>
      </c>
      <c r="AH737" s="1525">
        <f t="shared" si="442"/>
        <v>0</v>
      </c>
      <c r="AI737" s="1525">
        <f t="shared" si="442"/>
        <v>0</v>
      </c>
      <c r="AJ737" s="1525">
        <f t="shared" si="442"/>
        <v>0</v>
      </c>
      <c r="AK737" s="1525">
        <f t="shared" si="442"/>
        <v>0</v>
      </c>
      <c r="AL737" s="1525">
        <f t="shared" si="442"/>
        <v>0</v>
      </c>
      <c r="AM737" s="1525">
        <f t="shared" si="442"/>
        <v>0</v>
      </c>
      <c r="AN737" s="1525">
        <f t="shared" si="442"/>
        <v>0</v>
      </c>
      <c r="AO737" s="1525">
        <f t="shared" si="442"/>
        <v>0</v>
      </c>
      <c r="AP737" s="1525">
        <f t="shared" si="442"/>
        <v>0</v>
      </c>
      <c r="AQ737" s="1525">
        <f t="shared" si="442"/>
        <v>0</v>
      </c>
      <c r="AR737" s="1525">
        <f t="shared" si="442"/>
        <v>0</v>
      </c>
      <c r="AS737" s="1525">
        <f t="shared" si="442"/>
        <v>0</v>
      </c>
      <c r="AU737" s="1525"/>
      <c r="AV737" s="1291"/>
      <c r="AW737" s="1292"/>
      <c r="AX737" s="1292"/>
      <c r="AY737" s="1292"/>
      <c r="AZ737" s="1292"/>
      <c r="BA737" s="1292"/>
      <c r="BB737" s="1292"/>
      <c r="BC737" s="1292"/>
      <c r="BD737" s="1292"/>
      <c r="BE737" s="1292"/>
      <c r="BF737" s="1292"/>
      <c r="BG737" s="1292"/>
      <c r="BH737" s="1292"/>
      <c r="BI737" s="1292"/>
      <c r="BJ737" s="1292"/>
      <c r="BK737" s="1292"/>
      <c r="BL737" s="1292"/>
      <c r="BM737" s="1292"/>
      <c r="BN737" s="1292"/>
      <c r="BO737" s="1292"/>
      <c r="BP737" s="1292"/>
      <c r="BQ737" s="1292"/>
      <c r="BR737" s="1292"/>
      <c r="BS737" s="1292"/>
      <c r="BT737" s="1670">
        <f t="shared" si="436"/>
        <v>0</v>
      </c>
      <c r="BW737" s="862" t="s">
        <v>1462</v>
      </c>
    </row>
    <row r="738" spans="2:75" ht="12.75" customHeight="1" x14ac:dyDescent="0.2">
      <c r="B738" s="175">
        <f t="shared" si="440"/>
        <v>36</v>
      </c>
      <c r="C738" s="219">
        <v>45</v>
      </c>
      <c r="E738" s="474" t="s">
        <v>590</v>
      </c>
      <c r="F738" s="26" t="s">
        <v>568</v>
      </c>
      <c r="G738" s="910" t="s">
        <v>594</v>
      </c>
      <c r="H738" s="873">
        <v>213475</v>
      </c>
      <c r="I738" s="196" t="s">
        <v>998</v>
      </c>
      <c r="J738" s="195">
        <v>1</v>
      </c>
      <c r="K738" s="195"/>
      <c r="L738" s="873">
        <v>0.5</v>
      </c>
      <c r="M738" s="873">
        <f>K738+L738</f>
        <v>0.5</v>
      </c>
      <c r="N738" s="872" t="s">
        <v>892</v>
      </c>
      <c r="O738" s="1196">
        <v>27872</v>
      </c>
      <c r="P738" s="1218">
        <f t="shared" ca="1" si="429"/>
        <v>41.444444444444443</v>
      </c>
      <c r="Q738" s="1071">
        <v>15000</v>
      </c>
      <c r="R738" s="890"/>
      <c r="S738" s="891"/>
      <c r="T738" s="891"/>
      <c r="U738" s="891"/>
      <c r="V738" s="891"/>
      <c r="W738" s="891"/>
      <c r="X738" s="1026">
        <f t="shared" si="430"/>
        <v>7500</v>
      </c>
      <c r="Y738" s="1512">
        <f t="shared" si="438"/>
        <v>0</v>
      </c>
      <c r="Z738" s="1741">
        <f t="shared" si="432"/>
        <v>0.5</v>
      </c>
      <c r="AA738" s="1749">
        <f t="shared" si="433"/>
        <v>0</v>
      </c>
      <c r="AB738" s="1810">
        <f t="shared" si="434"/>
        <v>0</v>
      </c>
      <c r="AC738" s="876"/>
      <c r="AD738" s="1525">
        <f t="shared" si="442"/>
        <v>0</v>
      </c>
      <c r="AE738" s="1525">
        <f t="shared" si="442"/>
        <v>0</v>
      </c>
      <c r="AF738" s="1525">
        <f t="shared" si="442"/>
        <v>0</v>
      </c>
      <c r="AG738" s="1525">
        <f t="shared" si="442"/>
        <v>0</v>
      </c>
      <c r="AH738" s="1525">
        <f t="shared" si="442"/>
        <v>0</v>
      </c>
      <c r="AI738" s="1525">
        <f t="shared" si="442"/>
        <v>0</v>
      </c>
      <c r="AJ738" s="1525">
        <f t="shared" si="442"/>
        <v>0</v>
      </c>
      <c r="AK738" s="1525">
        <f t="shared" si="442"/>
        <v>0</v>
      </c>
      <c r="AL738" s="1525">
        <f t="shared" si="442"/>
        <v>0</v>
      </c>
      <c r="AM738" s="1525">
        <f t="shared" si="442"/>
        <v>0</v>
      </c>
      <c r="AN738" s="1525">
        <f t="shared" si="442"/>
        <v>0</v>
      </c>
      <c r="AO738" s="1525">
        <f t="shared" si="442"/>
        <v>0</v>
      </c>
      <c r="AP738" s="1525">
        <f t="shared" si="442"/>
        <v>0</v>
      </c>
      <c r="AQ738" s="1525">
        <f t="shared" si="442"/>
        <v>0</v>
      </c>
      <c r="AR738" s="1525">
        <f t="shared" si="442"/>
        <v>0</v>
      </c>
      <c r="AS738" s="1525">
        <f t="shared" si="442"/>
        <v>0</v>
      </c>
      <c r="AU738" s="1525"/>
      <c r="AV738" s="1291"/>
      <c r="AW738" s="1292"/>
      <c r="AX738" s="1292"/>
      <c r="AY738" s="1292"/>
      <c r="AZ738" s="1292"/>
      <c r="BA738" s="1292"/>
      <c r="BB738" s="1292"/>
      <c r="BC738" s="1292"/>
      <c r="BD738" s="1292"/>
      <c r="BE738" s="1292"/>
      <c r="BF738" s="1292"/>
      <c r="BG738" s="1292"/>
      <c r="BH738" s="1292"/>
      <c r="BI738" s="1292"/>
      <c r="BJ738" s="1292"/>
      <c r="BK738" s="1292"/>
      <c r="BL738" s="1292"/>
      <c r="BM738" s="1292"/>
      <c r="BN738" s="1292"/>
      <c r="BO738" s="1292"/>
      <c r="BP738" s="1292"/>
      <c r="BQ738" s="1292"/>
      <c r="BR738" s="1292"/>
      <c r="BS738" s="1292"/>
      <c r="BT738" s="1670">
        <f t="shared" si="436"/>
        <v>0</v>
      </c>
      <c r="BW738" s="910" t="s">
        <v>594</v>
      </c>
    </row>
    <row r="739" spans="2:75" s="164" customFormat="1" ht="12.75" customHeight="1" x14ac:dyDescent="0.2">
      <c r="B739" s="175"/>
      <c r="C739" s="219" t="s">
        <v>1120</v>
      </c>
      <c r="F739" s="4" t="s">
        <v>1338</v>
      </c>
      <c r="G739" s="859"/>
      <c r="H739" s="1351" t="s">
        <v>1508</v>
      </c>
      <c r="I739" s="197"/>
      <c r="J739" s="174"/>
      <c r="K739" s="446">
        <f>SUM(K703:K738)</f>
        <v>0</v>
      </c>
      <c r="L739" s="892">
        <f>SUM(L703:L738)</f>
        <v>35.375</v>
      </c>
      <c r="M739" s="892">
        <f>SUM(M703:M738)</f>
        <v>35.375</v>
      </c>
      <c r="N739" s="857"/>
      <c r="O739" s="1192"/>
      <c r="P739" s="550"/>
      <c r="Q739" s="1153"/>
      <c r="R739" s="877"/>
      <c r="S739" s="875"/>
      <c r="T739" s="875"/>
      <c r="U739" s="875"/>
      <c r="V739" s="875"/>
      <c r="W739" s="875"/>
      <c r="X739" s="1026"/>
      <c r="Y739" s="1335"/>
      <c r="Z739" s="1335"/>
      <c r="AA739" s="1775"/>
      <c r="AB739" s="1814"/>
      <c r="AC739" s="876"/>
      <c r="AD739" s="1295"/>
      <c r="AE739" s="1525"/>
      <c r="AF739" s="1525"/>
      <c r="AG739" s="1525"/>
      <c r="AH739" s="1525"/>
      <c r="AI739" s="1525"/>
      <c r="AJ739" s="1525"/>
      <c r="AK739" s="1525"/>
      <c r="AL739" s="1525"/>
      <c r="AM739" s="1525"/>
      <c r="AN739" s="1525"/>
      <c r="AO739" s="1525"/>
      <c r="AP739" s="1525"/>
      <c r="AQ739" s="1525"/>
      <c r="AR739" s="1525"/>
      <c r="AS739" s="1525"/>
      <c r="AU739" s="1525"/>
      <c r="AV739" s="1295"/>
      <c r="AW739" s="1525"/>
      <c r="AX739" s="1525"/>
      <c r="AY739" s="1525"/>
      <c r="AZ739" s="1525"/>
      <c r="BA739" s="1525"/>
      <c r="BB739" s="1525"/>
      <c r="BC739" s="1525"/>
      <c r="BD739" s="1525"/>
      <c r="BE739" s="1525"/>
      <c r="BF739" s="1525"/>
      <c r="BG739" s="1525"/>
      <c r="BH739" s="1525"/>
      <c r="BI739" s="1525"/>
      <c r="BJ739" s="1525"/>
      <c r="BK739" s="1525"/>
      <c r="BL739" s="1525"/>
      <c r="BM739" s="1525"/>
      <c r="BN739" s="1525"/>
      <c r="BO739" s="1525"/>
      <c r="BP739" s="1525"/>
      <c r="BQ739" s="1525"/>
      <c r="BR739" s="1525"/>
      <c r="BS739" s="1525"/>
      <c r="BT739" s="1670"/>
      <c r="BV739"/>
      <c r="BW739" s="859"/>
    </row>
    <row r="740" spans="2:75" s="164" customFormat="1" ht="12.75" customHeight="1" x14ac:dyDescent="0.2">
      <c r="B740" s="175"/>
      <c r="F740" s="4"/>
      <c r="G740" s="859"/>
      <c r="H740" s="1347" t="s">
        <v>1508</v>
      </c>
      <c r="I740" s="197"/>
      <c r="J740" s="174"/>
      <c r="K740" s="174"/>
      <c r="L740" s="861"/>
      <c r="M740" s="861"/>
      <c r="N740" s="857"/>
      <c r="O740" s="1192"/>
      <c r="P740" s="550"/>
      <c r="Q740" s="1148"/>
      <c r="R740" s="874"/>
      <c r="S740" s="875"/>
      <c r="T740" s="875"/>
      <c r="U740" s="875"/>
      <c r="V740" s="875"/>
      <c r="W740" s="875"/>
      <c r="X740" s="1026"/>
      <c r="Y740" s="1754"/>
      <c r="Z740" s="1755"/>
      <c r="AA740" s="1775"/>
      <c r="AB740" s="1814"/>
      <c r="AC740" s="876"/>
      <c r="AD740" s="1295"/>
      <c r="AE740" s="1525"/>
      <c r="AF740" s="1525"/>
      <c r="AG740" s="1525"/>
      <c r="AH740" s="1525"/>
      <c r="AI740" s="1525"/>
      <c r="AJ740" s="1525"/>
      <c r="AK740" s="1525"/>
      <c r="AL740" s="1525"/>
      <c r="AM740" s="1525"/>
      <c r="AN740" s="1525"/>
      <c r="AO740" s="1525"/>
      <c r="AP740" s="1525"/>
      <c r="AQ740" s="1525"/>
      <c r="AR740" s="1525"/>
      <c r="AS740" s="1525"/>
      <c r="AU740" s="1525"/>
      <c r="AV740" s="1295"/>
      <c r="AW740" s="1525"/>
      <c r="AX740" s="1525"/>
      <c r="AY740" s="1525"/>
      <c r="AZ740" s="1525"/>
      <c r="BA740" s="1525"/>
      <c r="BB740" s="1525"/>
      <c r="BC740" s="1525"/>
      <c r="BD740" s="1525"/>
      <c r="BE740" s="1525"/>
      <c r="BF740" s="1525"/>
      <c r="BG740" s="1525"/>
      <c r="BH740" s="1525"/>
      <c r="BI740" s="1525"/>
      <c r="BJ740" s="1525"/>
      <c r="BK740" s="1525"/>
      <c r="BL740" s="1525"/>
      <c r="BM740" s="1525"/>
      <c r="BN740" s="1525"/>
      <c r="BO740" s="1525"/>
      <c r="BP740" s="1525"/>
      <c r="BQ740" s="1525"/>
      <c r="BR740" s="1525"/>
      <c r="BS740" s="1525"/>
      <c r="BT740" s="1670"/>
      <c r="BV740"/>
      <c r="BW740" s="859"/>
    </row>
    <row r="741" spans="2:75" s="164" customFormat="1" ht="12.75" customHeight="1" x14ac:dyDescent="0.2">
      <c r="B741" s="175"/>
      <c r="F741" s="36" t="s">
        <v>1339</v>
      </c>
      <c r="G741" s="859"/>
      <c r="H741" s="1347" t="s">
        <v>1508</v>
      </c>
      <c r="I741" s="197"/>
      <c r="J741" s="174"/>
      <c r="K741" s="174"/>
      <c r="L741" s="861"/>
      <c r="M741" s="861"/>
      <c r="N741" s="857"/>
      <c r="O741" s="1192"/>
      <c r="P741" s="550"/>
      <c r="Q741" s="1148"/>
      <c r="R741" s="874"/>
      <c r="S741" s="875"/>
      <c r="T741" s="875"/>
      <c r="U741" s="875"/>
      <c r="V741" s="875"/>
      <c r="W741" s="875"/>
      <c r="X741" s="1026"/>
      <c r="Y741" s="1754"/>
      <c r="Z741" s="1755"/>
      <c r="AA741" s="1775"/>
      <c r="AB741" s="1814"/>
      <c r="AC741" s="876"/>
      <c r="AD741" s="1295"/>
      <c r="AE741" s="1525"/>
      <c r="AF741" s="1525"/>
      <c r="AG741" s="1525"/>
      <c r="AH741" s="1525"/>
      <c r="AI741" s="1525"/>
      <c r="AJ741" s="1525"/>
      <c r="AK741" s="1525"/>
      <c r="AL741" s="1525"/>
      <c r="AM741" s="1525"/>
      <c r="AN741" s="1525"/>
      <c r="AO741" s="1525"/>
      <c r="AP741" s="1525"/>
      <c r="AQ741" s="1525"/>
      <c r="AR741" s="1525"/>
      <c r="AS741" s="1525"/>
      <c r="AU741" s="1525"/>
      <c r="AV741" s="1295"/>
      <c r="AW741" s="1525"/>
      <c r="AX741" s="1525"/>
      <c r="AY741" s="1525"/>
      <c r="AZ741" s="1525"/>
      <c r="BA741" s="1525"/>
      <c r="BB741" s="1525"/>
      <c r="BC741" s="1525"/>
      <c r="BD741" s="1525"/>
      <c r="BE741" s="1525"/>
      <c r="BF741" s="1525"/>
      <c r="BG741" s="1525"/>
      <c r="BH741" s="1525"/>
      <c r="BI741" s="1525"/>
      <c r="BJ741" s="1525"/>
      <c r="BK741" s="1525"/>
      <c r="BL741" s="1525"/>
      <c r="BM741" s="1525"/>
      <c r="BN741" s="1525"/>
      <c r="BO741" s="1525"/>
      <c r="BP741" s="1525"/>
      <c r="BQ741" s="1525"/>
      <c r="BR741" s="1525"/>
      <c r="BS741" s="1525"/>
      <c r="BT741" s="1670"/>
      <c r="BV741"/>
      <c r="BW741" s="859"/>
    </row>
    <row r="742" spans="2:75" s="164" customFormat="1" ht="12.75" customHeight="1" x14ac:dyDescent="0.2">
      <c r="B742" s="175"/>
      <c r="F742" s="4"/>
      <c r="G742" s="859"/>
      <c r="H742" s="1347" t="s">
        <v>1508</v>
      </c>
      <c r="I742" s="197"/>
      <c r="J742" s="174"/>
      <c r="K742" s="174"/>
      <c r="L742" s="861"/>
      <c r="M742" s="861"/>
      <c r="N742" s="857"/>
      <c r="O742" s="1192"/>
      <c r="P742" s="550"/>
      <c r="Q742" s="1148"/>
      <c r="R742" s="874"/>
      <c r="S742" s="875"/>
      <c r="T742" s="875"/>
      <c r="U742" s="875"/>
      <c r="V742" s="875"/>
      <c r="W742" s="875"/>
      <c r="X742" s="1026"/>
      <c r="Y742" s="1754"/>
      <c r="Z742" s="1755"/>
      <c r="AA742" s="1775"/>
      <c r="AB742" s="1814"/>
      <c r="AC742" s="876"/>
      <c r="AD742" s="1295"/>
      <c r="AE742" s="1525"/>
      <c r="AF742" s="1525"/>
      <c r="AG742" s="1525"/>
      <c r="AH742" s="1525"/>
      <c r="AI742" s="1525"/>
      <c r="AJ742" s="1525"/>
      <c r="AK742" s="1525"/>
      <c r="AL742" s="1525"/>
      <c r="AM742" s="1525"/>
      <c r="AN742" s="1525"/>
      <c r="AO742" s="1525"/>
      <c r="AP742" s="1525"/>
      <c r="AQ742" s="1525"/>
      <c r="AR742" s="1525"/>
      <c r="AS742" s="1525"/>
      <c r="AU742" s="1525"/>
      <c r="AV742" s="1295"/>
      <c r="AW742" s="1525"/>
      <c r="AX742" s="1525"/>
      <c r="AY742" s="1525"/>
      <c r="AZ742" s="1525"/>
      <c r="BA742" s="1525"/>
      <c r="BB742" s="1525"/>
      <c r="BC742" s="1525"/>
      <c r="BD742" s="1525"/>
      <c r="BE742" s="1525"/>
      <c r="BF742" s="1525"/>
      <c r="BG742" s="1525"/>
      <c r="BH742" s="1525"/>
      <c r="BI742" s="1525"/>
      <c r="BJ742" s="1525"/>
      <c r="BK742" s="1525"/>
      <c r="BL742" s="1525"/>
      <c r="BM742" s="1525"/>
      <c r="BN742" s="1525"/>
      <c r="BO742" s="1525"/>
      <c r="BP742" s="1525"/>
      <c r="BQ742" s="1525"/>
      <c r="BR742" s="1525"/>
      <c r="BS742" s="1525"/>
      <c r="BT742" s="1670"/>
      <c r="BV742"/>
      <c r="BW742" s="859"/>
    </row>
    <row r="743" spans="2:75" ht="12.75" customHeight="1" x14ac:dyDescent="0.2">
      <c r="B743" s="175">
        <f t="shared" si="440"/>
        <v>1</v>
      </c>
      <c r="C743" s="219">
        <v>11</v>
      </c>
      <c r="E743" s="474" t="s">
        <v>590</v>
      </c>
      <c r="F743" s="4" t="s">
        <v>824</v>
      </c>
      <c r="G743" s="825" t="s">
        <v>1340</v>
      </c>
      <c r="H743" s="858">
        <v>30646</v>
      </c>
      <c r="I743" s="197" t="s">
        <v>161</v>
      </c>
      <c r="J743" s="174"/>
      <c r="K743" s="174"/>
      <c r="L743" s="861">
        <v>1</v>
      </c>
      <c r="M743" s="858">
        <f>K743+L743</f>
        <v>1</v>
      </c>
      <c r="N743" s="857" t="s">
        <v>1326</v>
      </c>
      <c r="O743" s="1196">
        <v>22155</v>
      </c>
      <c r="P743" s="1218">
        <f ca="1">YEARFRAC(TODAY(),O743)</f>
        <v>57.097222222222221</v>
      </c>
      <c r="Q743" s="1148">
        <v>36000</v>
      </c>
      <c r="R743" s="874">
        <f>Q743*0.1</f>
        <v>3600</v>
      </c>
      <c r="S743" s="875"/>
      <c r="T743" s="875"/>
      <c r="U743" s="875"/>
      <c r="V743" s="875"/>
      <c r="W743" s="875"/>
      <c r="X743" s="1026">
        <f>(Q743+R743+S743+T743+U743+V743+W743)*M743</f>
        <v>39600</v>
      </c>
      <c r="Y743" s="1512">
        <f>(T743+U743)*M743/(X743-M743*(T743+U743))</f>
        <v>0</v>
      </c>
      <c r="Z743" s="1741">
        <f>M743*(1+Y743)</f>
        <v>1</v>
      </c>
      <c r="AA743" s="1749">
        <f>SUM(AD743:AS743)</f>
        <v>0</v>
      </c>
      <c r="AB743" s="1810">
        <f t="shared" ref="AB743:AB746" si="443">100*AA743/Z743</f>
        <v>0</v>
      </c>
      <c r="AC743" s="876"/>
      <c r="AD743" s="1525">
        <f t="shared" ref="AD743:AS746" si="444">SUMIF($AV$6:$BS$6,AD$5,$AV743:$BS743)</f>
        <v>0</v>
      </c>
      <c r="AE743" s="1525">
        <f t="shared" si="444"/>
        <v>0</v>
      </c>
      <c r="AF743" s="1525">
        <f t="shared" si="444"/>
        <v>0</v>
      </c>
      <c r="AG743" s="1525">
        <f t="shared" si="444"/>
        <v>0</v>
      </c>
      <c r="AH743" s="1525">
        <f t="shared" si="444"/>
        <v>0</v>
      </c>
      <c r="AI743" s="1525">
        <f t="shared" si="444"/>
        <v>0</v>
      </c>
      <c r="AJ743" s="1525">
        <f t="shared" si="444"/>
        <v>0</v>
      </c>
      <c r="AK743" s="1525">
        <f t="shared" si="444"/>
        <v>0</v>
      </c>
      <c r="AL743" s="1525">
        <f t="shared" si="444"/>
        <v>0</v>
      </c>
      <c r="AM743" s="1525">
        <f t="shared" si="444"/>
        <v>0</v>
      </c>
      <c r="AN743" s="1525">
        <f t="shared" si="444"/>
        <v>0</v>
      </c>
      <c r="AO743" s="1525">
        <f t="shared" si="444"/>
        <v>0</v>
      </c>
      <c r="AP743" s="1525">
        <f t="shared" si="444"/>
        <v>0</v>
      </c>
      <c r="AQ743" s="1525">
        <f t="shared" si="444"/>
        <v>0</v>
      </c>
      <c r="AR743" s="1525">
        <f t="shared" si="444"/>
        <v>0</v>
      </c>
      <c r="AS743" s="1525">
        <f t="shared" si="444"/>
        <v>0</v>
      </c>
      <c r="AU743" s="1525"/>
      <c r="AV743" s="1291"/>
      <c r="AW743" s="1292"/>
      <c r="AX743" s="1292"/>
      <c r="AY743" s="1292"/>
      <c r="AZ743" s="1292"/>
      <c r="BA743" s="1292"/>
      <c r="BB743" s="1292"/>
      <c r="BC743" s="1292"/>
      <c r="BD743" s="1292"/>
      <c r="BE743" s="1292"/>
      <c r="BF743" s="1292"/>
      <c r="BG743" s="1292"/>
      <c r="BH743" s="1292"/>
      <c r="BI743" s="1292"/>
      <c r="BJ743" s="1292"/>
      <c r="BK743" s="1292"/>
      <c r="BL743" s="1292"/>
      <c r="BM743" s="1292"/>
      <c r="BN743" s="1292"/>
      <c r="BO743" s="1292"/>
      <c r="BP743" s="1292"/>
      <c r="BQ743" s="1292"/>
      <c r="BR743" s="1292"/>
      <c r="BS743" s="1292"/>
      <c r="BT743" s="1670">
        <f t="shared" ref="BT743:BT746" si="445">SUM(AV743:BS743)</f>
        <v>0</v>
      </c>
      <c r="BW743" s="825" t="s">
        <v>1340</v>
      </c>
    </row>
    <row r="744" spans="2:75" ht="12.75" customHeight="1" x14ac:dyDescent="0.2">
      <c r="B744" s="175">
        <f t="shared" si="440"/>
        <v>2</v>
      </c>
      <c r="C744" s="219">
        <v>12</v>
      </c>
      <c r="E744" s="474" t="s">
        <v>590</v>
      </c>
      <c r="F744" s="4" t="s">
        <v>1235</v>
      </c>
      <c r="G744" s="825" t="s">
        <v>1209</v>
      </c>
      <c r="H744" s="858">
        <v>6414</v>
      </c>
      <c r="I744" s="197" t="s">
        <v>583</v>
      </c>
      <c r="J744" s="174"/>
      <c r="K744" s="174"/>
      <c r="L744" s="861">
        <v>1</v>
      </c>
      <c r="M744" s="858">
        <f>K744+L744</f>
        <v>1</v>
      </c>
      <c r="N744" s="857" t="s">
        <v>1326</v>
      </c>
      <c r="O744" s="1196">
        <v>19069</v>
      </c>
      <c r="P744" s="1218">
        <f ca="1">YEARFRAC(TODAY(),O744)</f>
        <v>65.544444444444451</v>
      </c>
      <c r="Q744" s="1148">
        <v>29000</v>
      </c>
      <c r="R744" s="874">
        <f>Q744*0.1</f>
        <v>2900</v>
      </c>
      <c r="S744" s="875"/>
      <c r="T744" s="875"/>
      <c r="U744" s="875">
        <v>3000</v>
      </c>
      <c r="V744" s="875"/>
      <c r="W744" s="875"/>
      <c r="X744" s="1026">
        <f>(Q744+R744+S744+T744+U744+V744+W744)*M744</f>
        <v>34900</v>
      </c>
      <c r="Y744" s="1512">
        <f>(T744+U744)*M744/(X744-M744*(T744+U744))</f>
        <v>9.4043887147335428E-2</v>
      </c>
      <c r="Z744" s="1741">
        <f>M744*(1+Y744)</f>
        <v>1.0940438871473355</v>
      </c>
      <c r="AA744" s="1749">
        <f>SUM(AD744:AS744)</f>
        <v>0</v>
      </c>
      <c r="AB744" s="1810">
        <f t="shared" si="443"/>
        <v>0</v>
      </c>
      <c r="AC744" s="876"/>
      <c r="AD744" s="1525">
        <f t="shared" si="444"/>
        <v>0</v>
      </c>
      <c r="AE744" s="1525">
        <f t="shared" si="444"/>
        <v>0</v>
      </c>
      <c r="AF744" s="1525">
        <f t="shared" si="444"/>
        <v>0</v>
      </c>
      <c r="AG744" s="1525">
        <f t="shared" si="444"/>
        <v>0</v>
      </c>
      <c r="AH744" s="1525">
        <f t="shared" si="444"/>
        <v>0</v>
      </c>
      <c r="AI744" s="1525">
        <f t="shared" si="444"/>
        <v>0</v>
      </c>
      <c r="AJ744" s="1525">
        <f t="shared" si="444"/>
        <v>0</v>
      </c>
      <c r="AK744" s="1525">
        <f t="shared" si="444"/>
        <v>0</v>
      </c>
      <c r="AL744" s="1525">
        <f t="shared" si="444"/>
        <v>0</v>
      </c>
      <c r="AM744" s="1525">
        <f t="shared" si="444"/>
        <v>0</v>
      </c>
      <c r="AN744" s="1525">
        <f t="shared" si="444"/>
        <v>0</v>
      </c>
      <c r="AO744" s="1525">
        <f t="shared" si="444"/>
        <v>0</v>
      </c>
      <c r="AP744" s="1525">
        <f t="shared" si="444"/>
        <v>0</v>
      </c>
      <c r="AQ744" s="1525">
        <f t="shared" si="444"/>
        <v>0</v>
      </c>
      <c r="AR744" s="1525">
        <f t="shared" si="444"/>
        <v>0</v>
      </c>
      <c r="AS744" s="1525">
        <f t="shared" si="444"/>
        <v>0</v>
      </c>
      <c r="AU744" s="1525"/>
      <c r="AV744" s="1291"/>
      <c r="AW744" s="1292"/>
      <c r="AX744" s="1292"/>
      <c r="AY744" s="1292"/>
      <c r="AZ744" s="1292"/>
      <c r="BA744" s="1292"/>
      <c r="BB744" s="1292"/>
      <c r="BC744" s="1292"/>
      <c r="BD744" s="1292"/>
      <c r="BE744" s="1292"/>
      <c r="BF744" s="1292"/>
      <c r="BG744" s="1292"/>
      <c r="BH744" s="1292"/>
      <c r="BI744" s="1292"/>
      <c r="BJ744" s="1292"/>
      <c r="BK744" s="1292"/>
      <c r="BL744" s="1292"/>
      <c r="BM744" s="1292"/>
      <c r="BN744" s="1292"/>
      <c r="BO744" s="1292"/>
      <c r="BP744" s="1292"/>
      <c r="BQ744" s="1292"/>
      <c r="BR744" s="1292"/>
      <c r="BS744" s="1292"/>
      <c r="BT744" s="1670">
        <f t="shared" si="445"/>
        <v>0</v>
      </c>
      <c r="BW744" s="825" t="s">
        <v>1209</v>
      </c>
    </row>
    <row r="745" spans="2:75" ht="12.75" customHeight="1" x14ac:dyDescent="0.2">
      <c r="B745" s="175">
        <f t="shared" si="440"/>
        <v>3</v>
      </c>
      <c r="C745" s="219">
        <v>18</v>
      </c>
      <c r="E745" s="474" t="s">
        <v>590</v>
      </c>
      <c r="F745" s="4" t="s">
        <v>359</v>
      </c>
      <c r="G745" s="825" t="s">
        <v>360</v>
      </c>
      <c r="H745" s="858">
        <v>31386</v>
      </c>
      <c r="I745" s="197" t="s">
        <v>1442</v>
      </c>
      <c r="J745" s="174"/>
      <c r="K745" s="174"/>
      <c r="L745" s="861">
        <v>1</v>
      </c>
      <c r="M745" s="861">
        <f>K745+L745</f>
        <v>1</v>
      </c>
      <c r="N745" s="857" t="s">
        <v>1326</v>
      </c>
      <c r="O745" s="1196">
        <v>20421</v>
      </c>
      <c r="P745" s="1218">
        <f ca="1">YEARFRAC(TODAY(),O745)</f>
        <v>61.844444444444441</v>
      </c>
      <c r="Q745" s="1148">
        <v>19500</v>
      </c>
      <c r="R745" s="874">
        <f>Q745*0.1</f>
        <v>1950</v>
      </c>
      <c r="S745" s="875"/>
      <c r="T745" s="875"/>
      <c r="U745" s="875"/>
      <c r="V745" s="875"/>
      <c r="W745" s="875"/>
      <c r="X745" s="1026">
        <f>(Q745+R745+S745+T745+U745+V745+W745)*M745</f>
        <v>21450</v>
      </c>
      <c r="Y745" s="1512">
        <f>(T745+U745)*M745/(X745-M745*(T745+U745))</f>
        <v>0</v>
      </c>
      <c r="Z745" s="1741">
        <f>M745*(1+Y745)</f>
        <v>1</v>
      </c>
      <c r="AA745" s="1749">
        <f>SUM(AD745:AS745)</f>
        <v>0</v>
      </c>
      <c r="AB745" s="1810">
        <f t="shared" si="443"/>
        <v>0</v>
      </c>
      <c r="AC745" s="876"/>
      <c r="AD745" s="1525">
        <f t="shared" si="444"/>
        <v>0</v>
      </c>
      <c r="AE745" s="1525">
        <f t="shared" si="444"/>
        <v>0</v>
      </c>
      <c r="AF745" s="1525">
        <f t="shared" si="444"/>
        <v>0</v>
      </c>
      <c r="AG745" s="1525">
        <f t="shared" si="444"/>
        <v>0</v>
      </c>
      <c r="AH745" s="1525">
        <f t="shared" si="444"/>
        <v>0</v>
      </c>
      <c r="AI745" s="1525">
        <f t="shared" si="444"/>
        <v>0</v>
      </c>
      <c r="AJ745" s="1525">
        <f t="shared" si="444"/>
        <v>0</v>
      </c>
      <c r="AK745" s="1525">
        <f t="shared" si="444"/>
        <v>0</v>
      </c>
      <c r="AL745" s="1525">
        <f t="shared" si="444"/>
        <v>0</v>
      </c>
      <c r="AM745" s="1525">
        <f t="shared" si="444"/>
        <v>0</v>
      </c>
      <c r="AN745" s="1525">
        <f t="shared" si="444"/>
        <v>0</v>
      </c>
      <c r="AO745" s="1525">
        <f t="shared" si="444"/>
        <v>0</v>
      </c>
      <c r="AP745" s="1525">
        <f t="shared" si="444"/>
        <v>0</v>
      </c>
      <c r="AQ745" s="1525">
        <f t="shared" si="444"/>
        <v>0</v>
      </c>
      <c r="AR745" s="1525">
        <f t="shared" si="444"/>
        <v>0</v>
      </c>
      <c r="AS745" s="1525">
        <f t="shared" si="444"/>
        <v>0</v>
      </c>
      <c r="AU745" s="1525"/>
      <c r="AV745" s="1291"/>
      <c r="AW745" s="1292"/>
      <c r="AX745" s="1292"/>
      <c r="AY745" s="1292"/>
      <c r="AZ745" s="1292"/>
      <c r="BA745" s="1292"/>
      <c r="BB745" s="1292"/>
      <c r="BC745" s="1292"/>
      <c r="BD745" s="1292"/>
      <c r="BE745" s="1292"/>
      <c r="BF745" s="1292"/>
      <c r="BG745" s="1292"/>
      <c r="BH745" s="1292"/>
      <c r="BI745" s="1292"/>
      <c r="BJ745" s="1292"/>
      <c r="BK745" s="1292"/>
      <c r="BL745" s="1292"/>
      <c r="BM745" s="1292"/>
      <c r="BN745" s="1292"/>
      <c r="BO745" s="1292"/>
      <c r="BP745" s="1292"/>
      <c r="BQ745" s="1292"/>
      <c r="BR745" s="1292"/>
      <c r="BS745" s="1292"/>
      <c r="BT745" s="1670">
        <f t="shared" si="445"/>
        <v>0</v>
      </c>
      <c r="BW745" s="825" t="s">
        <v>360</v>
      </c>
    </row>
    <row r="746" spans="2:75" ht="12.75" customHeight="1" x14ac:dyDescent="0.2">
      <c r="B746" s="175">
        <f t="shared" si="440"/>
        <v>4</v>
      </c>
      <c r="C746" s="219">
        <v>18</v>
      </c>
      <c r="E746" s="474" t="s">
        <v>590</v>
      </c>
      <c r="F746" s="26" t="s">
        <v>361</v>
      </c>
      <c r="G746" s="830" t="s">
        <v>1376</v>
      </c>
      <c r="H746" s="873">
        <v>3217</v>
      </c>
      <c r="I746" s="196" t="s">
        <v>1442</v>
      </c>
      <c r="J746" s="195"/>
      <c r="K746" s="195"/>
      <c r="L746" s="873">
        <v>1</v>
      </c>
      <c r="M746" s="873">
        <f>K746+L746</f>
        <v>1</v>
      </c>
      <c r="N746" s="872" t="s">
        <v>1326</v>
      </c>
      <c r="O746" s="1196">
        <v>16914</v>
      </c>
      <c r="P746" s="1218">
        <f ca="1">YEARFRAC(TODAY(),O746)</f>
        <v>71.444444444444443</v>
      </c>
      <c r="Q746" s="1148">
        <v>23500</v>
      </c>
      <c r="R746" s="874">
        <f>Q746*0.1</f>
        <v>2350</v>
      </c>
      <c r="S746" s="875"/>
      <c r="T746" s="875"/>
      <c r="U746" s="875"/>
      <c r="V746" s="875"/>
      <c r="W746" s="875"/>
      <c r="X746" s="1026">
        <f>(Q746+R746+S746+T746+U746+V746+W746)*M746</f>
        <v>25850</v>
      </c>
      <c r="Y746" s="1512">
        <f>(T746+U746)*M746/(X746-M746*(T746+U746))</f>
        <v>0</v>
      </c>
      <c r="Z746" s="1741">
        <f>M746*(1+Y746)</f>
        <v>1</v>
      </c>
      <c r="AA746" s="1749">
        <f>SUM(AD746:AS746)</f>
        <v>0</v>
      </c>
      <c r="AB746" s="1810">
        <f t="shared" si="443"/>
        <v>0</v>
      </c>
      <c r="AC746" s="876"/>
      <c r="AD746" s="1525">
        <f t="shared" si="444"/>
        <v>0</v>
      </c>
      <c r="AE746" s="1525">
        <f t="shared" si="444"/>
        <v>0</v>
      </c>
      <c r="AF746" s="1525">
        <f t="shared" si="444"/>
        <v>0</v>
      </c>
      <c r="AG746" s="1525">
        <f t="shared" si="444"/>
        <v>0</v>
      </c>
      <c r="AH746" s="1525">
        <f t="shared" si="444"/>
        <v>0</v>
      </c>
      <c r="AI746" s="1525">
        <f t="shared" si="444"/>
        <v>0</v>
      </c>
      <c r="AJ746" s="1525">
        <f t="shared" si="444"/>
        <v>0</v>
      </c>
      <c r="AK746" s="1525">
        <f t="shared" si="444"/>
        <v>0</v>
      </c>
      <c r="AL746" s="1525">
        <f t="shared" si="444"/>
        <v>0</v>
      </c>
      <c r="AM746" s="1525">
        <f t="shared" si="444"/>
        <v>0</v>
      </c>
      <c r="AN746" s="1525">
        <f t="shared" si="444"/>
        <v>0</v>
      </c>
      <c r="AO746" s="1525">
        <f t="shared" si="444"/>
        <v>0</v>
      </c>
      <c r="AP746" s="1525">
        <f t="shared" si="444"/>
        <v>0</v>
      </c>
      <c r="AQ746" s="1525">
        <f t="shared" si="444"/>
        <v>0</v>
      </c>
      <c r="AR746" s="1525">
        <f t="shared" si="444"/>
        <v>0</v>
      </c>
      <c r="AS746" s="1525">
        <f t="shared" si="444"/>
        <v>0</v>
      </c>
      <c r="AU746" s="1525"/>
      <c r="AV746" s="1291"/>
      <c r="AW746" s="1292"/>
      <c r="AX746" s="1292"/>
      <c r="AY746" s="1292"/>
      <c r="AZ746" s="1292"/>
      <c r="BA746" s="1292"/>
      <c r="BB746" s="1292"/>
      <c r="BC746" s="1292"/>
      <c r="BD746" s="1292"/>
      <c r="BE746" s="1292"/>
      <c r="BF746" s="1292"/>
      <c r="BG746" s="1292"/>
      <c r="BH746" s="1292"/>
      <c r="BI746" s="1292"/>
      <c r="BJ746" s="1292"/>
      <c r="BK746" s="1292"/>
      <c r="BL746" s="1292"/>
      <c r="BM746" s="1292"/>
      <c r="BN746" s="1292"/>
      <c r="BO746" s="1292"/>
      <c r="BP746" s="1292"/>
      <c r="BQ746" s="1292"/>
      <c r="BR746" s="1292"/>
      <c r="BS746" s="1292"/>
      <c r="BT746" s="1670">
        <f t="shared" si="445"/>
        <v>0</v>
      </c>
      <c r="BW746" s="830" t="s">
        <v>1376</v>
      </c>
    </row>
    <row r="747" spans="2:75" s="164" customFormat="1" ht="12.75" customHeight="1" x14ac:dyDescent="0.2">
      <c r="B747" s="175"/>
      <c r="C747" s="219" t="s">
        <v>1120</v>
      </c>
      <c r="F747" s="4" t="s">
        <v>1377</v>
      </c>
      <c r="G747" s="859"/>
      <c r="H747" s="1351" t="s">
        <v>1508</v>
      </c>
      <c r="I747" s="197"/>
      <c r="J747" s="174"/>
      <c r="K747" s="446">
        <f>SUM(K743:K746)</f>
        <v>0</v>
      </c>
      <c r="L747" s="892">
        <f>SUM(L743:L746)</f>
        <v>4</v>
      </c>
      <c r="M747" s="892">
        <f>SUM(M743:M746)</f>
        <v>4</v>
      </c>
      <c r="N747" s="857"/>
      <c r="O747" s="1192"/>
      <c r="P747" s="550"/>
      <c r="Q747" s="1153"/>
      <c r="R747" s="877"/>
      <c r="S747" s="875"/>
      <c r="T747" s="875"/>
      <c r="U747" s="875"/>
      <c r="V747" s="875"/>
      <c r="W747" s="875"/>
      <c r="X747" s="1026"/>
      <c r="Y747" s="875"/>
      <c r="Z747" s="1803"/>
      <c r="AA747" s="1775"/>
      <c r="AB747" s="1814"/>
      <c r="AC747" s="1026"/>
      <c r="AD747" s="1295"/>
      <c r="AE747" s="1525"/>
      <c r="AF747" s="1525"/>
      <c r="AG747" s="1525"/>
      <c r="AH747" s="1525"/>
      <c r="AI747" s="1525"/>
      <c r="AJ747" s="1525"/>
      <c r="AK747" s="1525"/>
      <c r="AL747" s="1525"/>
      <c r="AM747" s="1525"/>
      <c r="AN747" s="1525"/>
      <c r="AO747" s="1525"/>
      <c r="AP747" s="1525"/>
      <c r="AQ747" s="1525"/>
      <c r="AR747" s="1525"/>
      <c r="AS747" s="1525"/>
      <c r="AU747" s="1525"/>
      <c r="AV747" s="1295"/>
      <c r="AW747" s="1525"/>
      <c r="AX747" s="1525"/>
      <c r="AY747" s="1525"/>
      <c r="AZ747" s="1525"/>
      <c r="BA747" s="1525"/>
      <c r="BB747" s="1525"/>
      <c r="BC747" s="1525"/>
      <c r="BD747" s="1525"/>
      <c r="BE747" s="1525"/>
      <c r="BF747" s="1525"/>
      <c r="BG747" s="1525"/>
      <c r="BH747" s="1525"/>
      <c r="BI747" s="1525"/>
      <c r="BJ747" s="1525"/>
      <c r="BK747" s="1525"/>
      <c r="BL747" s="1525"/>
      <c r="BM747" s="1525"/>
      <c r="BN747" s="1525"/>
      <c r="BO747" s="1525"/>
      <c r="BP747" s="1525"/>
      <c r="BQ747" s="1525"/>
      <c r="BR747" s="1525"/>
      <c r="BS747" s="1525"/>
      <c r="BT747" s="1670"/>
      <c r="BV747"/>
      <c r="BW747" s="859"/>
    </row>
    <row r="748" spans="2:75" s="164" customFormat="1" ht="12.75" customHeight="1" x14ac:dyDescent="0.2">
      <c r="B748" s="175"/>
      <c r="F748" s="4"/>
      <c r="G748" s="859"/>
      <c r="H748" s="1347" t="s">
        <v>1508</v>
      </c>
      <c r="I748" s="197"/>
      <c r="J748" s="174"/>
      <c r="K748" s="174"/>
      <c r="L748" s="861"/>
      <c r="M748" s="861"/>
      <c r="N748" s="857"/>
      <c r="O748" s="1192"/>
      <c r="P748" s="550"/>
      <c r="Q748" s="1148"/>
      <c r="R748" s="874"/>
      <c r="S748" s="875"/>
      <c r="T748" s="875"/>
      <c r="U748" s="875"/>
      <c r="V748" s="875"/>
      <c r="W748" s="875"/>
      <c r="X748" s="1026"/>
      <c r="Y748" s="1757"/>
      <c r="Z748" s="1755"/>
      <c r="AA748" s="1775"/>
      <c r="AB748" s="1814"/>
      <c r="AC748" s="1026"/>
      <c r="AD748" s="1295"/>
      <c r="AE748" s="1525"/>
      <c r="AF748" s="1525"/>
      <c r="AG748" s="1525"/>
      <c r="AH748" s="1525"/>
      <c r="AI748" s="1525"/>
      <c r="AJ748" s="1525"/>
      <c r="AK748" s="1525"/>
      <c r="AL748" s="1525"/>
      <c r="AM748" s="1525"/>
      <c r="AN748" s="1525"/>
      <c r="AO748" s="1525"/>
      <c r="AP748" s="1525"/>
      <c r="AQ748" s="1525"/>
      <c r="AR748" s="1525"/>
      <c r="AS748" s="1525"/>
      <c r="AU748" s="1525"/>
      <c r="AV748" s="1295"/>
      <c r="AW748" s="1525"/>
      <c r="AX748" s="1525"/>
      <c r="AY748" s="1525"/>
      <c r="AZ748" s="1525"/>
      <c r="BA748" s="1525"/>
      <c r="BB748" s="1525"/>
      <c r="BC748" s="1525"/>
      <c r="BD748" s="1525"/>
      <c r="BE748" s="1525"/>
      <c r="BF748" s="1525"/>
      <c r="BG748" s="1525"/>
      <c r="BH748" s="1525"/>
      <c r="BI748" s="1525"/>
      <c r="BJ748" s="1525"/>
      <c r="BK748" s="1525"/>
      <c r="BL748" s="1525"/>
      <c r="BM748" s="1525"/>
      <c r="BN748" s="1525"/>
      <c r="BO748" s="1525"/>
      <c r="BP748" s="1525"/>
      <c r="BQ748" s="1525"/>
      <c r="BR748" s="1525"/>
      <c r="BS748" s="1525"/>
      <c r="BT748" s="1670"/>
      <c r="BV748"/>
      <c r="BW748" s="859"/>
    </row>
    <row r="749" spans="2:75" s="164" customFormat="1" ht="12.75" customHeight="1" x14ac:dyDescent="0.15">
      <c r="B749" s="175"/>
      <c r="C749" s="1780" t="s">
        <v>139</v>
      </c>
      <c r="D749" s="590" t="s">
        <v>346</v>
      </c>
      <c r="E749" s="773" t="s">
        <v>590</v>
      </c>
      <c r="F749" s="370" t="s">
        <v>579</v>
      </c>
      <c r="G749" s="863">
        <f>COUNTA(G663:G748)</f>
        <v>68</v>
      </c>
      <c r="H749" s="1373" t="s">
        <v>1508</v>
      </c>
      <c r="I749" s="372"/>
      <c r="J749" s="371"/>
      <c r="K749" s="373">
        <f>K664+K680+K699+K740+K747</f>
        <v>0</v>
      </c>
      <c r="L749" s="373">
        <f>L664+L680+L699+L739+L747</f>
        <v>64.875</v>
      </c>
      <c r="M749" s="373">
        <f>M664+M680+M699+M739+M747</f>
        <v>64.875</v>
      </c>
      <c r="N749" s="840"/>
      <c r="O749" s="840"/>
      <c r="P749" s="1233"/>
      <c r="Q749" s="1167"/>
      <c r="R749" s="1046"/>
      <c r="S749" s="1047"/>
      <c r="T749" s="1047"/>
      <c r="U749" s="1047"/>
      <c r="V749" s="1047"/>
      <c r="W749" s="1047"/>
      <c r="X749" s="1276">
        <f>SUM(X663:X748)</f>
        <v>1732325</v>
      </c>
      <c r="Y749" s="1276"/>
      <c r="Z749" s="1665">
        <f t="shared" ref="Z749:AA749" si="446">SUM(Z663:Z748)</f>
        <v>68.161455219006683</v>
      </c>
      <c r="AA749" s="1777">
        <f t="shared" si="446"/>
        <v>0</v>
      </c>
      <c r="AB749" s="1813">
        <f t="shared" ref="AB749" si="447">100*AA749/Z749</f>
        <v>0</v>
      </c>
      <c r="AC749" s="1721"/>
      <c r="AD749" s="1291"/>
      <c r="AE749" s="1292"/>
      <c r="AF749" s="1525"/>
      <c r="AG749" s="1525"/>
      <c r="AH749" s="1525"/>
      <c r="AI749" s="1525"/>
      <c r="AJ749" s="1525"/>
      <c r="AK749" s="1525"/>
      <c r="AL749" s="1525"/>
      <c r="AM749" s="1525"/>
      <c r="AN749" s="1525"/>
      <c r="AO749" s="1525"/>
      <c r="AP749" s="1525"/>
      <c r="AQ749" s="1525"/>
      <c r="AR749" s="1525"/>
      <c r="AS749" s="1525"/>
      <c r="AU749" s="1525"/>
      <c r="AV749" s="1295"/>
      <c r="AW749" s="1525"/>
      <c r="AX749" s="1525"/>
      <c r="AY749" s="1525"/>
      <c r="AZ749" s="1525"/>
      <c r="BA749" s="1525"/>
      <c r="BB749" s="1525"/>
      <c r="BC749" s="1525"/>
      <c r="BD749" s="1525"/>
      <c r="BE749" s="1525"/>
      <c r="BF749" s="1525"/>
      <c r="BG749" s="1525"/>
      <c r="BH749" s="1525"/>
      <c r="BI749" s="1525"/>
      <c r="BJ749" s="1525"/>
      <c r="BK749" s="1525"/>
      <c r="BL749" s="1525"/>
      <c r="BM749" s="1525"/>
      <c r="BN749" s="1525"/>
      <c r="BO749" s="1525"/>
      <c r="BP749" s="1525"/>
      <c r="BQ749" s="1525"/>
      <c r="BR749" s="1525"/>
      <c r="BS749" s="1525"/>
      <c r="BT749" s="1670"/>
      <c r="BV749"/>
      <c r="BW749" s="864"/>
    </row>
    <row r="750" spans="2:75" s="164" customFormat="1" ht="12.75" customHeight="1" x14ac:dyDescent="0.15">
      <c r="B750" s="175"/>
      <c r="C750" s="423" t="s">
        <v>1132</v>
      </c>
      <c r="D750" s="733"/>
      <c r="E750" s="774" t="s">
        <v>590</v>
      </c>
      <c r="F750" s="596" t="s">
        <v>893</v>
      </c>
      <c r="G750" s="867"/>
      <c r="H750" s="1349" t="s">
        <v>1508</v>
      </c>
      <c r="I750" s="597"/>
      <c r="J750" s="598"/>
      <c r="K750" s="598"/>
      <c r="L750" s="866"/>
      <c r="M750" s="866"/>
      <c r="N750" s="865"/>
      <c r="O750" s="865"/>
      <c r="P750" s="1223"/>
      <c r="Q750" s="1158"/>
      <c r="R750" s="1027"/>
      <c r="S750" s="1028"/>
      <c r="T750" s="1028"/>
      <c r="U750" s="1028"/>
      <c r="V750" s="1028"/>
      <c r="W750" s="1028"/>
      <c r="X750" s="1697">
        <v>172496</v>
      </c>
      <c r="Y750" s="1052"/>
      <c r="Z750" s="1052"/>
      <c r="AA750" s="1749"/>
      <c r="AB750" s="1812"/>
      <c r="AC750" s="876"/>
      <c r="AD750" s="1291"/>
      <c r="AE750" s="1292"/>
      <c r="AF750" s="1525"/>
      <c r="AG750" s="1525"/>
      <c r="AH750" s="1525"/>
      <c r="AI750" s="1525"/>
      <c r="AJ750" s="1525"/>
      <c r="AK750" s="1525"/>
      <c r="AL750" s="1525"/>
      <c r="AM750" s="1525"/>
      <c r="AN750" s="1525"/>
      <c r="AO750" s="1525"/>
      <c r="AP750" s="1525"/>
      <c r="AQ750" s="1525"/>
      <c r="AR750" s="1525"/>
      <c r="AS750" s="1525"/>
      <c r="AU750" s="1525"/>
      <c r="AV750" s="1295"/>
      <c r="AW750" s="1525"/>
      <c r="AX750" s="1525"/>
      <c r="AY750" s="1525"/>
      <c r="AZ750" s="1525"/>
      <c r="BA750" s="1525"/>
      <c r="BB750" s="1525"/>
      <c r="BC750" s="1525"/>
      <c r="BD750" s="1525"/>
      <c r="BE750" s="1525"/>
      <c r="BF750" s="1525"/>
      <c r="BG750" s="1525"/>
      <c r="BH750" s="1525"/>
      <c r="BI750" s="1525"/>
      <c r="BJ750" s="1525"/>
      <c r="BK750" s="1525"/>
      <c r="BL750" s="1525"/>
      <c r="BM750" s="1525"/>
      <c r="BN750" s="1525"/>
      <c r="BO750" s="1525"/>
      <c r="BP750" s="1525"/>
      <c r="BQ750" s="1525"/>
      <c r="BR750" s="1525"/>
      <c r="BS750" s="1525"/>
      <c r="BT750" s="1670"/>
      <c r="BV750"/>
      <c r="BW750" s="867"/>
    </row>
    <row r="751" spans="2:75" s="164" customFormat="1" ht="12.75" customHeight="1" x14ac:dyDescent="0.15">
      <c r="B751" s="175"/>
      <c r="C751" s="1100"/>
      <c r="D751" s="1100"/>
      <c r="E751" s="1100"/>
      <c r="F751" s="1100"/>
      <c r="G751" s="1100"/>
      <c r="H751" s="1374"/>
      <c r="I751" s="1100"/>
      <c r="J751" s="1100"/>
      <c r="K751" s="1100"/>
      <c r="L751" s="1100"/>
      <c r="M751" s="1100"/>
      <c r="N751" s="1100"/>
      <c r="O751" s="1100"/>
      <c r="P751" s="1234"/>
      <c r="Q751" s="1153"/>
      <c r="R751" s="884"/>
      <c r="S751" s="876"/>
      <c r="T751" s="876"/>
      <c r="U751" s="876"/>
      <c r="V751" s="876"/>
      <c r="W751" s="876"/>
      <c r="X751" s="1026"/>
      <c r="Y751" s="1757"/>
      <c r="Z751" s="1756"/>
      <c r="AA751" s="1775"/>
      <c r="AB751" s="1814"/>
      <c r="AC751" s="876"/>
      <c r="AD751" s="1291"/>
      <c r="AE751" s="1292"/>
      <c r="AF751" s="1525"/>
      <c r="AG751" s="1525"/>
      <c r="AH751" s="1525"/>
      <c r="AI751" s="1525"/>
      <c r="AJ751" s="1525"/>
      <c r="AK751" s="1525"/>
      <c r="AL751" s="1525"/>
      <c r="AM751" s="1525"/>
      <c r="AN751" s="1525"/>
      <c r="AO751" s="1525"/>
      <c r="AP751" s="1525"/>
      <c r="AQ751" s="1525"/>
      <c r="AR751" s="1525"/>
      <c r="AS751" s="1525"/>
      <c r="AU751" s="1525"/>
      <c r="AV751" s="1295"/>
      <c r="AW751" s="1525"/>
      <c r="AX751" s="1525"/>
      <c r="AY751" s="1525"/>
      <c r="AZ751" s="1525"/>
      <c r="BA751" s="1525"/>
      <c r="BB751" s="1525"/>
      <c r="BC751" s="1525"/>
      <c r="BD751" s="1525"/>
      <c r="BE751" s="1525"/>
      <c r="BF751" s="1525"/>
      <c r="BG751" s="1525"/>
      <c r="BH751" s="1525"/>
      <c r="BI751" s="1525"/>
      <c r="BJ751" s="1525"/>
      <c r="BK751" s="1525"/>
      <c r="BL751" s="1525"/>
      <c r="BM751" s="1525"/>
      <c r="BN751" s="1525"/>
      <c r="BO751" s="1525"/>
      <c r="BP751" s="1525"/>
      <c r="BQ751" s="1525"/>
      <c r="BR751" s="1525"/>
      <c r="BS751" s="1525"/>
      <c r="BT751" s="1670"/>
      <c r="BV751"/>
      <c r="BW751" s="1100"/>
    </row>
    <row r="752" spans="2:75" s="164" customFormat="1" ht="12.75" customHeight="1" x14ac:dyDescent="0.2">
      <c r="B752" s="175"/>
      <c r="F752" s="24"/>
      <c r="G752" s="821"/>
      <c r="H752" s="1346" t="s">
        <v>1508</v>
      </c>
      <c r="I752" s="200"/>
      <c r="J752" s="189"/>
      <c r="K752" s="189"/>
      <c r="L752" s="858"/>
      <c r="M752" s="861"/>
      <c r="N752" s="857"/>
      <c r="O752" s="1192"/>
      <c r="P752" s="550"/>
      <c r="Q752" s="1148"/>
      <c r="R752" s="874"/>
      <c r="S752" s="875"/>
      <c r="T752" s="875"/>
      <c r="U752" s="875"/>
      <c r="V752" s="875"/>
      <c r="W752" s="875"/>
      <c r="X752" s="1026"/>
      <c r="Y752" s="1757"/>
      <c r="Z752" s="1756"/>
      <c r="AA752" s="1775"/>
      <c r="AB752" s="1814"/>
      <c r="AC752" s="1026"/>
      <c r="AD752" s="1295"/>
      <c r="AE752" s="1525"/>
      <c r="AF752" s="1525"/>
      <c r="AG752" s="1525"/>
      <c r="AH752" s="1525"/>
      <c r="AI752" s="1525"/>
      <c r="AJ752" s="1525"/>
      <c r="AK752" s="1525"/>
      <c r="AL752" s="1525"/>
      <c r="AM752" s="1525"/>
      <c r="AN752" s="1525"/>
      <c r="AO752" s="1525"/>
      <c r="AP752" s="1525"/>
      <c r="AQ752" s="1525"/>
      <c r="AR752" s="1525"/>
      <c r="AS752" s="1525"/>
      <c r="AU752" s="1525"/>
      <c r="AV752" s="1295"/>
      <c r="AW752" s="1525"/>
      <c r="AX752" s="1525"/>
      <c r="AY752" s="1525"/>
      <c r="AZ752" s="1525"/>
      <c r="BA752" s="1525"/>
      <c r="BB752" s="1525"/>
      <c r="BC752" s="1525"/>
      <c r="BD752" s="1525"/>
      <c r="BE752" s="1525"/>
      <c r="BF752" s="1525"/>
      <c r="BG752" s="1525"/>
      <c r="BH752" s="1525"/>
      <c r="BI752" s="1525"/>
      <c r="BJ752" s="1525"/>
      <c r="BK752" s="1525"/>
      <c r="BL752" s="1525"/>
      <c r="BM752" s="1525"/>
      <c r="BN752" s="1525"/>
      <c r="BO752" s="1525"/>
      <c r="BP752" s="1525"/>
      <c r="BQ752" s="1525"/>
      <c r="BR752" s="1525"/>
      <c r="BS752" s="1525"/>
      <c r="BT752" s="1670"/>
      <c r="BV752"/>
      <c r="BW752" s="821"/>
    </row>
    <row r="753" spans="2:75" s="164" customFormat="1" ht="12.75" customHeight="1" x14ac:dyDescent="0.2">
      <c r="B753" s="175"/>
      <c r="C753" s="170"/>
      <c r="D753" s="170"/>
      <c r="E753" s="170"/>
      <c r="F753" s="1332" t="s">
        <v>1080</v>
      </c>
      <c r="G753" s="825"/>
      <c r="H753" s="1347" t="s">
        <v>1508</v>
      </c>
      <c r="I753" s="1314"/>
      <c r="J753" s="1318"/>
      <c r="K753" s="1318"/>
      <c r="L753" s="861"/>
      <c r="M753" s="861"/>
      <c r="N753" s="836"/>
      <c r="O753" s="1192"/>
      <c r="P753" s="1294"/>
      <c r="Q753" s="1148"/>
      <c r="R753" s="874"/>
      <c r="S753" s="876"/>
      <c r="T753" s="876"/>
      <c r="U753" s="876"/>
      <c r="V753" s="876"/>
      <c r="W753" s="876"/>
      <c r="X753" s="1026"/>
      <c r="Y753" s="1757"/>
      <c r="Z753" s="1756"/>
      <c r="AA753" s="1775"/>
      <c r="AB753" s="1814"/>
      <c r="AC753" s="876"/>
      <c r="AD753" s="1295"/>
      <c r="AE753" s="1525"/>
      <c r="AF753" s="1525"/>
      <c r="AG753" s="1525"/>
      <c r="AH753" s="1525"/>
      <c r="AI753" s="1525"/>
      <c r="AJ753" s="1525"/>
      <c r="AK753" s="1525"/>
      <c r="AL753" s="1525"/>
      <c r="AM753" s="1525"/>
      <c r="AN753" s="1525"/>
      <c r="AO753" s="1525"/>
      <c r="AP753" s="1525"/>
      <c r="AQ753" s="1525"/>
      <c r="AR753" s="1525"/>
      <c r="AS753" s="1525"/>
      <c r="AU753" s="1525"/>
      <c r="AV753" s="1295"/>
      <c r="AW753" s="1525"/>
      <c r="AX753" s="1525"/>
      <c r="AY753" s="1525"/>
      <c r="AZ753" s="1525"/>
      <c r="BA753" s="1525"/>
      <c r="BB753" s="1525"/>
      <c r="BC753" s="1525"/>
      <c r="BD753" s="1525"/>
      <c r="BE753" s="1525"/>
      <c r="BF753" s="1525"/>
      <c r="BG753" s="1525"/>
      <c r="BH753" s="1525"/>
      <c r="BI753" s="1525"/>
      <c r="BJ753" s="1525"/>
      <c r="BK753" s="1525"/>
      <c r="BL753" s="1525"/>
      <c r="BM753" s="1525"/>
      <c r="BN753" s="1525"/>
      <c r="BO753" s="1525"/>
      <c r="BP753" s="1525"/>
      <c r="BQ753" s="1525"/>
      <c r="BR753" s="1525"/>
      <c r="BS753" s="1525"/>
      <c r="BT753" s="1670"/>
      <c r="BV753"/>
      <c r="BW753" s="825"/>
    </row>
    <row r="754" spans="2:75" ht="12.75" customHeight="1" x14ac:dyDescent="0.2">
      <c r="B754" s="175">
        <f>B749+1</f>
        <v>1</v>
      </c>
      <c r="C754" s="219">
        <v>3</v>
      </c>
      <c r="E754" s="24" t="s">
        <v>1236</v>
      </c>
      <c r="F754" s="24" t="s">
        <v>1419</v>
      </c>
      <c r="G754" s="821" t="s">
        <v>1420</v>
      </c>
      <c r="H754" s="858">
        <v>7497</v>
      </c>
      <c r="I754" s="200" t="s">
        <v>351</v>
      </c>
      <c r="J754" s="189"/>
      <c r="K754" s="189"/>
      <c r="L754" s="858">
        <v>1</v>
      </c>
      <c r="M754" s="858">
        <v>1</v>
      </c>
      <c r="N754" s="857" t="s">
        <v>1326</v>
      </c>
      <c r="O754" s="1196">
        <v>17790</v>
      </c>
      <c r="P754" s="1218">
        <f ca="1">YEARFRAC(TODAY(),O754)</f>
        <v>69.05</v>
      </c>
      <c r="Q754" s="1148">
        <v>83750</v>
      </c>
      <c r="R754" s="874">
        <f>Q754*0.1</f>
        <v>8375</v>
      </c>
      <c r="S754" s="875">
        <v>7000</v>
      </c>
      <c r="T754" s="875"/>
      <c r="U754" s="875"/>
      <c r="V754" s="875"/>
      <c r="W754" s="875"/>
      <c r="X754" s="1026">
        <f>(Q754+R754+S754+T754+U754+V754+W754)*M754</f>
        <v>99125</v>
      </c>
      <c r="Y754" s="1512">
        <f>(T754+U754)*M754/(X754-M754*(T754+U754))</f>
        <v>0</v>
      </c>
      <c r="Z754" s="1741">
        <f>M754*(1+Y754)</f>
        <v>1</v>
      </c>
      <c r="AA754" s="1749">
        <f>SUM(AD754:AS754)</f>
        <v>0.05</v>
      </c>
      <c r="AB754" s="1810">
        <f t="shared" ref="AB754" si="448">100*AA754/Z754</f>
        <v>5</v>
      </c>
      <c r="AC754" s="876"/>
      <c r="AD754" s="1525">
        <f t="shared" ref="AD754:AS754" si="449">SUMIF($AV$6:$BS$6,AD$5,$AV754:$BS754)</f>
        <v>0</v>
      </c>
      <c r="AE754" s="1525">
        <f t="shared" si="449"/>
        <v>0</v>
      </c>
      <c r="AF754" s="1525">
        <f t="shared" si="449"/>
        <v>0</v>
      </c>
      <c r="AG754" s="1525">
        <f t="shared" si="449"/>
        <v>0</v>
      </c>
      <c r="AH754" s="1525">
        <f t="shared" si="449"/>
        <v>0</v>
      </c>
      <c r="AI754" s="1525">
        <f t="shared" si="449"/>
        <v>0</v>
      </c>
      <c r="AJ754" s="1525">
        <f t="shared" si="449"/>
        <v>0</v>
      </c>
      <c r="AK754" s="1525">
        <f t="shared" si="449"/>
        <v>0</v>
      </c>
      <c r="AL754" s="1525">
        <f t="shared" si="449"/>
        <v>0</v>
      </c>
      <c r="AM754" s="1525">
        <f t="shared" si="449"/>
        <v>0</v>
      </c>
      <c r="AN754" s="1525">
        <f t="shared" si="449"/>
        <v>0</v>
      </c>
      <c r="AO754" s="1525">
        <f t="shared" si="449"/>
        <v>0</v>
      </c>
      <c r="AP754" s="1525">
        <f t="shared" si="449"/>
        <v>0.05</v>
      </c>
      <c r="AQ754" s="1525">
        <f t="shared" si="449"/>
        <v>0</v>
      </c>
      <c r="AR754" s="1525">
        <f t="shared" si="449"/>
        <v>0</v>
      </c>
      <c r="AS754" s="1525">
        <f t="shared" si="449"/>
        <v>0</v>
      </c>
      <c r="AU754" s="1525"/>
      <c r="AV754" s="1291"/>
      <c r="AW754" s="1292"/>
      <c r="AX754" s="1292">
        <v>0.05</v>
      </c>
      <c r="AY754" s="1292"/>
      <c r="AZ754" s="1292"/>
      <c r="BA754" s="1292"/>
      <c r="BB754" s="1292"/>
      <c r="BC754" s="1292"/>
      <c r="BD754" s="1292"/>
      <c r="BE754" s="1292"/>
      <c r="BF754" s="1292"/>
      <c r="BG754" s="1292"/>
      <c r="BH754" s="1292"/>
      <c r="BI754" s="1292"/>
      <c r="BJ754" s="1292"/>
      <c r="BK754" s="1292"/>
      <c r="BL754" s="1292"/>
      <c r="BM754" s="1292"/>
      <c r="BN754" s="1292"/>
      <c r="BO754" s="1292"/>
      <c r="BP754" s="1292"/>
      <c r="BQ754" s="1292"/>
      <c r="BR754" s="1292"/>
      <c r="BS754" s="1292"/>
      <c r="BT754" s="1670">
        <f t="shared" ref="BT754" si="450">SUM(AV754:BS754)</f>
        <v>0.05</v>
      </c>
      <c r="BW754" s="821" t="s">
        <v>1420</v>
      </c>
    </row>
    <row r="755" spans="2:75" s="164" customFormat="1" ht="12.75" customHeight="1" x14ac:dyDescent="0.2">
      <c r="B755" s="175"/>
      <c r="C755" s="170"/>
      <c r="D755" s="170"/>
      <c r="E755" s="170"/>
      <c r="F755" s="4"/>
      <c r="G755" s="825"/>
      <c r="H755" s="1347" t="s">
        <v>1508</v>
      </c>
      <c r="I755" s="197"/>
      <c r="J755" s="174"/>
      <c r="K755" s="174"/>
      <c r="L755" s="861"/>
      <c r="M755" s="861"/>
      <c r="N755" s="836"/>
      <c r="O755" s="1192"/>
      <c r="P755" s="1294"/>
      <c r="Q755" s="1151"/>
      <c r="R755" s="876"/>
      <c r="S755" s="876"/>
      <c r="T755" s="876"/>
      <c r="U755" s="876"/>
      <c r="V755" s="876"/>
      <c r="W755" s="876"/>
      <c r="X755" s="1026"/>
      <c r="Y755" s="1754"/>
      <c r="Z755" s="1755"/>
      <c r="AA755" s="1775"/>
      <c r="AB755" s="1814"/>
      <c r="AC755" s="876"/>
      <c r="AD755" s="1295"/>
      <c r="AE755" s="1525"/>
      <c r="AF755" s="1525"/>
      <c r="AG755" s="1525"/>
      <c r="AH755" s="1525"/>
      <c r="AI755" s="1525"/>
      <c r="AJ755" s="1525"/>
      <c r="AK755" s="1525"/>
      <c r="AL755" s="1525"/>
      <c r="AM755" s="1525"/>
      <c r="AN755" s="1525"/>
      <c r="AO755" s="1525"/>
      <c r="AP755" s="1525"/>
      <c r="AQ755" s="1525"/>
      <c r="AR755" s="1525"/>
      <c r="AS755" s="1525"/>
      <c r="AU755" s="1525"/>
      <c r="AV755" s="1295"/>
      <c r="AW755" s="1525"/>
      <c r="AX755" s="1525"/>
      <c r="AY755" s="1525"/>
      <c r="AZ755" s="1525"/>
      <c r="BA755" s="1525"/>
      <c r="BB755" s="1525"/>
      <c r="BC755" s="1525"/>
      <c r="BD755" s="1525"/>
      <c r="BE755" s="1525"/>
      <c r="BF755" s="1525"/>
      <c r="BG755" s="1525"/>
      <c r="BH755" s="1525"/>
      <c r="BI755" s="1525"/>
      <c r="BJ755" s="1525"/>
      <c r="BK755" s="1525"/>
      <c r="BL755" s="1525"/>
      <c r="BM755" s="1525"/>
      <c r="BN755" s="1525"/>
      <c r="BO755" s="1525"/>
      <c r="BP755" s="1525"/>
      <c r="BQ755" s="1525"/>
      <c r="BR755" s="1525"/>
      <c r="BS755" s="1525"/>
      <c r="BT755" s="1670"/>
      <c r="BV755"/>
      <c r="BW755" s="825"/>
    </row>
    <row r="756" spans="2:75" s="164" customFormat="1" ht="18" customHeight="1" x14ac:dyDescent="0.2">
      <c r="B756" s="175"/>
      <c r="F756" s="51" t="s">
        <v>922</v>
      </c>
      <c r="G756" s="942"/>
      <c r="H756" s="1375" t="s">
        <v>1508</v>
      </c>
      <c r="I756" s="258"/>
      <c r="J756" s="277"/>
      <c r="K756" s="277"/>
      <c r="L756" s="941"/>
      <c r="M756" s="941"/>
      <c r="N756" s="943"/>
      <c r="O756" s="1192"/>
      <c r="P756" s="550"/>
      <c r="Q756" s="1151"/>
      <c r="R756" s="876"/>
      <c r="S756" s="876"/>
      <c r="T756" s="876"/>
      <c r="U756" s="876"/>
      <c r="V756" s="876"/>
      <c r="W756" s="876"/>
      <c r="X756" s="1026"/>
      <c r="Y756" s="1754"/>
      <c r="Z756" s="1755"/>
      <c r="AA756" s="1775"/>
      <c r="AB756" s="1814"/>
      <c r="AC756" s="876"/>
      <c r="AD756" s="1295"/>
      <c r="AE756" s="1525"/>
      <c r="AF756" s="1525"/>
      <c r="AG756" s="1525"/>
      <c r="AH756" s="1525"/>
      <c r="AI756" s="1525"/>
      <c r="AJ756" s="1525"/>
      <c r="AK756" s="1525"/>
      <c r="AL756" s="1525"/>
      <c r="AM756" s="1525"/>
      <c r="AN756" s="1525"/>
      <c r="AO756" s="1525"/>
      <c r="AP756" s="1525"/>
      <c r="AQ756" s="1525"/>
      <c r="AR756" s="1525"/>
      <c r="AS756" s="1525"/>
      <c r="AU756" s="1525"/>
      <c r="AV756" s="1295"/>
      <c r="AW756" s="1525"/>
      <c r="AX756" s="1525"/>
      <c r="AY756" s="1525"/>
      <c r="AZ756" s="1525"/>
      <c r="BA756" s="1525"/>
      <c r="BB756" s="1525"/>
      <c r="BC756" s="1525"/>
      <c r="BD756" s="1525"/>
      <c r="BE756" s="1525"/>
      <c r="BF756" s="1525"/>
      <c r="BG756" s="1525"/>
      <c r="BH756" s="1525"/>
      <c r="BI756" s="1525"/>
      <c r="BJ756" s="1525"/>
      <c r="BK756" s="1525"/>
      <c r="BL756" s="1525"/>
      <c r="BM756" s="1525"/>
      <c r="BN756" s="1525"/>
      <c r="BO756" s="1525"/>
      <c r="BP756" s="1525"/>
      <c r="BQ756" s="1525"/>
      <c r="BR756" s="1525"/>
      <c r="BS756" s="1525"/>
      <c r="BT756" s="1670"/>
      <c r="BV756"/>
      <c r="BW756" s="942"/>
    </row>
    <row r="757" spans="2:75" s="164" customFormat="1" ht="18" customHeight="1" x14ac:dyDescent="0.2">
      <c r="B757" s="175"/>
      <c r="F757" s="51"/>
      <c r="G757" s="871"/>
      <c r="H757" s="1375" t="s">
        <v>1508</v>
      </c>
      <c r="I757" s="258"/>
      <c r="J757" s="277"/>
      <c r="K757" s="277"/>
      <c r="L757" s="941"/>
      <c r="M757" s="941"/>
      <c r="N757" s="943"/>
      <c r="O757" s="1192"/>
      <c r="P757" s="550"/>
      <c r="Q757" s="1151"/>
      <c r="R757" s="876"/>
      <c r="S757" s="876"/>
      <c r="T757" s="876"/>
      <c r="U757" s="876"/>
      <c r="V757" s="876"/>
      <c r="W757" s="876"/>
      <c r="X757" s="1026"/>
      <c r="Y757" s="1754"/>
      <c r="Z757" s="1755"/>
      <c r="AA757" s="1775"/>
      <c r="AB757" s="1814"/>
      <c r="AC757" s="876"/>
      <c r="AD757" s="1295"/>
      <c r="AE757" s="1525"/>
      <c r="AF757" s="1525"/>
      <c r="AG757" s="1525"/>
      <c r="AH757" s="1525"/>
      <c r="AI757" s="1525"/>
      <c r="AJ757" s="1525"/>
      <c r="AK757" s="1525"/>
      <c r="AL757" s="1525"/>
      <c r="AM757" s="1525"/>
      <c r="AN757" s="1525"/>
      <c r="AO757" s="1525"/>
      <c r="AP757" s="1525"/>
      <c r="AQ757" s="1525"/>
      <c r="AR757" s="1525"/>
      <c r="AS757" s="1525"/>
      <c r="AU757" s="1525"/>
      <c r="AV757" s="1295"/>
      <c r="AW757" s="1525"/>
      <c r="AX757" s="1525"/>
      <c r="AY757" s="1525"/>
      <c r="AZ757" s="1525"/>
      <c r="BA757" s="1525"/>
      <c r="BB757" s="1525"/>
      <c r="BC757" s="1525"/>
      <c r="BD757" s="1525"/>
      <c r="BE757" s="1525"/>
      <c r="BF757" s="1525"/>
      <c r="BG757" s="1525"/>
      <c r="BH757" s="1525"/>
      <c r="BI757" s="1525"/>
      <c r="BJ757" s="1525"/>
      <c r="BK757" s="1525"/>
      <c r="BL757" s="1525"/>
      <c r="BM757" s="1525"/>
      <c r="BN757" s="1525"/>
      <c r="BO757" s="1525"/>
      <c r="BP757" s="1525"/>
      <c r="BQ757" s="1525"/>
      <c r="BR757" s="1525"/>
      <c r="BS757" s="1525"/>
      <c r="BT757" s="1670"/>
      <c r="BV757"/>
      <c r="BW757" s="871"/>
    </row>
    <row r="758" spans="2:75" ht="12.75" customHeight="1" x14ac:dyDescent="0.2">
      <c r="B758" s="175">
        <f>B755+1</f>
        <v>1</v>
      </c>
      <c r="C758" s="573">
        <v>4</v>
      </c>
      <c r="D758" s="574"/>
      <c r="E758" s="572" t="s">
        <v>298</v>
      </c>
      <c r="F758" s="53" t="s">
        <v>629</v>
      </c>
      <c r="G758" s="856" t="s">
        <v>438</v>
      </c>
      <c r="H758" s="858">
        <v>282364</v>
      </c>
      <c r="I758" s="200" t="s">
        <v>351</v>
      </c>
      <c r="J758" s="168"/>
      <c r="K758" s="168"/>
      <c r="L758" s="841">
        <v>1</v>
      </c>
      <c r="M758" s="858">
        <f>K758+L758</f>
        <v>1</v>
      </c>
      <c r="N758" s="855" t="s">
        <v>1326</v>
      </c>
      <c r="O758" s="1196">
        <v>16893</v>
      </c>
      <c r="P758" s="1218">
        <f t="shared" ref="P758:P762" ca="1" si="451">YEARFRAC(TODAY(),O758)</f>
        <v>71.50277777777778</v>
      </c>
      <c r="Q758" s="1148">
        <v>62350</v>
      </c>
      <c r="R758" s="874">
        <f>Q758*0.1</f>
        <v>6235</v>
      </c>
      <c r="S758" s="876">
        <v>7000</v>
      </c>
      <c r="T758" s="862">
        <v>4000</v>
      </c>
      <c r="U758" s="862"/>
      <c r="V758" s="862"/>
      <c r="W758" s="876"/>
      <c r="X758" s="1026">
        <f>(Q758+R758+S758+T758+U758+V758+W758)*M758</f>
        <v>79585</v>
      </c>
      <c r="Y758" s="1512">
        <f>(T758+U758)*M758/(X758-M758*(T758+U758))</f>
        <v>5.2920553019779056E-2</v>
      </c>
      <c r="Z758" s="1741">
        <f t="shared" ref="Z758:Z762" si="452">M758*(1+Y758)</f>
        <v>1.0529205530197792</v>
      </c>
      <c r="AA758" s="1749">
        <f>SUM(AD758:AS758)</f>
        <v>1</v>
      </c>
      <c r="AB758" s="1810">
        <f t="shared" ref="AB758:AB762" si="453">100*AA758/Z758</f>
        <v>94.973927247596905</v>
      </c>
      <c r="AC758" s="876"/>
      <c r="AD758" s="1525">
        <v>0.25</v>
      </c>
      <c r="AE758" s="1525">
        <f t="shared" ref="AD758:AS762" si="454">SUMIF($AV$6:$BS$6,AE$5,$AV758:$BS758)</f>
        <v>0</v>
      </c>
      <c r="AF758" s="1525">
        <f t="shared" si="454"/>
        <v>0</v>
      </c>
      <c r="AG758" s="1525">
        <f t="shared" si="454"/>
        <v>0.1</v>
      </c>
      <c r="AH758" s="1525">
        <f t="shared" si="454"/>
        <v>0</v>
      </c>
      <c r="AI758" s="1525">
        <f t="shared" si="454"/>
        <v>0</v>
      </c>
      <c r="AJ758" s="1525">
        <f t="shared" si="454"/>
        <v>0.35</v>
      </c>
      <c r="AK758" s="1525">
        <f t="shared" si="454"/>
        <v>0</v>
      </c>
      <c r="AL758" s="1525">
        <f t="shared" si="454"/>
        <v>0</v>
      </c>
      <c r="AM758" s="1525">
        <f t="shared" si="454"/>
        <v>0</v>
      </c>
      <c r="AN758" s="1525">
        <f t="shared" si="454"/>
        <v>0.30000000000000004</v>
      </c>
      <c r="AO758" s="1525">
        <f t="shared" si="454"/>
        <v>0</v>
      </c>
      <c r="AP758" s="1525">
        <f t="shared" si="454"/>
        <v>0</v>
      </c>
      <c r="AQ758" s="1525">
        <f t="shared" si="454"/>
        <v>0</v>
      </c>
      <c r="AR758" s="1525">
        <f t="shared" si="454"/>
        <v>0</v>
      </c>
      <c r="AS758" s="1525">
        <f t="shared" si="454"/>
        <v>0</v>
      </c>
      <c r="AU758" s="1525"/>
      <c r="AV758" s="1291">
        <v>0.1</v>
      </c>
      <c r="AW758" s="1292"/>
      <c r="AX758" s="1292"/>
      <c r="AY758" s="1292"/>
      <c r="AZ758" s="1292"/>
      <c r="BA758" s="1292"/>
      <c r="BB758" s="1292">
        <v>0.3</v>
      </c>
      <c r="BC758" s="1292"/>
      <c r="BD758" s="1292"/>
      <c r="BE758" s="1292">
        <v>0.2</v>
      </c>
      <c r="BF758" s="1292">
        <v>0.1</v>
      </c>
      <c r="BG758" s="1292"/>
      <c r="BH758" s="1292">
        <v>0.05</v>
      </c>
      <c r="BI758" s="1292"/>
      <c r="BJ758" s="1292"/>
      <c r="BK758" s="1292"/>
      <c r="BL758" s="1292"/>
      <c r="BM758" s="1292"/>
      <c r="BN758" s="1292"/>
      <c r="BO758" s="1292"/>
      <c r="BP758" s="1292"/>
      <c r="BQ758" s="1292"/>
      <c r="BR758" s="1292"/>
      <c r="BS758" s="1292"/>
      <c r="BT758" s="1670">
        <f t="shared" ref="BT758:BT762" si="455">SUM(AV758:BS758)</f>
        <v>0.75000000000000011</v>
      </c>
      <c r="BW758" s="856" t="s">
        <v>438</v>
      </c>
    </row>
    <row r="759" spans="2:75" ht="12.75" customHeight="1" x14ac:dyDescent="0.2">
      <c r="B759" s="175">
        <f>B758+1</f>
        <v>2</v>
      </c>
      <c r="C759" s="573">
        <v>6</v>
      </c>
      <c r="D759" s="574"/>
      <c r="E759" s="572" t="s">
        <v>298</v>
      </c>
      <c r="F759" s="53" t="s">
        <v>167</v>
      </c>
      <c r="G759" s="856" t="s">
        <v>1618</v>
      </c>
      <c r="H759" s="858">
        <v>7462</v>
      </c>
      <c r="I759" s="200" t="s">
        <v>351</v>
      </c>
      <c r="J759" s="168"/>
      <c r="K759" s="168"/>
      <c r="L759" s="841">
        <v>1</v>
      </c>
      <c r="M759" s="858">
        <v>1</v>
      </c>
      <c r="N759" s="855" t="s">
        <v>1326</v>
      </c>
      <c r="O759" s="1196">
        <v>15231</v>
      </c>
      <c r="P759" s="1218">
        <f t="shared" ca="1" si="451"/>
        <v>76.055555555555557</v>
      </c>
      <c r="Q759" s="1148">
        <v>51350</v>
      </c>
      <c r="R759" s="874">
        <f>Q759*0.1</f>
        <v>5135</v>
      </c>
      <c r="S759" s="876">
        <v>7000</v>
      </c>
      <c r="T759" s="862">
        <v>2500</v>
      </c>
      <c r="U759" s="862"/>
      <c r="V759" s="862"/>
      <c r="W759" s="876"/>
      <c r="X759" s="1026">
        <f>(Q759+R759+S759+T759+U759+V759+W759)*M759</f>
        <v>65985</v>
      </c>
      <c r="Y759" s="1512">
        <f>(T759+U759)*M759/(X759-M759*(T759+U759))</f>
        <v>3.9379380956131367E-2</v>
      </c>
      <c r="Z759" s="1741">
        <f t="shared" si="452"/>
        <v>1.0393793809561314</v>
      </c>
      <c r="AA759" s="1749">
        <f>SUM(AD759:AS759)</f>
        <v>1.05</v>
      </c>
      <c r="AB759" s="1810">
        <f t="shared" si="453"/>
        <v>101.0218231416231</v>
      </c>
      <c r="AC759" s="876"/>
      <c r="AD759" s="1525">
        <f t="shared" si="454"/>
        <v>0.15</v>
      </c>
      <c r="AE759" s="1525">
        <f t="shared" si="454"/>
        <v>0</v>
      </c>
      <c r="AF759" s="1525">
        <f t="shared" si="454"/>
        <v>0</v>
      </c>
      <c r="AG759" s="1525">
        <f t="shared" si="454"/>
        <v>0</v>
      </c>
      <c r="AH759" s="1525">
        <f t="shared" si="454"/>
        <v>0</v>
      </c>
      <c r="AI759" s="1525">
        <f t="shared" si="454"/>
        <v>0</v>
      </c>
      <c r="AJ759" s="1525">
        <f t="shared" si="454"/>
        <v>0.9</v>
      </c>
      <c r="AK759" s="1525">
        <f t="shared" si="454"/>
        <v>0</v>
      </c>
      <c r="AL759" s="1525">
        <f t="shared" si="454"/>
        <v>0</v>
      </c>
      <c r="AM759" s="1525">
        <f t="shared" si="454"/>
        <v>0</v>
      </c>
      <c r="AN759" s="1525">
        <f t="shared" si="454"/>
        <v>0</v>
      </c>
      <c r="AO759" s="1525">
        <f t="shared" si="454"/>
        <v>0</v>
      </c>
      <c r="AP759" s="1525">
        <f t="shared" si="454"/>
        <v>0</v>
      </c>
      <c r="AQ759" s="1525">
        <f t="shared" si="454"/>
        <v>0</v>
      </c>
      <c r="AR759" s="1525">
        <f t="shared" si="454"/>
        <v>0</v>
      </c>
      <c r="AS759" s="1525">
        <f t="shared" si="454"/>
        <v>0</v>
      </c>
      <c r="AU759" s="1525"/>
      <c r="AV759" s="1291"/>
      <c r="AW759" s="1292"/>
      <c r="AX759" s="1292"/>
      <c r="AY759" s="1292"/>
      <c r="AZ759" s="1292"/>
      <c r="BA759" s="1292"/>
      <c r="BB759" s="1292">
        <v>0.9</v>
      </c>
      <c r="BC759" s="1292"/>
      <c r="BD759" s="1292"/>
      <c r="BE759" s="1292"/>
      <c r="BF759" s="1292"/>
      <c r="BG759" s="1292"/>
      <c r="BH759" s="1292"/>
      <c r="BI759" s="1292"/>
      <c r="BJ759" s="1292">
        <v>0.15</v>
      </c>
      <c r="BK759" s="1292"/>
      <c r="BL759" s="1292"/>
      <c r="BM759" s="1292"/>
      <c r="BN759" s="1292"/>
      <c r="BO759" s="1292"/>
      <c r="BP759" s="1292"/>
      <c r="BQ759" s="1292"/>
      <c r="BR759" s="1292"/>
      <c r="BS759" s="1292"/>
      <c r="BT759" s="1670">
        <f t="shared" si="455"/>
        <v>1.05</v>
      </c>
      <c r="BW759" s="856" t="s">
        <v>1618</v>
      </c>
    </row>
    <row r="760" spans="2:75" ht="12.75" customHeight="1" x14ac:dyDescent="0.2">
      <c r="B760" s="175">
        <f>B759+1</f>
        <v>3</v>
      </c>
      <c r="C760" s="573">
        <v>8</v>
      </c>
      <c r="D760" s="574"/>
      <c r="E760" s="572" t="s">
        <v>298</v>
      </c>
      <c r="F760" s="25" t="s">
        <v>353</v>
      </c>
      <c r="G760" s="1142" t="s">
        <v>1755</v>
      </c>
      <c r="H760" s="858">
        <v>154878</v>
      </c>
      <c r="I760" s="200" t="s">
        <v>351</v>
      </c>
      <c r="J760" s="168"/>
      <c r="K760" s="168"/>
      <c r="L760" s="841">
        <v>0.5</v>
      </c>
      <c r="M760" s="858">
        <v>0.5</v>
      </c>
      <c r="N760" s="855" t="s">
        <v>892</v>
      </c>
      <c r="O760" s="1196">
        <v>24087</v>
      </c>
      <c r="P760" s="1218">
        <f t="shared" ca="1" si="451"/>
        <v>51.80833333333333</v>
      </c>
      <c r="Q760" s="1148">
        <v>49650</v>
      </c>
      <c r="R760" s="874"/>
      <c r="S760" s="876"/>
      <c r="T760" s="862"/>
      <c r="U760" s="862"/>
      <c r="V760" s="862"/>
      <c r="W760" s="876"/>
      <c r="X760" s="1026">
        <f>(Q760+R760+S760+T760+U760+V760+W760)*M760</f>
        <v>24825</v>
      </c>
      <c r="Y760" s="1512">
        <f>(T760+U760)*M760/(X760-M760*(T760+U760))</f>
        <v>0</v>
      </c>
      <c r="Z760" s="1741">
        <f t="shared" si="452"/>
        <v>0.5</v>
      </c>
      <c r="AA760" s="1749">
        <f>SUM(AD760:AS760)</f>
        <v>0.5</v>
      </c>
      <c r="AB760" s="1810">
        <f t="shared" si="453"/>
        <v>100</v>
      </c>
      <c r="AC760" s="876"/>
      <c r="AD760" s="1525">
        <f t="shared" si="454"/>
        <v>0.5</v>
      </c>
      <c r="AE760" s="1525">
        <f t="shared" si="454"/>
        <v>0</v>
      </c>
      <c r="AF760" s="1525">
        <f t="shared" si="454"/>
        <v>0</v>
      </c>
      <c r="AG760" s="1525">
        <f t="shared" si="454"/>
        <v>0</v>
      </c>
      <c r="AH760" s="1525">
        <f t="shared" si="454"/>
        <v>0</v>
      </c>
      <c r="AI760" s="1525">
        <f t="shared" si="454"/>
        <v>0</v>
      </c>
      <c r="AJ760" s="1525">
        <f t="shared" si="454"/>
        <v>0</v>
      </c>
      <c r="AK760" s="1525">
        <f t="shared" si="454"/>
        <v>0</v>
      </c>
      <c r="AL760" s="1525">
        <f t="shared" si="454"/>
        <v>0</v>
      </c>
      <c r="AM760" s="1525">
        <f t="shared" si="454"/>
        <v>0</v>
      </c>
      <c r="AN760" s="1525">
        <f t="shared" si="454"/>
        <v>0</v>
      </c>
      <c r="AO760" s="1525">
        <f t="shared" si="454"/>
        <v>0</v>
      </c>
      <c r="AP760" s="1525">
        <f t="shared" si="454"/>
        <v>0</v>
      </c>
      <c r="AQ760" s="1525">
        <f t="shared" si="454"/>
        <v>0</v>
      </c>
      <c r="AR760" s="1525">
        <f t="shared" si="454"/>
        <v>0</v>
      </c>
      <c r="AS760" s="1525">
        <f t="shared" si="454"/>
        <v>0</v>
      </c>
      <c r="AU760" s="1525"/>
      <c r="AV760" s="1291"/>
      <c r="AW760" s="1292"/>
      <c r="AX760" s="1292"/>
      <c r="AY760" s="1292"/>
      <c r="AZ760" s="1292"/>
      <c r="BA760" s="1292"/>
      <c r="BB760" s="1292"/>
      <c r="BC760" s="1292"/>
      <c r="BD760" s="1292"/>
      <c r="BE760" s="1292"/>
      <c r="BF760" s="1292"/>
      <c r="BG760" s="1292"/>
      <c r="BH760" s="1292"/>
      <c r="BI760" s="1292"/>
      <c r="BJ760" s="1292">
        <v>0.5</v>
      </c>
      <c r="BK760" s="1292"/>
      <c r="BL760" s="1292"/>
      <c r="BM760" s="1292"/>
      <c r="BN760" s="1292"/>
      <c r="BO760" s="1292"/>
      <c r="BP760" s="1292"/>
      <c r="BQ760" s="1292"/>
      <c r="BR760" s="1292"/>
      <c r="BS760" s="1292"/>
      <c r="BT760" s="1670">
        <f t="shared" si="455"/>
        <v>0.5</v>
      </c>
      <c r="BW760" s="1142" t="s">
        <v>1755</v>
      </c>
    </row>
    <row r="761" spans="2:75" ht="12.75" customHeight="1" x14ac:dyDescent="0.2">
      <c r="B761" s="175">
        <f>B760+1</f>
        <v>4</v>
      </c>
      <c r="C761" s="573">
        <v>2</v>
      </c>
      <c r="D761" s="574"/>
      <c r="E761" s="572" t="s">
        <v>298</v>
      </c>
      <c r="F761" s="25" t="s">
        <v>1630</v>
      </c>
      <c r="G761" s="1142" t="s">
        <v>478</v>
      </c>
      <c r="H761" s="858">
        <v>132</v>
      </c>
      <c r="I761" s="200" t="s">
        <v>351</v>
      </c>
      <c r="J761" s="168"/>
      <c r="K761" s="168"/>
      <c r="L761" s="841">
        <v>0.5</v>
      </c>
      <c r="M761" s="858">
        <v>0.5</v>
      </c>
      <c r="N761" s="855" t="s">
        <v>892</v>
      </c>
      <c r="O761" s="1196">
        <v>14265</v>
      </c>
      <c r="P761" s="1218">
        <f t="shared" ca="1" si="451"/>
        <v>78.7</v>
      </c>
      <c r="Q761" s="1148">
        <v>60750</v>
      </c>
      <c r="R761" s="874"/>
      <c r="S761" s="876">
        <v>7000</v>
      </c>
      <c r="T761" s="862">
        <v>5300</v>
      </c>
      <c r="U761" s="862"/>
      <c r="V761" s="862"/>
      <c r="W761" s="876"/>
      <c r="X761" s="1026">
        <f>(Q761+R761+S761+T761+U761+V761+W761)*M761</f>
        <v>36525</v>
      </c>
      <c r="Y761" s="1512">
        <f>(T761+U761)*M761/(X761-M761*(T761+U761))</f>
        <v>7.8228782287822873E-2</v>
      </c>
      <c r="Z761" s="1741">
        <f t="shared" si="452"/>
        <v>0.53911439114391146</v>
      </c>
      <c r="AA761" s="1749">
        <f>SUM(AD761:AS761)</f>
        <v>0.54</v>
      </c>
      <c r="AB761" s="1810">
        <f t="shared" si="453"/>
        <v>100.16427104722793</v>
      </c>
      <c r="AC761" s="876"/>
      <c r="AD761" s="1525">
        <f t="shared" si="454"/>
        <v>0.54</v>
      </c>
      <c r="AE761" s="1525">
        <f t="shared" si="454"/>
        <v>0</v>
      </c>
      <c r="AF761" s="1525">
        <f t="shared" si="454"/>
        <v>0</v>
      </c>
      <c r="AG761" s="1525">
        <f t="shared" si="454"/>
        <v>0</v>
      </c>
      <c r="AH761" s="1525">
        <f t="shared" si="454"/>
        <v>0</v>
      </c>
      <c r="AI761" s="1525">
        <f t="shared" si="454"/>
        <v>0</v>
      </c>
      <c r="AJ761" s="1525">
        <f t="shared" si="454"/>
        <v>0</v>
      </c>
      <c r="AK761" s="1525">
        <f t="shared" si="454"/>
        <v>0</v>
      </c>
      <c r="AL761" s="1525">
        <f t="shared" si="454"/>
        <v>0</v>
      </c>
      <c r="AM761" s="1525">
        <f t="shared" si="454"/>
        <v>0</v>
      </c>
      <c r="AN761" s="1525">
        <f t="shared" si="454"/>
        <v>0</v>
      </c>
      <c r="AO761" s="1525">
        <f t="shared" si="454"/>
        <v>0</v>
      </c>
      <c r="AP761" s="1525">
        <f t="shared" si="454"/>
        <v>0</v>
      </c>
      <c r="AQ761" s="1525">
        <f t="shared" si="454"/>
        <v>0</v>
      </c>
      <c r="AR761" s="1525">
        <f t="shared" si="454"/>
        <v>0</v>
      </c>
      <c r="AS761" s="1525">
        <f t="shared" si="454"/>
        <v>0</v>
      </c>
      <c r="AU761" s="1525"/>
      <c r="AV761" s="1291"/>
      <c r="AW761" s="1292"/>
      <c r="AX761" s="1292"/>
      <c r="AY761" s="1292"/>
      <c r="AZ761" s="1292"/>
      <c r="BA761" s="1292"/>
      <c r="BB761" s="1292"/>
      <c r="BC761" s="1292"/>
      <c r="BD761" s="1292"/>
      <c r="BE761" s="1292"/>
      <c r="BF761" s="1292"/>
      <c r="BG761" s="1292"/>
      <c r="BH761" s="1292"/>
      <c r="BI761" s="1292"/>
      <c r="BJ761" s="1292">
        <v>0.54</v>
      </c>
      <c r="BK761" s="1292"/>
      <c r="BL761" s="1292"/>
      <c r="BM761" s="1292"/>
      <c r="BN761" s="1292"/>
      <c r="BO761" s="1292"/>
      <c r="BP761" s="1292"/>
      <c r="BQ761" s="1292"/>
      <c r="BR761" s="1292"/>
      <c r="BS761" s="1292"/>
      <c r="BT761" s="1670">
        <f t="shared" si="455"/>
        <v>0.54</v>
      </c>
      <c r="BW761" s="1142" t="s">
        <v>478</v>
      </c>
    </row>
    <row r="762" spans="2:75" ht="12.75" customHeight="1" x14ac:dyDescent="0.2">
      <c r="B762" s="175">
        <f>B761+1</f>
        <v>5</v>
      </c>
      <c r="C762" s="219">
        <v>21</v>
      </c>
      <c r="E762" s="12" t="s">
        <v>298</v>
      </c>
      <c r="F762" s="42" t="s">
        <v>923</v>
      </c>
      <c r="G762" s="945" t="s">
        <v>924</v>
      </c>
      <c r="H762" s="873">
        <v>20553</v>
      </c>
      <c r="I762" s="176" t="s">
        <v>583</v>
      </c>
      <c r="J762" s="177"/>
      <c r="K762" s="177"/>
      <c r="L762" s="944">
        <v>1</v>
      </c>
      <c r="M762" s="873">
        <f>K762+L762</f>
        <v>1</v>
      </c>
      <c r="N762" s="940" t="s">
        <v>892</v>
      </c>
      <c r="O762" s="1196">
        <v>19161</v>
      </c>
      <c r="P762" s="1218">
        <f t="shared" ca="1" si="451"/>
        <v>65.294444444444451</v>
      </c>
      <c r="Q762" s="1071">
        <v>31100</v>
      </c>
      <c r="R762" s="890"/>
      <c r="S762" s="891"/>
      <c r="T762" s="891"/>
      <c r="U762" s="891">
        <v>3000</v>
      </c>
      <c r="V762" s="891"/>
      <c r="W762" s="891"/>
      <c r="X762" s="1026">
        <f>(Q762+R762+S762+T762+U762+V762+W762)*M762</f>
        <v>34100</v>
      </c>
      <c r="Y762" s="1512">
        <f>(T762+U762)*M762/(X762-M762*(T762+U762))</f>
        <v>9.6463022508038579E-2</v>
      </c>
      <c r="Z762" s="1741">
        <f t="shared" si="452"/>
        <v>1.0964630225080385</v>
      </c>
      <c r="AA762" s="1749">
        <f>SUM(AD762:AS762)</f>
        <v>0</v>
      </c>
      <c r="AB762" s="1810">
        <f t="shared" si="453"/>
        <v>0</v>
      </c>
      <c r="AC762" s="876"/>
      <c r="AD762" s="1525">
        <f t="shared" si="454"/>
        <v>0</v>
      </c>
      <c r="AE762" s="1525">
        <f t="shared" si="454"/>
        <v>0</v>
      </c>
      <c r="AF762" s="1525">
        <f t="shared" si="454"/>
        <v>0</v>
      </c>
      <c r="AG762" s="1525">
        <f t="shared" si="454"/>
        <v>0</v>
      </c>
      <c r="AH762" s="1525">
        <f t="shared" si="454"/>
        <v>0</v>
      </c>
      <c r="AI762" s="1525">
        <f t="shared" si="454"/>
        <v>0</v>
      </c>
      <c r="AJ762" s="1525">
        <f t="shared" si="454"/>
        <v>0</v>
      </c>
      <c r="AK762" s="1525">
        <f t="shared" si="454"/>
        <v>0</v>
      </c>
      <c r="AL762" s="1525">
        <f t="shared" si="454"/>
        <v>0</v>
      </c>
      <c r="AM762" s="1525">
        <f t="shared" si="454"/>
        <v>0</v>
      </c>
      <c r="AN762" s="1525">
        <f t="shared" si="454"/>
        <v>0</v>
      </c>
      <c r="AO762" s="1525">
        <f t="shared" si="454"/>
        <v>0</v>
      </c>
      <c r="AP762" s="1525">
        <f t="shared" si="454"/>
        <v>0</v>
      </c>
      <c r="AQ762" s="1525">
        <f t="shared" si="454"/>
        <v>0</v>
      </c>
      <c r="AR762" s="1525">
        <f t="shared" si="454"/>
        <v>0</v>
      </c>
      <c r="AS762" s="1525">
        <f t="shared" si="454"/>
        <v>0</v>
      </c>
      <c r="AU762" s="1525"/>
      <c r="AV762" s="1291"/>
      <c r="AW762" s="1292"/>
      <c r="AX762" s="1292"/>
      <c r="AY762" s="1292"/>
      <c r="AZ762" s="1292"/>
      <c r="BA762" s="1292"/>
      <c r="BB762" s="1292"/>
      <c r="BC762" s="1292"/>
      <c r="BD762" s="1292"/>
      <c r="BE762" s="1292"/>
      <c r="BF762" s="1292"/>
      <c r="BG762" s="1292"/>
      <c r="BH762" s="1292"/>
      <c r="BI762" s="1292"/>
      <c r="BJ762" s="1292"/>
      <c r="BK762" s="1292"/>
      <c r="BL762" s="1292"/>
      <c r="BM762" s="1292"/>
      <c r="BN762" s="1292"/>
      <c r="BO762" s="1292"/>
      <c r="BP762" s="1292"/>
      <c r="BQ762" s="1292"/>
      <c r="BR762" s="1292"/>
      <c r="BS762" s="1292"/>
      <c r="BT762" s="1670">
        <f t="shared" si="455"/>
        <v>0</v>
      </c>
      <c r="BV762" t="s">
        <v>2074</v>
      </c>
      <c r="BW762" s="945" t="s">
        <v>924</v>
      </c>
    </row>
    <row r="763" spans="2:75" s="164" customFormat="1" ht="12.75" customHeight="1" x14ac:dyDescent="0.15">
      <c r="B763" s="175"/>
      <c r="C763" s="219" t="s">
        <v>1120</v>
      </c>
      <c r="F763" s="1" t="s">
        <v>379</v>
      </c>
      <c r="G763" s="856"/>
      <c r="H763" s="1346" t="s">
        <v>1508</v>
      </c>
      <c r="I763" s="172"/>
      <c r="J763" s="168"/>
      <c r="K763" s="1652">
        <f>SUM(K758:K762)</f>
        <v>0</v>
      </c>
      <c r="L763" s="1123">
        <f>SUM(L758:L762)</f>
        <v>4</v>
      </c>
      <c r="M763" s="1123">
        <f>SUM(M758:M762)</f>
        <v>4</v>
      </c>
      <c r="N763" s="855"/>
      <c r="O763" s="1200"/>
      <c r="P763" s="550"/>
      <c r="Q763" s="1151"/>
      <c r="R763" s="876"/>
      <c r="S763" s="876"/>
      <c r="T763" s="876"/>
      <c r="U763" s="876"/>
      <c r="V763" s="876"/>
      <c r="W763" s="876"/>
      <c r="X763" s="1026"/>
      <c r="Y763" s="1335"/>
      <c r="Z763" s="1335"/>
      <c r="AA763" s="1775"/>
      <c r="AB763" s="1814"/>
      <c r="AC763" s="876"/>
      <c r="AD763" s="1295"/>
      <c r="AE763" s="1525"/>
      <c r="AF763" s="1525"/>
      <c r="AG763" s="1525"/>
      <c r="AH763" s="1525"/>
      <c r="AI763" s="1525"/>
      <c r="AJ763" s="1525"/>
      <c r="AK763" s="1525"/>
      <c r="AL763" s="1525"/>
      <c r="AM763" s="1525"/>
      <c r="AN763" s="1525"/>
      <c r="AO763" s="1525"/>
      <c r="AP763" s="1525"/>
      <c r="AQ763" s="1525"/>
      <c r="AR763" s="1525"/>
      <c r="AS763" s="1525"/>
      <c r="AU763" s="1525"/>
      <c r="AV763" s="1295"/>
      <c r="AW763" s="1525"/>
      <c r="AX763" s="1525"/>
      <c r="AY763" s="1525"/>
      <c r="AZ763" s="1525"/>
      <c r="BA763" s="1525"/>
      <c r="BB763" s="1525"/>
      <c r="BC763" s="1525"/>
      <c r="BD763" s="1525"/>
      <c r="BE763" s="1525"/>
      <c r="BF763" s="1525"/>
      <c r="BG763" s="1525"/>
      <c r="BH763" s="1525"/>
      <c r="BI763" s="1525"/>
      <c r="BJ763" s="1525"/>
      <c r="BK763" s="1525"/>
      <c r="BL763" s="1525"/>
      <c r="BM763" s="1525"/>
      <c r="BN763" s="1525"/>
      <c r="BO763" s="1525"/>
      <c r="BP763" s="1525"/>
      <c r="BQ763" s="1525"/>
      <c r="BR763" s="1525"/>
      <c r="BS763" s="1525"/>
      <c r="BT763" s="1670"/>
      <c r="BV763"/>
      <c r="BW763" s="856"/>
    </row>
    <row r="764" spans="2:75" s="164" customFormat="1" ht="12.75" customHeight="1" x14ac:dyDescent="0.15">
      <c r="B764" s="175"/>
      <c r="C764" s="219"/>
      <c r="F764" s="1"/>
      <c r="G764" s="856"/>
      <c r="H764" s="1346" t="s">
        <v>1508</v>
      </c>
      <c r="I764" s="172"/>
      <c r="J764" s="168"/>
      <c r="K764" s="190"/>
      <c r="L764" s="858"/>
      <c r="M764" s="858"/>
      <c r="N764" s="855"/>
      <c r="O764" s="1200"/>
      <c r="P764" s="550"/>
      <c r="Q764" s="1151"/>
      <c r="R764" s="876"/>
      <c r="S764" s="876"/>
      <c r="T764" s="876"/>
      <c r="U764" s="876"/>
      <c r="V764" s="876"/>
      <c r="W764" s="876"/>
      <c r="X764" s="1026"/>
      <c r="Y764" s="1754"/>
      <c r="Z764" s="1755"/>
      <c r="AA764" s="1775"/>
      <c r="AB764" s="1814"/>
      <c r="AC764" s="876"/>
      <c r="AD764" s="1295"/>
      <c r="AE764" s="1525"/>
      <c r="AF764" s="1525"/>
      <c r="AG764" s="1525"/>
      <c r="AH764" s="1525"/>
      <c r="AI764" s="1525"/>
      <c r="AJ764" s="1525"/>
      <c r="AK764" s="1525"/>
      <c r="AL764" s="1525"/>
      <c r="AM764" s="1525"/>
      <c r="AN764" s="1525"/>
      <c r="AO764" s="1525"/>
      <c r="AP764" s="1525"/>
      <c r="AQ764" s="1525"/>
      <c r="AR764" s="1525"/>
      <c r="AS764" s="1525"/>
      <c r="AU764" s="1525"/>
      <c r="AV764" s="1295"/>
      <c r="AW764" s="1525"/>
      <c r="AX764" s="1525"/>
      <c r="AY764" s="1525"/>
      <c r="AZ764" s="1525"/>
      <c r="BA764" s="1525"/>
      <c r="BB764" s="1525"/>
      <c r="BC764" s="1525"/>
      <c r="BD764" s="1525"/>
      <c r="BE764" s="1525"/>
      <c r="BF764" s="1525"/>
      <c r="BG764" s="1525"/>
      <c r="BH764" s="1525"/>
      <c r="BI764" s="1525"/>
      <c r="BJ764" s="1525"/>
      <c r="BK764" s="1525"/>
      <c r="BL764" s="1525"/>
      <c r="BM764" s="1525"/>
      <c r="BN764" s="1525"/>
      <c r="BO764" s="1525"/>
      <c r="BP764" s="1525"/>
      <c r="BQ764" s="1525"/>
      <c r="BR764" s="1525"/>
      <c r="BS764" s="1525"/>
      <c r="BT764" s="1670"/>
      <c r="BV764"/>
      <c r="BW764" s="856"/>
    </row>
    <row r="765" spans="2:75" s="164" customFormat="1" ht="12.75" customHeight="1" x14ac:dyDescent="0.15">
      <c r="B765" s="175"/>
      <c r="C765" s="219"/>
      <c r="F765" s="1118" t="s">
        <v>436</v>
      </c>
      <c r="G765" s="856"/>
      <c r="H765" s="1346" t="s">
        <v>1508</v>
      </c>
      <c r="I765" s="172"/>
      <c r="J765" s="168"/>
      <c r="K765" s="190"/>
      <c r="L765" s="858"/>
      <c r="M765" s="858"/>
      <c r="N765" s="855"/>
      <c r="O765" s="1200"/>
      <c r="P765" s="550"/>
      <c r="Q765" s="1151"/>
      <c r="R765" s="876"/>
      <c r="S765" s="876"/>
      <c r="T765" s="876"/>
      <c r="U765" s="876"/>
      <c r="V765" s="876"/>
      <c r="W765" s="876"/>
      <c r="X765" s="1026"/>
      <c r="Y765" s="1754"/>
      <c r="Z765" s="1755"/>
      <c r="AA765" s="1775"/>
      <c r="AB765" s="1814"/>
      <c r="AC765" s="876"/>
      <c r="AD765" s="1295"/>
      <c r="AE765" s="1525"/>
      <c r="AF765" s="1525"/>
      <c r="AG765" s="1525"/>
      <c r="AH765" s="1525"/>
      <c r="AI765" s="1525"/>
      <c r="AJ765" s="1525"/>
      <c r="AK765" s="1525"/>
      <c r="AL765" s="1525"/>
      <c r="AM765" s="1525"/>
      <c r="AN765" s="1525"/>
      <c r="AO765" s="1525"/>
      <c r="AP765" s="1525"/>
      <c r="AQ765" s="1525"/>
      <c r="AR765" s="1525"/>
      <c r="AS765" s="1525"/>
      <c r="AU765" s="1525"/>
      <c r="AV765" s="1295"/>
      <c r="AW765" s="1525"/>
      <c r="AX765" s="1525"/>
      <c r="AY765" s="1525"/>
      <c r="AZ765" s="1525"/>
      <c r="BA765" s="1525"/>
      <c r="BB765" s="1525"/>
      <c r="BC765" s="1525"/>
      <c r="BD765" s="1525"/>
      <c r="BE765" s="1525"/>
      <c r="BF765" s="1525"/>
      <c r="BG765" s="1525"/>
      <c r="BH765" s="1525"/>
      <c r="BI765" s="1525"/>
      <c r="BJ765" s="1525"/>
      <c r="BK765" s="1525"/>
      <c r="BL765" s="1525"/>
      <c r="BM765" s="1525"/>
      <c r="BN765" s="1525"/>
      <c r="BO765" s="1525"/>
      <c r="BP765" s="1525"/>
      <c r="BQ765" s="1525"/>
      <c r="BR765" s="1525"/>
      <c r="BS765" s="1525"/>
      <c r="BT765" s="1670"/>
      <c r="BV765"/>
      <c r="BW765" s="856"/>
    </row>
    <row r="766" spans="2:75" s="164" customFormat="1" ht="12.75" customHeight="1" x14ac:dyDescent="0.15">
      <c r="B766" s="175">
        <f>B765+1</f>
        <v>1</v>
      </c>
      <c r="C766" s="170">
        <v>14</v>
      </c>
      <c r="D766" s="170"/>
      <c r="E766" s="447" t="s">
        <v>298</v>
      </c>
      <c r="F766" s="37" t="s">
        <v>626</v>
      </c>
      <c r="G766" s="913" t="s">
        <v>1956</v>
      </c>
      <c r="H766" s="858">
        <v>200427</v>
      </c>
      <c r="I766" s="180" t="s">
        <v>583</v>
      </c>
      <c r="J766" s="174"/>
      <c r="K766" s="190">
        <v>1</v>
      </c>
      <c r="L766" s="858"/>
      <c r="M766" s="858">
        <v>1</v>
      </c>
      <c r="N766" s="832" t="s">
        <v>892</v>
      </c>
      <c r="O766" s="1200"/>
      <c r="P766" s="1294"/>
      <c r="Q766" s="1151">
        <v>21400</v>
      </c>
      <c r="R766" s="876"/>
      <c r="S766" s="876"/>
      <c r="T766" s="876"/>
      <c r="U766" s="876"/>
      <c r="V766" s="876"/>
      <c r="W766" s="876"/>
      <c r="X766" s="1026">
        <f>(Q766+R766+S766+T766+U766+V766+W766)*M766</f>
        <v>21400</v>
      </c>
      <c r="Y766" s="1512">
        <f>(T766+U766)*M766/(X766-M766*(T766+U766))</f>
        <v>0</v>
      </c>
      <c r="Z766" s="1741">
        <f>M766*(1+Y766)</f>
        <v>1</v>
      </c>
      <c r="AA766" s="1749">
        <f>SUM(AD766:AS766)</f>
        <v>1</v>
      </c>
      <c r="AB766" s="1810">
        <f t="shared" ref="AB766" si="456">100*AA766/Z766</f>
        <v>100</v>
      </c>
      <c r="AC766" s="876"/>
      <c r="AD766" s="1525">
        <f t="shared" ref="AD766:AS766" si="457">SUMIF($AV$6:$BS$6,AD$5,$AV766:$BS766)</f>
        <v>1</v>
      </c>
      <c r="AE766" s="1525">
        <f t="shared" si="457"/>
        <v>0</v>
      </c>
      <c r="AF766" s="1525">
        <f t="shared" si="457"/>
        <v>0</v>
      </c>
      <c r="AG766" s="1525">
        <f t="shared" si="457"/>
        <v>0</v>
      </c>
      <c r="AH766" s="1525">
        <f t="shared" si="457"/>
        <v>0</v>
      </c>
      <c r="AI766" s="1525">
        <f t="shared" si="457"/>
        <v>0</v>
      </c>
      <c r="AJ766" s="1525">
        <f t="shared" si="457"/>
        <v>0</v>
      </c>
      <c r="AK766" s="1525">
        <f t="shared" si="457"/>
        <v>0</v>
      </c>
      <c r="AL766" s="1525">
        <f t="shared" si="457"/>
        <v>0</v>
      </c>
      <c r="AM766" s="1525">
        <f t="shared" si="457"/>
        <v>0</v>
      </c>
      <c r="AN766" s="1525">
        <f t="shared" si="457"/>
        <v>0</v>
      </c>
      <c r="AO766" s="1525">
        <f t="shared" si="457"/>
        <v>0</v>
      </c>
      <c r="AP766" s="1525">
        <f t="shared" si="457"/>
        <v>0</v>
      </c>
      <c r="AQ766" s="1525">
        <f t="shared" si="457"/>
        <v>0</v>
      </c>
      <c r="AR766" s="1525">
        <f t="shared" si="457"/>
        <v>0</v>
      </c>
      <c r="AS766" s="1525">
        <f t="shared" si="457"/>
        <v>0</v>
      </c>
      <c r="AU766" s="1525"/>
      <c r="AV766" s="1295"/>
      <c r="AW766" s="1525"/>
      <c r="AX766" s="1525"/>
      <c r="AY766" s="1525"/>
      <c r="AZ766" s="1525"/>
      <c r="BA766" s="1525"/>
      <c r="BB766" s="1525"/>
      <c r="BC766" s="1525"/>
      <c r="BD766" s="1525"/>
      <c r="BE766" s="1525"/>
      <c r="BF766" s="1525"/>
      <c r="BG766" s="1525"/>
      <c r="BH766" s="1525"/>
      <c r="BI766" s="1525"/>
      <c r="BJ766" s="1525">
        <v>1</v>
      </c>
      <c r="BK766" s="1525"/>
      <c r="BL766" s="1525"/>
      <c r="BM766" s="1525"/>
      <c r="BN766" s="1525"/>
      <c r="BO766" s="1525"/>
      <c r="BP766" s="1525"/>
      <c r="BQ766" s="1525"/>
      <c r="BR766" s="1525"/>
      <c r="BS766" s="1525"/>
      <c r="BT766" s="1670">
        <f t="shared" ref="BT766" si="458">SUM(AV766:BS766)</f>
        <v>1</v>
      </c>
      <c r="BV766"/>
      <c r="BW766" s="913" t="s">
        <v>1956</v>
      </c>
    </row>
    <row r="767" spans="2:75" s="164" customFormat="1" ht="12.75" customHeight="1" x14ac:dyDescent="0.2">
      <c r="B767" s="175"/>
      <c r="F767" s="1"/>
      <c r="G767" s="856"/>
      <c r="H767" s="1364" t="s">
        <v>1508</v>
      </c>
      <c r="I767" s="172"/>
      <c r="J767" s="168"/>
      <c r="K767" s="1145"/>
      <c r="L767" s="841"/>
      <c r="M767" s="841"/>
      <c r="N767" s="855"/>
      <c r="O767" s="1192"/>
      <c r="P767" s="550"/>
      <c r="Q767" s="1151"/>
      <c r="R767" s="876"/>
      <c r="S767" s="876"/>
      <c r="T767" s="876"/>
      <c r="U767" s="876"/>
      <c r="V767" s="876"/>
      <c r="W767" s="876"/>
      <c r="X767" s="1026"/>
      <c r="Y767" s="1754"/>
      <c r="Z767" s="1755"/>
      <c r="AA767" s="1775"/>
      <c r="AB767" s="1814"/>
      <c r="AC767" s="876"/>
      <c r="AD767" s="1295"/>
      <c r="AE767" s="1525"/>
      <c r="AF767" s="1525"/>
      <c r="AG767" s="1525"/>
      <c r="AH767" s="1525"/>
      <c r="AI767" s="1525"/>
      <c r="AJ767" s="1525"/>
      <c r="AK767" s="1525"/>
      <c r="AL767" s="1525"/>
      <c r="AM767" s="1525"/>
      <c r="AN767" s="1525"/>
      <c r="AO767" s="1525"/>
      <c r="AP767" s="1525"/>
      <c r="AQ767" s="1525"/>
      <c r="AR767" s="1525"/>
      <c r="AS767" s="1525"/>
      <c r="AU767" s="1525"/>
      <c r="AV767" s="1295"/>
      <c r="AW767" s="1525"/>
      <c r="AX767" s="1525"/>
      <c r="AY767" s="1525"/>
      <c r="AZ767" s="1525"/>
      <c r="BA767" s="1525"/>
      <c r="BB767" s="1525"/>
      <c r="BC767" s="1525"/>
      <c r="BD767" s="1525"/>
      <c r="BE767" s="1525"/>
      <c r="BF767" s="1525"/>
      <c r="BG767" s="1525"/>
      <c r="BH767" s="1525"/>
      <c r="BI767" s="1525"/>
      <c r="BJ767" s="1525"/>
      <c r="BK767" s="1525"/>
      <c r="BL767" s="1525"/>
      <c r="BM767" s="1525"/>
      <c r="BN767" s="1525"/>
      <c r="BO767" s="1525"/>
      <c r="BP767" s="1525"/>
      <c r="BQ767" s="1525"/>
      <c r="BR767" s="1525"/>
      <c r="BS767" s="1525"/>
      <c r="BT767" s="1670"/>
      <c r="BV767"/>
      <c r="BW767" s="856"/>
    </row>
    <row r="768" spans="2:75" s="164" customFormat="1" ht="12.75" customHeight="1" x14ac:dyDescent="0.2">
      <c r="B768" s="175"/>
      <c r="F768" s="2" t="s">
        <v>925</v>
      </c>
      <c r="G768" s="856"/>
      <c r="H768" s="1364" t="s">
        <v>1508</v>
      </c>
      <c r="I768" s="257"/>
      <c r="J768" s="248"/>
      <c r="K768" s="248"/>
      <c r="L768" s="841"/>
      <c r="M768" s="841"/>
      <c r="N768" s="855"/>
      <c r="O768" s="1192"/>
      <c r="P768" s="550"/>
      <c r="Q768" s="1151"/>
      <c r="R768" s="876"/>
      <c r="S768" s="876"/>
      <c r="T768" s="876"/>
      <c r="U768" s="876"/>
      <c r="V768" s="876"/>
      <c r="W768" s="876"/>
      <c r="X768" s="1026"/>
      <c r="Y768" s="1754"/>
      <c r="Z768" s="1755"/>
      <c r="AA768" s="1775"/>
      <c r="AB768" s="1814"/>
      <c r="AC768" s="876"/>
      <c r="AD768" s="1295"/>
      <c r="AE768" s="1525"/>
      <c r="AF768" s="1525"/>
      <c r="AG768" s="1525"/>
      <c r="AH768" s="1525"/>
      <c r="AI768" s="1525"/>
      <c r="AJ768" s="1525"/>
      <c r="AK768" s="1525"/>
      <c r="AL768" s="1525"/>
      <c r="AM768" s="1525"/>
      <c r="AN768" s="1525"/>
      <c r="AO768" s="1525"/>
      <c r="AP768" s="1525"/>
      <c r="AQ768" s="1525"/>
      <c r="AR768" s="1525"/>
      <c r="AS768" s="1525"/>
      <c r="AU768" s="1525"/>
      <c r="AV768" s="1295"/>
      <c r="AW768" s="1525"/>
      <c r="AX768" s="1525"/>
      <c r="AY768" s="1525"/>
      <c r="AZ768" s="1525"/>
      <c r="BA768" s="1525"/>
      <c r="BB768" s="1525"/>
      <c r="BC768" s="1525"/>
      <c r="BD768" s="1525"/>
      <c r="BE768" s="1525"/>
      <c r="BF768" s="1525"/>
      <c r="BG768" s="1525"/>
      <c r="BH768" s="1525"/>
      <c r="BI768" s="1525"/>
      <c r="BJ768" s="1525"/>
      <c r="BK768" s="1525"/>
      <c r="BL768" s="1525"/>
      <c r="BM768" s="1525"/>
      <c r="BN768" s="1525"/>
      <c r="BO768" s="1525"/>
      <c r="BP768" s="1525"/>
      <c r="BQ768" s="1525"/>
      <c r="BR768" s="1525"/>
      <c r="BS768" s="1525"/>
      <c r="BT768" s="1670"/>
      <c r="BV768"/>
      <c r="BW768" s="856"/>
    </row>
    <row r="769" spans="2:75" s="164" customFormat="1" ht="12.75" customHeight="1" x14ac:dyDescent="0.15">
      <c r="B769" s="175"/>
      <c r="F769" s="54" t="s">
        <v>926</v>
      </c>
      <c r="G769" s="856"/>
      <c r="H769" s="1364" t="s">
        <v>1508</v>
      </c>
      <c r="I769" s="172"/>
      <c r="J769" s="168"/>
      <c r="K769" s="168"/>
      <c r="L769" s="841"/>
      <c r="M769" s="841"/>
      <c r="N769" s="855"/>
      <c r="O769" s="1200"/>
      <c r="P769" s="550"/>
      <c r="Q769" s="1151"/>
      <c r="R769" s="876"/>
      <c r="S769" s="876"/>
      <c r="T769" s="876"/>
      <c r="U769" s="876"/>
      <c r="V769" s="876"/>
      <c r="W769" s="876"/>
      <c r="X769" s="1026"/>
      <c r="Y769" s="1754"/>
      <c r="Z769" s="1755"/>
      <c r="AA769" s="1775"/>
      <c r="AB769" s="1814"/>
      <c r="AC769" s="876"/>
      <c r="AD769" s="1295"/>
      <c r="AE769" s="1525"/>
      <c r="AF769" s="1525"/>
      <c r="AG769" s="1525"/>
      <c r="AH769" s="1525"/>
      <c r="AI769" s="1525"/>
      <c r="AJ769" s="1525"/>
      <c r="AK769" s="1525"/>
      <c r="AL769" s="1525"/>
      <c r="AM769" s="1525"/>
      <c r="AN769" s="1525"/>
      <c r="AO769" s="1525"/>
      <c r="AP769" s="1525"/>
      <c r="AQ769" s="1525"/>
      <c r="AR769" s="1525"/>
      <c r="AS769" s="1525"/>
      <c r="AU769" s="1525"/>
      <c r="AV769" s="1295"/>
      <c r="AW769" s="1525"/>
      <c r="AX769" s="1525"/>
      <c r="AY769" s="1525"/>
      <c r="AZ769" s="1525"/>
      <c r="BA769" s="1525"/>
      <c r="BB769" s="1525"/>
      <c r="BC769" s="1525"/>
      <c r="BD769" s="1525"/>
      <c r="BE769" s="1525"/>
      <c r="BF769" s="1525"/>
      <c r="BG769" s="1525"/>
      <c r="BH769" s="1525"/>
      <c r="BI769" s="1525"/>
      <c r="BJ769" s="1525"/>
      <c r="BK769" s="1525"/>
      <c r="BL769" s="1525"/>
      <c r="BM769" s="1525"/>
      <c r="BN769" s="1525"/>
      <c r="BO769" s="1525"/>
      <c r="BP769" s="1525"/>
      <c r="BQ769" s="1525"/>
      <c r="BR769" s="1525"/>
      <c r="BS769" s="1525"/>
      <c r="BT769" s="1670"/>
      <c r="BV769"/>
      <c r="BW769" s="856"/>
    </row>
    <row r="770" spans="2:75" s="164" customFormat="1" ht="12.75" customHeight="1" x14ac:dyDescent="0.2">
      <c r="B770" s="175"/>
      <c r="F770" s="55"/>
      <c r="G770" s="856"/>
      <c r="H770" s="1364" t="s">
        <v>1508</v>
      </c>
      <c r="I770" s="172" t="s">
        <v>1473</v>
      </c>
      <c r="J770" s="168"/>
      <c r="K770" s="168"/>
      <c r="L770" s="841" t="s">
        <v>1473</v>
      </c>
      <c r="M770" s="841"/>
      <c r="N770" s="855" t="s">
        <v>1473</v>
      </c>
      <c r="O770" s="1192"/>
      <c r="P770" s="550"/>
      <c r="Q770" s="1151"/>
      <c r="R770" s="876"/>
      <c r="S770" s="876"/>
      <c r="T770" s="876"/>
      <c r="U770" s="876"/>
      <c r="V770" s="876"/>
      <c r="W770" s="876"/>
      <c r="X770" s="1026"/>
      <c r="Y770" s="1754"/>
      <c r="Z770" s="1755"/>
      <c r="AA770" s="1775"/>
      <c r="AB770" s="1814"/>
      <c r="AC770" s="876"/>
      <c r="AD770" s="1295"/>
      <c r="AE770" s="1525"/>
      <c r="AF770" s="1525"/>
      <c r="AG770" s="1525"/>
      <c r="AH770" s="1525"/>
      <c r="AI770" s="1525"/>
      <c r="AJ770" s="1525"/>
      <c r="AK770" s="1525"/>
      <c r="AL770" s="1525"/>
      <c r="AM770" s="1525"/>
      <c r="AN770" s="1525"/>
      <c r="AO770" s="1525"/>
      <c r="AP770" s="1525"/>
      <c r="AQ770" s="1525"/>
      <c r="AR770" s="1525"/>
      <c r="AS770" s="1525"/>
      <c r="AU770" s="1525"/>
      <c r="AV770" s="1295"/>
      <c r="AW770" s="1525"/>
      <c r="AX770" s="1525"/>
      <c r="AY770" s="1525"/>
      <c r="AZ770" s="1525"/>
      <c r="BA770" s="1525"/>
      <c r="BB770" s="1525"/>
      <c r="BC770" s="1525"/>
      <c r="BD770" s="1525"/>
      <c r="BE770" s="1525"/>
      <c r="BF770" s="1525"/>
      <c r="BG770" s="1525"/>
      <c r="BH770" s="1525"/>
      <c r="BI770" s="1525"/>
      <c r="BJ770" s="1525"/>
      <c r="BK770" s="1525"/>
      <c r="BL770" s="1525"/>
      <c r="BM770" s="1525"/>
      <c r="BN770" s="1525"/>
      <c r="BO770" s="1525"/>
      <c r="BP770" s="1525"/>
      <c r="BQ770" s="1525"/>
      <c r="BR770" s="1525"/>
      <c r="BS770" s="1525"/>
      <c r="BT770" s="1670"/>
      <c r="BV770"/>
      <c r="BW770" s="856"/>
    </row>
    <row r="771" spans="2:75" s="164" customFormat="1" ht="12.75" customHeight="1" x14ac:dyDescent="0.2">
      <c r="B771" s="175">
        <f>B770+1</f>
        <v>1</v>
      </c>
      <c r="C771" s="219">
        <v>10</v>
      </c>
      <c r="E771" s="12" t="s">
        <v>298</v>
      </c>
      <c r="F771" s="1" t="s">
        <v>1398</v>
      </c>
      <c r="G771" s="856" t="s">
        <v>1621</v>
      </c>
      <c r="H771" s="841">
        <v>97048</v>
      </c>
      <c r="I771" s="172" t="s">
        <v>351</v>
      </c>
      <c r="J771" s="168"/>
      <c r="K771" s="168"/>
      <c r="L771" s="841">
        <v>1</v>
      </c>
      <c r="M771" s="841">
        <v>1</v>
      </c>
      <c r="N771" s="855" t="s">
        <v>892</v>
      </c>
      <c r="O771" s="1196">
        <v>24117</v>
      </c>
      <c r="P771" s="1218">
        <f t="shared" ref="P771:P778" ca="1" si="459">YEARFRAC(TODAY(),O771)</f>
        <v>51.727777777777774</v>
      </c>
      <c r="Q771" s="1148">
        <v>13700</v>
      </c>
      <c r="R771" s="876"/>
      <c r="S771" s="876"/>
      <c r="T771" s="876"/>
      <c r="U771" s="876"/>
      <c r="V771" s="876"/>
      <c r="W771" s="876"/>
      <c r="X771" s="1026">
        <f t="shared" ref="X771:X778" si="460">(Q771+R771+S771+T771+U771+V771+W771)*M771</f>
        <v>13700</v>
      </c>
      <c r="Y771" s="1512">
        <f t="shared" ref="Y771:Y777" si="461">(T771+U771)*M771/(X771-M771*(T771+U771))</f>
        <v>0</v>
      </c>
      <c r="Z771" s="1741">
        <f t="shared" ref="Z771:Z778" si="462">M771*(1+Y771)</f>
        <v>1</v>
      </c>
      <c r="AA771" s="1749">
        <f t="shared" ref="AA771:AA778" si="463">SUM(AD771:AS771)</f>
        <v>0</v>
      </c>
      <c r="AB771" s="1810">
        <f t="shared" ref="AB771:AB778" si="464">100*AA771/Z771</f>
        <v>0</v>
      </c>
      <c r="AC771" s="876"/>
      <c r="AD771" s="1525">
        <f t="shared" ref="AD771:AS778" si="465">SUMIF($AV$6:$BS$6,AD$5,$AV771:$BS771)</f>
        <v>0</v>
      </c>
      <c r="AE771" s="1525">
        <f t="shared" si="465"/>
        <v>0</v>
      </c>
      <c r="AF771" s="1525">
        <f t="shared" si="465"/>
        <v>0</v>
      </c>
      <c r="AG771" s="1525">
        <f t="shared" si="465"/>
        <v>0</v>
      </c>
      <c r="AH771" s="1525">
        <f t="shared" si="465"/>
        <v>0</v>
      </c>
      <c r="AI771" s="1525">
        <f t="shared" si="465"/>
        <v>0</v>
      </c>
      <c r="AJ771" s="1525">
        <f t="shared" si="465"/>
        <v>0</v>
      </c>
      <c r="AK771" s="1525">
        <f t="shared" si="465"/>
        <v>0</v>
      </c>
      <c r="AL771" s="1525">
        <f t="shared" si="465"/>
        <v>0</v>
      </c>
      <c r="AM771" s="1525">
        <f t="shared" si="465"/>
        <v>0</v>
      </c>
      <c r="AN771" s="1525">
        <f t="shared" si="465"/>
        <v>0</v>
      </c>
      <c r="AO771" s="1525">
        <f t="shared" si="465"/>
        <v>0</v>
      </c>
      <c r="AP771" s="1525">
        <f t="shared" si="465"/>
        <v>0</v>
      </c>
      <c r="AQ771" s="1525">
        <f t="shared" si="465"/>
        <v>0</v>
      </c>
      <c r="AR771" s="1525">
        <f t="shared" si="465"/>
        <v>0</v>
      </c>
      <c r="AS771" s="1525">
        <f t="shared" si="465"/>
        <v>0</v>
      </c>
      <c r="AU771" s="1525"/>
      <c r="AV771" s="1295"/>
      <c r="AW771" s="1525"/>
      <c r="AX771" s="1525"/>
      <c r="AY771" s="1525"/>
      <c r="AZ771" s="1525"/>
      <c r="BA771" s="1525"/>
      <c r="BB771" s="1525"/>
      <c r="BC771" s="1525"/>
      <c r="BD771" s="1525"/>
      <c r="BE771" s="1525"/>
      <c r="BF771" s="1525"/>
      <c r="BG771" s="1525"/>
      <c r="BH771" s="1525"/>
      <c r="BI771" s="1525"/>
      <c r="BJ771" s="1525"/>
      <c r="BK771" s="1525"/>
      <c r="BL771" s="1525"/>
      <c r="BM771" s="1525"/>
      <c r="BN771" s="1525"/>
      <c r="BO771" s="1525"/>
      <c r="BP771" s="1525"/>
      <c r="BQ771" s="1525"/>
      <c r="BR771" s="1525"/>
      <c r="BS771" s="1525"/>
      <c r="BT771" s="1670">
        <f t="shared" ref="BT771:BT778" si="466">SUM(AV771:BS771)</f>
        <v>0</v>
      </c>
      <c r="BV771" t="s">
        <v>2073</v>
      </c>
      <c r="BW771" s="856" t="s">
        <v>1621</v>
      </c>
    </row>
    <row r="772" spans="2:75" ht="12.75" customHeight="1" x14ac:dyDescent="0.2">
      <c r="B772" s="175">
        <f>B771+1</f>
        <v>2</v>
      </c>
      <c r="C772" s="219">
        <v>12</v>
      </c>
      <c r="E772" s="12" t="s">
        <v>298</v>
      </c>
      <c r="F772" s="1" t="s">
        <v>1235</v>
      </c>
      <c r="G772" s="856" t="s">
        <v>927</v>
      </c>
      <c r="H772" s="858">
        <v>69212</v>
      </c>
      <c r="I772" s="172" t="s">
        <v>583</v>
      </c>
      <c r="J772" s="168"/>
      <c r="K772" s="168"/>
      <c r="L772" s="841">
        <v>1</v>
      </c>
      <c r="M772" s="858">
        <f>K772+L772</f>
        <v>1</v>
      </c>
      <c r="N772" s="855" t="s">
        <v>1326</v>
      </c>
      <c r="O772" s="1196">
        <v>21834</v>
      </c>
      <c r="P772" s="1218">
        <f t="shared" ca="1" si="459"/>
        <v>57.975000000000001</v>
      </c>
      <c r="Q772" s="1148">
        <v>34500</v>
      </c>
      <c r="R772" s="874">
        <f>Q772*0.1</f>
        <v>3450</v>
      </c>
      <c r="S772" s="875"/>
      <c r="T772" s="875"/>
      <c r="U772" s="875">
        <v>4000</v>
      </c>
      <c r="V772" s="875"/>
      <c r="W772" s="875"/>
      <c r="X772" s="1026">
        <f t="shared" si="460"/>
        <v>41950</v>
      </c>
      <c r="Y772" s="1512">
        <f t="shared" si="461"/>
        <v>0.10540184453227931</v>
      </c>
      <c r="Z772" s="1741">
        <f t="shared" si="462"/>
        <v>1.1054018445322793</v>
      </c>
      <c r="AA772" s="1749">
        <f t="shared" si="463"/>
        <v>0.7</v>
      </c>
      <c r="AB772" s="1810">
        <f t="shared" si="464"/>
        <v>63.325387365911801</v>
      </c>
      <c r="AC772" s="876"/>
      <c r="AD772" s="1525">
        <f t="shared" si="465"/>
        <v>0</v>
      </c>
      <c r="AE772" s="1525">
        <f t="shared" si="465"/>
        <v>0</v>
      </c>
      <c r="AF772" s="1525">
        <f t="shared" si="465"/>
        <v>0</v>
      </c>
      <c r="AG772" s="1525">
        <f t="shared" si="465"/>
        <v>0</v>
      </c>
      <c r="AH772" s="1525">
        <f t="shared" si="465"/>
        <v>0</v>
      </c>
      <c r="AI772" s="1525">
        <f t="shared" si="465"/>
        <v>0</v>
      </c>
      <c r="AJ772" s="1525">
        <f t="shared" si="465"/>
        <v>0.3</v>
      </c>
      <c r="AK772" s="1525">
        <f t="shared" si="465"/>
        <v>0</v>
      </c>
      <c r="AL772" s="1525">
        <f t="shared" si="465"/>
        <v>0</v>
      </c>
      <c r="AM772" s="1525">
        <f t="shared" si="465"/>
        <v>0.2</v>
      </c>
      <c r="AN772" s="1525">
        <f t="shared" si="465"/>
        <v>0.2</v>
      </c>
      <c r="AO772" s="1525">
        <f t="shared" si="465"/>
        <v>0</v>
      </c>
      <c r="AP772" s="1525">
        <f t="shared" si="465"/>
        <v>0</v>
      </c>
      <c r="AQ772" s="1525">
        <f t="shared" si="465"/>
        <v>0</v>
      </c>
      <c r="AR772" s="1525">
        <f t="shared" si="465"/>
        <v>0</v>
      </c>
      <c r="AS772" s="1525">
        <f t="shared" si="465"/>
        <v>0</v>
      </c>
      <c r="AU772" s="1525"/>
      <c r="AV772" s="1291"/>
      <c r="AW772" s="1292"/>
      <c r="AX772" s="1292"/>
      <c r="AY772" s="1292"/>
      <c r="AZ772" s="1292"/>
      <c r="BA772" s="1292"/>
      <c r="BB772" s="1292"/>
      <c r="BC772" s="1292"/>
      <c r="BD772" s="1292"/>
      <c r="BE772" s="1292">
        <v>0.2</v>
      </c>
      <c r="BF772" s="1292"/>
      <c r="BG772" s="1292"/>
      <c r="BH772" s="1292">
        <v>0.3</v>
      </c>
      <c r="BI772" s="1292"/>
      <c r="BJ772" s="1292"/>
      <c r="BK772" s="1292"/>
      <c r="BL772" s="1292"/>
      <c r="BM772" s="1292"/>
      <c r="BN772" s="1292"/>
      <c r="BO772" s="1292">
        <v>0.2</v>
      </c>
      <c r="BP772" s="1292"/>
      <c r="BQ772" s="1292"/>
      <c r="BR772" s="1292"/>
      <c r="BS772" s="1292"/>
      <c r="BT772" s="1670">
        <f t="shared" si="466"/>
        <v>0.7</v>
      </c>
      <c r="BW772" s="856" t="s">
        <v>927</v>
      </c>
    </row>
    <row r="773" spans="2:75" ht="12.75" customHeight="1" x14ac:dyDescent="0.2">
      <c r="B773" s="175">
        <f>B772+1</f>
        <v>3</v>
      </c>
      <c r="C773" s="219">
        <v>24</v>
      </c>
      <c r="E773" s="12" t="s">
        <v>298</v>
      </c>
      <c r="F773" s="1" t="s">
        <v>1245</v>
      </c>
      <c r="G773" s="856" t="s">
        <v>236</v>
      </c>
      <c r="H773" s="858">
        <v>151</v>
      </c>
      <c r="I773" s="172" t="s">
        <v>583</v>
      </c>
      <c r="J773" s="168"/>
      <c r="K773" s="168"/>
      <c r="L773" s="841">
        <v>1</v>
      </c>
      <c r="M773" s="858">
        <f>K773+L773</f>
        <v>1</v>
      </c>
      <c r="N773" s="855" t="s">
        <v>892</v>
      </c>
      <c r="O773" s="1196">
        <v>29400</v>
      </c>
      <c r="P773" s="1218">
        <f t="shared" ca="1" si="459"/>
        <v>37.261111111111113</v>
      </c>
      <c r="Q773" s="1148">
        <v>33100</v>
      </c>
      <c r="R773" s="874"/>
      <c r="S773" s="875"/>
      <c r="T773" s="877"/>
      <c r="U773" s="877">
        <v>1000</v>
      </c>
      <c r="V773" s="877"/>
      <c r="W773" s="875"/>
      <c r="X773" s="1026">
        <f t="shared" si="460"/>
        <v>34100</v>
      </c>
      <c r="Y773" s="1512">
        <f t="shared" si="461"/>
        <v>3.0211480362537766E-2</v>
      </c>
      <c r="Z773" s="1741">
        <f t="shared" si="462"/>
        <v>1.0302114803625377</v>
      </c>
      <c r="AA773" s="1749">
        <f t="shared" si="463"/>
        <v>0</v>
      </c>
      <c r="AB773" s="1810">
        <f t="shared" si="464"/>
        <v>0</v>
      </c>
      <c r="AC773" s="876"/>
      <c r="AD773" s="1525">
        <f t="shared" si="465"/>
        <v>0</v>
      </c>
      <c r="AE773" s="1525">
        <f t="shared" si="465"/>
        <v>0</v>
      </c>
      <c r="AF773" s="1525">
        <f t="shared" si="465"/>
        <v>0</v>
      </c>
      <c r="AG773" s="1525">
        <f t="shared" si="465"/>
        <v>0</v>
      </c>
      <c r="AH773" s="1525">
        <f t="shared" si="465"/>
        <v>0</v>
      </c>
      <c r="AI773" s="1525">
        <f t="shared" si="465"/>
        <v>0</v>
      </c>
      <c r="AJ773" s="1525">
        <f t="shared" si="465"/>
        <v>0</v>
      </c>
      <c r="AK773" s="1525">
        <f t="shared" si="465"/>
        <v>0</v>
      </c>
      <c r="AL773" s="1525">
        <f t="shared" si="465"/>
        <v>0</v>
      </c>
      <c r="AM773" s="1525">
        <f t="shared" si="465"/>
        <v>0</v>
      </c>
      <c r="AN773" s="1525">
        <f t="shared" si="465"/>
        <v>0</v>
      </c>
      <c r="AO773" s="1525">
        <f t="shared" si="465"/>
        <v>0</v>
      </c>
      <c r="AP773" s="1525">
        <f t="shared" si="465"/>
        <v>0</v>
      </c>
      <c r="AQ773" s="1525">
        <f t="shared" si="465"/>
        <v>0</v>
      </c>
      <c r="AR773" s="1525">
        <f t="shared" si="465"/>
        <v>0</v>
      </c>
      <c r="AS773" s="1525">
        <f t="shared" si="465"/>
        <v>0</v>
      </c>
      <c r="AU773" s="1525"/>
      <c r="AV773" s="1291"/>
      <c r="AW773" s="1292"/>
      <c r="AX773" s="1292"/>
      <c r="AY773" s="1292"/>
      <c r="AZ773" s="1292"/>
      <c r="BA773" s="1292"/>
      <c r="BB773" s="1292"/>
      <c r="BC773" s="1292"/>
      <c r="BD773" s="1292"/>
      <c r="BE773" s="1292"/>
      <c r="BF773" s="1292"/>
      <c r="BG773" s="1292"/>
      <c r="BH773" s="1292"/>
      <c r="BI773" s="1292"/>
      <c r="BJ773" s="1292"/>
      <c r="BK773" s="1292"/>
      <c r="BL773" s="1292"/>
      <c r="BM773" s="1292"/>
      <c r="BN773" s="1292"/>
      <c r="BO773" s="1292"/>
      <c r="BP773" s="1292"/>
      <c r="BQ773" s="1292"/>
      <c r="BR773" s="1292"/>
      <c r="BS773" s="1292"/>
      <c r="BT773" s="1670">
        <f t="shared" si="466"/>
        <v>0</v>
      </c>
      <c r="BV773" t="s">
        <v>2074</v>
      </c>
      <c r="BW773" s="856" t="s">
        <v>236</v>
      </c>
    </row>
    <row r="774" spans="2:75" ht="12.75" customHeight="1" x14ac:dyDescent="0.2">
      <c r="B774" s="175">
        <f>B773+1</f>
        <v>4</v>
      </c>
      <c r="C774" s="219">
        <v>24</v>
      </c>
      <c r="E774" s="12" t="s">
        <v>298</v>
      </c>
      <c r="F774" s="1" t="s">
        <v>1248</v>
      </c>
      <c r="G774" s="856" t="s">
        <v>885</v>
      </c>
      <c r="H774" s="858">
        <v>994137</v>
      </c>
      <c r="I774" s="172" t="s">
        <v>583</v>
      </c>
      <c r="J774" s="168"/>
      <c r="K774" s="168"/>
      <c r="L774" s="841">
        <v>1</v>
      </c>
      <c r="M774" s="858">
        <f>K774+L774</f>
        <v>1</v>
      </c>
      <c r="N774" s="855" t="s">
        <v>1326</v>
      </c>
      <c r="O774" s="1196">
        <v>26387</v>
      </c>
      <c r="P774" s="1218">
        <f t="shared" ca="1" si="459"/>
        <v>45.508333333333333</v>
      </c>
      <c r="Q774" s="1148">
        <v>18000</v>
      </c>
      <c r="R774" s="874">
        <f>Q774*0.1</f>
        <v>1800</v>
      </c>
      <c r="S774" s="875"/>
      <c r="T774" s="875"/>
      <c r="U774" s="875"/>
      <c r="V774" s="875"/>
      <c r="W774" s="875"/>
      <c r="X774" s="1026">
        <f t="shared" si="460"/>
        <v>19800</v>
      </c>
      <c r="Y774" s="1512">
        <f t="shared" si="461"/>
        <v>0</v>
      </c>
      <c r="Z774" s="1741">
        <f t="shared" si="462"/>
        <v>1</v>
      </c>
      <c r="AA774" s="1749">
        <f t="shared" si="463"/>
        <v>1</v>
      </c>
      <c r="AB774" s="1810">
        <f t="shared" si="464"/>
        <v>100</v>
      </c>
      <c r="AC774" s="876"/>
      <c r="AD774" s="1525">
        <f t="shared" si="465"/>
        <v>0</v>
      </c>
      <c r="AE774" s="1525">
        <f t="shared" si="465"/>
        <v>0</v>
      </c>
      <c r="AF774" s="1525">
        <f t="shared" si="465"/>
        <v>0</v>
      </c>
      <c r="AG774" s="1525">
        <f t="shared" si="465"/>
        <v>0</v>
      </c>
      <c r="AH774" s="1525">
        <f t="shared" si="465"/>
        <v>0</v>
      </c>
      <c r="AI774" s="1525">
        <f t="shared" si="465"/>
        <v>0</v>
      </c>
      <c r="AJ774" s="1525">
        <f t="shared" si="465"/>
        <v>1</v>
      </c>
      <c r="AK774" s="1525">
        <f t="shared" si="465"/>
        <v>0</v>
      </c>
      <c r="AL774" s="1525">
        <f t="shared" si="465"/>
        <v>0</v>
      </c>
      <c r="AM774" s="1525">
        <f t="shared" si="465"/>
        <v>0</v>
      </c>
      <c r="AN774" s="1525">
        <f t="shared" si="465"/>
        <v>0</v>
      </c>
      <c r="AO774" s="1525">
        <f t="shared" si="465"/>
        <v>0</v>
      </c>
      <c r="AP774" s="1525">
        <f t="shared" si="465"/>
        <v>0</v>
      </c>
      <c r="AQ774" s="1525">
        <f t="shared" si="465"/>
        <v>0</v>
      </c>
      <c r="AR774" s="1525">
        <f t="shared" si="465"/>
        <v>0</v>
      </c>
      <c r="AS774" s="1525">
        <f t="shared" si="465"/>
        <v>0</v>
      </c>
      <c r="AU774" s="1525"/>
      <c r="AV774" s="1291"/>
      <c r="AW774" s="1292"/>
      <c r="AX774" s="1292"/>
      <c r="AY774" s="1292"/>
      <c r="AZ774" s="1292"/>
      <c r="BA774" s="1292"/>
      <c r="BB774" s="1292"/>
      <c r="BC774" s="1292"/>
      <c r="BD774" s="1292"/>
      <c r="BE774" s="1292"/>
      <c r="BF774" s="1292"/>
      <c r="BG774" s="1292"/>
      <c r="BH774" s="1292">
        <v>1</v>
      </c>
      <c r="BI774" s="1292"/>
      <c r="BJ774" s="1292"/>
      <c r="BK774" s="1292"/>
      <c r="BL774" s="1292"/>
      <c r="BM774" s="1292"/>
      <c r="BN774" s="1292"/>
      <c r="BO774" s="1292"/>
      <c r="BP774" s="1292"/>
      <c r="BQ774" s="1292"/>
      <c r="BR774" s="1292"/>
      <c r="BS774" s="1292"/>
      <c r="BT774" s="1670">
        <f t="shared" si="466"/>
        <v>1</v>
      </c>
      <c r="BW774" s="856" t="s">
        <v>885</v>
      </c>
    </row>
    <row r="775" spans="2:75" ht="12.75" customHeight="1" x14ac:dyDescent="0.2">
      <c r="B775" s="175">
        <f>B774+1</f>
        <v>5</v>
      </c>
      <c r="C775" s="219">
        <v>14</v>
      </c>
      <c r="E775" s="12" t="s">
        <v>298</v>
      </c>
      <c r="F775" s="1" t="s">
        <v>626</v>
      </c>
      <c r="G775" s="856" t="s">
        <v>524</v>
      </c>
      <c r="H775" s="858">
        <v>212279</v>
      </c>
      <c r="I775" s="172" t="s">
        <v>583</v>
      </c>
      <c r="J775" s="168"/>
      <c r="K775" s="168"/>
      <c r="L775" s="841">
        <v>1</v>
      </c>
      <c r="M775" s="858">
        <v>1</v>
      </c>
      <c r="N775" s="857" t="s">
        <v>892</v>
      </c>
      <c r="O775" s="1196">
        <v>26071</v>
      </c>
      <c r="P775" s="1218">
        <f t="shared" ca="1" si="459"/>
        <v>46.37222222222222</v>
      </c>
      <c r="Q775" s="1148">
        <v>17400</v>
      </c>
      <c r="R775" s="874"/>
      <c r="S775" s="875"/>
      <c r="T775" s="875"/>
      <c r="U775" s="875">
        <v>3000</v>
      </c>
      <c r="V775" s="875"/>
      <c r="W775" s="875"/>
      <c r="X775" s="1026">
        <f t="shared" si="460"/>
        <v>20400</v>
      </c>
      <c r="Y775" s="1512">
        <f t="shared" si="461"/>
        <v>0.17241379310344829</v>
      </c>
      <c r="Z775" s="1741">
        <f t="shared" si="462"/>
        <v>1.1724137931034484</v>
      </c>
      <c r="AA775" s="1749">
        <f t="shared" si="463"/>
        <v>1.17</v>
      </c>
      <c r="AB775" s="1810">
        <f t="shared" si="464"/>
        <v>99.794117647058812</v>
      </c>
      <c r="AC775" s="876"/>
      <c r="AD775" s="1525">
        <f t="shared" si="465"/>
        <v>0.5</v>
      </c>
      <c r="AE775" s="1525">
        <f t="shared" si="465"/>
        <v>0</v>
      </c>
      <c r="AF775" s="1525">
        <f t="shared" si="465"/>
        <v>0</v>
      </c>
      <c r="AG775" s="1525">
        <f t="shared" si="465"/>
        <v>0</v>
      </c>
      <c r="AH775" s="1525">
        <f t="shared" si="465"/>
        <v>0</v>
      </c>
      <c r="AI775" s="1525">
        <f t="shared" si="465"/>
        <v>0</v>
      </c>
      <c r="AJ775" s="1525">
        <f t="shared" si="465"/>
        <v>0.67</v>
      </c>
      <c r="AK775" s="1525">
        <f t="shared" si="465"/>
        <v>0</v>
      </c>
      <c r="AL775" s="1525">
        <f t="shared" si="465"/>
        <v>0</v>
      </c>
      <c r="AM775" s="1525">
        <f t="shared" si="465"/>
        <v>0</v>
      </c>
      <c r="AN775" s="1525">
        <f t="shared" si="465"/>
        <v>0</v>
      </c>
      <c r="AO775" s="1525">
        <f t="shared" si="465"/>
        <v>0</v>
      </c>
      <c r="AP775" s="1525">
        <f t="shared" si="465"/>
        <v>0</v>
      </c>
      <c r="AQ775" s="1525">
        <f t="shared" si="465"/>
        <v>0</v>
      </c>
      <c r="AR775" s="1525">
        <f t="shared" si="465"/>
        <v>0</v>
      </c>
      <c r="AS775" s="1525">
        <f t="shared" si="465"/>
        <v>0</v>
      </c>
      <c r="AU775" s="1525"/>
      <c r="AV775" s="1291"/>
      <c r="AW775" s="1292"/>
      <c r="AX775" s="1292"/>
      <c r="AY775" s="1292"/>
      <c r="AZ775" s="1292"/>
      <c r="BA775" s="1292"/>
      <c r="BB775" s="1292"/>
      <c r="BC775" s="1292"/>
      <c r="BD775" s="1292"/>
      <c r="BE775" s="1292"/>
      <c r="BF775" s="1292"/>
      <c r="BG775" s="1292"/>
      <c r="BH775" s="1292">
        <v>0.17</v>
      </c>
      <c r="BI775" s="1292">
        <v>0.5</v>
      </c>
      <c r="BJ775" s="1292"/>
      <c r="BK775" s="1292"/>
      <c r="BL775" s="1292"/>
      <c r="BM775" s="1292"/>
      <c r="BN775" s="1292"/>
      <c r="BO775" s="1292"/>
      <c r="BP775" s="1292"/>
      <c r="BQ775" s="1292"/>
      <c r="BR775" s="1292"/>
      <c r="BS775" s="1292">
        <v>0.5</v>
      </c>
      <c r="BT775" s="1670">
        <f t="shared" si="466"/>
        <v>1.17</v>
      </c>
      <c r="BW775" s="856" t="s">
        <v>524</v>
      </c>
    </row>
    <row r="776" spans="2:75" ht="12.75" customHeight="1" x14ac:dyDescent="0.2">
      <c r="B776" s="175">
        <f t="shared" ref="B776:B778" si="467">B775+1</f>
        <v>6</v>
      </c>
      <c r="C776" s="219">
        <v>14</v>
      </c>
      <c r="E776" s="12" t="s">
        <v>298</v>
      </c>
      <c r="F776" s="1" t="s">
        <v>626</v>
      </c>
      <c r="G776" s="856" t="s">
        <v>1515</v>
      </c>
      <c r="H776" s="858">
        <v>162335</v>
      </c>
      <c r="I776" s="172" t="s">
        <v>351</v>
      </c>
      <c r="J776" s="168"/>
      <c r="K776" s="168"/>
      <c r="L776" s="841">
        <v>0.5</v>
      </c>
      <c r="M776" s="858">
        <v>0.5</v>
      </c>
      <c r="N776" s="855" t="s">
        <v>892</v>
      </c>
      <c r="O776" s="1196">
        <v>16484</v>
      </c>
      <c r="P776" s="1218">
        <f ca="1">YEARFRAC(TODAY(),O776)</f>
        <v>72.62777777777778</v>
      </c>
      <c r="Q776" s="1148">
        <v>32000</v>
      </c>
      <c r="R776" s="874"/>
      <c r="S776" s="875"/>
      <c r="T776" s="875">
        <v>8000</v>
      </c>
      <c r="U776" s="875"/>
      <c r="V776" s="875"/>
      <c r="W776" s="875"/>
      <c r="X776" s="1026">
        <f t="shared" si="460"/>
        <v>20000</v>
      </c>
      <c r="Y776" s="1512">
        <f t="shared" si="461"/>
        <v>0.25</v>
      </c>
      <c r="Z776" s="1741">
        <f t="shared" si="462"/>
        <v>0.625</v>
      </c>
      <c r="AA776" s="1749">
        <f t="shared" si="463"/>
        <v>0.2</v>
      </c>
      <c r="AB776" s="1810">
        <f t="shared" si="464"/>
        <v>32</v>
      </c>
      <c r="AC776" s="876"/>
      <c r="AD776" s="1525">
        <f t="shared" si="465"/>
        <v>0</v>
      </c>
      <c r="AE776" s="1525">
        <f t="shared" si="465"/>
        <v>0</v>
      </c>
      <c r="AF776" s="1525">
        <f t="shared" si="465"/>
        <v>0</v>
      </c>
      <c r="AG776" s="1525">
        <f t="shared" si="465"/>
        <v>0</v>
      </c>
      <c r="AH776" s="1525">
        <f t="shared" si="465"/>
        <v>0</v>
      </c>
      <c r="AI776" s="1525">
        <f t="shared" si="465"/>
        <v>0</v>
      </c>
      <c r="AJ776" s="1525">
        <f t="shared" si="465"/>
        <v>0.2</v>
      </c>
      <c r="AK776" s="1525">
        <f t="shared" si="465"/>
        <v>0</v>
      </c>
      <c r="AL776" s="1525">
        <f t="shared" si="465"/>
        <v>0</v>
      </c>
      <c r="AM776" s="1525">
        <f t="shared" si="465"/>
        <v>0</v>
      </c>
      <c r="AN776" s="1525">
        <f t="shared" si="465"/>
        <v>0</v>
      </c>
      <c r="AO776" s="1525">
        <f t="shared" si="465"/>
        <v>0</v>
      </c>
      <c r="AP776" s="1525">
        <f t="shared" si="465"/>
        <v>0</v>
      </c>
      <c r="AQ776" s="1525">
        <f t="shared" si="465"/>
        <v>0</v>
      </c>
      <c r="AR776" s="1525">
        <f t="shared" si="465"/>
        <v>0</v>
      </c>
      <c r="AS776" s="1525">
        <f t="shared" si="465"/>
        <v>0</v>
      </c>
      <c r="AU776" s="1525"/>
      <c r="AV776" s="1291"/>
      <c r="AW776" s="1292"/>
      <c r="AX776" s="1292"/>
      <c r="AY776" s="1292"/>
      <c r="AZ776" s="1292"/>
      <c r="BA776" s="1292"/>
      <c r="BB776" s="1292"/>
      <c r="BC776" s="1292"/>
      <c r="BD776" s="1292"/>
      <c r="BE776" s="1292"/>
      <c r="BF776" s="1292"/>
      <c r="BG776" s="1292">
        <v>0.1</v>
      </c>
      <c r="BH776" s="1292">
        <v>0.1</v>
      </c>
      <c r="BI776" s="1292"/>
      <c r="BJ776" s="1292"/>
      <c r="BK776" s="1292"/>
      <c r="BL776" s="1292"/>
      <c r="BM776" s="1292"/>
      <c r="BN776" s="1292"/>
      <c r="BO776" s="1292"/>
      <c r="BP776" s="1292"/>
      <c r="BQ776" s="1292"/>
      <c r="BR776" s="1292"/>
      <c r="BS776" s="1292"/>
      <c r="BT776" s="1670">
        <f t="shared" si="466"/>
        <v>0.2</v>
      </c>
      <c r="BW776" s="856" t="s">
        <v>1515</v>
      </c>
    </row>
    <row r="777" spans="2:75" ht="12.75" customHeight="1" x14ac:dyDescent="0.2">
      <c r="B777" s="175">
        <f t="shared" si="467"/>
        <v>7</v>
      </c>
      <c r="C777" s="219">
        <v>18</v>
      </c>
      <c r="E777" s="12" t="s">
        <v>298</v>
      </c>
      <c r="F777" s="1" t="s">
        <v>217</v>
      </c>
      <c r="G777" s="856" t="s">
        <v>887</v>
      </c>
      <c r="H777" s="858">
        <v>7427</v>
      </c>
      <c r="I777" s="172" t="s">
        <v>886</v>
      </c>
      <c r="J777" s="168"/>
      <c r="K777" s="168"/>
      <c r="L777" s="841">
        <v>1</v>
      </c>
      <c r="M777" s="858">
        <f>K777+L777</f>
        <v>1</v>
      </c>
      <c r="N777" s="855" t="s">
        <v>892</v>
      </c>
      <c r="O777" s="1196">
        <v>14792</v>
      </c>
      <c r="P777" s="1218">
        <f t="shared" ca="1" si="459"/>
        <v>77.25555555555556</v>
      </c>
      <c r="Q777" s="1148">
        <v>24000</v>
      </c>
      <c r="R777" s="874"/>
      <c r="S777" s="875"/>
      <c r="T777" s="875"/>
      <c r="U777" s="875"/>
      <c r="V777" s="875"/>
      <c r="W777" s="875"/>
      <c r="X777" s="1026">
        <f t="shared" si="460"/>
        <v>24000</v>
      </c>
      <c r="Y777" s="1512">
        <f t="shared" si="461"/>
        <v>0</v>
      </c>
      <c r="Z777" s="1741">
        <f t="shared" si="462"/>
        <v>1</v>
      </c>
      <c r="AA777" s="1749">
        <f t="shared" si="463"/>
        <v>0</v>
      </c>
      <c r="AB777" s="1810">
        <f t="shared" si="464"/>
        <v>0</v>
      </c>
      <c r="AC777" s="876"/>
      <c r="AD777" s="1525">
        <f t="shared" si="465"/>
        <v>0</v>
      </c>
      <c r="AE777" s="1525">
        <f t="shared" si="465"/>
        <v>0</v>
      </c>
      <c r="AF777" s="1525">
        <f t="shared" si="465"/>
        <v>0</v>
      </c>
      <c r="AG777" s="1525">
        <f t="shared" si="465"/>
        <v>0</v>
      </c>
      <c r="AH777" s="1525">
        <f t="shared" si="465"/>
        <v>0</v>
      </c>
      <c r="AI777" s="1525">
        <f t="shared" si="465"/>
        <v>0</v>
      </c>
      <c r="AJ777" s="1525">
        <f t="shared" si="465"/>
        <v>0</v>
      </c>
      <c r="AK777" s="1525">
        <f t="shared" si="465"/>
        <v>0</v>
      </c>
      <c r="AL777" s="1525">
        <f t="shared" si="465"/>
        <v>0</v>
      </c>
      <c r="AM777" s="1525">
        <f t="shared" si="465"/>
        <v>0</v>
      </c>
      <c r="AN777" s="1525">
        <f t="shared" si="465"/>
        <v>0</v>
      </c>
      <c r="AO777" s="1525">
        <f t="shared" si="465"/>
        <v>0</v>
      </c>
      <c r="AP777" s="1525">
        <f t="shared" si="465"/>
        <v>0</v>
      </c>
      <c r="AQ777" s="1525">
        <f t="shared" si="465"/>
        <v>0</v>
      </c>
      <c r="AR777" s="1525">
        <f t="shared" si="465"/>
        <v>0</v>
      </c>
      <c r="AS777" s="1525">
        <f t="shared" si="465"/>
        <v>0</v>
      </c>
      <c r="AU777" s="1525"/>
      <c r="AV777" s="1291"/>
      <c r="AW777" s="1292"/>
      <c r="AX777" s="1292"/>
      <c r="AY777" s="1292"/>
      <c r="AZ777" s="1292"/>
      <c r="BA777" s="1292"/>
      <c r="BB777" s="1292"/>
      <c r="BC777" s="1292"/>
      <c r="BD777" s="1292"/>
      <c r="BE777" s="1292"/>
      <c r="BF777" s="1292"/>
      <c r="BG777" s="1292"/>
      <c r="BH777" s="1292"/>
      <c r="BI777" s="1292"/>
      <c r="BJ777" s="1292"/>
      <c r="BK777" s="1292"/>
      <c r="BL777" s="1292"/>
      <c r="BM777" s="1292"/>
      <c r="BN777" s="1292"/>
      <c r="BO777" s="1292"/>
      <c r="BP777" s="1292"/>
      <c r="BQ777" s="1292"/>
      <c r="BR777" s="1292"/>
      <c r="BS777" s="1292"/>
      <c r="BT777" s="1670">
        <f t="shared" si="466"/>
        <v>0</v>
      </c>
      <c r="BW777" s="856" t="s">
        <v>887</v>
      </c>
    </row>
    <row r="778" spans="2:75" ht="12.75" customHeight="1" x14ac:dyDescent="0.2">
      <c r="B778" s="175">
        <f t="shared" si="467"/>
        <v>8</v>
      </c>
      <c r="C778" s="219">
        <v>18</v>
      </c>
      <c r="E778" s="12" t="s">
        <v>298</v>
      </c>
      <c r="F778" s="42" t="s">
        <v>888</v>
      </c>
      <c r="G778" s="945" t="s">
        <v>1315</v>
      </c>
      <c r="H778" s="873">
        <v>225151</v>
      </c>
      <c r="I778" s="176" t="s">
        <v>886</v>
      </c>
      <c r="J778" s="177">
        <v>2</v>
      </c>
      <c r="K778" s="177"/>
      <c r="L778" s="944">
        <v>0.5</v>
      </c>
      <c r="M778" s="873">
        <v>0.5</v>
      </c>
      <c r="N778" s="940" t="s">
        <v>892</v>
      </c>
      <c r="O778" s="1196">
        <v>25535</v>
      </c>
      <c r="P778" s="1218">
        <f t="shared" ca="1" si="459"/>
        <v>47.844444444444441</v>
      </c>
      <c r="Q778" s="1071">
        <v>24000</v>
      </c>
      <c r="R778" s="890"/>
      <c r="S778" s="891"/>
      <c r="T778" s="891"/>
      <c r="U778" s="891"/>
      <c r="V778" s="891"/>
      <c r="W778" s="891">
        <f>ROUND(Q778*0.27,0)</f>
        <v>6480</v>
      </c>
      <c r="X778" s="1026">
        <f t="shared" si="460"/>
        <v>15240</v>
      </c>
      <c r="Y778" s="1512">
        <f t="shared" ref="Y778" si="468">(T778+U778+W778)*M778/(X778-M778*(T778+U778+W778))</f>
        <v>0.27</v>
      </c>
      <c r="Z778" s="1741">
        <f t="shared" si="462"/>
        <v>0.63500000000000001</v>
      </c>
      <c r="AA778" s="1749">
        <f t="shared" si="463"/>
        <v>0</v>
      </c>
      <c r="AB778" s="1810">
        <f t="shared" si="464"/>
        <v>0</v>
      </c>
      <c r="AC778" s="876"/>
      <c r="AD778" s="1525">
        <f t="shared" si="465"/>
        <v>0</v>
      </c>
      <c r="AE778" s="1525">
        <f t="shared" si="465"/>
        <v>0</v>
      </c>
      <c r="AF778" s="1525">
        <f t="shared" si="465"/>
        <v>0</v>
      </c>
      <c r="AG778" s="1525">
        <f t="shared" si="465"/>
        <v>0</v>
      </c>
      <c r="AH778" s="1525">
        <f t="shared" si="465"/>
        <v>0</v>
      </c>
      <c r="AI778" s="1525">
        <f t="shared" si="465"/>
        <v>0</v>
      </c>
      <c r="AJ778" s="1525">
        <f t="shared" si="465"/>
        <v>0</v>
      </c>
      <c r="AK778" s="1525">
        <f t="shared" si="465"/>
        <v>0</v>
      </c>
      <c r="AL778" s="1525">
        <f t="shared" si="465"/>
        <v>0</v>
      </c>
      <c r="AM778" s="1525">
        <f t="shared" si="465"/>
        <v>0</v>
      </c>
      <c r="AN778" s="1525">
        <f t="shared" si="465"/>
        <v>0</v>
      </c>
      <c r="AO778" s="1525">
        <f t="shared" si="465"/>
        <v>0</v>
      </c>
      <c r="AP778" s="1525">
        <f t="shared" si="465"/>
        <v>0</v>
      </c>
      <c r="AQ778" s="1525">
        <f t="shared" si="465"/>
        <v>0</v>
      </c>
      <c r="AR778" s="1525">
        <f t="shared" si="465"/>
        <v>0</v>
      </c>
      <c r="AS778" s="1525">
        <f t="shared" si="465"/>
        <v>0</v>
      </c>
      <c r="AU778" s="1525"/>
      <c r="AV778" s="1291"/>
      <c r="AW778" s="1292"/>
      <c r="AX778" s="1292"/>
      <c r="AY778" s="1292"/>
      <c r="AZ778" s="1292"/>
      <c r="BA778" s="1292"/>
      <c r="BB778" s="1292"/>
      <c r="BC778" s="1292"/>
      <c r="BD778" s="1292"/>
      <c r="BE778" s="1292"/>
      <c r="BF778" s="1292"/>
      <c r="BG778" s="1292"/>
      <c r="BH778" s="1292"/>
      <c r="BI778" s="1292"/>
      <c r="BJ778" s="1292"/>
      <c r="BK778" s="1292"/>
      <c r="BL778" s="1292"/>
      <c r="BM778" s="1292"/>
      <c r="BN778" s="1292"/>
      <c r="BO778" s="1292"/>
      <c r="BP778" s="1292"/>
      <c r="BQ778" s="1292"/>
      <c r="BR778" s="1292"/>
      <c r="BS778" s="1292"/>
      <c r="BT778" s="1670">
        <f t="shared" si="466"/>
        <v>0</v>
      </c>
      <c r="BW778" s="945" t="s">
        <v>1315</v>
      </c>
    </row>
    <row r="779" spans="2:75" ht="12.75" customHeight="1" x14ac:dyDescent="0.2">
      <c r="B779" s="175"/>
      <c r="C779" s="219"/>
      <c r="E779" s="12"/>
      <c r="F779" s="37"/>
      <c r="G779" s="913"/>
      <c r="H779" s="861"/>
      <c r="I779" s="180"/>
      <c r="J779" s="173"/>
      <c r="K779" s="173"/>
      <c r="L779" s="893"/>
      <c r="M779" s="861"/>
      <c r="N779" s="832"/>
      <c r="O779" s="1196"/>
      <c r="P779" s="1218"/>
      <c r="Q779" s="1148"/>
      <c r="R779" s="874"/>
      <c r="S779" s="876"/>
      <c r="T779" s="876"/>
      <c r="U779" s="876"/>
      <c r="V779" s="876"/>
      <c r="W779" s="876"/>
      <c r="X779" s="1026"/>
      <c r="Y779" s="1335"/>
      <c r="Z779" s="1335"/>
      <c r="AA779" s="1775"/>
      <c r="AB779" s="1814"/>
      <c r="AC779" s="876"/>
      <c r="AD779" s="1525"/>
      <c r="AE779" s="1525"/>
      <c r="AF779" s="1525"/>
      <c r="AG779" s="1525"/>
      <c r="AH779" s="1525"/>
      <c r="AI779" s="1525"/>
      <c r="AJ779" s="1525"/>
      <c r="AK779" s="1525"/>
      <c r="AL779" s="1525"/>
      <c r="AM779" s="1525"/>
      <c r="AN779" s="1525"/>
      <c r="AO779" s="1525"/>
      <c r="AP779" s="1525"/>
      <c r="AQ779" s="1525"/>
      <c r="AR779" s="1525"/>
      <c r="AS779" s="1525"/>
      <c r="AU779" s="1525"/>
      <c r="AV779" s="1291"/>
      <c r="AW779" s="1292"/>
      <c r="AX779" s="1292"/>
      <c r="AY779" s="1292"/>
      <c r="AZ779" s="1292"/>
      <c r="BA779" s="1292"/>
      <c r="BB779" s="1292"/>
      <c r="BC779" s="1292"/>
      <c r="BD779" s="1292"/>
      <c r="BE779" s="1292"/>
      <c r="BF779" s="1292"/>
      <c r="BG779" s="1292"/>
      <c r="BH779" s="1292"/>
      <c r="BI779" s="1292"/>
      <c r="BJ779" s="1292"/>
      <c r="BK779" s="1292"/>
      <c r="BL779" s="1292"/>
      <c r="BM779" s="1292"/>
      <c r="BN779" s="1292"/>
      <c r="BO779" s="1292"/>
      <c r="BP779" s="1292"/>
      <c r="BQ779" s="1292"/>
      <c r="BR779" s="1292"/>
      <c r="BS779" s="1292"/>
      <c r="BT779" s="1670"/>
      <c r="BW779" s="913"/>
    </row>
    <row r="780" spans="2:75" s="164" customFormat="1" ht="12.75" customHeight="1" x14ac:dyDescent="0.15">
      <c r="B780" s="175"/>
      <c r="C780" s="219"/>
      <c r="F780" s="1118" t="s">
        <v>436</v>
      </c>
      <c r="G780" s="856"/>
      <c r="H780" s="1346" t="s">
        <v>1508</v>
      </c>
      <c r="I780" s="172"/>
      <c r="J780" s="168"/>
      <c r="K780" s="190"/>
      <c r="L780" s="858"/>
      <c r="M780" s="858"/>
      <c r="N780" s="855"/>
      <c r="O780" s="1200"/>
      <c r="P780" s="550"/>
      <c r="Q780" s="1153"/>
      <c r="R780" s="877"/>
      <c r="S780" s="875"/>
      <c r="T780" s="875"/>
      <c r="U780" s="875"/>
      <c r="V780" s="875"/>
      <c r="W780" s="875"/>
      <c r="X780" s="1026"/>
      <c r="Y780" s="1754"/>
      <c r="Z780" s="1755"/>
      <c r="AA780" s="1775"/>
      <c r="AB780" s="1814"/>
      <c r="AC780" s="876"/>
      <c r="AD780" s="1295"/>
      <c r="AE780" s="1525"/>
      <c r="AF780" s="1525"/>
      <c r="AG780" s="1525"/>
      <c r="AH780" s="1525"/>
      <c r="AI780" s="1525"/>
      <c r="AJ780" s="1525"/>
      <c r="AK780" s="1525"/>
      <c r="AL780" s="1525"/>
      <c r="AM780" s="1525"/>
      <c r="AN780" s="1525"/>
      <c r="AO780" s="1525"/>
      <c r="AP780" s="1525"/>
      <c r="AQ780" s="1525"/>
      <c r="AR780" s="1525"/>
      <c r="AS780" s="1525"/>
      <c r="AU780" s="1525"/>
      <c r="AV780" s="1295"/>
      <c r="AW780" s="1525"/>
      <c r="AX780" s="1525"/>
      <c r="AY780" s="1525"/>
      <c r="AZ780" s="1525"/>
      <c r="BA780" s="1525"/>
      <c r="BB780" s="1525"/>
      <c r="BC780" s="1525"/>
      <c r="BD780" s="1525"/>
      <c r="BE780" s="1525"/>
      <c r="BF780" s="1525"/>
      <c r="BG780" s="1525"/>
      <c r="BH780" s="1525"/>
      <c r="BI780" s="1525"/>
      <c r="BJ780" s="1525"/>
      <c r="BK780" s="1525"/>
      <c r="BL780" s="1525"/>
      <c r="BM780" s="1525"/>
      <c r="BN780" s="1525"/>
      <c r="BO780" s="1525"/>
      <c r="BP780" s="1525"/>
      <c r="BQ780" s="1525"/>
      <c r="BR780" s="1525"/>
      <c r="BS780" s="1525"/>
      <c r="BT780" s="1670"/>
      <c r="BV780"/>
      <c r="BW780" s="856"/>
    </row>
    <row r="781" spans="2:75" ht="12.75" customHeight="1" x14ac:dyDescent="0.2">
      <c r="B781" s="175">
        <f>B780+1</f>
        <v>1</v>
      </c>
      <c r="C781" s="219">
        <v>7</v>
      </c>
      <c r="E781" s="12" t="s">
        <v>298</v>
      </c>
      <c r="F781" s="37" t="s">
        <v>1334</v>
      </c>
      <c r="G781" s="913" t="s">
        <v>1624</v>
      </c>
      <c r="H781" s="861">
        <v>17914</v>
      </c>
      <c r="I781" s="180" t="s">
        <v>351</v>
      </c>
      <c r="J781" s="173"/>
      <c r="K781" s="173">
        <v>1</v>
      </c>
      <c r="L781" s="893"/>
      <c r="M781" s="861">
        <f>K781+L781</f>
        <v>1</v>
      </c>
      <c r="N781" s="832" t="s">
        <v>1326</v>
      </c>
      <c r="O781" s="1196">
        <v>21487</v>
      </c>
      <c r="P781" s="1218">
        <f ca="1">YEARFRAC(TODAY(),O781)</f>
        <v>58.924999999999997</v>
      </c>
      <c r="Q781" s="1148">
        <v>35300</v>
      </c>
      <c r="R781" s="874">
        <f>Q781*0.1</f>
        <v>3530</v>
      </c>
      <c r="S781" s="875">
        <v>3000</v>
      </c>
      <c r="T781" s="875"/>
      <c r="U781" s="875"/>
      <c r="V781" s="875"/>
      <c r="W781" s="875"/>
      <c r="X781" s="1026">
        <f>(Q781+R781+S781+T781+U781+V781+W781)*M781</f>
        <v>41830</v>
      </c>
      <c r="Y781" s="1512">
        <f>(T781+U781)*M781/(X781-M781*(T781+U781))</f>
        <v>0</v>
      </c>
      <c r="Z781" s="1741">
        <f>M781*(1+Y781)</f>
        <v>1</v>
      </c>
      <c r="AA781" s="1749">
        <f>SUM(AD781:AS781)</f>
        <v>1</v>
      </c>
      <c r="AB781" s="1810">
        <f t="shared" ref="AB781" si="469">100*AA781/Z781</f>
        <v>100</v>
      </c>
      <c r="AC781" s="876"/>
      <c r="AD781" s="1613">
        <f>1+SUMIF($AV$6:$BS$6,AD$5,$AV781:$BS781)</f>
        <v>1</v>
      </c>
      <c r="AE781" s="1525">
        <f t="shared" ref="AE781:AS781" si="470">SUMIF($AV$6:$BS$6,AE$5,$AV781:$BS781)</f>
        <v>0</v>
      </c>
      <c r="AF781" s="1525">
        <f t="shared" si="470"/>
        <v>0</v>
      </c>
      <c r="AG781" s="1525">
        <f t="shared" si="470"/>
        <v>0</v>
      </c>
      <c r="AH781" s="1525">
        <f t="shared" si="470"/>
        <v>0</v>
      </c>
      <c r="AI781" s="1525">
        <f t="shared" si="470"/>
        <v>0</v>
      </c>
      <c r="AJ781" s="1525">
        <f t="shared" si="470"/>
        <v>0</v>
      </c>
      <c r="AK781" s="1525">
        <f t="shared" si="470"/>
        <v>0</v>
      </c>
      <c r="AL781" s="1525">
        <f t="shared" si="470"/>
        <v>0</v>
      </c>
      <c r="AM781" s="1525">
        <f t="shared" si="470"/>
        <v>0</v>
      </c>
      <c r="AN781" s="1525">
        <f t="shared" si="470"/>
        <v>0</v>
      </c>
      <c r="AO781" s="1525">
        <f t="shared" si="470"/>
        <v>0</v>
      </c>
      <c r="AP781" s="1525">
        <f t="shared" si="470"/>
        <v>0</v>
      </c>
      <c r="AQ781" s="1525">
        <f t="shared" si="470"/>
        <v>0</v>
      </c>
      <c r="AR781" s="1525">
        <f t="shared" si="470"/>
        <v>0</v>
      </c>
      <c r="AS781" s="1525">
        <f t="shared" si="470"/>
        <v>0</v>
      </c>
      <c r="AU781" s="1525"/>
      <c r="AV781" s="1291"/>
      <c r="AW781" s="1292"/>
      <c r="AX781" s="1292"/>
      <c r="AY781" s="1292"/>
      <c r="AZ781" s="1292"/>
      <c r="BA781" s="1292"/>
      <c r="BB781" s="1292"/>
      <c r="BC781" s="1292"/>
      <c r="BD781" s="1292"/>
      <c r="BE781" s="1292"/>
      <c r="BF781" s="1292"/>
      <c r="BG781" s="1292"/>
      <c r="BH781" s="1292"/>
      <c r="BI781" s="1292"/>
      <c r="BJ781" s="1292"/>
      <c r="BK781" s="1292"/>
      <c r="BL781" s="1292"/>
      <c r="BM781" s="1292"/>
      <c r="BN781" s="1292"/>
      <c r="BO781" s="1292"/>
      <c r="BP781" s="1292"/>
      <c r="BQ781" s="1292"/>
      <c r="BR781" s="1292"/>
      <c r="BS781" s="1292"/>
      <c r="BT781" s="1670">
        <f t="shared" ref="BT781" si="471">SUM(AV781:BS781)</f>
        <v>0</v>
      </c>
      <c r="BV781" t="s">
        <v>2072</v>
      </c>
      <c r="BW781" s="913" t="s">
        <v>1624</v>
      </c>
    </row>
    <row r="782" spans="2:75" ht="12.75" customHeight="1" x14ac:dyDescent="0.2">
      <c r="B782" s="175"/>
      <c r="C782" s="219"/>
      <c r="E782" s="12"/>
      <c r="F782" s="37"/>
      <c r="G782" s="913"/>
      <c r="H782" s="861"/>
      <c r="I782" s="180"/>
      <c r="J782" s="173"/>
      <c r="K782" s="173"/>
      <c r="L782" s="893"/>
      <c r="M782" s="861"/>
      <c r="N782" s="832"/>
      <c r="O782" s="1196"/>
      <c r="P782" s="1218"/>
      <c r="Q782" s="1148"/>
      <c r="R782" s="874"/>
      <c r="S782" s="876"/>
      <c r="T782" s="876"/>
      <c r="U782" s="876"/>
      <c r="V782" s="876"/>
      <c r="W782" s="876"/>
      <c r="X782" s="1026"/>
      <c r="Y782" s="1335"/>
      <c r="Z782" s="1335"/>
      <c r="AA782" s="1775"/>
      <c r="AB782" s="1814"/>
      <c r="AC782" s="876"/>
      <c r="AD782" s="1525"/>
      <c r="AE782" s="1525"/>
      <c r="AF782" s="1525"/>
      <c r="AG782" s="1525"/>
      <c r="AH782" s="1525"/>
      <c r="AI782" s="1525"/>
      <c r="AJ782" s="1525"/>
      <c r="AK782" s="1525"/>
      <c r="AL782" s="1525"/>
      <c r="AM782" s="1525"/>
      <c r="AN782" s="1525"/>
      <c r="AO782" s="1525"/>
      <c r="AP782" s="1525"/>
      <c r="AQ782" s="1525"/>
      <c r="AR782" s="1525"/>
      <c r="AS782" s="1525"/>
      <c r="AU782" s="1525"/>
      <c r="AV782" s="1291"/>
      <c r="AW782" s="1292"/>
      <c r="AX782" s="1292"/>
      <c r="AY782" s="1292"/>
      <c r="AZ782" s="1292"/>
      <c r="BA782" s="1292"/>
      <c r="BB782" s="1292"/>
      <c r="BC782" s="1292"/>
      <c r="BD782" s="1292"/>
      <c r="BE782" s="1292"/>
      <c r="BF782" s="1292"/>
      <c r="BG782" s="1292"/>
      <c r="BH782" s="1292"/>
      <c r="BI782" s="1292"/>
      <c r="BJ782" s="1292"/>
      <c r="BK782" s="1292"/>
      <c r="BL782" s="1292"/>
      <c r="BM782" s="1292"/>
      <c r="BN782" s="1292"/>
      <c r="BO782" s="1292"/>
      <c r="BP782" s="1292"/>
      <c r="BQ782" s="1292"/>
      <c r="BR782" s="1292"/>
      <c r="BS782" s="1292"/>
      <c r="BT782" s="1670"/>
      <c r="BW782" s="913"/>
    </row>
    <row r="783" spans="2:75" s="164" customFormat="1" ht="12.75" customHeight="1" x14ac:dyDescent="0.15">
      <c r="B783" s="175"/>
      <c r="C783" s="219" t="s">
        <v>1120</v>
      </c>
      <c r="F783" s="37" t="s">
        <v>889</v>
      </c>
      <c r="G783" s="913"/>
      <c r="H783" s="1347" t="s">
        <v>1508</v>
      </c>
      <c r="I783" s="180"/>
      <c r="J783" s="173"/>
      <c r="K783" s="1133">
        <f t="shared" ref="K783:L783" si="472">SUM(K771:K781)</f>
        <v>1</v>
      </c>
      <c r="L783" s="1133">
        <f t="shared" si="472"/>
        <v>7</v>
      </c>
      <c r="M783" s="1133">
        <f>SUM(M771:M781)</f>
        <v>8</v>
      </c>
      <c r="N783" s="832"/>
      <c r="O783" s="1200"/>
      <c r="P783" s="550"/>
      <c r="Q783" s="1153"/>
      <c r="R783" s="877"/>
      <c r="S783" s="875"/>
      <c r="T783" s="875"/>
      <c r="U783" s="875"/>
      <c r="V783" s="875"/>
      <c r="W783" s="875"/>
      <c r="X783" s="1026"/>
      <c r="Y783" s="1335"/>
      <c r="Z783" s="1335"/>
      <c r="AA783" s="1775"/>
      <c r="AB783" s="1814"/>
      <c r="AC783" s="876"/>
      <c r="AD783" s="1295"/>
      <c r="AE783" s="1525"/>
      <c r="AF783" s="1525"/>
      <c r="AG783" s="1525"/>
      <c r="AH783" s="1525"/>
      <c r="AI783" s="1525"/>
      <c r="AJ783" s="1525"/>
      <c r="AK783" s="1525"/>
      <c r="AL783" s="1525"/>
      <c r="AM783" s="1525"/>
      <c r="AN783" s="1525"/>
      <c r="AO783" s="1525"/>
      <c r="AP783" s="1525"/>
      <c r="AQ783" s="1525"/>
      <c r="AR783" s="1525"/>
      <c r="AS783" s="1525"/>
      <c r="AU783" s="1525"/>
      <c r="AV783" s="1295"/>
      <c r="AW783" s="1525"/>
      <c r="AX783" s="1525"/>
      <c r="AY783" s="1525"/>
      <c r="AZ783" s="1525"/>
      <c r="BA783" s="1525"/>
      <c r="BB783" s="1525"/>
      <c r="BC783" s="1525"/>
      <c r="BD783" s="1525"/>
      <c r="BE783" s="1525"/>
      <c r="BF783" s="1525"/>
      <c r="BG783" s="1525"/>
      <c r="BH783" s="1525"/>
      <c r="BI783" s="1525"/>
      <c r="BJ783" s="1525"/>
      <c r="BK783" s="1525"/>
      <c r="BL783" s="1525"/>
      <c r="BM783" s="1525"/>
      <c r="BN783" s="1525"/>
      <c r="BO783" s="1525"/>
      <c r="BP783" s="1525"/>
      <c r="BQ783" s="1525"/>
      <c r="BR783" s="1525"/>
      <c r="BS783" s="1525"/>
      <c r="BT783" s="1670"/>
      <c r="BV783"/>
      <c r="BW783" s="913"/>
    </row>
    <row r="784" spans="2:75" ht="12.75" customHeight="1" x14ac:dyDescent="0.2">
      <c r="B784" s="175"/>
      <c r="C784" s="219"/>
      <c r="E784" s="12"/>
      <c r="F784" s="37"/>
      <c r="G784" s="913"/>
      <c r="H784" s="1347" t="s">
        <v>1508</v>
      </c>
      <c r="I784" s="180"/>
      <c r="J784" s="173"/>
      <c r="K784" s="173"/>
      <c r="L784" s="893"/>
      <c r="M784" s="861"/>
      <c r="N784" s="832"/>
      <c r="O784" s="1194"/>
      <c r="P784" s="1218"/>
      <c r="Q784" s="1148"/>
      <c r="R784" s="874"/>
      <c r="S784" s="875"/>
      <c r="T784" s="875"/>
      <c r="U784" s="875"/>
      <c r="V784" s="875"/>
      <c r="W784" s="875"/>
      <c r="X784" s="1026"/>
      <c r="Y784" s="1754"/>
      <c r="Z784" s="1755"/>
      <c r="AA784" s="1775"/>
      <c r="AB784" s="1814"/>
      <c r="AC784" s="876"/>
      <c r="AD784" s="1295"/>
      <c r="AE784" s="1525"/>
      <c r="AF784" s="1525"/>
      <c r="AG784" s="1525"/>
      <c r="AH784" s="1525"/>
      <c r="AI784" s="1525"/>
      <c r="AJ784" s="1525"/>
      <c r="AK784" s="1525"/>
      <c r="AL784" s="1525"/>
      <c r="AM784" s="1525"/>
      <c r="AN784" s="1525"/>
      <c r="AO784" s="1525"/>
      <c r="AP784" s="1525"/>
      <c r="AQ784" s="1525"/>
      <c r="AR784" s="1525"/>
      <c r="AS784" s="1525"/>
      <c r="AU784" s="1525"/>
      <c r="AV784" s="1291"/>
      <c r="AW784" s="1292"/>
      <c r="AX784" s="1292"/>
      <c r="AY784" s="1292"/>
      <c r="AZ784" s="1292"/>
      <c r="BA784" s="1292"/>
      <c r="BB784" s="1292"/>
      <c r="BC784" s="1292"/>
      <c r="BD784" s="1292"/>
      <c r="BE784" s="1292"/>
      <c r="BF784" s="1292"/>
      <c r="BG784" s="1292"/>
      <c r="BH784" s="1292"/>
      <c r="BI784" s="1292"/>
      <c r="BJ784" s="1292"/>
      <c r="BK784" s="1292"/>
      <c r="BL784" s="1292"/>
      <c r="BM784" s="1292"/>
      <c r="BN784" s="1292"/>
      <c r="BO784" s="1292"/>
      <c r="BP784" s="1292"/>
      <c r="BQ784" s="1292"/>
      <c r="BR784" s="1292"/>
      <c r="BS784" s="1292"/>
      <c r="BT784" s="1670"/>
      <c r="BW784" s="913"/>
    </row>
    <row r="785" spans="2:75" s="164" customFormat="1" ht="12.75" customHeight="1" x14ac:dyDescent="0.15">
      <c r="B785" s="175"/>
      <c r="F785" s="2" t="s">
        <v>1574</v>
      </c>
      <c r="G785" s="856"/>
      <c r="H785" s="1364" t="s">
        <v>1508</v>
      </c>
      <c r="I785" s="172"/>
      <c r="J785" s="168"/>
      <c r="K785" s="168"/>
      <c r="L785" s="841"/>
      <c r="M785" s="841"/>
      <c r="N785" s="855"/>
      <c r="O785" s="1200"/>
      <c r="P785" s="550"/>
      <c r="Q785" s="1148"/>
      <c r="R785" s="874"/>
      <c r="S785" s="875"/>
      <c r="T785" s="875"/>
      <c r="U785" s="875"/>
      <c r="V785" s="875"/>
      <c r="W785" s="875"/>
      <c r="X785" s="1026"/>
      <c r="Y785" s="1754"/>
      <c r="Z785" s="1755"/>
      <c r="AA785" s="1775"/>
      <c r="AB785" s="1814"/>
      <c r="AC785" s="876"/>
      <c r="AD785" s="1295"/>
      <c r="AE785" s="1525"/>
      <c r="AF785" s="1525"/>
      <c r="AG785" s="1525"/>
      <c r="AH785" s="1525"/>
      <c r="AI785" s="1525"/>
      <c r="AJ785" s="1525"/>
      <c r="AK785" s="1525"/>
      <c r="AL785" s="1525"/>
      <c r="AM785" s="1525"/>
      <c r="AN785" s="1525"/>
      <c r="AO785" s="1525"/>
      <c r="AP785" s="1525"/>
      <c r="AQ785" s="1525"/>
      <c r="AR785" s="1525"/>
      <c r="AS785" s="1525"/>
      <c r="AU785" s="1525"/>
      <c r="AV785" s="1295"/>
      <c r="AW785" s="1525"/>
      <c r="AX785" s="1525"/>
      <c r="AY785" s="1525"/>
      <c r="AZ785" s="1525"/>
      <c r="BA785" s="1525"/>
      <c r="BB785" s="1525"/>
      <c r="BC785" s="1525"/>
      <c r="BD785" s="1525"/>
      <c r="BE785" s="1525"/>
      <c r="BF785" s="1525"/>
      <c r="BG785" s="1525"/>
      <c r="BH785" s="1525"/>
      <c r="BI785" s="1525"/>
      <c r="BJ785" s="1525"/>
      <c r="BK785" s="1525"/>
      <c r="BL785" s="1525"/>
      <c r="BM785" s="1525"/>
      <c r="BN785" s="1525"/>
      <c r="BO785" s="1525"/>
      <c r="BP785" s="1525"/>
      <c r="BQ785" s="1525"/>
      <c r="BR785" s="1525"/>
      <c r="BS785" s="1525"/>
      <c r="BT785" s="1670"/>
      <c r="BV785"/>
      <c r="BW785" s="856"/>
    </row>
    <row r="786" spans="2:75" s="164" customFormat="1" ht="12.75" customHeight="1" x14ac:dyDescent="0.15">
      <c r="B786" s="175"/>
      <c r="F786" s="1"/>
      <c r="G786" s="856"/>
      <c r="H786" s="1364" t="s">
        <v>1508</v>
      </c>
      <c r="I786" s="172"/>
      <c r="J786" s="168"/>
      <c r="K786" s="168"/>
      <c r="L786" s="841"/>
      <c r="M786" s="841"/>
      <c r="N786" s="855"/>
      <c r="O786" s="1200"/>
      <c r="P786" s="550"/>
      <c r="Q786" s="1148"/>
      <c r="R786" s="874"/>
      <c r="S786" s="875"/>
      <c r="T786" s="875"/>
      <c r="U786" s="875"/>
      <c r="V786" s="875"/>
      <c r="W786" s="875"/>
      <c r="X786" s="1026"/>
      <c r="Y786" s="1754"/>
      <c r="Z786" s="1755"/>
      <c r="AA786" s="1775"/>
      <c r="AB786" s="1814"/>
      <c r="AC786" s="876"/>
      <c r="AD786" s="1295"/>
      <c r="AE786" s="1525"/>
      <c r="AF786" s="1525"/>
      <c r="AG786" s="1525"/>
      <c r="AH786" s="1525"/>
      <c r="AI786" s="1525"/>
      <c r="AJ786" s="1525"/>
      <c r="AK786" s="1525"/>
      <c r="AL786" s="1525"/>
      <c r="AM786" s="1525"/>
      <c r="AN786" s="1525"/>
      <c r="AO786" s="1525"/>
      <c r="AP786" s="1525"/>
      <c r="AQ786" s="1525"/>
      <c r="AR786" s="1525"/>
      <c r="AS786" s="1525"/>
      <c r="AU786" s="1525"/>
      <c r="AV786" s="1295"/>
      <c r="AW786" s="1525"/>
      <c r="AX786" s="1525"/>
      <c r="AY786" s="1525"/>
      <c r="AZ786" s="1525"/>
      <c r="BA786" s="1525"/>
      <c r="BB786" s="1525"/>
      <c r="BC786" s="1525"/>
      <c r="BD786" s="1525"/>
      <c r="BE786" s="1525"/>
      <c r="BF786" s="1525"/>
      <c r="BG786" s="1525"/>
      <c r="BH786" s="1525"/>
      <c r="BI786" s="1525"/>
      <c r="BJ786" s="1525"/>
      <c r="BK786" s="1525"/>
      <c r="BL786" s="1525"/>
      <c r="BM786" s="1525"/>
      <c r="BN786" s="1525"/>
      <c r="BO786" s="1525"/>
      <c r="BP786" s="1525"/>
      <c r="BQ786" s="1525"/>
      <c r="BR786" s="1525"/>
      <c r="BS786" s="1525"/>
      <c r="BT786" s="1670"/>
      <c r="BV786"/>
      <c r="BW786" s="856"/>
    </row>
    <row r="787" spans="2:75" ht="12.75" customHeight="1" x14ac:dyDescent="0.2">
      <c r="B787" s="175">
        <f>B786+1</f>
        <v>1</v>
      </c>
      <c r="C787" s="573">
        <v>5</v>
      </c>
      <c r="D787" s="574"/>
      <c r="E787" s="572" t="s">
        <v>298</v>
      </c>
      <c r="F787" s="37" t="s">
        <v>166</v>
      </c>
      <c r="G787" s="913" t="s">
        <v>1575</v>
      </c>
      <c r="H787" s="861">
        <v>7954</v>
      </c>
      <c r="I787" s="197" t="s">
        <v>351</v>
      </c>
      <c r="J787" s="168"/>
      <c r="K787" s="173"/>
      <c r="L787" s="893">
        <v>1</v>
      </c>
      <c r="M787" s="861">
        <f>K787+L787</f>
        <v>1</v>
      </c>
      <c r="N787" s="832" t="s">
        <v>1326</v>
      </c>
      <c r="O787" s="1196">
        <v>17754</v>
      </c>
      <c r="P787" s="1218">
        <f ca="1">YEARFRAC(TODAY(),O787)</f>
        <v>69.147222222222226</v>
      </c>
      <c r="Q787" s="1148">
        <v>52100</v>
      </c>
      <c r="R787" s="874">
        <f>Q787*0.1</f>
        <v>5210</v>
      </c>
      <c r="S787" s="875">
        <v>7000</v>
      </c>
      <c r="T787" s="875"/>
      <c r="U787" s="875"/>
      <c r="V787" s="875"/>
      <c r="W787" s="875"/>
      <c r="X787" s="1026">
        <f>(Q787+R787+S787+T787+U787+V787+W787)*M787</f>
        <v>64310</v>
      </c>
      <c r="Y787" s="1512">
        <f>(T787+U787)*M787/(X787-M787*(T787+U787))</f>
        <v>0</v>
      </c>
      <c r="Z787" s="1741">
        <f>M787*(1+Y787)</f>
        <v>1</v>
      </c>
      <c r="AA787" s="1749">
        <f>SUM(AD787:AS787)</f>
        <v>1</v>
      </c>
      <c r="AB787" s="1810">
        <f t="shared" ref="AB787:AB790" si="473">100*AA787/Z787</f>
        <v>100</v>
      </c>
      <c r="AC787" s="876"/>
      <c r="AD787" s="1525">
        <f t="shared" ref="AD787:AS790" si="474">SUMIF($AV$6:$BS$6,AD$5,$AV787:$BS787)</f>
        <v>1</v>
      </c>
      <c r="AE787" s="1525">
        <f t="shared" si="474"/>
        <v>0</v>
      </c>
      <c r="AF787" s="1525">
        <f t="shared" si="474"/>
        <v>0</v>
      </c>
      <c r="AG787" s="1525">
        <f t="shared" si="474"/>
        <v>0</v>
      </c>
      <c r="AH787" s="1525">
        <f t="shared" si="474"/>
        <v>0</v>
      </c>
      <c r="AI787" s="1525">
        <f t="shared" si="474"/>
        <v>0</v>
      </c>
      <c r="AJ787" s="1525">
        <f t="shared" si="474"/>
        <v>0</v>
      </c>
      <c r="AK787" s="1525">
        <f t="shared" si="474"/>
        <v>0</v>
      </c>
      <c r="AL787" s="1525">
        <f t="shared" si="474"/>
        <v>0</v>
      </c>
      <c r="AM787" s="1525">
        <f t="shared" si="474"/>
        <v>0</v>
      </c>
      <c r="AN787" s="1525">
        <f t="shared" si="474"/>
        <v>0</v>
      </c>
      <c r="AO787" s="1525">
        <f t="shared" si="474"/>
        <v>0</v>
      </c>
      <c r="AP787" s="1525">
        <f t="shared" si="474"/>
        <v>0</v>
      </c>
      <c r="AQ787" s="1525">
        <f t="shared" si="474"/>
        <v>0</v>
      </c>
      <c r="AR787" s="1525">
        <f t="shared" si="474"/>
        <v>0</v>
      </c>
      <c r="AS787" s="1525">
        <f t="shared" si="474"/>
        <v>0</v>
      </c>
      <c r="AU787" s="1525"/>
      <c r="AV787" s="1291"/>
      <c r="AW787" s="1292"/>
      <c r="AX787" s="1292"/>
      <c r="AY787" s="1292"/>
      <c r="AZ787" s="1292"/>
      <c r="BA787" s="1292"/>
      <c r="BB787" s="1292"/>
      <c r="BC787" s="1292"/>
      <c r="BD787" s="1292"/>
      <c r="BE787" s="1292"/>
      <c r="BF787" s="1292"/>
      <c r="BG787" s="1292"/>
      <c r="BH787" s="1292"/>
      <c r="BI787" s="1292">
        <v>0.7</v>
      </c>
      <c r="BJ787" s="1292">
        <v>0.3</v>
      </c>
      <c r="BK787" s="1292"/>
      <c r="BL787" s="1292"/>
      <c r="BM787" s="1292"/>
      <c r="BN787" s="1292"/>
      <c r="BO787" s="1292"/>
      <c r="BP787" s="1292"/>
      <c r="BQ787" s="1292"/>
      <c r="BR787" s="1292"/>
      <c r="BS787" s="1292"/>
      <c r="BT787" s="1670">
        <f t="shared" ref="BT787:BT790" si="475">SUM(AV787:BS787)</f>
        <v>1</v>
      </c>
      <c r="BW787" s="913" t="s">
        <v>1575</v>
      </c>
    </row>
    <row r="788" spans="2:75" ht="12.75" customHeight="1" x14ac:dyDescent="0.2">
      <c r="B788" s="175">
        <f t="shared" ref="B788:B800" si="476">B787+1</f>
        <v>2</v>
      </c>
      <c r="C788" s="219">
        <v>6</v>
      </c>
      <c r="E788" s="12" t="s">
        <v>298</v>
      </c>
      <c r="F788" s="1" t="s">
        <v>167</v>
      </c>
      <c r="G788" s="856" t="s">
        <v>1316</v>
      </c>
      <c r="H788" s="858">
        <v>7432</v>
      </c>
      <c r="I788" s="200" t="s">
        <v>351</v>
      </c>
      <c r="J788" s="168"/>
      <c r="K788" s="189"/>
      <c r="L788" s="858">
        <v>0.5</v>
      </c>
      <c r="M788" s="858">
        <v>0.5</v>
      </c>
      <c r="N788" s="855" t="s">
        <v>892</v>
      </c>
      <c r="O788" s="1196">
        <v>11366</v>
      </c>
      <c r="P788" s="1218">
        <f ca="1">YEARFRAC(TODAY(),O788)</f>
        <v>86.638888888888886</v>
      </c>
      <c r="Q788" s="1148">
        <v>51350</v>
      </c>
      <c r="R788" s="874"/>
      <c r="S788" s="875">
        <v>7000</v>
      </c>
      <c r="T788" s="875">
        <v>14200</v>
      </c>
      <c r="U788" s="875"/>
      <c r="V788" s="875"/>
      <c r="W788" s="875"/>
      <c r="X788" s="1026">
        <f>(Q788+R788+S788+T788+U788+V788+W788)*M788</f>
        <v>36275</v>
      </c>
      <c r="Y788" s="1512">
        <f>(T788+U788)*M788/(X788-M788*(T788+U788))</f>
        <v>0.24335904027420738</v>
      </c>
      <c r="Z788" s="1741">
        <f>M788*(1+Y788)</f>
        <v>0.6216795201371037</v>
      </c>
      <c r="AA788" s="1749">
        <f>SUM(AD788:AS788)</f>
        <v>0.5</v>
      </c>
      <c r="AB788" s="1810">
        <f t="shared" si="473"/>
        <v>80.427291523087518</v>
      </c>
      <c r="AC788" s="876"/>
      <c r="AD788" s="1525">
        <f t="shared" si="474"/>
        <v>0.5</v>
      </c>
      <c r="AE788" s="1525">
        <f t="shared" si="474"/>
        <v>0</v>
      </c>
      <c r="AF788" s="1525">
        <f t="shared" si="474"/>
        <v>0</v>
      </c>
      <c r="AG788" s="1525">
        <f t="shared" si="474"/>
        <v>0</v>
      </c>
      <c r="AH788" s="1525">
        <f t="shared" si="474"/>
        <v>0</v>
      </c>
      <c r="AI788" s="1525">
        <f t="shared" si="474"/>
        <v>0</v>
      </c>
      <c r="AJ788" s="1525">
        <f t="shared" si="474"/>
        <v>0</v>
      </c>
      <c r="AK788" s="1525">
        <f t="shared" si="474"/>
        <v>0</v>
      </c>
      <c r="AL788" s="1525">
        <f t="shared" si="474"/>
        <v>0</v>
      </c>
      <c r="AM788" s="1525">
        <f t="shared" si="474"/>
        <v>0</v>
      </c>
      <c r="AN788" s="1525">
        <f t="shared" si="474"/>
        <v>0</v>
      </c>
      <c r="AO788" s="1525">
        <f t="shared" si="474"/>
        <v>0</v>
      </c>
      <c r="AP788" s="1525">
        <f t="shared" si="474"/>
        <v>0</v>
      </c>
      <c r="AQ788" s="1525">
        <f t="shared" si="474"/>
        <v>0</v>
      </c>
      <c r="AR788" s="1525">
        <f t="shared" si="474"/>
        <v>0</v>
      </c>
      <c r="AS788" s="1525">
        <f t="shared" si="474"/>
        <v>0</v>
      </c>
      <c r="AU788" s="1525"/>
      <c r="AV788" s="1291"/>
      <c r="AW788" s="1292"/>
      <c r="AX788" s="1292"/>
      <c r="AY788" s="1292"/>
      <c r="AZ788" s="1292"/>
      <c r="BA788" s="1292"/>
      <c r="BB788" s="1292"/>
      <c r="BC788" s="1292"/>
      <c r="BD788" s="1292"/>
      <c r="BE788" s="1292"/>
      <c r="BF788" s="1292"/>
      <c r="BG788" s="1292"/>
      <c r="BH788" s="1292"/>
      <c r="BI788" s="1292">
        <v>0.2</v>
      </c>
      <c r="BJ788" s="1292">
        <v>0.3</v>
      </c>
      <c r="BK788" s="1292"/>
      <c r="BL788" s="1292"/>
      <c r="BM788" s="1292"/>
      <c r="BN788" s="1292"/>
      <c r="BO788" s="1292"/>
      <c r="BP788" s="1292"/>
      <c r="BQ788" s="1292"/>
      <c r="BR788" s="1292"/>
      <c r="BS788" s="1292"/>
      <c r="BT788" s="1670">
        <f t="shared" si="475"/>
        <v>0.5</v>
      </c>
      <c r="BW788" s="856" t="s">
        <v>1316</v>
      </c>
    </row>
    <row r="789" spans="2:75" ht="12.75" customHeight="1" x14ac:dyDescent="0.2">
      <c r="B789" s="175">
        <f t="shared" si="476"/>
        <v>3</v>
      </c>
      <c r="C789" s="219">
        <v>7</v>
      </c>
      <c r="E789" s="12" t="s">
        <v>298</v>
      </c>
      <c r="F789" s="30" t="s">
        <v>1334</v>
      </c>
      <c r="G789" s="856" t="s">
        <v>1576</v>
      </c>
      <c r="H789" s="858">
        <v>3059</v>
      </c>
      <c r="I789" s="200" t="s">
        <v>351</v>
      </c>
      <c r="J789" s="168"/>
      <c r="K789" s="168"/>
      <c r="L789" s="841">
        <v>1</v>
      </c>
      <c r="M789" s="858">
        <f>K789+L789</f>
        <v>1</v>
      </c>
      <c r="N789" s="855" t="s">
        <v>1573</v>
      </c>
      <c r="O789" s="1196">
        <v>20035</v>
      </c>
      <c r="P789" s="1218">
        <f ca="1">YEARFRAC(TODAY(),O789)</f>
        <v>62.902777777777779</v>
      </c>
      <c r="Q789" s="1148">
        <v>39550</v>
      </c>
      <c r="R789" s="874">
        <f>Q789*0.1</f>
        <v>3955</v>
      </c>
      <c r="S789" s="875">
        <v>3000</v>
      </c>
      <c r="T789" s="875"/>
      <c r="U789" s="875"/>
      <c r="V789" s="875"/>
      <c r="W789" s="875"/>
      <c r="X789" s="1026">
        <f>(Q789+R789+S789+T789+U789+V789+W789)*M789</f>
        <v>46505</v>
      </c>
      <c r="Y789" s="1512">
        <f>(T789+U789)*M789/(X789-M789*(T789+U789))</f>
        <v>0</v>
      </c>
      <c r="Z789" s="1741">
        <f>M789*(1+Y789)</f>
        <v>1</v>
      </c>
      <c r="AA789" s="1749">
        <f>SUM(AD789:AS789)</f>
        <v>1</v>
      </c>
      <c r="AB789" s="1810">
        <f t="shared" si="473"/>
        <v>100</v>
      </c>
      <c r="AC789" s="876"/>
      <c r="AD789" s="1525">
        <f t="shared" si="474"/>
        <v>1</v>
      </c>
      <c r="AE789" s="1525">
        <f t="shared" si="474"/>
        <v>0</v>
      </c>
      <c r="AF789" s="1525">
        <f t="shared" si="474"/>
        <v>0</v>
      </c>
      <c r="AG789" s="1525">
        <f t="shared" si="474"/>
        <v>0</v>
      </c>
      <c r="AH789" s="1525">
        <f t="shared" si="474"/>
        <v>0</v>
      </c>
      <c r="AI789" s="1525">
        <f t="shared" si="474"/>
        <v>0</v>
      </c>
      <c r="AJ789" s="1525">
        <f t="shared" si="474"/>
        <v>0</v>
      </c>
      <c r="AK789" s="1525">
        <f t="shared" si="474"/>
        <v>0</v>
      </c>
      <c r="AL789" s="1525">
        <f t="shared" si="474"/>
        <v>0</v>
      </c>
      <c r="AM789" s="1525">
        <f t="shared" si="474"/>
        <v>0</v>
      </c>
      <c r="AN789" s="1525">
        <f t="shared" si="474"/>
        <v>0</v>
      </c>
      <c r="AO789" s="1525">
        <f t="shared" si="474"/>
        <v>0</v>
      </c>
      <c r="AP789" s="1525">
        <f t="shared" si="474"/>
        <v>0</v>
      </c>
      <c r="AQ789" s="1525">
        <f t="shared" si="474"/>
        <v>0</v>
      </c>
      <c r="AR789" s="1525">
        <f t="shared" si="474"/>
        <v>0</v>
      </c>
      <c r="AS789" s="1525">
        <f t="shared" si="474"/>
        <v>0</v>
      </c>
      <c r="AU789" s="1525"/>
      <c r="AV789" s="1291"/>
      <c r="AW789" s="1292"/>
      <c r="AX789" s="1292"/>
      <c r="AY789" s="1292"/>
      <c r="AZ789" s="1292"/>
      <c r="BA789" s="1292"/>
      <c r="BB789" s="1292"/>
      <c r="BC789" s="1292"/>
      <c r="BD789" s="1292"/>
      <c r="BE789" s="1292"/>
      <c r="BF789" s="1292"/>
      <c r="BG789" s="1292"/>
      <c r="BH789" s="1292"/>
      <c r="BI789" s="1292">
        <v>0.5</v>
      </c>
      <c r="BJ789" s="1292">
        <v>0.5</v>
      </c>
      <c r="BK789" s="1292"/>
      <c r="BL789" s="1292"/>
      <c r="BM789" s="1292"/>
      <c r="BN789" s="1292"/>
      <c r="BO789" s="1292"/>
      <c r="BP789" s="1292"/>
      <c r="BQ789" s="1292"/>
      <c r="BR789" s="1292"/>
      <c r="BS789" s="1292"/>
      <c r="BT789" s="1670">
        <f t="shared" si="475"/>
        <v>1</v>
      </c>
      <c r="BW789" s="856" t="s">
        <v>1576</v>
      </c>
    </row>
    <row r="790" spans="2:75" ht="12.75" customHeight="1" x14ac:dyDescent="0.2">
      <c r="B790" s="175">
        <f t="shared" si="476"/>
        <v>4</v>
      </c>
      <c r="C790" s="220">
        <v>26</v>
      </c>
      <c r="D790" s="170"/>
      <c r="E790" s="447" t="s">
        <v>298</v>
      </c>
      <c r="F790" s="42" t="s">
        <v>41</v>
      </c>
      <c r="G790" s="945" t="s">
        <v>1616</v>
      </c>
      <c r="H790" s="873">
        <v>72639</v>
      </c>
      <c r="I790" s="176" t="s">
        <v>583</v>
      </c>
      <c r="J790" s="177"/>
      <c r="K790" s="177"/>
      <c r="L790" s="944">
        <v>1</v>
      </c>
      <c r="M790" s="873">
        <f>K790+L790</f>
        <v>1</v>
      </c>
      <c r="N790" s="940" t="s">
        <v>1326</v>
      </c>
      <c r="O790" s="1196">
        <v>21801</v>
      </c>
      <c r="P790" s="1262">
        <f ca="1">YEARFRAC(TODAY(),O790)</f>
        <v>58.06666666666667</v>
      </c>
      <c r="Q790" s="1148">
        <v>26000</v>
      </c>
      <c r="R790" s="890">
        <f>Q790*0.1</f>
        <v>2600</v>
      </c>
      <c r="S790" s="891"/>
      <c r="T790" s="891">
        <v>3700</v>
      </c>
      <c r="U790" s="891">
        <v>12000</v>
      </c>
      <c r="V790" s="891"/>
      <c r="W790" s="891"/>
      <c r="X790" s="1026">
        <f>(Q790+R790+S790+T790+U790+V790+W790)*M790</f>
        <v>44300</v>
      </c>
      <c r="Y790" s="1512">
        <f>(T790+U790)*M790/(X790-M790*(T790+U790))</f>
        <v>0.54895104895104896</v>
      </c>
      <c r="Z790" s="1741">
        <f>M790*(1+Y790)</f>
        <v>1.548951048951049</v>
      </c>
      <c r="AA790" s="1749">
        <f>SUM(AD790:AS790)</f>
        <v>1</v>
      </c>
      <c r="AB790" s="1810">
        <f t="shared" si="473"/>
        <v>64.559819413092555</v>
      </c>
      <c r="AC790" s="876"/>
      <c r="AD790" s="1525">
        <f t="shared" si="474"/>
        <v>1</v>
      </c>
      <c r="AE790" s="1525">
        <f t="shared" si="474"/>
        <v>0</v>
      </c>
      <c r="AF790" s="1525">
        <f t="shared" si="474"/>
        <v>0</v>
      </c>
      <c r="AG790" s="1525">
        <f t="shared" si="474"/>
        <v>0</v>
      </c>
      <c r="AH790" s="1525">
        <f t="shared" si="474"/>
        <v>0</v>
      </c>
      <c r="AI790" s="1525">
        <f t="shared" si="474"/>
        <v>0</v>
      </c>
      <c r="AJ790" s="1525">
        <f t="shared" si="474"/>
        <v>0</v>
      </c>
      <c r="AK790" s="1525">
        <f t="shared" si="474"/>
        <v>0</v>
      </c>
      <c r="AL790" s="1525">
        <f t="shared" si="474"/>
        <v>0</v>
      </c>
      <c r="AM790" s="1525">
        <f t="shared" si="474"/>
        <v>0</v>
      </c>
      <c r="AN790" s="1525">
        <f t="shared" si="474"/>
        <v>0</v>
      </c>
      <c r="AO790" s="1525">
        <f t="shared" si="474"/>
        <v>0</v>
      </c>
      <c r="AP790" s="1525">
        <f t="shared" si="474"/>
        <v>0</v>
      </c>
      <c r="AQ790" s="1525">
        <f t="shared" si="474"/>
        <v>0</v>
      </c>
      <c r="AR790" s="1525">
        <f t="shared" si="474"/>
        <v>0</v>
      </c>
      <c r="AS790" s="1525">
        <f t="shared" si="474"/>
        <v>0</v>
      </c>
      <c r="AU790" s="1525"/>
      <c r="AV790" s="1291"/>
      <c r="AW790" s="1292"/>
      <c r="AX790" s="1292"/>
      <c r="AY790" s="1292"/>
      <c r="AZ790" s="1292"/>
      <c r="BA790" s="1292"/>
      <c r="BB790" s="1292"/>
      <c r="BC790" s="1292"/>
      <c r="BD790" s="1292"/>
      <c r="BE790" s="1292"/>
      <c r="BF790" s="1292"/>
      <c r="BG790" s="1292"/>
      <c r="BH790" s="1292"/>
      <c r="BI790" s="1292">
        <v>0.2</v>
      </c>
      <c r="BJ790" s="1292">
        <v>0.8</v>
      </c>
      <c r="BK790" s="1292"/>
      <c r="BL790" s="1292"/>
      <c r="BM790" s="1292"/>
      <c r="BN790" s="1292"/>
      <c r="BO790" s="1292"/>
      <c r="BP790" s="1292"/>
      <c r="BQ790" s="1292"/>
      <c r="BR790" s="1292"/>
      <c r="BS790" s="1292"/>
      <c r="BT790" s="1670">
        <f t="shared" si="475"/>
        <v>1</v>
      </c>
      <c r="BW790" s="945" t="s">
        <v>1616</v>
      </c>
    </row>
    <row r="791" spans="2:75" s="164" customFormat="1" ht="12.75" customHeight="1" x14ac:dyDescent="0.15">
      <c r="B791" s="175"/>
      <c r="C791" s="219" t="s">
        <v>1120</v>
      </c>
      <c r="F791" s="1" t="s">
        <v>1617</v>
      </c>
      <c r="G791" s="856"/>
      <c r="H791" s="1361" t="s">
        <v>1508</v>
      </c>
      <c r="I791" s="172"/>
      <c r="J791" s="168"/>
      <c r="K791" s="448">
        <f>SUM(K792:K792)</f>
        <v>0</v>
      </c>
      <c r="L791" s="902">
        <f>SUM(L787:L790)</f>
        <v>3.5</v>
      </c>
      <c r="M791" s="902">
        <f>SUM(M787:M790)</f>
        <v>3.5</v>
      </c>
      <c r="N791" s="855"/>
      <c r="O791" s="1200"/>
      <c r="P791" s="550"/>
      <c r="Q791" s="1153"/>
      <c r="R791" s="877"/>
      <c r="S791" s="875"/>
      <c r="T791" s="875"/>
      <c r="U791" s="875"/>
      <c r="V791" s="875"/>
      <c r="W791" s="875"/>
      <c r="X791" s="1026"/>
      <c r="Y791" s="1335"/>
      <c r="Z791" s="1335"/>
      <c r="AA791" s="1775"/>
      <c r="AB791" s="1814"/>
      <c r="AC791" s="876"/>
      <c r="AD791" s="1295"/>
      <c r="AE791" s="1525"/>
      <c r="AF791" s="1525"/>
      <c r="AG791" s="1525"/>
      <c r="AH791" s="1525"/>
      <c r="AI791" s="1525"/>
      <c r="AJ791" s="1525"/>
      <c r="AK791" s="1525"/>
      <c r="AL791" s="1525"/>
      <c r="AM791" s="1525"/>
      <c r="AN791" s="1525"/>
      <c r="AO791" s="1525"/>
      <c r="AP791" s="1525"/>
      <c r="AQ791" s="1525"/>
      <c r="AR791" s="1525"/>
      <c r="AS791" s="1525"/>
      <c r="AU791" s="1525"/>
      <c r="AV791" s="1295"/>
      <c r="AW791" s="1525"/>
      <c r="AX791" s="1525"/>
      <c r="AY791" s="1525"/>
      <c r="AZ791" s="1525"/>
      <c r="BA791" s="1525"/>
      <c r="BB791" s="1525"/>
      <c r="BC791" s="1525"/>
      <c r="BD791" s="1525"/>
      <c r="BE791" s="1525"/>
      <c r="BF791" s="1525"/>
      <c r="BG791" s="1525"/>
      <c r="BH791" s="1525"/>
      <c r="BI791" s="1525"/>
      <c r="BJ791" s="1525"/>
      <c r="BK791" s="1525"/>
      <c r="BL791" s="1525"/>
      <c r="BM791" s="1525"/>
      <c r="BN791" s="1525"/>
      <c r="BO791" s="1525"/>
      <c r="BP791" s="1525"/>
      <c r="BQ791" s="1525"/>
      <c r="BR791" s="1525"/>
      <c r="BS791" s="1525"/>
      <c r="BT791" s="1670"/>
      <c r="BV791"/>
      <c r="BW791" s="856"/>
    </row>
    <row r="792" spans="2:75" s="164" customFormat="1" ht="12.75" customHeight="1" x14ac:dyDescent="0.15">
      <c r="B792" s="175"/>
      <c r="F792" s="1"/>
      <c r="G792" s="856"/>
      <c r="H792" s="1364" t="s">
        <v>1508</v>
      </c>
      <c r="I792" s="172"/>
      <c r="J792" s="168"/>
      <c r="K792" s="168"/>
      <c r="L792" s="841"/>
      <c r="M792" s="841"/>
      <c r="N792" s="855"/>
      <c r="O792" s="1200"/>
      <c r="P792" s="550"/>
      <c r="Q792" s="1148"/>
      <c r="R792" s="874"/>
      <c r="S792" s="875"/>
      <c r="T792" s="875"/>
      <c r="U792" s="875"/>
      <c r="V792" s="875"/>
      <c r="W792" s="875"/>
      <c r="X792" s="1026"/>
      <c r="Y792" s="1754"/>
      <c r="Z792" s="1755"/>
      <c r="AA792" s="1775"/>
      <c r="AB792" s="1814"/>
      <c r="AC792" s="876"/>
      <c r="AD792" s="1295"/>
      <c r="AE792" s="1525"/>
      <c r="AF792" s="1525"/>
      <c r="AG792" s="1525"/>
      <c r="AH792" s="1525"/>
      <c r="AI792" s="1525"/>
      <c r="AJ792" s="1525"/>
      <c r="AK792" s="1525"/>
      <c r="AL792" s="1525"/>
      <c r="AM792" s="1525"/>
      <c r="AN792" s="1525"/>
      <c r="AO792" s="1525"/>
      <c r="AP792" s="1525"/>
      <c r="AQ792" s="1525"/>
      <c r="AR792" s="1525"/>
      <c r="AS792" s="1525"/>
      <c r="AU792" s="1525"/>
      <c r="AV792" s="1295"/>
      <c r="AW792" s="1525"/>
      <c r="AX792" s="1525"/>
      <c r="AY792" s="1525"/>
      <c r="AZ792" s="1525"/>
      <c r="BA792" s="1525"/>
      <c r="BB792" s="1525"/>
      <c r="BC792" s="1525"/>
      <c r="BD792" s="1525"/>
      <c r="BE792" s="1525"/>
      <c r="BF792" s="1525"/>
      <c r="BG792" s="1525"/>
      <c r="BH792" s="1525"/>
      <c r="BI792" s="1525"/>
      <c r="BJ792" s="1525"/>
      <c r="BK792" s="1525"/>
      <c r="BL792" s="1525"/>
      <c r="BM792" s="1525"/>
      <c r="BN792" s="1525"/>
      <c r="BO792" s="1525"/>
      <c r="BP792" s="1525"/>
      <c r="BQ792" s="1525"/>
      <c r="BR792" s="1525"/>
      <c r="BS792" s="1525"/>
      <c r="BT792" s="1670"/>
      <c r="BV792"/>
      <c r="BW792" s="856"/>
    </row>
    <row r="793" spans="2:75" s="164" customFormat="1" ht="12.75" customHeight="1" x14ac:dyDescent="0.15">
      <c r="B793" s="175"/>
      <c r="C793" s="170"/>
      <c r="D793" s="170"/>
      <c r="E793" s="170"/>
      <c r="F793" s="37"/>
      <c r="G793" s="913"/>
      <c r="H793" s="1358" t="s">
        <v>1508</v>
      </c>
      <c r="I793" s="180"/>
      <c r="J793" s="173"/>
      <c r="K793" s="173"/>
      <c r="L793" s="893"/>
      <c r="M793" s="893"/>
      <c r="N793" s="832"/>
      <c r="O793" s="1200"/>
      <c r="P793" s="1294"/>
      <c r="Q793" s="1148"/>
      <c r="R793" s="874"/>
      <c r="S793" s="876"/>
      <c r="T793" s="876"/>
      <c r="U793" s="876"/>
      <c r="V793" s="876"/>
      <c r="W793" s="876"/>
      <c r="X793" s="1026"/>
      <c r="Y793" s="1754"/>
      <c r="Z793" s="1755"/>
      <c r="AA793" s="1775"/>
      <c r="AB793" s="1814"/>
      <c r="AC793" s="876"/>
      <c r="AD793" s="1295"/>
      <c r="AE793" s="1525"/>
      <c r="AF793" s="1525"/>
      <c r="AG793" s="1525"/>
      <c r="AH793" s="1525"/>
      <c r="AI793" s="1525"/>
      <c r="AJ793" s="1525"/>
      <c r="AK793" s="1525"/>
      <c r="AL793" s="1525"/>
      <c r="AM793" s="1525"/>
      <c r="AN793" s="1525"/>
      <c r="AO793" s="1525"/>
      <c r="AP793" s="1525"/>
      <c r="AQ793" s="1525"/>
      <c r="AR793" s="1525"/>
      <c r="AS793" s="1525"/>
      <c r="AU793" s="1525"/>
      <c r="AV793" s="1295"/>
      <c r="AW793" s="1525"/>
      <c r="AX793" s="1525"/>
      <c r="AY793" s="1525"/>
      <c r="AZ793" s="1525"/>
      <c r="BA793" s="1525"/>
      <c r="BB793" s="1525"/>
      <c r="BC793" s="1525"/>
      <c r="BD793" s="1525"/>
      <c r="BE793" s="1525"/>
      <c r="BF793" s="1525"/>
      <c r="BG793" s="1525"/>
      <c r="BH793" s="1525"/>
      <c r="BI793" s="1525"/>
      <c r="BJ793" s="1525"/>
      <c r="BK793" s="1525"/>
      <c r="BL793" s="1525"/>
      <c r="BM793" s="1525"/>
      <c r="BN793" s="1525"/>
      <c r="BO793" s="1525"/>
      <c r="BP793" s="1525"/>
      <c r="BQ793" s="1525"/>
      <c r="BR793" s="1525"/>
      <c r="BS793" s="1525"/>
      <c r="BT793" s="1670"/>
      <c r="BV793"/>
      <c r="BW793" s="913"/>
    </row>
    <row r="794" spans="2:75" s="164" customFormat="1" ht="12.75" customHeight="1" x14ac:dyDescent="0.15">
      <c r="B794" s="175"/>
      <c r="C794" s="170"/>
      <c r="D794" s="170"/>
      <c r="E794" s="170"/>
      <c r="F794" s="37"/>
      <c r="G794" s="913"/>
      <c r="H794" s="1358" t="s">
        <v>1508</v>
      </c>
      <c r="I794" s="180"/>
      <c r="J794" s="173"/>
      <c r="K794" s="173"/>
      <c r="L794" s="893"/>
      <c r="M794" s="893"/>
      <c r="N794" s="832"/>
      <c r="O794" s="1200"/>
      <c r="P794" s="1294"/>
      <c r="Q794" s="1148"/>
      <c r="R794" s="874"/>
      <c r="S794" s="876"/>
      <c r="T794" s="876"/>
      <c r="U794" s="876"/>
      <c r="V794" s="876"/>
      <c r="W794" s="876"/>
      <c r="X794" s="1026"/>
      <c r="Y794" s="1754"/>
      <c r="Z794" s="1755"/>
      <c r="AA794" s="1775"/>
      <c r="AB794" s="1814"/>
      <c r="AC794" s="876"/>
      <c r="AD794" s="1295"/>
      <c r="AE794" s="1525"/>
      <c r="AF794" s="1525"/>
      <c r="AG794" s="1525"/>
      <c r="AH794" s="1525"/>
      <c r="AI794" s="1525"/>
      <c r="AJ794" s="1525"/>
      <c r="AK794" s="1525"/>
      <c r="AL794" s="1525"/>
      <c r="AM794" s="1525"/>
      <c r="AN794" s="1525"/>
      <c r="AO794" s="1525"/>
      <c r="AP794" s="1525"/>
      <c r="AQ794" s="1525"/>
      <c r="AR794" s="1525"/>
      <c r="AS794" s="1525"/>
      <c r="AU794" s="1525"/>
      <c r="AV794" s="1295"/>
      <c r="AW794" s="1525"/>
      <c r="AX794" s="1525"/>
      <c r="AY794" s="1525"/>
      <c r="AZ794" s="1525"/>
      <c r="BA794" s="1525"/>
      <c r="BB794" s="1525"/>
      <c r="BC794" s="1525"/>
      <c r="BD794" s="1525"/>
      <c r="BE794" s="1525"/>
      <c r="BF794" s="1525"/>
      <c r="BG794" s="1525"/>
      <c r="BH794" s="1525"/>
      <c r="BI794" s="1525"/>
      <c r="BJ794" s="1525"/>
      <c r="BK794" s="1525"/>
      <c r="BL794" s="1525"/>
      <c r="BM794" s="1525"/>
      <c r="BN794" s="1525"/>
      <c r="BO794" s="1525"/>
      <c r="BP794" s="1525"/>
      <c r="BQ794" s="1525"/>
      <c r="BR794" s="1525"/>
      <c r="BS794" s="1525"/>
      <c r="BT794" s="1670"/>
      <c r="BV794"/>
      <c r="BW794" s="913"/>
    </row>
    <row r="795" spans="2:75" s="164" customFormat="1" ht="12.75" customHeight="1" x14ac:dyDescent="0.15">
      <c r="B795" s="175"/>
      <c r="F795" s="2" t="s">
        <v>179</v>
      </c>
      <c r="G795" s="871"/>
      <c r="H795" s="1345" t="s">
        <v>1508</v>
      </c>
      <c r="I795" s="259"/>
      <c r="J795" s="302"/>
      <c r="K795" s="302"/>
      <c r="L795" s="846"/>
      <c r="M795" s="846"/>
      <c r="N795" s="853"/>
      <c r="O795" s="1200"/>
      <c r="P795" s="550"/>
      <c r="Q795" s="1148"/>
      <c r="R795" s="874"/>
      <c r="S795" s="875"/>
      <c r="T795" s="875"/>
      <c r="U795" s="875"/>
      <c r="V795" s="875"/>
      <c r="W795" s="875"/>
      <c r="X795" s="1026"/>
      <c r="Y795" s="1754"/>
      <c r="Z795" s="1755"/>
      <c r="AA795" s="1775"/>
      <c r="AB795" s="1814"/>
      <c r="AC795" s="876"/>
      <c r="AD795" s="1295"/>
      <c r="AE795" s="1525"/>
      <c r="AF795" s="1525"/>
      <c r="AG795" s="1525"/>
      <c r="AH795" s="1525"/>
      <c r="AI795" s="1525"/>
      <c r="AJ795" s="1525"/>
      <c r="AK795" s="1525"/>
      <c r="AL795" s="1525"/>
      <c r="AM795" s="1525"/>
      <c r="AN795" s="1525"/>
      <c r="AO795" s="1525"/>
      <c r="AP795" s="1525"/>
      <c r="AQ795" s="1525"/>
      <c r="AR795" s="1525"/>
      <c r="AS795" s="1525"/>
      <c r="AU795" s="1525"/>
      <c r="AV795" s="1295"/>
      <c r="AW795" s="1525"/>
      <c r="AX795" s="1525"/>
      <c r="AY795" s="1525"/>
      <c r="AZ795" s="1525"/>
      <c r="BA795" s="1525"/>
      <c r="BB795" s="1525"/>
      <c r="BC795" s="1525"/>
      <c r="BD795" s="1525"/>
      <c r="BE795" s="1525"/>
      <c r="BF795" s="1525"/>
      <c r="BG795" s="1525"/>
      <c r="BH795" s="1525"/>
      <c r="BI795" s="1525"/>
      <c r="BJ795" s="1525"/>
      <c r="BK795" s="1525"/>
      <c r="BL795" s="1525"/>
      <c r="BM795" s="1525"/>
      <c r="BN795" s="1525"/>
      <c r="BO795" s="1525"/>
      <c r="BP795" s="1525"/>
      <c r="BQ795" s="1525"/>
      <c r="BR795" s="1525"/>
      <c r="BS795" s="1525"/>
      <c r="BT795" s="1670"/>
      <c r="BV795"/>
      <c r="BW795" s="871"/>
    </row>
    <row r="796" spans="2:75" s="164" customFormat="1" ht="12.75" customHeight="1" x14ac:dyDescent="0.15">
      <c r="B796" s="175"/>
      <c r="F796" s="1"/>
      <c r="G796" s="854"/>
      <c r="H796" s="1345" t="s">
        <v>1508</v>
      </c>
      <c r="I796" s="259"/>
      <c r="J796" s="302"/>
      <c r="K796" s="302"/>
      <c r="L796" s="846"/>
      <c r="M796" s="846"/>
      <c r="N796" s="853"/>
      <c r="O796" s="1200"/>
      <c r="P796" s="550"/>
      <c r="Q796" s="1148"/>
      <c r="R796" s="874"/>
      <c r="S796" s="875"/>
      <c r="T796" s="875"/>
      <c r="U796" s="875"/>
      <c r="V796" s="875"/>
      <c r="W796" s="875"/>
      <c r="X796" s="1026"/>
      <c r="Y796" s="1754"/>
      <c r="Z796" s="1755"/>
      <c r="AA796" s="1775"/>
      <c r="AB796" s="1814"/>
      <c r="AC796" s="876"/>
      <c r="AD796" s="1295"/>
      <c r="AE796" s="1525"/>
      <c r="AF796" s="1525"/>
      <c r="AG796" s="1525"/>
      <c r="AH796" s="1525"/>
      <c r="AI796" s="1525"/>
      <c r="AJ796" s="1525"/>
      <c r="AK796" s="1525"/>
      <c r="AL796" s="1525"/>
      <c r="AM796" s="1525"/>
      <c r="AN796" s="1525"/>
      <c r="AO796" s="1525"/>
      <c r="AP796" s="1525"/>
      <c r="AQ796" s="1525"/>
      <c r="AR796" s="1525"/>
      <c r="AS796" s="1525"/>
      <c r="AU796" s="1525"/>
      <c r="AV796" s="1295"/>
      <c r="AW796" s="1525"/>
      <c r="AX796" s="1525"/>
      <c r="AY796" s="1525"/>
      <c r="AZ796" s="1525"/>
      <c r="BA796" s="1525"/>
      <c r="BB796" s="1525"/>
      <c r="BC796" s="1525"/>
      <c r="BD796" s="1525"/>
      <c r="BE796" s="1525"/>
      <c r="BF796" s="1525"/>
      <c r="BG796" s="1525"/>
      <c r="BH796" s="1525"/>
      <c r="BI796" s="1525"/>
      <c r="BJ796" s="1525"/>
      <c r="BK796" s="1525"/>
      <c r="BL796" s="1525"/>
      <c r="BM796" s="1525"/>
      <c r="BN796" s="1525"/>
      <c r="BO796" s="1525"/>
      <c r="BP796" s="1525"/>
      <c r="BQ796" s="1525"/>
      <c r="BR796" s="1525"/>
      <c r="BS796" s="1525"/>
      <c r="BT796" s="1670"/>
      <c r="BV796"/>
      <c r="BW796" s="854"/>
    </row>
    <row r="797" spans="2:75" ht="12.75" customHeight="1" x14ac:dyDescent="0.2">
      <c r="B797" s="175">
        <f t="shared" si="476"/>
        <v>1</v>
      </c>
      <c r="C797" s="573">
        <v>5</v>
      </c>
      <c r="D797" s="574"/>
      <c r="E797" s="572" t="s">
        <v>298</v>
      </c>
      <c r="F797" s="635" t="s">
        <v>166</v>
      </c>
      <c r="G797" s="856" t="s">
        <v>718</v>
      </c>
      <c r="H797" s="858">
        <v>80955</v>
      </c>
      <c r="I797" s="621" t="s">
        <v>351</v>
      </c>
      <c r="J797" s="622"/>
      <c r="K797" s="622"/>
      <c r="L797" s="841">
        <v>1</v>
      </c>
      <c r="M797" s="858">
        <f t="shared" ref="M797:M805" si="477">K797+L797</f>
        <v>1</v>
      </c>
      <c r="N797" s="855" t="s">
        <v>1326</v>
      </c>
      <c r="O797" s="1196">
        <v>23657</v>
      </c>
      <c r="P797" s="1218">
        <f t="shared" ref="P797:P805" ca="1" si="478">YEARFRAC(TODAY(),O797)</f>
        <v>52.986111111111114</v>
      </c>
      <c r="Q797" s="1148">
        <v>52100</v>
      </c>
      <c r="R797" s="874">
        <f>Q797*0.1</f>
        <v>5210</v>
      </c>
      <c r="S797" s="875">
        <v>3000</v>
      </c>
      <c r="T797" s="875"/>
      <c r="U797" s="875">
        <v>3800</v>
      </c>
      <c r="V797" s="875"/>
      <c r="W797" s="875"/>
      <c r="X797" s="1026">
        <f t="shared" ref="X797:X805" si="479">(Q797+R797+S797+T797+U797+V797+W797)*M797</f>
        <v>64110</v>
      </c>
      <c r="Y797" s="1512">
        <f t="shared" ref="Y797:Y805" si="480">(T797+U797)*M797/(X797-M797*(T797+U797))</f>
        <v>6.3007793069142767E-2</v>
      </c>
      <c r="Z797" s="1741">
        <f t="shared" ref="Z797:Z805" si="481">M797*(1+Y797)</f>
        <v>1.0630077930691428</v>
      </c>
      <c r="AA797" s="1749">
        <f t="shared" ref="AA797:AA805" si="482">SUM(AD797:AS797)</f>
        <v>1.0699999999999998</v>
      </c>
      <c r="AB797" s="1810">
        <f t="shared" ref="AB797:AB805" si="483">100*AA797/Z797</f>
        <v>100.65777569801901</v>
      </c>
      <c r="AC797" s="876"/>
      <c r="AD797" s="1525">
        <f t="shared" ref="AD797:AS805" si="484">SUMIF($AV$6:$BS$6,AD$5,$AV797:$BS797)</f>
        <v>0.4</v>
      </c>
      <c r="AE797" s="1525">
        <f t="shared" si="484"/>
        <v>0</v>
      </c>
      <c r="AF797" s="1525">
        <f t="shared" si="484"/>
        <v>0</v>
      </c>
      <c r="AG797" s="1525">
        <f t="shared" si="484"/>
        <v>0.1</v>
      </c>
      <c r="AH797" s="1525">
        <f t="shared" si="484"/>
        <v>0</v>
      </c>
      <c r="AI797" s="1525">
        <f t="shared" si="484"/>
        <v>0</v>
      </c>
      <c r="AJ797" s="1525">
        <f t="shared" si="484"/>
        <v>0.56999999999999995</v>
      </c>
      <c r="AK797" s="1525">
        <f t="shared" si="484"/>
        <v>0</v>
      </c>
      <c r="AL797" s="1525">
        <f t="shared" si="484"/>
        <v>0</v>
      </c>
      <c r="AM797" s="1525">
        <f t="shared" si="484"/>
        <v>0</v>
      </c>
      <c r="AN797" s="1525">
        <f t="shared" si="484"/>
        <v>0</v>
      </c>
      <c r="AO797" s="1525">
        <f t="shared" si="484"/>
        <v>0</v>
      </c>
      <c r="AP797" s="1525">
        <f t="shared" si="484"/>
        <v>0</v>
      </c>
      <c r="AQ797" s="1525">
        <f t="shared" si="484"/>
        <v>0</v>
      </c>
      <c r="AR797" s="1525">
        <f t="shared" si="484"/>
        <v>0</v>
      </c>
      <c r="AS797" s="1525">
        <f t="shared" si="484"/>
        <v>0</v>
      </c>
      <c r="AU797" s="1525"/>
      <c r="AV797" s="1291">
        <v>0.1</v>
      </c>
      <c r="AW797" s="1292"/>
      <c r="AX797" s="1292"/>
      <c r="AY797" s="1292"/>
      <c r="AZ797" s="1292"/>
      <c r="BA797" s="1292"/>
      <c r="BB797" s="1292"/>
      <c r="BC797" s="1292"/>
      <c r="BD797" s="1292"/>
      <c r="BE797" s="1292"/>
      <c r="BF797" s="1292"/>
      <c r="BG797" s="1292"/>
      <c r="BH797" s="1292">
        <v>0.56999999999999995</v>
      </c>
      <c r="BI797" s="1292">
        <v>0.4</v>
      </c>
      <c r="BJ797" s="1292"/>
      <c r="BK797" s="1292"/>
      <c r="BL797" s="1292"/>
      <c r="BM797" s="1292"/>
      <c r="BN797" s="1292"/>
      <c r="BO797" s="1292"/>
      <c r="BP797" s="1292"/>
      <c r="BQ797" s="1292"/>
      <c r="BR797" s="1292"/>
      <c r="BS797" s="1292"/>
      <c r="BT797" s="1670">
        <f t="shared" ref="BT797:BT805" si="485">SUM(AV797:BS797)</f>
        <v>1.0699999999999998</v>
      </c>
      <c r="BW797" s="856" t="s">
        <v>718</v>
      </c>
    </row>
    <row r="798" spans="2:75" s="164" customFormat="1" ht="12.75" customHeight="1" x14ac:dyDescent="0.2">
      <c r="B798" s="175">
        <f t="shared" si="476"/>
        <v>2</v>
      </c>
      <c r="C798" s="219">
        <v>6</v>
      </c>
      <c r="E798" s="12" t="s">
        <v>298</v>
      </c>
      <c r="F798" s="1" t="s">
        <v>167</v>
      </c>
      <c r="G798" s="856" t="s">
        <v>719</v>
      </c>
      <c r="H798" s="858">
        <v>6039</v>
      </c>
      <c r="I798" s="200" t="s">
        <v>351</v>
      </c>
      <c r="J798" s="168"/>
      <c r="K798" s="168"/>
      <c r="L798" s="841">
        <v>1</v>
      </c>
      <c r="M798" s="858">
        <f t="shared" si="477"/>
        <v>1</v>
      </c>
      <c r="N798" s="855" t="s">
        <v>892</v>
      </c>
      <c r="O798" s="1196">
        <v>16763</v>
      </c>
      <c r="P798" s="1218">
        <f t="shared" ca="1" si="478"/>
        <v>71.861111111111114</v>
      </c>
      <c r="Q798" s="1148">
        <v>45800</v>
      </c>
      <c r="R798" s="874"/>
      <c r="S798" s="875">
        <v>7000</v>
      </c>
      <c r="T798" s="859">
        <v>8100</v>
      </c>
      <c r="U798" s="859"/>
      <c r="V798" s="859"/>
      <c r="W798" s="875"/>
      <c r="X798" s="1026">
        <f t="shared" si="479"/>
        <v>60900</v>
      </c>
      <c r="Y798" s="1512">
        <f t="shared" si="480"/>
        <v>0.15340909090909091</v>
      </c>
      <c r="Z798" s="1741">
        <f t="shared" si="481"/>
        <v>1.1534090909090908</v>
      </c>
      <c r="AA798" s="1749">
        <f t="shared" si="482"/>
        <v>1.07</v>
      </c>
      <c r="AB798" s="1810">
        <f t="shared" si="483"/>
        <v>92.768472906403943</v>
      </c>
      <c r="AC798" s="876"/>
      <c r="AD798" s="1525">
        <f t="shared" si="484"/>
        <v>0</v>
      </c>
      <c r="AE798" s="1525">
        <f t="shared" si="484"/>
        <v>0</v>
      </c>
      <c r="AF798" s="1525">
        <f t="shared" si="484"/>
        <v>0</v>
      </c>
      <c r="AG798" s="1525">
        <f t="shared" si="484"/>
        <v>0.9</v>
      </c>
      <c r="AH798" s="1525">
        <f t="shared" si="484"/>
        <v>0</v>
      </c>
      <c r="AI798" s="1525">
        <f t="shared" si="484"/>
        <v>0</v>
      </c>
      <c r="AJ798" s="1525">
        <f t="shared" si="484"/>
        <v>0.17</v>
      </c>
      <c r="AK798" s="1525">
        <f t="shared" si="484"/>
        <v>0</v>
      </c>
      <c r="AL798" s="1525">
        <f t="shared" si="484"/>
        <v>0</v>
      </c>
      <c r="AM798" s="1525">
        <f t="shared" si="484"/>
        <v>0</v>
      </c>
      <c r="AN798" s="1525">
        <f t="shared" si="484"/>
        <v>0</v>
      </c>
      <c r="AO798" s="1525">
        <f t="shared" si="484"/>
        <v>0</v>
      </c>
      <c r="AP798" s="1525">
        <f t="shared" si="484"/>
        <v>0</v>
      </c>
      <c r="AQ798" s="1525">
        <f t="shared" si="484"/>
        <v>0</v>
      </c>
      <c r="AR798" s="1525">
        <f t="shared" si="484"/>
        <v>0</v>
      </c>
      <c r="AS798" s="1525">
        <f t="shared" si="484"/>
        <v>0</v>
      </c>
      <c r="AU798" s="1525"/>
      <c r="AV798" s="1295">
        <v>0.9</v>
      </c>
      <c r="AW798" s="1525"/>
      <c r="AX798" s="1525"/>
      <c r="AY798" s="1525"/>
      <c r="AZ798" s="1525"/>
      <c r="BA798" s="1525"/>
      <c r="BB798" s="1525"/>
      <c r="BC798" s="1525"/>
      <c r="BD798" s="1525"/>
      <c r="BE798" s="1525"/>
      <c r="BF798" s="1525"/>
      <c r="BG798" s="1525"/>
      <c r="BH798" s="1525">
        <v>0.17</v>
      </c>
      <c r="BI798" s="1525"/>
      <c r="BJ798" s="1525"/>
      <c r="BK798" s="1525"/>
      <c r="BL798" s="1525"/>
      <c r="BM798" s="1525"/>
      <c r="BN798" s="1525"/>
      <c r="BO798" s="1525"/>
      <c r="BP798" s="1525"/>
      <c r="BQ798" s="1525"/>
      <c r="BR798" s="1525"/>
      <c r="BS798" s="1525"/>
      <c r="BT798" s="1670">
        <f t="shared" si="485"/>
        <v>1.07</v>
      </c>
      <c r="BV798"/>
      <c r="BW798" s="856" t="s">
        <v>719</v>
      </c>
    </row>
    <row r="799" spans="2:75" ht="12.75" customHeight="1" x14ac:dyDescent="0.2">
      <c r="B799" s="175">
        <f t="shared" si="476"/>
        <v>3</v>
      </c>
      <c r="C799" s="219">
        <v>9</v>
      </c>
      <c r="E799" s="12" t="s">
        <v>298</v>
      </c>
      <c r="F799" s="1" t="s">
        <v>1396</v>
      </c>
      <c r="G799" s="856" t="s">
        <v>720</v>
      </c>
      <c r="H799" s="858">
        <v>212232</v>
      </c>
      <c r="I799" s="200" t="s">
        <v>351</v>
      </c>
      <c r="J799" s="168"/>
      <c r="K799" s="168"/>
      <c r="L799" s="841">
        <v>1</v>
      </c>
      <c r="M799" s="858">
        <f t="shared" si="477"/>
        <v>1</v>
      </c>
      <c r="N799" s="855" t="s">
        <v>1326</v>
      </c>
      <c r="O799" s="1196">
        <v>27464</v>
      </c>
      <c r="P799" s="1218">
        <f t="shared" ca="1" si="478"/>
        <v>42.55833333333333</v>
      </c>
      <c r="Q799" s="1148">
        <v>29900</v>
      </c>
      <c r="R799" s="874">
        <f>Q799*0.1</f>
        <v>2990</v>
      </c>
      <c r="S799" s="875"/>
      <c r="T799" s="875">
        <v>3000</v>
      </c>
      <c r="U799" s="875">
        <v>2000</v>
      </c>
      <c r="V799" s="875"/>
      <c r="W799" s="875"/>
      <c r="X799" s="1026">
        <f t="shared" si="479"/>
        <v>37890</v>
      </c>
      <c r="Y799" s="1512">
        <f t="shared" si="480"/>
        <v>0.15202189115232592</v>
      </c>
      <c r="Z799" s="1741">
        <f t="shared" si="481"/>
        <v>1.1520218911523259</v>
      </c>
      <c r="AA799" s="1749">
        <f t="shared" si="482"/>
        <v>1</v>
      </c>
      <c r="AB799" s="1810">
        <f t="shared" si="483"/>
        <v>86.80390604381104</v>
      </c>
      <c r="AC799" s="876"/>
      <c r="AD799" s="1525">
        <f t="shared" si="484"/>
        <v>0.3</v>
      </c>
      <c r="AE799" s="1525">
        <f t="shared" si="484"/>
        <v>0</v>
      </c>
      <c r="AF799" s="1525">
        <f t="shared" si="484"/>
        <v>0</v>
      </c>
      <c r="AG799" s="1525">
        <f t="shared" si="484"/>
        <v>0</v>
      </c>
      <c r="AH799" s="1525">
        <f t="shared" si="484"/>
        <v>0</v>
      </c>
      <c r="AI799" s="1525">
        <f t="shared" si="484"/>
        <v>0</v>
      </c>
      <c r="AJ799" s="1525">
        <f t="shared" si="484"/>
        <v>0.7</v>
      </c>
      <c r="AK799" s="1525">
        <f t="shared" si="484"/>
        <v>0</v>
      </c>
      <c r="AL799" s="1525">
        <f t="shared" si="484"/>
        <v>0</v>
      </c>
      <c r="AM799" s="1525">
        <f t="shared" si="484"/>
        <v>0</v>
      </c>
      <c r="AN799" s="1525">
        <f t="shared" si="484"/>
        <v>0</v>
      </c>
      <c r="AO799" s="1525">
        <f t="shared" si="484"/>
        <v>0</v>
      </c>
      <c r="AP799" s="1525">
        <f t="shared" si="484"/>
        <v>0</v>
      </c>
      <c r="AQ799" s="1525">
        <f t="shared" si="484"/>
        <v>0</v>
      </c>
      <c r="AR799" s="1525">
        <f t="shared" si="484"/>
        <v>0</v>
      </c>
      <c r="AS799" s="1525">
        <f t="shared" si="484"/>
        <v>0</v>
      </c>
      <c r="AU799" s="1525"/>
      <c r="AV799" s="1291"/>
      <c r="AW799" s="1292"/>
      <c r="AX799" s="1292"/>
      <c r="AY799" s="1292"/>
      <c r="AZ799" s="1292"/>
      <c r="BA799" s="1292"/>
      <c r="BB799" s="1292">
        <v>0.2</v>
      </c>
      <c r="BC799" s="1292"/>
      <c r="BD799" s="1292"/>
      <c r="BE799" s="1292"/>
      <c r="BF799" s="1292"/>
      <c r="BG799" s="1292"/>
      <c r="BH799" s="1292">
        <v>0.5</v>
      </c>
      <c r="BI799" s="1292">
        <v>0.3</v>
      </c>
      <c r="BJ799" s="1292"/>
      <c r="BK799" s="1292"/>
      <c r="BL799" s="1292"/>
      <c r="BM799" s="1292"/>
      <c r="BN799" s="1292"/>
      <c r="BO799" s="1292"/>
      <c r="BP799" s="1292"/>
      <c r="BQ799" s="1292"/>
      <c r="BR799" s="1292"/>
      <c r="BS799" s="1292"/>
      <c r="BT799" s="1670">
        <f t="shared" si="485"/>
        <v>1</v>
      </c>
      <c r="BW799" s="856" t="s">
        <v>720</v>
      </c>
    </row>
    <row r="800" spans="2:75" ht="12.75" customHeight="1" x14ac:dyDescent="0.2">
      <c r="B800" s="175">
        <f t="shared" si="476"/>
        <v>4</v>
      </c>
      <c r="C800" s="219">
        <v>14</v>
      </c>
      <c r="E800" s="12" t="s">
        <v>298</v>
      </c>
      <c r="F800" s="37" t="s">
        <v>626</v>
      </c>
      <c r="G800" s="913" t="s">
        <v>411</v>
      </c>
      <c r="H800" s="861">
        <v>133309</v>
      </c>
      <c r="I800" s="180" t="s">
        <v>583</v>
      </c>
      <c r="J800" s="173"/>
      <c r="K800" s="173"/>
      <c r="L800" s="893">
        <v>1</v>
      </c>
      <c r="M800" s="861">
        <f t="shared" si="477"/>
        <v>1</v>
      </c>
      <c r="N800" s="832" t="s">
        <v>1326</v>
      </c>
      <c r="O800" s="1196">
        <v>25335</v>
      </c>
      <c r="P800" s="1218">
        <f t="shared" ca="1" si="478"/>
        <v>48.388888888888886</v>
      </c>
      <c r="Q800" s="1148">
        <v>28800</v>
      </c>
      <c r="R800" s="874">
        <f>Q800*0.1</f>
        <v>2880</v>
      </c>
      <c r="S800" s="875"/>
      <c r="T800" s="875"/>
      <c r="U800" s="875"/>
      <c r="V800" s="875"/>
      <c r="W800" s="875"/>
      <c r="X800" s="1026">
        <f t="shared" si="479"/>
        <v>31680</v>
      </c>
      <c r="Y800" s="1512">
        <f t="shared" si="480"/>
        <v>0</v>
      </c>
      <c r="Z800" s="1741">
        <f t="shared" si="481"/>
        <v>1</v>
      </c>
      <c r="AA800" s="1749">
        <f t="shared" si="482"/>
        <v>1</v>
      </c>
      <c r="AB800" s="1810">
        <f t="shared" si="483"/>
        <v>100</v>
      </c>
      <c r="AC800" s="876"/>
      <c r="AD800" s="1525">
        <f t="shared" si="484"/>
        <v>0.5</v>
      </c>
      <c r="AE800" s="1525">
        <f t="shared" si="484"/>
        <v>0</v>
      </c>
      <c r="AF800" s="1525">
        <f t="shared" si="484"/>
        <v>0</v>
      </c>
      <c r="AG800" s="1525">
        <f t="shared" si="484"/>
        <v>0</v>
      </c>
      <c r="AH800" s="1525">
        <f t="shared" si="484"/>
        <v>0</v>
      </c>
      <c r="AI800" s="1525">
        <f t="shared" si="484"/>
        <v>0</v>
      </c>
      <c r="AJ800" s="1525">
        <f t="shared" si="484"/>
        <v>0.5</v>
      </c>
      <c r="AK800" s="1525">
        <f t="shared" si="484"/>
        <v>0</v>
      </c>
      <c r="AL800" s="1525">
        <f t="shared" si="484"/>
        <v>0</v>
      </c>
      <c r="AM800" s="1525">
        <f t="shared" si="484"/>
        <v>0</v>
      </c>
      <c r="AN800" s="1525">
        <f t="shared" si="484"/>
        <v>0</v>
      </c>
      <c r="AO800" s="1525">
        <f t="shared" si="484"/>
        <v>0</v>
      </c>
      <c r="AP800" s="1525">
        <f t="shared" si="484"/>
        <v>0</v>
      </c>
      <c r="AQ800" s="1525">
        <f t="shared" si="484"/>
        <v>0</v>
      </c>
      <c r="AR800" s="1525">
        <f t="shared" si="484"/>
        <v>0</v>
      </c>
      <c r="AS800" s="1525">
        <f t="shared" si="484"/>
        <v>0</v>
      </c>
      <c r="AU800" s="1525"/>
      <c r="AV800" s="1291"/>
      <c r="AW800" s="1292"/>
      <c r="AX800" s="1292"/>
      <c r="AY800" s="1292"/>
      <c r="AZ800" s="1292"/>
      <c r="BA800" s="1292"/>
      <c r="BB800" s="1292"/>
      <c r="BC800" s="1292"/>
      <c r="BD800" s="1292"/>
      <c r="BE800" s="1292"/>
      <c r="BF800" s="1292"/>
      <c r="BG800" s="1292"/>
      <c r="BH800" s="1292">
        <v>0.5</v>
      </c>
      <c r="BI800" s="1292">
        <v>0.5</v>
      </c>
      <c r="BJ800" s="1292"/>
      <c r="BK800" s="1292"/>
      <c r="BL800" s="1292"/>
      <c r="BM800" s="1292"/>
      <c r="BN800" s="1292"/>
      <c r="BO800" s="1292"/>
      <c r="BP800" s="1292"/>
      <c r="BQ800" s="1292"/>
      <c r="BR800" s="1292"/>
      <c r="BS800" s="1292"/>
      <c r="BT800" s="1670">
        <f t="shared" si="485"/>
        <v>1</v>
      </c>
      <c r="BW800" s="913" t="s">
        <v>411</v>
      </c>
    </row>
    <row r="801" spans="2:75" ht="12.75" customHeight="1" x14ac:dyDescent="0.2">
      <c r="B801" s="175">
        <f>B800+1</f>
        <v>5</v>
      </c>
      <c r="C801" s="219">
        <v>14</v>
      </c>
      <c r="E801" s="12" t="s">
        <v>298</v>
      </c>
      <c r="F801" s="37" t="s">
        <v>626</v>
      </c>
      <c r="G801" s="913" t="s">
        <v>1802</v>
      </c>
      <c r="H801" s="861">
        <v>160956</v>
      </c>
      <c r="I801" s="180" t="s">
        <v>583</v>
      </c>
      <c r="J801" s="173"/>
      <c r="K801" s="173"/>
      <c r="L801" s="893">
        <v>1</v>
      </c>
      <c r="M801" s="861">
        <f t="shared" si="477"/>
        <v>1</v>
      </c>
      <c r="N801" s="832" t="s">
        <v>1326</v>
      </c>
      <c r="O801" s="1196">
        <v>33461</v>
      </c>
      <c r="P801" s="1218">
        <f t="shared" ca="1" si="478"/>
        <v>26.141666666666666</v>
      </c>
      <c r="Q801" s="1148">
        <v>26000</v>
      </c>
      <c r="R801" s="874">
        <f>Q801*0.1</f>
        <v>2600</v>
      </c>
      <c r="S801" s="875"/>
      <c r="T801" s="875"/>
      <c r="U801" s="875"/>
      <c r="V801" s="875"/>
      <c r="W801" s="875"/>
      <c r="X801" s="1026">
        <f t="shared" si="479"/>
        <v>28600</v>
      </c>
      <c r="Y801" s="1512">
        <f t="shared" si="480"/>
        <v>0</v>
      </c>
      <c r="Z801" s="1741">
        <f t="shared" si="481"/>
        <v>1</v>
      </c>
      <c r="AA801" s="1749">
        <f t="shared" si="482"/>
        <v>1</v>
      </c>
      <c r="AB801" s="1810">
        <f t="shared" si="483"/>
        <v>100</v>
      </c>
      <c r="AC801" s="876"/>
      <c r="AD801" s="1525">
        <f t="shared" si="484"/>
        <v>0.9</v>
      </c>
      <c r="AE801" s="1525">
        <f t="shared" si="484"/>
        <v>0</v>
      </c>
      <c r="AF801" s="1525">
        <f t="shared" si="484"/>
        <v>0</v>
      </c>
      <c r="AG801" s="1525">
        <f t="shared" si="484"/>
        <v>0</v>
      </c>
      <c r="AH801" s="1525">
        <f t="shared" si="484"/>
        <v>0</v>
      </c>
      <c r="AI801" s="1525">
        <f t="shared" si="484"/>
        <v>0</v>
      </c>
      <c r="AJ801" s="1525">
        <f t="shared" si="484"/>
        <v>0.1</v>
      </c>
      <c r="AK801" s="1525">
        <f t="shared" si="484"/>
        <v>0</v>
      </c>
      <c r="AL801" s="1525">
        <f t="shared" si="484"/>
        <v>0</v>
      </c>
      <c r="AM801" s="1525">
        <f t="shared" si="484"/>
        <v>0</v>
      </c>
      <c r="AN801" s="1525">
        <f t="shared" si="484"/>
        <v>0</v>
      </c>
      <c r="AO801" s="1525">
        <f t="shared" si="484"/>
        <v>0</v>
      </c>
      <c r="AP801" s="1525">
        <f t="shared" si="484"/>
        <v>0</v>
      </c>
      <c r="AQ801" s="1525">
        <f t="shared" si="484"/>
        <v>0</v>
      </c>
      <c r="AR801" s="1525">
        <f t="shared" si="484"/>
        <v>0</v>
      </c>
      <c r="AS801" s="1525">
        <f t="shared" si="484"/>
        <v>0</v>
      </c>
      <c r="AU801" s="1525"/>
      <c r="AV801" s="1291"/>
      <c r="AW801" s="1292"/>
      <c r="AX801" s="1292"/>
      <c r="AY801" s="1292"/>
      <c r="AZ801" s="1292"/>
      <c r="BA801" s="1292"/>
      <c r="BB801" s="1292"/>
      <c r="BC801" s="1292"/>
      <c r="BD801" s="1292"/>
      <c r="BE801" s="1292"/>
      <c r="BF801" s="1292"/>
      <c r="BG801" s="1292"/>
      <c r="BH801" s="1292">
        <v>0.1</v>
      </c>
      <c r="BI801" s="1292">
        <v>0.9</v>
      </c>
      <c r="BJ801" s="1292"/>
      <c r="BK801" s="1292"/>
      <c r="BL801" s="1292"/>
      <c r="BM801" s="1292"/>
      <c r="BN801" s="1292"/>
      <c r="BO801" s="1292"/>
      <c r="BP801" s="1292"/>
      <c r="BQ801" s="1292"/>
      <c r="BR801" s="1292"/>
      <c r="BS801" s="1292"/>
      <c r="BT801" s="1670">
        <f t="shared" si="485"/>
        <v>1</v>
      </c>
      <c r="BW801" s="913" t="s">
        <v>1802</v>
      </c>
    </row>
    <row r="802" spans="2:75" ht="12.75" customHeight="1" x14ac:dyDescent="0.2">
      <c r="B802" s="175">
        <f>B801+1</f>
        <v>6</v>
      </c>
      <c r="C802" s="219">
        <v>14</v>
      </c>
      <c r="E802" s="12" t="s">
        <v>298</v>
      </c>
      <c r="F802" s="37" t="s">
        <v>626</v>
      </c>
      <c r="G802" s="913" t="s">
        <v>1722</v>
      </c>
      <c r="H802" s="861">
        <v>150673</v>
      </c>
      <c r="I802" s="180" t="s">
        <v>583</v>
      </c>
      <c r="J802" s="173"/>
      <c r="K802" s="173"/>
      <c r="L802" s="893">
        <v>0.5</v>
      </c>
      <c r="M802" s="861">
        <f t="shared" si="477"/>
        <v>0.5</v>
      </c>
      <c r="N802" s="832" t="s">
        <v>892</v>
      </c>
      <c r="O802" s="1196">
        <v>34320</v>
      </c>
      <c r="P802" s="1218">
        <f t="shared" ca="1" si="478"/>
        <v>23.791666666666668</v>
      </c>
      <c r="Q802" s="1148">
        <v>26800</v>
      </c>
      <c r="R802" s="874"/>
      <c r="S802" s="875"/>
      <c r="T802" s="875">
        <v>12000</v>
      </c>
      <c r="U802" s="875"/>
      <c r="V802" s="875"/>
      <c r="W802" s="875"/>
      <c r="X802" s="1026">
        <f t="shared" si="479"/>
        <v>19400</v>
      </c>
      <c r="Y802" s="1512">
        <f t="shared" si="480"/>
        <v>0.44776119402985076</v>
      </c>
      <c r="Z802" s="1741">
        <f t="shared" si="481"/>
        <v>0.72388059701492535</v>
      </c>
      <c r="AA802" s="1749">
        <f t="shared" si="482"/>
        <v>0.72</v>
      </c>
      <c r="AB802" s="1810">
        <f t="shared" si="483"/>
        <v>99.463917525773198</v>
      </c>
      <c r="AC802" s="876"/>
      <c r="AD802" s="1525">
        <f t="shared" si="484"/>
        <v>0.32</v>
      </c>
      <c r="AE802" s="1525">
        <f t="shared" si="484"/>
        <v>0</v>
      </c>
      <c r="AF802" s="1525">
        <f t="shared" si="484"/>
        <v>0</v>
      </c>
      <c r="AG802" s="1525">
        <f t="shared" si="484"/>
        <v>0</v>
      </c>
      <c r="AH802" s="1525">
        <f t="shared" si="484"/>
        <v>0</v>
      </c>
      <c r="AI802" s="1525">
        <f t="shared" si="484"/>
        <v>0</v>
      </c>
      <c r="AJ802" s="1525">
        <f t="shared" si="484"/>
        <v>0.4</v>
      </c>
      <c r="AK802" s="1525">
        <f t="shared" si="484"/>
        <v>0</v>
      </c>
      <c r="AL802" s="1525">
        <f t="shared" si="484"/>
        <v>0</v>
      </c>
      <c r="AM802" s="1525">
        <f t="shared" si="484"/>
        <v>0</v>
      </c>
      <c r="AN802" s="1525">
        <f t="shared" si="484"/>
        <v>0</v>
      </c>
      <c r="AO802" s="1525">
        <f t="shared" si="484"/>
        <v>0</v>
      </c>
      <c r="AP802" s="1525">
        <f t="shared" si="484"/>
        <v>0</v>
      </c>
      <c r="AQ802" s="1525">
        <f t="shared" si="484"/>
        <v>0</v>
      </c>
      <c r="AR802" s="1525">
        <f t="shared" si="484"/>
        <v>0</v>
      </c>
      <c r="AS802" s="1525">
        <f t="shared" si="484"/>
        <v>0</v>
      </c>
      <c r="AU802" s="1525"/>
      <c r="AV802" s="1291"/>
      <c r="AW802" s="1292"/>
      <c r="AX802" s="1292"/>
      <c r="AY802" s="1292"/>
      <c r="AZ802" s="1292"/>
      <c r="BA802" s="1292"/>
      <c r="BB802" s="1292"/>
      <c r="BC802" s="1292"/>
      <c r="BD802" s="1292"/>
      <c r="BE802" s="1292"/>
      <c r="BF802" s="1292"/>
      <c r="BG802" s="1292"/>
      <c r="BH802" s="1292">
        <v>0.4</v>
      </c>
      <c r="BI802" s="1292">
        <v>0.32</v>
      </c>
      <c r="BJ802" s="1292"/>
      <c r="BK802" s="1292"/>
      <c r="BL802" s="1292"/>
      <c r="BM802" s="1292"/>
      <c r="BN802" s="1292"/>
      <c r="BO802" s="1292"/>
      <c r="BP802" s="1292"/>
      <c r="BQ802" s="1292"/>
      <c r="BR802" s="1292"/>
      <c r="BS802" s="1292"/>
      <c r="BT802" s="1670">
        <f t="shared" si="485"/>
        <v>0.72</v>
      </c>
      <c r="BW802" s="913" t="s">
        <v>1722</v>
      </c>
    </row>
    <row r="803" spans="2:75" ht="12.75" customHeight="1" x14ac:dyDescent="0.2">
      <c r="B803" s="175">
        <f>B802+1</f>
        <v>7</v>
      </c>
      <c r="C803" s="219">
        <v>18</v>
      </c>
      <c r="E803" s="12" t="s">
        <v>298</v>
      </c>
      <c r="F803" s="37" t="s">
        <v>584</v>
      </c>
      <c r="G803" s="913" t="s">
        <v>1723</v>
      </c>
      <c r="H803" s="861">
        <v>150653</v>
      </c>
      <c r="I803" s="180" t="s">
        <v>583</v>
      </c>
      <c r="J803" s="173"/>
      <c r="K803" s="173"/>
      <c r="L803" s="893">
        <v>0.25</v>
      </c>
      <c r="M803" s="861">
        <f t="shared" si="477"/>
        <v>0.25</v>
      </c>
      <c r="N803" s="832" t="s">
        <v>892</v>
      </c>
      <c r="O803" s="1196">
        <v>35123</v>
      </c>
      <c r="P803" s="1218">
        <f t="shared" ca="1" si="478"/>
        <v>21.594444444444445</v>
      </c>
      <c r="Q803" s="1148">
        <v>28000</v>
      </c>
      <c r="R803" s="874"/>
      <c r="S803" s="875"/>
      <c r="T803" s="875"/>
      <c r="U803" s="875"/>
      <c r="V803" s="875"/>
      <c r="W803" s="875"/>
      <c r="X803" s="1026">
        <f t="shared" si="479"/>
        <v>7000</v>
      </c>
      <c r="Y803" s="1512">
        <f t="shared" si="480"/>
        <v>0</v>
      </c>
      <c r="Z803" s="1741">
        <f t="shared" si="481"/>
        <v>0.25</v>
      </c>
      <c r="AA803" s="1749">
        <f t="shared" si="482"/>
        <v>0.25</v>
      </c>
      <c r="AB803" s="1810">
        <f t="shared" si="483"/>
        <v>100</v>
      </c>
      <c r="AC803" s="876"/>
      <c r="AD803" s="1525">
        <f t="shared" si="484"/>
        <v>0.15</v>
      </c>
      <c r="AE803" s="1525">
        <f t="shared" si="484"/>
        <v>0</v>
      </c>
      <c r="AF803" s="1525">
        <f t="shared" si="484"/>
        <v>0</v>
      </c>
      <c r="AG803" s="1525">
        <f t="shared" si="484"/>
        <v>0</v>
      </c>
      <c r="AH803" s="1525">
        <f t="shared" si="484"/>
        <v>0</v>
      </c>
      <c r="AI803" s="1525">
        <f t="shared" si="484"/>
        <v>0</v>
      </c>
      <c r="AJ803" s="1525">
        <f t="shared" si="484"/>
        <v>0.1</v>
      </c>
      <c r="AK803" s="1525">
        <f t="shared" si="484"/>
        <v>0</v>
      </c>
      <c r="AL803" s="1525">
        <f t="shared" si="484"/>
        <v>0</v>
      </c>
      <c r="AM803" s="1525">
        <f t="shared" si="484"/>
        <v>0</v>
      </c>
      <c r="AN803" s="1525">
        <f t="shared" si="484"/>
        <v>0</v>
      </c>
      <c r="AO803" s="1525">
        <f t="shared" si="484"/>
        <v>0</v>
      </c>
      <c r="AP803" s="1525">
        <f t="shared" si="484"/>
        <v>0</v>
      </c>
      <c r="AQ803" s="1525">
        <f t="shared" si="484"/>
        <v>0</v>
      </c>
      <c r="AR803" s="1525">
        <f t="shared" si="484"/>
        <v>0</v>
      </c>
      <c r="AS803" s="1525">
        <f t="shared" si="484"/>
        <v>0</v>
      </c>
      <c r="AU803" s="1525"/>
      <c r="AV803" s="1291"/>
      <c r="AW803" s="1292"/>
      <c r="AX803" s="1292"/>
      <c r="AY803" s="1292"/>
      <c r="AZ803" s="1292"/>
      <c r="BA803" s="1292"/>
      <c r="BB803" s="1292"/>
      <c r="BC803" s="1292"/>
      <c r="BD803" s="1292"/>
      <c r="BE803" s="1292"/>
      <c r="BF803" s="1292"/>
      <c r="BG803" s="1292"/>
      <c r="BH803" s="1292">
        <v>0.1</v>
      </c>
      <c r="BI803" s="1292">
        <v>0.15</v>
      </c>
      <c r="BJ803" s="1292"/>
      <c r="BK803" s="1292"/>
      <c r="BL803" s="1292"/>
      <c r="BM803" s="1292"/>
      <c r="BN803" s="1292"/>
      <c r="BO803" s="1292"/>
      <c r="BP803" s="1292"/>
      <c r="BQ803" s="1292"/>
      <c r="BR803" s="1292"/>
      <c r="BS803" s="1292"/>
      <c r="BT803" s="1670">
        <f t="shared" si="485"/>
        <v>0.25</v>
      </c>
      <c r="BW803" s="913" t="s">
        <v>1723</v>
      </c>
    </row>
    <row r="804" spans="2:75" ht="12.75" customHeight="1" x14ac:dyDescent="0.2">
      <c r="B804" s="175">
        <f>B803+1</f>
        <v>8</v>
      </c>
      <c r="C804" s="219">
        <v>18</v>
      </c>
      <c r="E804" s="12" t="s">
        <v>298</v>
      </c>
      <c r="F804" s="37" t="s">
        <v>584</v>
      </c>
      <c r="G804" s="913" t="s">
        <v>1732</v>
      </c>
      <c r="H804" s="861">
        <v>150651</v>
      </c>
      <c r="I804" s="180"/>
      <c r="J804" s="173"/>
      <c r="K804" s="173"/>
      <c r="L804" s="893">
        <v>0.25</v>
      </c>
      <c r="M804" s="861">
        <f t="shared" si="477"/>
        <v>0.25</v>
      </c>
      <c r="N804" s="832" t="s">
        <v>892</v>
      </c>
      <c r="O804" s="1196">
        <v>34900</v>
      </c>
      <c r="P804" s="1218">
        <f t="shared" ca="1" si="478"/>
        <v>22.2</v>
      </c>
      <c r="Q804" s="1148">
        <v>28000</v>
      </c>
      <c r="R804" s="874"/>
      <c r="S804" s="875"/>
      <c r="T804" s="875"/>
      <c r="U804" s="875"/>
      <c r="V804" s="875"/>
      <c r="W804" s="875"/>
      <c r="X804" s="1026">
        <f t="shared" si="479"/>
        <v>7000</v>
      </c>
      <c r="Y804" s="1512">
        <f t="shared" si="480"/>
        <v>0</v>
      </c>
      <c r="Z804" s="1741">
        <f t="shared" si="481"/>
        <v>0.25</v>
      </c>
      <c r="AA804" s="1749">
        <f t="shared" si="482"/>
        <v>0.25</v>
      </c>
      <c r="AB804" s="1810">
        <f t="shared" si="483"/>
        <v>100</v>
      </c>
      <c r="AC804" s="876"/>
      <c r="AD804" s="1525">
        <f t="shared" si="484"/>
        <v>0.15</v>
      </c>
      <c r="AE804" s="1525">
        <f t="shared" si="484"/>
        <v>0</v>
      </c>
      <c r="AF804" s="1525">
        <f t="shared" si="484"/>
        <v>0</v>
      </c>
      <c r="AG804" s="1525">
        <f t="shared" si="484"/>
        <v>0</v>
      </c>
      <c r="AH804" s="1525">
        <f t="shared" si="484"/>
        <v>0</v>
      </c>
      <c r="AI804" s="1525">
        <f t="shared" si="484"/>
        <v>0</v>
      </c>
      <c r="AJ804" s="1525">
        <f t="shared" si="484"/>
        <v>0.1</v>
      </c>
      <c r="AK804" s="1525">
        <f t="shared" si="484"/>
        <v>0</v>
      </c>
      <c r="AL804" s="1525">
        <f t="shared" si="484"/>
        <v>0</v>
      </c>
      <c r="AM804" s="1525">
        <f t="shared" si="484"/>
        <v>0</v>
      </c>
      <c r="AN804" s="1525">
        <f t="shared" si="484"/>
        <v>0</v>
      </c>
      <c r="AO804" s="1525">
        <f t="shared" si="484"/>
        <v>0</v>
      </c>
      <c r="AP804" s="1525">
        <f t="shared" si="484"/>
        <v>0</v>
      </c>
      <c r="AQ804" s="1525">
        <f t="shared" si="484"/>
        <v>0</v>
      </c>
      <c r="AR804" s="1525">
        <f t="shared" si="484"/>
        <v>0</v>
      </c>
      <c r="AS804" s="1525">
        <f t="shared" si="484"/>
        <v>0</v>
      </c>
      <c r="AU804" s="1525"/>
      <c r="AV804" s="1291"/>
      <c r="AW804" s="1292"/>
      <c r="AX804" s="1292"/>
      <c r="AY804" s="1292"/>
      <c r="AZ804" s="1292"/>
      <c r="BA804" s="1292"/>
      <c r="BB804" s="1292"/>
      <c r="BC804" s="1292"/>
      <c r="BD804" s="1292"/>
      <c r="BE804" s="1292"/>
      <c r="BF804" s="1292"/>
      <c r="BG804" s="1292"/>
      <c r="BH804" s="1292">
        <v>0.1</v>
      </c>
      <c r="BI804" s="1292">
        <v>0.15</v>
      </c>
      <c r="BJ804" s="1292"/>
      <c r="BK804" s="1292"/>
      <c r="BL804" s="1292"/>
      <c r="BM804" s="1292"/>
      <c r="BN804" s="1292"/>
      <c r="BO804" s="1292"/>
      <c r="BP804" s="1292"/>
      <c r="BQ804" s="1292"/>
      <c r="BR804" s="1292"/>
      <c r="BS804" s="1292"/>
      <c r="BT804" s="1670">
        <f t="shared" si="485"/>
        <v>0.25</v>
      </c>
      <c r="BW804" s="913" t="s">
        <v>1732</v>
      </c>
    </row>
    <row r="805" spans="2:75" ht="12.75" customHeight="1" x14ac:dyDescent="0.2">
      <c r="B805" s="175">
        <f>B804+1</f>
        <v>9</v>
      </c>
      <c r="C805" s="219">
        <v>18</v>
      </c>
      <c r="E805" s="12" t="s">
        <v>298</v>
      </c>
      <c r="F805" s="42" t="s">
        <v>1636</v>
      </c>
      <c r="G805" s="945" t="s">
        <v>1637</v>
      </c>
      <c r="H805" s="873">
        <v>18663</v>
      </c>
      <c r="I805" s="176" t="s">
        <v>886</v>
      </c>
      <c r="J805" s="173"/>
      <c r="K805" s="177"/>
      <c r="L805" s="944">
        <v>1</v>
      </c>
      <c r="M805" s="873">
        <f t="shared" si="477"/>
        <v>1</v>
      </c>
      <c r="N805" s="940" t="s">
        <v>892</v>
      </c>
      <c r="O805" s="1196">
        <v>26205</v>
      </c>
      <c r="P805" s="1218">
        <f t="shared" ca="1" si="478"/>
        <v>46.008333333333333</v>
      </c>
      <c r="Q805" s="1148">
        <v>18800</v>
      </c>
      <c r="R805" s="874"/>
      <c r="S805" s="875"/>
      <c r="T805" s="875"/>
      <c r="U805" s="875"/>
      <c r="V805" s="875"/>
      <c r="W805" s="875"/>
      <c r="X805" s="1026">
        <f t="shared" si="479"/>
        <v>18800</v>
      </c>
      <c r="Y805" s="1512">
        <f t="shared" si="480"/>
        <v>0</v>
      </c>
      <c r="Z805" s="1741">
        <f t="shared" si="481"/>
        <v>1</v>
      </c>
      <c r="AA805" s="1749">
        <f t="shared" si="482"/>
        <v>0.2</v>
      </c>
      <c r="AB805" s="1810">
        <f t="shared" si="483"/>
        <v>20</v>
      </c>
      <c r="AC805" s="876"/>
      <c r="AD805" s="1525">
        <f t="shared" si="484"/>
        <v>0</v>
      </c>
      <c r="AE805" s="1525">
        <f t="shared" si="484"/>
        <v>0</v>
      </c>
      <c r="AF805" s="1525">
        <f t="shared" si="484"/>
        <v>0</v>
      </c>
      <c r="AG805" s="1525">
        <f t="shared" si="484"/>
        <v>0</v>
      </c>
      <c r="AH805" s="1525">
        <f t="shared" si="484"/>
        <v>0</v>
      </c>
      <c r="AI805" s="1525">
        <f t="shared" si="484"/>
        <v>0</v>
      </c>
      <c r="AJ805" s="1525">
        <f t="shared" si="484"/>
        <v>0.2</v>
      </c>
      <c r="AK805" s="1525">
        <f t="shared" si="484"/>
        <v>0</v>
      </c>
      <c r="AL805" s="1525">
        <f t="shared" si="484"/>
        <v>0</v>
      </c>
      <c r="AM805" s="1525">
        <f t="shared" si="484"/>
        <v>0</v>
      </c>
      <c r="AN805" s="1525">
        <f t="shared" si="484"/>
        <v>0</v>
      </c>
      <c r="AO805" s="1525">
        <f t="shared" si="484"/>
        <v>0</v>
      </c>
      <c r="AP805" s="1525">
        <f t="shared" si="484"/>
        <v>0</v>
      </c>
      <c r="AQ805" s="1525">
        <f t="shared" si="484"/>
        <v>0</v>
      </c>
      <c r="AR805" s="1525">
        <f t="shared" si="484"/>
        <v>0</v>
      </c>
      <c r="AS805" s="1525">
        <f t="shared" si="484"/>
        <v>0</v>
      </c>
      <c r="AU805" s="1525"/>
      <c r="AV805" s="1291"/>
      <c r="AW805" s="1292"/>
      <c r="AX805" s="1292"/>
      <c r="AY805" s="1292"/>
      <c r="AZ805" s="1292"/>
      <c r="BA805" s="1292"/>
      <c r="BB805" s="1292"/>
      <c r="BC805" s="1292"/>
      <c r="BD805" s="1292"/>
      <c r="BE805" s="1292"/>
      <c r="BF805" s="1292"/>
      <c r="BG805" s="1292"/>
      <c r="BH805" s="1292">
        <v>0.2</v>
      </c>
      <c r="BI805" s="1292"/>
      <c r="BJ805" s="1292"/>
      <c r="BK805" s="1292"/>
      <c r="BL805" s="1292"/>
      <c r="BM805" s="1292"/>
      <c r="BN805" s="1292"/>
      <c r="BO805" s="1292"/>
      <c r="BP805" s="1292"/>
      <c r="BQ805" s="1292"/>
      <c r="BR805" s="1292"/>
      <c r="BS805" s="1292"/>
      <c r="BT805" s="1670">
        <f t="shared" si="485"/>
        <v>0.2</v>
      </c>
      <c r="BW805" s="945" t="s">
        <v>1637</v>
      </c>
    </row>
    <row r="806" spans="2:75" ht="12.75" customHeight="1" x14ac:dyDescent="0.2">
      <c r="B806" s="175"/>
      <c r="C806" s="219"/>
      <c r="E806" s="12"/>
      <c r="F806" s="37"/>
      <c r="G806" s="913"/>
      <c r="H806" s="861"/>
      <c r="I806" s="180"/>
      <c r="J806" s="173"/>
      <c r="K806" s="173"/>
      <c r="L806" s="893"/>
      <c r="M806" s="861"/>
      <c r="N806" s="832"/>
      <c r="O806" s="1196"/>
      <c r="P806" s="1218"/>
      <c r="Q806" s="1148"/>
      <c r="R806" s="874"/>
      <c r="S806" s="875"/>
      <c r="T806" s="875"/>
      <c r="U806" s="875"/>
      <c r="V806" s="875"/>
      <c r="W806" s="875"/>
      <c r="X806" s="1026"/>
      <c r="Y806" s="1335"/>
      <c r="Z806" s="1335"/>
      <c r="AA806" s="1775"/>
      <c r="AB806" s="1814"/>
      <c r="AC806" s="876"/>
      <c r="AD806" s="1525"/>
      <c r="AE806" s="1525"/>
      <c r="AF806" s="1525"/>
      <c r="AG806" s="1525"/>
      <c r="AH806" s="1525"/>
      <c r="AI806" s="1525"/>
      <c r="AJ806" s="1525"/>
      <c r="AK806" s="1525"/>
      <c r="AL806" s="1525"/>
      <c r="AM806" s="1525"/>
      <c r="AN806" s="1525"/>
      <c r="AO806" s="1525"/>
      <c r="AP806" s="1525"/>
      <c r="AQ806" s="1525"/>
      <c r="AR806" s="1525"/>
      <c r="AS806" s="1525"/>
      <c r="AU806" s="1525"/>
      <c r="AV806" s="1291"/>
      <c r="AW806" s="1292"/>
      <c r="AX806" s="1292"/>
      <c r="AY806" s="1292"/>
      <c r="AZ806" s="1292"/>
      <c r="BA806" s="1292"/>
      <c r="BB806" s="1292"/>
      <c r="BC806" s="1292"/>
      <c r="BD806" s="1292"/>
      <c r="BE806" s="1292"/>
      <c r="BF806" s="1292"/>
      <c r="BG806" s="1292"/>
      <c r="BH806" s="1292"/>
      <c r="BI806" s="1292"/>
      <c r="BJ806" s="1292"/>
      <c r="BK806" s="1292"/>
      <c r="BL806" s="1292"/>
      <c r="BM806" s="1292"/>
      <c r="BN806" s="1292"/>
      <c r="BO806" s="1292"/>
      <c r="BP806" s="1292"/>
      <c r="BQ806" s="1292"/>
      <c r="BR806" s="1292"/>
      <c r="BS806" s="1292"/>
      <c r="BT806" s="1670"/>
      <c r="BW806" s="913"/>
    </row>
    <row r="807" spans="2:75" s="164" customFormat="1" ht="12.75" customHeight="1" x14ac:dyDescent="0.2">
      <c r="B807" s="175"/>
      <c r="C807" s="170"/>
      <c r="D807" s="170"/>
      <c r="E807" s="170"/>
      <c r="F807" s="1118" t="s">
        <v>436</v>
      </c>
      <c r="G807" s="913"/>
      <c r="H807" s="1358" t="s">
        <v>1508</v>
      </c>
      <c r="I807" s="180"/>
      <c r="J807" s="173"/>
      <c r="K807" s="173"/>
      <c r="L807" s="893"/>
      <c r="M807" s="893"/>
      <c r="N807" s="832"/>
      <c r="O807" s="1192"/>
      <c r="P807" s="1294"/>
      <c r="Q807" s="1148"/>
      <c r="R807" s="874"/>
      <c r="S807" s="876"/>
      <c r="T807" s="876"/>
      <c r="U807" s="876"/>
      <c r="V807" s="876"/>
      <c r="W807" s="876"/>
      <c r="X807" s="1026"/>
      <c r="Y807" s="1754"/>
      <c r="Z807" s="1755"/>
      <c r="AA807" s="1775"/>
      <c r="AB807" s="1814"/>
      <c r="AC807" s="876"/>
      <c r="AD807" s="1295"/>
      <c r="AE807" s="1525"/>
      <c r="AF807" s="1525"/>
      <c r="AG807" s="1525"/>
      <c r="AH807" s="1525"/>
      <c r="AI807" s="1525"/>
      <c r="AJ807" s="1525"/>
      <c r="AK807" s="1525"/>
      <c r="AL807" s="1525"/>
      <c r="AM807" s="1525"/>
      <c r="AN807" s="1525"/>
      <c r="AO807" s="1525"/>
      <c r="AP807" s="1525"/>
      <c r="AQ807" s="1525"/>
      <c r="AR807" s="1525"/>
      <c r="AS807" s="1525"/>
      <c r="AU807" s="1525"/>
      <c r="AV807" s="1295"/>
      <c r="AW807" s="1525"/>
      <c r="AX807" s="1525"/>
      <c r="AY807" s="1525"/>
      <c r="AZ807" s="1525"/>
      <c r="BA807" s="1525"/>
      <c r="BB807" s="1525"/>
      <c r="BC807" s="1525"/>
      <c r="BD807" s="1525"/>
      <c r="BE807" s="1525"/>
      <c r="BF807" s="1525"/>
      <c r="BG807" s="1525"/>
      <c r="BH807" s="1525"/>
      <c r="BI807" s="1525"/>
      <c r="BJ807" s="1525"/>
      <c r="BK807" s="1525"/>
      <c r="BL807" s="1525"/>
      <c r="BM807" s="1525"/>
      <c r="BN807" s="1525"/>
      <c r="BO807" s="1525"/>
      <c r="BP807" s="1525"/>
      <c r="BQ807" s="1525"/>
      <c r="BR807" s="1525"/>
      <c r="BS807" s="1525"/>
      <c r="BT807" s="1670"/>
      <c r="BV807"/>
      <c r="BW807" s="913"/>
    </row>
    <row r="808" spans="2:75" ht="12.75" customHeight="1" x14ac:dyDescent="0.2">
      <c r="B808" s="175">
        <f>B807+1</f>
        <v>1</v>
      </c>
      <c r="C808" s="219">
        <v>7</v>
      </c>
      <c r="E808" s="12" t="s">
        <v>298</v>
      </c>
      <c r="F808" s="30" t="s">
        <v>1334</v>
      </c>
      <c r="G808" s="856" t="s">
        <v>722</v>
      </c>
      <c r="H808" s="858">
        <v>252520</v>
      </c>
      <c r="I808" s="200" t="s">
        <v>351</v>
      </c>
      <c r="J808" s="168"/>
      <c r="K808" s="168">
        <v>1</v>
      </c>
      <c r="L808" s="841"/>
      <c r="M808" s="858">
        <f>K808+L808</f>
        <v>1</v>
      </c>
      <c r="N808" s="855" t="s">
        <v>1326</v>
      </c>
      <c r="O808" s="1196">
        <v>23492</v>
      </c>
      <c r="P808" s="1218">
        <f ca="1">YEARFRAC(TODAY(),O808)</f>
        <v>53.43611111111111</v>
      </c>
      <c r="Q808" s="1148">
        <v>35300</v>
      </c>
      <c r="R808" s="874">
        <f>Q808*0.1</f>
        <v>3530</v>
      </c>
      <c r="S808" s="875">
        <v>3000</v>
      </c>
      <c r="T808" s="875">
        <v>3000</v>
      </c>
      <c r="U808" s="875"/>
      <c r="V808" s="875"/>
      <c r="W808" s="875"/>
      <c r="X808" s="1026">
        <f>(Q808+R808+S808+T808+U808+V808+W808)*M808</f>
        <v>44830</v>
      </c>
      <c r="Y808" s="1512">
        <f>(T808+U808)*M808/(X808-M808*(T808+U808))</f>
        <v>7.1718862060721963E-2</v>
      </c>
      <c r="Z808" s="1741">
        <f>M808*(1+Y808)</f>
        <v>1.0717188620607219</v>
      </c>
      <c r="AA808" s="1749">
        <f>SUM(AD808:AS808)</f>
        <v>1.08</v>
      </c>
      <c r="AB808" s="1810">
        <f t="shared" ref="AB808" si="486">100*AA808/Z808</f>
        <v>100.77269685478475</v>
      </c>
      <c r="AC808" s="876"/>
      <c r="AD808" s="1525">
        <f t="shared" ref="AD808:AS808" si="487">SUMIF($AV$6:$BS$6,AD$5,$AV808:$BS808)</f>
        <v>0.5</v>
      </c>
      <c r="AE808" s="1525">
        <f t="shared" si="487"/>
        <v>0</v>
      </c>
      <c r="AF808" s="1525">
        <f t="shared" si="487"/>
        <v>0</v>
      </c>
      <c r="AG808" s="1525">
        <f t="shared" si="487"/>
        <v>0</v>
      </c>
      <c r="AH808" s="1525">
        <f t="shared" si="487"/>
        <v>0</v>
      </c>
      <c r="AI808" s="1525">
        <f t="shared" si="487"/>
        <v>0</v>
      </c>
      <c r="AJ808" s="1525">
        <f t="shared" si="487"/>
        <v>0.57999999999999996</v>
      </c>
      <c r="AK808" s="1525">
        <f t="shared" si="487"/>
        <v>0</v>
      </c>
      <c r="AL808" s="1525">
        <f t="shared" si="487"/>
        <v>0</v>
      </c>
      <c r="AM808" s="1525">
        <f t="shared" si="487"/>
        <v>0</v>
      </c>
      <c r="AN808" s="1525">
        <f t="shared" si="487"/>
        <v>0</v>
      </c>
      <c r="AO808" s="1525">
        <f t="shared" si="487"/>
        <v>0</v>
      </c>
      <c r="AP808" s="1525">
        <f t="shared" si="487"/>
        <v>0</v>
      </c>
      <c r="AQ808" s="1525">
        <f t="shared" si="487"/>
        <v>0</v>
      </c>
      <c r="AR808" s="1525">
        <f t="shared" si="487"/>
        <v>0</v>
      </c>
      <c r="AS808" s="1525">
        <f t="shared" si="487"/>
        <v>0</v>
      </c>
      <c r="AU808" s="1525"/>
      <c r="AV808" s="1291"/>
      <c r="AW808" s="1292"/>
      <c r="AX808" s="1292"/>
      <c r="AY808" s="1292"/>
      <c r="AZ808" s="1292"/>
      <c r="BA808" s="1292"/>
      <c r="BB808" s="1292"/>
      <c r="BC808" s="1292"/>
      <c r="BD808" s="1292"/>
      <c r="BE808" s="1292"/>
      <c r="BF808" s="1292"/>
      <c r="BG808" s="1292"/>
      <c r="BH808" s="1292">
        <v>0.57999999999999996</v>
      </c>
      <c r="BI808" s="1292">
        <v>0.5</v>
      </c>
      <c r="BJ808" s="1292"/>
      <c r="BK808" s="1292"/>
      <c r="BL808" s="1292"/>
      <c r="BM808" s="1292"/>
      <c r="BN808" s="1292"/>
      <c r="BO808" s="1292"/>
      <c r="BP808" s="1292"/>
      <c r="BQ808" s="1292"/>
      <c r="BR808" s="1292"/>
      <c r="BS808" s="1292"/>
      <c r="BT808" s="1670">
        <f t="shared" ref="BT808" si="488">SUM(AV808:BS808)</f>
        <v>1.08</v>
      </c>
      <c r="BW808" s="856" t="s">
        <v>722</v>
      </c>
    </row>
    <row r="809" spans="2:75" ht="12.75" customHeight="1" x14ac:dyDescent="0.2">
      <c r="B809" s="175"/>
      <c r="C809" s="219"/>
      <c r="E809" s="12"/>
      <c r="F809" s="37"/>
      <c r="G809" s="913"/>
      <c r="H809" s="861"/>
      <c r="I809" s="180"/>
      <c r="J809" s="173"/>
      <c r="K809" s="173"/>
      <c r="L809" s="893"/>
      <c r="M809" s="861"/>
      <c r="N809" s="832"/>
      <c r="O809" s="1196"/>
      <c r="P809" s="1218"/>
      <c r="Q809" s="1148"/>
      <c r="R809" s="874"/>
      <c r="S809" s="875"/>
      <c r="T809" s="875"/>
      <c r="U809" s="875"/>
      <c r="V809" s="875"/>
      <c r="W809" s="875"/>
      <c r="X809" s="1026"/>
      <c r="Y809" s="1335"/>
      <c r="Z809" s="1335"/>
      <c r="AA809" s="1775"/>
      <c r="AB809" s="1814"/>
      <c r="AC809" s="876"/>
      <c r="AD809" s="1525"/>
      <c r="AE809" s="1525"/>
      <c r="AF809" s="1525"/>
      <c r="AG809" s="1525"/>
      <c r="AH809" s="1525"/>
      <c r="AI809" s="1525"/>
      <c r="AJ809" s="1525"/>
      <c r="AK809" s="1525"/>
      <c r="AL809" s="1525"/>
      <c r="AM809" s="1525"/>
      <c r="AN809" s="1525"/>
      <c r="AO809" s="1525"/>
      <c r="AP809" s="1525"/>
      <c r="AQ809" s="1525"/>
      <c r="AR809" s="1525"/>
      <c r="AS809" s="1525"/>
      <c r="AU809" s="1525"/>
      <c r="AV809" s="1291"/>
      <c r="AW809" s="1292"/>
      <c r="AX809" s="1292"/>
      <c r="AY809" s="1292"/>
      <c r="AZ809" s="1292"/>
      <c r="BA809" s="1292"/>
      <c r="BB809" s="1292"/>
      <c r="BC809" s="1292"/>
      <c r="BD809" s="1292"/>
      <c r="BE809" s="1292"/>
      <c r="BF809" s="1292"/>
      <c r="BG809" s="1292"/>
      <c r="BH809" s="1292"/>
      <c r="BI809" s="1292"/>
      <c r="BJ809" s="1292"/>
      <c r="BK809" s="1292"/>
      <c r="BL809" s="1292"/>
      <c r="BM809" s="1292"/>
      <c r="BN809" s="1292"/>
      <c r="BO809" s="1292"/>
      <c r="BP809" s="1292"/>
      <c r="BQ809" s="1292"/>
      <c r="BR809" s="1292"/>
      <c r="BS809" s="1292"/>
      <c r="BT809" s="1670"/>
      <c r="BW809" s="913"/>
    </row>
    <row r="810" spans="2:75" s="164" customFormat="1" ht="12.75" customHeight="1" x14ac:dyDescent="0.2">
      <c r="B810" s="175"/>
      <c r="C810" s="220" t="s">
        <v>1120</v>
      </c>
      <c r="D810" s="170"/>
      <c r="E810" s="170"/>
      <c r="F810" s="37" t="s">
        <v>1623</v>
      </c>
      <c r="G810" s="913"/>
      <c r="H810" s="1351" t="s">
        <v>1508</v>
      </c>
      <c r="I810" s="180"/>
      <c r="J810" s="173"/>
      <c r="K810" s="892">
        <f t="shared" ref="K810:L810" si="489">SUM(K797:K808)</f>
        <v>1</v>
      </c>
      <c r="L810" s="892">
        <f t="shared" si="489"/>
        <v>7</v>
      </c>
      <c r="M810" s="892">
        <f>SUM(M797:M808)</f>
        <v>8</v>
      </c>
      <c r="N810" s="832"/>
      <c r="O810" s="1192"/>
      <c r="P810" s="1294"/>
      <c r="Q810" s="1153"/>
      <c r="R810" s="884"/>
      <c r="S810" s="876"/>
      <c r="T810" s="876"/>
      <c r="U810" s="876"/>
      <c r="V810" s="876"/>
      <c r="W810" s="876"/>
      <c r="X810" s="1026"/>
      <c r="Y810" s="1335"/>
      <c r="Z810" s="1335"/>
      <c r="AA810" s="1775"/>
      <c r="AB810" s="1814"/>
      <c r="AC810" s="876"/>
      <c r="AD810" s="1295"/>
      <c r="AE810" s="1525"/>
      <c r="AF810" s="1525"/>
      <c r="AG810" s="1525"/>
      <c r="AH810" s="1525"/>
      <c r="AI810" s="1525"/>
      <c r="AJ810" s="1525"/>
      <c r="AK810" s="1525"/>
      <c r="AL810" s="1525"/>
      <c r="AM810" s="1525"/>
      <c r="AN810" s="1525"/>
      <c r="AO810" s="1525"/>
      <c r="AP810" s="1525"/>
      <c r="AQ810" s="1525"/>
      <c r="AR810" s="1525"/>
      <c r="AS810" s="1525"/>
      <c r="AU810" s="1525"/>
      <c r="AV810" s="1295"/>
      <c r="AW810" s="1525"/>
      <c r="AX810" s="1525"/>
      <c r="AY810" s="1525"/>
      <c r="AZ810" s="1525"/>
      <c r="BA810" s="1525"/>
      <c r="BB810" s="1525"/>
      <c r="BC810" s="1525"/>
      <c r="BD810" s="1525"/>
      <c r="BE810" s="1525"/>
      <c r="BF810" s="1525"/>
      <c r="BG810" s="1525"/>
      <c r="BH810" s="1525"/>
      <c r="BI810" s="1525"/>
      <c r="BJ810" s="1525"/>
      <c r="BK810" s="1525"/>
      <c r="BL810" s="1525"/>
      <c r="BM810" s="1525"/>
      <c r="BN810" s="1525"/>
      <c r="BO810" s="1525"/>
      <c r="BP810" s="1525"/>
      <c r="BQ810" s="1525"/>
      <c r="BR810" s="1525"/>
      <c r="BS810" s="1525"/>
      <c r="BT810" s="1670"/>
      <c r="BV810"/>
      <c r="BW810" s="913"/>
    </row>
    <row r="811" spans="2:75" s="164" customFormat="1" ht="12.75" customHeight="1" x14ac:dyDescent="0.15">
      <c r="B811" s="175"/>
      <c r="F811" s="1"/>
      <c r="G811" s="856"/>
      <c r="H811" s="1364" t="s">
        <v>1508</v>
      </c>
      <c r="I811" s="172"/>
      <c r="J811" s="168"/>
      <c r="K811" s="168"/>
      <c r="L811" s="841"/>
      <c r="M811" s="841"/>
      <c r="N811" s="855"/>
      <c r="O811" s="1200"/>
      <c r="P811" s="550"/>
      <c r="Q811" s="1148"/>
      <c r="R811" s="874"/>
      <c r="S811" s="875"/>
      <c r="T811" s="875"/>
      <c r="U811" s="875"/>
      <c r="V811" s="875"/>
      <c r="W811" s="875"/>
      <c r="X811" s="1026"/>
      <c r="Y811" s="1754"/>
      <c r="Z811" s="1755"/>
      <c r="AA811" s="1775"/>
      <c r="AB811" s="1814"/>
      <c r="AC811" s="876"/>
      <c r="AD811" s="1295"/>
      <c r="AE811" s="1525"/>
      <c r="AF811" s="1525"/>
      <c r="AG811" s="1525"/>
      <c r="AH811" s="1525"/>
      <c r="AI811" s="1525"/>
      <c r="AJ811" s="1525"/>
      <c r="AK811" s="1525"/>
      <c r="AL811" s="1525"/>
      <c r="AM811" s="1525"/>
      <c r="AN811" s="1525"/>
      <c r="AO811" s="1525"/>
      <c r="AP811" s="1525"/>
      <c r="AQ811" s="1525"/>
      <c r="AR811" s="1525"/>
      <c r="AS811" s="1525"/>
      <c r="AU811" s="1525"/>
      <c r="AV811" s="1295"/>
      <c r="AW811" s="1525"/>
      <c r="AX811" s="1525"/>
      <c r="AY811" s="1525"/>
      <c r="AZ811" s="1525"/>
      <c r="BA811" s="1525"/>
      <c r="BB811" s="1525"/>
      <c r="BC811" s="1525"/>
      <c r="BD811" s="1525"/>
      <c r="BE811" s="1525"/>
      <c r="BF811" s="1525"/>
      <c r="BG811" s="1525"/>
      <c r="BH811" s="1525"/>
      <c r="BI811" s="1525"/>
      <c r="BJ811" s="1525"/>
      <c r="BK811" s="1525"/>
      <c r="BL811" s="1525"/>
      <c r="BM811" s="1525"/>
      <c r="BN811" s="1525"/>
      <c r="BO811" s="1525"/>
      <c r="BP811" s="1525"/>
      <c r="BQ811" s="1525"/>
      <c r="BR811" s="1525"/>
      <c r="BS811" s="1525"/>
      <c r="BT811" s="1670"/>
      <c r="BV811"/>
      <c r="BW811" s="856"/>
    </row>
    <row r="812" spans="2:75" s="164" customFormat="1" ht="12.75" customHeight="1" x14ac:dyDescent="0.2">
      <c r="B812" s="175"/>
      <c r="F812" s="2" t="s">
        <v>1256</v>
      </c>
      <c r="G812" s="854"/>
      <c r="H812" s="1376" t="s">
        <v>1508</v>
      </c>
      <c r="I812" s="259"/>
      <c r="J812" s="302"/>
      <c r="K812" s="302"/>
      <c r="L812" s="847"/>
      <c r="M812" s="847"/>
      <c r="N812" s="853"/>
      <c r="O812" s="1192"/>
      <c r="P812" s="550"/>
      <c r="Q812" s="1148"/>
      <c r="R812" s="874"/>
      <c r="S812" s="875"/>
      <c r="T812" s="875"/>
      <c r="U812" s="875"/>
      <c r="V812" s="875"/>
      <c r="W812" s="875"/>
      <c r="X812" s="1026"/>
      <c r="Y812" s="1754"/>
      <c r="Z812" s="1755"/>
      <c r="AA812" s="1775"/>
      <c r="AB812" s="1814"/>
      <c r="AC812" s="876"/>
      <c r="AD812" s="1295"/>
      <c r="AE812" s="1525"/>
      <c r="AF812" s="1525"/>
      <c r="AG812" s="1525"/>
      <c r="AH812" s="1525"/>
      <c r="AI812" s="1525"/>
      <c r="AJ812" s="1525"/>
      <c r="AK812" s="1525"/>
      <c r="AL812" s="1525"/>
      <c r="AM812" s="1525"/>
      <c r="AN812" s="1525"/>
      <c r="AO812" s="1525"/>
      <c r="AP812" s="1525"/>
      <c r="AQ812" s="1525"/>
      <c r="AR812" s="1525"/>
      <c r="AS812" s="1525"/>
      <c r="AU812" s="1525"/>
      <c r="AV812" s="1295"/>
      <c r="AW812" s="1525"/>
      <c r="AX812" s="1525"/>
      <c r="AY812" s="1525"/>
      <c r="AZ812" s="1525"/>
      <c r="BA812" s="1525"/>
      <c r="BB812" s="1525"/>
      <c r="BC812" s="1525"/>
      <c r="BD812" s="1525"/>
      <c r="BE812" s="1525"/>
      <c r="BF812" s="1525"/>
      <c r="BG812" s="1525"/>
      <c r="BH812" s="1525"/>
      <c r="BI812" s="1525"/>
      <c r="BJ812" s="1525"/>
      <c r="BK812" s="1525"/>
      <c r="BL812" s="1525"/>
      <c r="BM812" s="1525"/>
      <c r="BN812" s="1525"/>
      <c r="BO812" s="1525"/>
      <c r="BP812" s="1525"/>
      <c r="BQ812" s="1525"/>
      <c r="BR812" s="1525"/>
      <c r="BS812" s="1525"/>
      <c r="BT812" s="1670"/>
      <c r="BV812"/>
      <c r="BW812" s="854"/>
    </row>
    <row r="813" spans="2:75" s="164" customFormat="1" ht="12.75" customHeight="1" x14ac:dyDescent="0.2">
      <c r="B813" s="175"/>
      <c r="F813" s="29"/>
      <c r="G813" s="856"/>
      <c r="H813" s="1364" t="s">
        <v>1508</v>
      </c>
      <c r="I813" s="172"/>
      <c r="J813" s="168"/>
      <c r="K813" s="168"/>
      <c r="L813" s="841"/>
      <c r="M813" s="841"/>
      <c r="N813" s="855"/>
      <c r="O813" s="1192"/>
      <c r="P813" s="550"/>
      <c r="Q813" s="1148"/>
      <c r="R813" s="874"/>
      <c r="S813" s="875"/>
      <c r="T813" s="875"/>
      <c r="U813" s="875"/>
      <c r="V813" s="875"/>
      <c r="W813" s="875"/>
      <c r="X813" s="1026"/>
      <c r="Y813" s="1754"/>
      <c r="Z813" s="1755"/>
      <c r="AA813" s="1775"/>
      <c r="AB813" s="1814"/>
      <c r="AC813" s="876"/>
      <c r="AD813" s="1295"/>
      <c r="AE813" s="1525"/>
      <c r="AF813" s="1525"/>
      <c r="AG813" s="1525"/>
      <c r="AH813" s="1525"/>
      <c r="AI813" s="1525"/>
      <c r="AJ813" s="1525"/>
      <c r="AK813" s="1525"/>
      <c r="AL813" s="1525"/>
      <c r="AM813" s="1525"/>
      <c r="AN813" s="1525"/>
      <c r="AO813" s="1525"/>
      <c r="AP813" s="1525"/>
      <c r="AQ813" s="1525"/>
      <c r="AR813" s="1525"/>
      <c r="AS813" s="1525"/>
      <c r="AU813" s="1525"/>
      <c r="AV813" s="1295"/>
      <c r="AW813" s="1525"/>
      <c r="AX813" s="1525"/>
      <c r="AY813" s="1525"/>
      <c r="AZ813" s="1525"/>
      <c r="BA813" s="1525"/>
      <c r="BB813" s="1525"/>
      <c r="BC813" s="1525"/>
      <c r="BD813" s="1525"/>
      <c r="BE813" s="1525"/>
      <c r="BF813" s="1525"/>
      <c r="BG813" s="1525"/>
      <c r="BH813" s="1525"/>
      <c r="BI813" s="1525"/>
      <c r="BJ813" s="1525"/>
      <c r="BK813" s="1525"/>
      <c r="BL813" s="1525"/>
      <c r="BM813" s="1525"/>
      <c r="BN813" s="1525"/>
      <c r="BO813" s="1525"/>
      <c r="BP813" s="1525"/>
      <c r="BQ813" s="1525"/>
      <c r="BR813" s="1525"/>
      <c r="BS813" s="1525"/>
      <c r="BT813" s="1670"/>
      <c r="BV813"/>
      <c r="BW813" s="856"/>
    </row>
    <row r="814" spans="2:75" ht="12.75" customHeight="1" x14ac:dyDescent="0.2">
      <c r="B814" s="175">
        <f>B813+1</f>
        <v>1</v>
      </c>
      <c r="C814" s="573">
        <v>5</v>
      </c>
      <c r="D814" s="574"/>
      <c r="E814" s="572" t="s">
        <v>298</v>
      </c>
      <c r="F814" s="1" t="s">
        <v>166</v>
      </c>
      <c r="G814" s="856" t="s">
        <v>1257</v>
      </c>
      <c r="H814" s="858">
        <v>30772</v>
      </c>
      <c r="I814" s="200" t="s">
        <v>351</v>
      </c>
      <c r="J814" s="168"/>
      <c r="K814" s="168"/>
      <c r="L814" s="841">
        <v>1</v>
      </c>
      <c r="M814" s="858">
        <f>K814+L814</f>
        <v>1</v>
      </c>
      <c r="N814" s="855" t="s">
        <v>1326</v>
      </c>
      <c r="O814" s="1196">
        <v>22107</v>
      </c>
      <c r="P814" s="1218">
        <f ca="1">YEARFRAC(TODAY(),O814)</f>
        <v>57.227777777777774</v>
      </c>
      <c r="Q814" s="1148">
        <v>46750</v>
      </c>
      <c r="R814" s="874">
        <f>Q814*0.1</f>
        <v>4675</v>
      </c>
      <c r="S814" s="875">
        <v>7000</v>
      </c>
      <c r="T814" s="875">
        <v>5800</v>
      </c>
      <c r="U814" s="875"/>
      <c r="V814" s="875"/>
      <c r="W814" s="875"/>
      <c r="X814" s="1026">
        <f>(Q814+R814+S814+T814+U814+V814+W814)*M814</f>
        <v>64225</v>
      </c>
      <c r="Y814" s="1512">
        <f>(T814+U814)*M814/(X814-M814*(T814+U814))</f>
        <v>9.9272571673085147E-2</v>
      </c>
      <c r="Z814" s="1741">
        <f>M814*(1+Y814)</f>
        <v>1.0992725716730851</v>
      </c>
      <c r="AA814" s="1749">
        <f>SUM(AD814:AS814)</f>
        <v>1.1000000000000001</v>
      </c>
      <c r="AB814" s="1810">
        <f t="shared" ref="AB814:AB818" si="490">100*AA814/Z814</f>
        <v>100.06617360840795</v>
      </c>
      <c r="AC814" s="876"/>
      <c r="AD814" s="1525">
        <f t="shared" ref="AD814:AS818" si="491">SUMIF($AV$6:$BS$6,AD$5,$AV814:$BS814)</f>
        <v>0.2</v>
      </c>
      <c r="AE814" s="1525">
        <f t="shared" si="491"/>
        <v>0</v>
      </c>
      <c r="AF814" s="1525">
        <f t="shared" si="491"/>
        <v>0</v>
      </c>
      <c r="AG814" s="1525">
        <f t="shared" si="491"/>
        <v>0</v>
      </c>
      <c r="AH814" s="1525">
        <f t="shared" si="491"/>
        <v>0</v>
      </c>
      <c r="AI814" s="1525">
        <f t="shared" si="491"/>
        <v>0</v>
      </c>
      <c r="AJ814" s="1525">
        <f t="shared" si="491"/>
        <v>0.9</v>
      </c>
      <c r="AK814" s="1525">
        <f t="shared" si="491"/>
        <v>0</v>
      </c>
      <c r="AL814" s="1525">
        <f t="shared" si="491"/>
        <v>0</v>
      </c>
      <c r="AM814" s="1525">
        <f t="shared" si="491"/>
        <v>0</v>
      </c>
      <c r="AN814" s="1525">
        <f t="shared" si="491"/>
        <v>0</v>
      </c>
      <c r="AO814" s="1525">
        <f t="shared" si="491"/>
        <v>0</v>
      </c>
      <c r="AP814" s="1525">
        <f t="shared" si="491"/>
        <v>0</v>
      </c>
      <c r="AQ814" s="1525">
        <f t="shared" si="491"/>
        <v>0</v>
      </c>
      <c r="AR814" s="1525">
        <f t="shared" si="491"/>
        <v>0</v>
      </c>
      <c r="AS814" s="1525">
        <f t="shared" si="491"/>
        <v>0</v>
      </c>
      <c r="AU814" s="1525"/>
      <c r="AV814" s="1291"/>
      <c r="AW814" s="1292"/>
      <c r="AX814" s="1292"/>
      <c r="AY814" s="1292"/>
      <c r="AZ814" s="1292"/>
      <c r="BA814" s="1292"/>
      <c r="BB814" s="1292"/>
      <c r="BC814" s="1292"/>
      <c r="BD814" s="1292"/>
      <c r="BE814" s="1292"/>
      <c r="BF814" s="1292"/>
      <c r="BG814" s="1759">
        <v>0.9</v>
      </c>
      <c r="BH814" s="1292"/>
      <c r="BI814" s="1292"/>
      <c r="BJ814" s="1292">
        <v>0.2</v>
      </c>
      <c r="BK814" s="1292"/>
      <c r="BL814" s="1292"/>
      <c r="BM814" s="1292"/>
      <c r="BN814" s="1292"/>
      <c r="BO814" s="1292"/>
      <c r="BP814" s="1292"/>
      <c r="BQ814" s="1292"/>
      <c r="BR814" s="1292"/>
      <c r="BS814" s="1292"/>
      <c r="BT814" s="1670">
        <f t="shared" ref="BT814:BT818" si="492">SUM(AV814:BS814)</f>
        <v>1.1000000000000001</v>
      </c>
      <c r="BW814" s="856" t="s">
        <v>1257</v>
      </c>
    </row>
    <row r="815" spans="2:75" ht="12.75" customHeight="1" x14ac:dyDescent="0.2">
      <c r="B815" s="175">
        <f>B814+1</f>
        <v>2</v>
      </c>
      <c r="C815" s="573">
        <v>8</v>
      </c>
      <c r="D815" s="574"/>
      <c r="E815" s="572" t="s">
        <v>298</v>
      </c>
      <c r="F815" s="25" t="s">
        <v>353</v>
      </c>
      <c r="G815" s="856" t="s">
        <v>1025</v>
      </c>
      <c r="H815" s="858">
        <v>281141</v>
      </c>
      <c r="I815" s="200" t="s">
        <v>351</v>
      </c>
      <c r="J815" s="168"/>
      <c r="K815" s="168"/>
      <c r="L815" s="841">
        <v>1</v>
      </c>
      <c r="M815" s="858">
        <f>K815+L815</f>
        <v>1</v>
      </c>
      <c r="N815" s="855" t="s">
        <v>892</v>
      </c>
      <c r="O815" s="1196">
        <v>29416</v>
      </c>
      <c r="P815" s="1218">
        <f ca="1">YEARFRAC(TODAY(),O815)</f>
        <v>37.216666666666669</v>
      </c>
      <c r="Q815" s="1148">
        <v>33300</v>
      </c>
      <c r="R815" s="874"/>
      <c r="S815" s="875">
        <v>3000</v>
      </c>
      <c r="T815" s="875"/>
      <c r="U815" s="875"/>
      <c r="V815" s="875"/>
      <c r="W815" s="875"/>
      <c r="X815" s="1026">
        <f>(Q815+R815+S815+T815+U815+V815+W815)*M815</f>
        <v>36300</v>
      </c>
      <c r="Y815" s="1512">
        <f>(T815+U815)*M815/(X815-M815*(T815+U815))</f>
        <v>0</v>
      </c>
      <c r="Z815" s="1741">
        <f>M815*(1+Y815)</f>
        <v>1</v>
      </c>
      <c r="AA815" s="1749">
        <f>SUM(AD815:AS815)</f>
        <v>0.99999999999999989</v>
      </c>
      <c r="AB815" s="1810">
        <f t="shared" si="490"/>
        <v>99.999999999999986</v>
      </c>
      <c r="AC815" s="876"/>
      <c r="AD815" s="1525">
        <f t="shared" si="491"/>
        <v>0.1</v>
      </c>
      <c r="AE815" s="1525">
        <f t="shared" si="491"/>
        <v>0</v>
      </c>
      <c r="AF815" s="1525">
        <f t="shared" si="491"/>
        <v>0</v>
      </c>
      <c r="AG815" s="1525">
        <f t="shared" si="491"/>
        <v>0</v>
      </c>
      <c r="AH815" s="1525">
        <f t="shared" si="491"/>
        <v>0</v>
      </c>
      <c r="AI815" s="1525">
        <f t="shared" si="491"/>
        <v>0</v>
      </c>
      <c r="AJ815" s="1525">
        <f t="shared" si="491"/>
        <v>0.89999999999999991</v>
      </c>
      <c r="AK815" s="1525">
        <f t="shared" si="491"/>
        <v>0</v>
      </c>
      <c r="AL815" s="1525">
        <f t="shared" si="491"/>
        <v>0</v>
      </c>
      <c r="AM815" s="1525">
        <f t="shared" si="491"/>
        <v>0</v>
      </c>
      <c r="AN815" s="1525">
        <f t="shared" si="491"/>
        <v>0</v>
      </c>
      <c r="AO815" s="1525">
        <f t="shared" si="491"/>
        <v>0</v>
      </c>
      <c r="AP815" s="1525">
        <f t="shared" si="491"/>
        <v>0</v>
      </c>
      <c r="AQ815" s="1525">
        <f t="shared" si="491"/>
        <v>0</v>
      </c>
      <c r="AR815" s="1525">
        <f t="shared" si="491"/>
        <v>0</v>
      </c>
      <c r="AS815" s="1525">
        <f t="shared" si="491"/>
        <v>0</v>
      </c>
      <c r="AU815" s="1525"/>
      <c r="AV815" s="1291"/>
      <c r="AW815" s="1292"/>
      <c r="AX815" s="1292"/>
      <c r="AY815" s="1292"/>
      <c r="AZ815" s="1292"/>
      <c r="BA815" s="1292"/>
      <c r="BB815" s="1292">
        <v>0.2</v>
      </c>
      <c r="BC815" s="1292"/>
      <c r="BD815" s="1292"/>
      <c r="BE815" s="1292"/>
      <c r="BF815" s="1292"/>
      <c r="BG815" s="1292">
        <v>0.7</v>
      </c>
      <c r="BH815" s="1292"/>
      <c r="BI815" s="1292"/>
      <c r="BJ815" s="1292">
        <v>0.1</v>
      </c>
      <c r="BK815" s="1292"/>
      <c r="BL815" s="1292"/>
      <c r="BM815" s="1292"/>
      <c r="BN815" s="1292"/>
      <c r="BO815" s="1292"/>
      <c r="BP815" s="1292"/>
      <c r="BQ815" s="1292"/>
      <c r="BR815" s="1292"/>
      <c r="BS815" s="1292"/>
      <c r="BT815" s="1670">
        <f t="shared" si="492"/>
        <v>0.99999999999999989</v>
      </c>
      <c r="BW815" s="856" t="s">
        <v>1025</v>
      </c>
    </row>
    <row r="816" spans="2:75" ht="12.75" customHeight="1" x14ac:dyDescent="0.2">
      <c r="B816" s="175">
        <f>B815+1</f>
        <v>3</v>
      </c>
      <c r="C816" s="573">
        <v>10</v>
      </c>
      <c r="D816" s="574"/>
      <c r="E816" s="572" t="s">
        <v>298</v>
      </c>
      <c r="F816" s="1" t="s">
        <v>1398</v>
      </c>
      <c r="G816" s="913" t="s">
        <v>1683</v>
      </c>
      <c r="H816" s="858">
        <v>144079</v>
      </c>
      <c r="I816" s="172" t="s">
        <v>351</v>
      </c>
      <c r="J816" s="168"/>
      <c r="K816" s="168"/>
      <c r="L816" s="841">
        <v>1</v>
      </c>
      <c r="M816" s="858">
        <v>1</v>
      </c>
      <c r="N816" s="855" t="s">
        <v>1326</v>
      </c>
      <c r="O816" s="1196">
        <v>33502</v>
      </c>
      <c r="P816" s="1218">
        <f ca="1">YEARFRAC(TODAY(),O816)</f>
        <v>26.030555555555555</v>
      </c>
      <c r="Q816" s="1148">
        <v>27050</v>
      </c>
      <c r="R816" s="874">
        <f>Q816*0.1</f>
        <v>2705</v>
      </c>
      <c r="S816" s="875"/>
      <c r="T816" s="875"/>
      <c r="U816" s="875"/>
      <c r="V816" s="875"/>
      <c r="W816" s="875"/>
      <c r="X816" s="1026">
        <f>(Q816+R816+S816+T816+U816+V816+W816)*M816</f>
        <v>29755</v>
      </c>
      <c r="Y816" s="1512">
        <f>(T816+U816)*M816/(X816-M816*(T816+U816))</f>
        <v>0</v>
      </c>
      <c r="Z816" s="1741">
        <f>M816*(1+Y816)</f>
        <v>1</v>
      </c>
      <c r="AA816" s="1749">
        <f>SUM(AD816:AS816)</f>
        <v>1</v>
      </c>
      <c r="AB816" s="1810">
        <f t="shared" si="490"/>
        <v>100</v>
      </c>
      <c r="AC816" s="876"/>
      <c r="AD816" s="1525">
        <f t="shared" si="491"/>
        <v>0.2</v>
      </c>
      <c r="AE816" s="1525">
        <f t="shared" si="491"/>
        <v>0</v>
      </c>
      <c r="AF816" s="1525">
        <f t="shared" si="491"/>
        <v>0</v>
      </c>
      <c r="AG816" s="1525">
        <f t="shared" si="491"/>
        <v>0</v>
      </c>
      <c r="AH816" s="1525">
        <f t="shared" si="491"/>
        <v>0</v>
      </c>
      <c r="AI816" s="1525">
        <f t="shared" si="491"/>
        <v>0</v>
      </c>
      <c r="AJ816" s="1525">
        <f t="shared" si="491"/>
        <v>0.8</v>
      </c>
      <c r="AK816" s="1525">
        <f t="shared" si="491"/>
        <v>0</v>
      </c>
      <c r="AL816" s="1525">
        <f t="shared" si="491"/>
        <v>0</v>
      </c>
      <c r="AM816" s="1525">
        <f t="shared" si="491"/>
        <v>0</v>
      </c>
      <c r="AN816" s="1525">
        <f t="shared" si="491"/>
        <v>0</v>
      </c>
      <c r="AO816" s="1525">
        <f t="shared" si="491"/>
        <v>0</v>
      </c>
      <c r="AP816" s="1525">
        <f t="shared" si="491"/>
        <v>0</v>
      </c>
      <c r="AQ816" s="1525">
        <f t="shared" si="491"/>
        <v>0</v>
      </c>
      <c r="AR816" s="1525">
        <f t="shared" si="491"/>
        <v>0</v>
      </c>
      <c r="AS816" s="1525">
        <f t="shared" si="491"/>
        <v>0</v>
      </c>
      <c r="AU816" s="1525"/>
      <c r="AV816" s="1291"/>
      <c r="AW816" s="1292"/>
      <c r="AX816" s="1292"/>
      <c r="AY816" s="1292"/>
      <c r="AZ816" s="1292"/>
      <c r="BA816" s="1292"/>
      <c r="BB816" s="1292"/>
      <c r="BC816" s="1292"/>
      <c r="BD816" s="1292"/>
      <c r="BE816" s="1292"/>
      <c r="BF816" s="1292"/>
      <c r="BG816" s="1292">
        <v>0.8</v>
      </c>
      <c r="BH816" s="1292"/>
      <c r="BI816" s="1292"/>
      <c r="BJ816" s="1292">
        <v>0.2</v>
      </c>
      <c r="BK816" s="1292"/>
      <c r="BL816" s="1292"/>
      <c r="BM816" s="1292"/>
      <c r="BN816" s="1292"/>
      <c r="BO816" s="1292"/>
      <c r="BP816" s="1292"/>
      <c r="BQ816" s="1292"/>
      <c r="BR816" s="1292"/>
      <c r="BS816" s="1292"/>
      <c r="BT816" s="1670">
        <f t="shared" si="492"/>
        <v>1</v>
      </c>
      <c r="BW816" s="913" t="s">
        <v>1683</v>
      </c>
    </row>
    <row r="817" spans="2:75" ht="12.75" customHeight="1" x14ac:dyDescent="0.2">
      <c r="B817" s="175">
        <f>B816+1</f>
        <v>4</v>
      </c>
      <c r="C817" s="219">
        <v>26</v>
      </c>
      <c r="E817" s="12" t="s">
        <v>298</v>
      </c>
      <c r="F817" s="37" t="s">
        <v>1141</v>
      </c>
      <c r="G817" s="913" t="s">
        <v>1142</v>
      </c>
      <c r="H817" s="861">
        <v>95013</v>
      </c>
      <c r="I817" s="180" t="s">
        <v>583</v>
      </c>
      <c r="J817" s="173"/>
      <c r="K817" s="173"/>
      <c r="L817" s="893">
        <v>1</v>
      </c>
      <c r="M817" s="861">
        <f>K817+L817</f>
        <v>1</v>
      </c>
      <c r="N817" s="832" t="s">
        <v>892</v>
      </c>
      <c r="O817" s="1196">
        <v>23496</v>
      </c>
      <c r="P817" s="1218">
        <f ca="1">YEARFRAC(TODAY(),O817)</f>
        <v>53.424999999999997</v>
      </c>
      <c r="Q817" s="1148">
        <v>31000</v>
      </c>
      <c r="R817" s="874"/>
      <c r="S817" s="875"/>
      <c r="T817" s="875">
        <v>3300</v>
      </c>
      <c r="U817" s="875"/>
      <c r="V817" s="875"/>
      <c r="W817" s="875"/>
      <c r="X817" s="1026">
        <f>(Q817+R817+S817+T817+U817+V817+W817)*M817</f>
        <v>34300</v>
      </c>
      <c r="Y817" s="1512">
        <f>(T817+U817)*M817/(X817-M817*(T817+U817))</f>
        <v>0.1064516129032258</v>
      </c>
      <c r="Z817" s="1741">
        <f>M817*(1+Y817)</f>
        <v>1.1064516129032258</v>
      </c>
      <c r="AA817" s="1749">
        <f>SUM(AD817:AS817)</f>
        <v>1</v>
      </c>
      <c r="AB817" s="1810">
        <f t="shared" si="490"/>
        <v>90.37900874635568</v>
      </c>
      <c r="AC817" s="876"/>
      <c r="AD817" s="1525">
        <f t="shared" si="491"/>
        <v>0.2</v>
      </c>
      <c r="AE817" s="1525">
        <f t="shared" si="491"/>
        <v>0</v>
      </c>
      <c r="AF817" s="1525">
        <f t="shared" si="491"/>
        <v>0</v>
      </c>
      <c r="AG817" s="1525">
        <f t="shared" si="491"/>
        <v>0</v>
      </c>
      <c r="AH817" s="1525">
        <f t="shared" si="491"/>
        <v>0</v>
      </c>
      <c r="AI817" s="1525">
        <f t="shared" si="491"/>
        <v>0</v>
      </c>
      <c r="AJ817" s="1525">
        <f t="shared" si="491"/>
        <v>0.8</v>
      </c>
      <c r="AK817" s="1525">
        <f t="shared" si="491"/>
        <v>0</v>
      </c>
      <c r="AL817" s="1525">
        <f t="shared" si="491"/>
        <v>0</v>
      </c>
      <c r="AM817" s="1525">
        <f t="shared" si="491"/>
        <v>0</v>
      </c>
      <c r="AN817" s="1525">
        <f t="shared" si="491"/>
        <v>0</v>
      </c>
      <c r="AO817" s="1525">
        <f t="shared" si="491"/>
        <v>0</v>
      </c>
      <c r="AP817" s="1525">
        <f t="shared" si="491"/>
        <v>0</v>
      </c>
      <c r="AQ817" s="1525">
        <f t="shared" si="491"/>
        <v>0</v>
      </c>
      <c r="AR817" s="1525">
        <f t="shared" si="491"/>
        <v>0</v>
      </c>
      <c r="AS817" s="1525">
        <f t="shared" si="491"/>
        <v>0</v>
      </c>
      <c r="AU817" s="1525"/>
      <c r="AV817" s="1291"/>
      <c r="AW817" s="1292"/>
      <c r="AX817" s="1292"/>
      <c r="AY817" s="1292"/>
      <c r="AZ817" s="1292"/>
      <c r="BA817" s="1292"/>
      <c r="BB817" s="1292"/>
      <c r="BC817" s="1292"/>
      <c r="BD817" s="1292"/>
      <c r="BE817" s="1292"/>
      <c r="BF817" s="1292"/>
      <c r="BG817" s="1292">
        <v>0.8</v>
      </c>
      <c r="BH817" s="1292"/>
      <c r="BI817" s="1292"/>
      <c r="BJ817" s="1292">
        <v>0.2</v>
      </c>
      <c r="BK817" s="1292"/>
      <c r="BL817" s="1292"/>
      <c r="BM817" s="1292"/>
      <c r="BN817" s="1292"/>
      <c r="BO817" s="1292"/>
      <c r="BP817" s="1292"/>
      <c r="BQ817" s="1292"/>
      <c r="BR817" s="1292"/>
      <c r="BS817" s="1292"/>
      <c r="BT817" s="1670">
        <f t="shared" si="492"/>
        <v>1</v>
      </c>
      <c r="BW817" s="913" t="s">
        <v>1142</v>
      </c>
    </row>
    <row r="818" spans="2:75" ht="12.75" customHeight="1" x14ac:dyDescent="0.2">
      <c r="B818" s="175">
        <f>B817+1</f>
        <v>5</v>
      </c>
      <c r="C818" s="219">
        <v>14</v>
      </c>
      <c r="E818" s="12" t="s">
        <v>298</v>
      </c>
      <c r="F818" s="42" t="s">
        <v>626</v>
      </c>
      <c r="G818" s="910" t="s">
        <v>726</v>
      </c>
      <c r="H818" s="873">
        <v>292883</v>
      </c>
      <c r="I818" s="176" t="s">
        <v>583</v>
      </c>
      <c r="J818" s="177"/>
      <c r="K818" s="177"/>
      <c r="L818" s="944">
        <v>0.875</v>
      </c>
      <c r="M818" s="873">
        <f>K818+L818</f>
        <v>0.875</v>
      </c>
      <c r="N818" s="940" t="s">
        <v>892</v>
      </c>
      <c r="O818" s="1196">
        <v>31469</v>
      </c>
      <c r="P818" s="1218">
        <f ca="1">YEARFRAC(TODAY(),O818)</f>
        <v>31.6</v>
      </c>
      <c r="Q818" s="1071">
        <v>26000</v>
      </c>
      <c r="R818" s="890"/>
      <c r="S818" s="891"/>
      <c r="T818" s="891"/>
      <c r="U818" s="891"/>
      <c r="V818" s="891"/>
      <c r="W818" s="891"/>
      <c r="X818" s="1026">
        <f>(Q818+R818+S818+T818+U818+V818+W818)*M818</f>
        <v>22750</v>
      </c>
      <c r="Y818" s="1512">
        <f>(T818+U818)*M818/(X818-M818*(T818+U818))</f>
        <v>0</v>
      </c>
      <c r="Z818" s="1741">
        <f>M818*(1+Y818)</f>
        <v>0.875</v>
      </c>
      <c r="AA818" s="1749">
        <f>SUM(AD818:AS818)</f>
        <v>0.88</v>
      </c>
      <c r="AB818" s="1810">
        <f t="shared" si="490"/>
        <v>100.57142857142857</v>
      </c>
      <c r="AC818" s="876"/>
      <c r="AD818" s="1525">
        <f t="shared" si="491"/>
        <v>0.08</v>
      </c>
      <c r="AE818" s="1525">
        <f t="shared" si="491"/>
        <v>0</v>
      </c>
      <c r="AF818" s="1525">
        <f t="shared" si="491"/>
        <v>0</v>
      </c>
      <c r="AG818" s="1525">
        <f t="shared" si="491"/>
        <v>0</v>
      </c>
      <c r="AH818" s="1525">
        <f t="shared" si="491"/>
        <v>0</v>
      </c>
      <c r="AI818" s="1525">
        <f t="shared" si="491"/>
        <v>0</v>
      </c>
      <c r="AJ818" s="1525">
        <f t="shared" si="491"/>
        <v>0.8</v>
      </c>
      <c r="AK818" s="1525">
        <f t="shared" si="491"/>
        <v>0</v>
      </c>
      <c r="AL818" s="1525">
        <f t="shared" si="491"/>
        <v>0</v>
      </c>
      <c r="AM818" s="1525">
        <f t="shared" si="491"/>
        <v>0</v>
      </c>
      <c r="AN818" s="1525">
        <f t="shared" si="491"/>
        <v>0</v>
      </c>
      <c r="AO818" s="1525">
        <f t="shared" si="491"/>
        <v>0</v>
      </c>
      <c r="AP818" s="1525">
        <f t="shared" si="491"/>
        <v>0</v>
      </c>
      <c r="AQ818" s="1525">
        <f t="shared" si="491"/>
        <v>0</v>
      </c>
      <c r="AR818" s="1525">
        <f t="shared" si="491"/>
        <v>0</v>
      </c>
      <c r="AS818" s="1525">
        <f t="shared" si="491"/>
        <v>0</v>
      </c>
      <c r="AU818" s="1525"/>
      <c r="AV818" s="1291"/>
      <c r="AW818" s="1292"/>
      <c r="AX818" s="1292"/>
      <c r="AY818" s="1292"/>
      <c r="AZ818" s="1292"/>
      <c r="BA818" s="1292"/>
      <c r="BB818" s="1292"/>
      <c r="BC818" s="1292"/>
      <c r="BD818" s="1292"/>
      <c r="BE818" s="1292"/>
      <c r="BF818" s="1292"/>
      <c r="BG818" s="1292">
        <v>0.8</v>
      </c>
      <c r="BH818" s="1292"/>
      <c r="BI818" s="1292"/>
      <c r="BJ818" s="1292">
        <v>0.08</v>
      </c>
      <c r="BK818" s="1292"/>
      <c r="BL818" s="1292"/>
      <c r="BM818" s="1292"/>
      <c r="BN818" s="1292"/>
      <c r="BO818" s="1292"/>
      <c r="BP818" s="1292"/>
      <c r="BQ818" s="1292"/>
      <c r="BR818" s="1292"/>
      <c r="BS818" s="1292"/>
      <c r="BT818" s="1670">
        <f t="shared" si="492"/>
        <v>0.88</v>
      </c>
      <c r="BW818" s="910" t="s">
        <v>726</v>
      </c>
    </row>
    <row r="819" spans="2:75" ht="12.75" customHeight="1" x14ac:dyDescent="0.2">
      <c r="B819" s="175"/>
      <c r="C819" s="219"/>
      <c r="E819" s="12"/>
      <c r="F819" s="37"/>
      <c r="G819" s="862"/>
      <c r="H819" s="861"/>
      <c r="I819" s="180"/>
      <c r="J819" s="173"/>
      <c r="K819" s="173"/>
      <c r="L819" s="893"/>
      <c r="M819" s="861"/>
      <c r="N819" s="832"/>
      <c r="O819" s="1196"/>
      <c r="P819" s="1218"/>
      <c r="Q819" s="1148"/>
      <c r="R819" s="874"/>
      <c r="S819" s="876"/>
      <c r="T819" s="876"/>
      <c r="U819" s="876"/>
      <c r="V819" s="876"/>
      <c r="W819" s="876"/>
      <c r="X819" s="1026"/>
      <c r="Y819" s="1335"/>
      <c r="Z819" s="1335"/>
      <c r="AA819" s="1775"/>
      <c r="AB819" s="1814"/>
      <c r="AC819" s="876"/>
      <c r="AD819" s="1525"/>
      <c r="AE819" s="1525"/>
      <c r="AF819" s="1525"/>
      <c r="AG819" s="1525"/>
      <c r="AH819" s="1525"/>
      <c r="AI819" s="1525"/>
      <c r="AJ819" s="1525"/>
      <c r="AK819" s="1525"/>
      <c r="AL819" s="1525"/>
      <c r="AM819" s="1525"/>
      <c r="AN819" s="1525"/>
      <c r="AO819" s="1525"/>
      <c r="AP819" s="1525"/>
      <c r="AQ819" s="1525"/>
      <c r="AR819" s="1525"/>
      <c r="AS819" s="1525"/>
      <c r="AU819" s="1525"/>
      <c r="AV819" s="1291"/>
      <c r="AW819" s="1292"/>
      <c r="AX819" s="1292"/>
      <c r="AY819" s="1292"/>
      <c r="AZ819" s="1292"/>
      <c r="BA819" s="1292"/>
      <c r="BB819" s="1292"/>
      <c r="BC819" s="1292"/>
      <c r="BD819" s="1292"/>
      <c r="BE819" s="1292"/>
      <c r="BF819" s="1292"/>
      <c r="BG819" s="1292"/>
      <c r="BH819" s="1292"/>
      <c r="BI819" s="1292"/>
      <c r="BJ819" s="1292"/>
      <c r="BK819" s="1292"/>
      <c r="BL819" s="1292"/>
      <c r="BM819" s="1292"/>
      <c r="BN819" s="1292"/>
      <c r="BO819" s="1292"/>
      <c r="BP819" s="1292"/>
      <c r="BQ819" s="1292"/>
      <c r="BR819" s="1292"/>
      <c r="BS819" s="1292"/>
      <c r="BT819" s="1670"/>
      <c r="BW819" s="862"/>
    </row>
    <row r="820" spans="2:75" s="164" customFormat="1" ht="12.75" customHeight="1" x14ac:dyDescent="0.15">
      <c r="B820" s="175"/>
      <c r="F820" s="1119" t="s">
        <v>436</v>
      </c>
      <c r="G820" s="913"/>
      <c r="H820" s="1358" t="s">
        <v>1508</v>
      </c>
      <c r="I820" s="180"/>
      <c r="J820" s="173"/>
      <c r="K820" s="173"/>
      <c r="L820" s="893"/>
      <c r="M820" s="893"/>
      <c r="N820" s="832"/>
      <c r="O820" s="1200"/>
      <c r="P820" s="550"/>
      <c r="Q820" s="1148"/>
      <c r="R820" s="874"/>
      <c r="S820" s="875"/>
      <c r="T820" s="875"/>
      <c r="U820" s="875"/>
      <c r="V820" s="875"/>
      <c r="W820" s="875"/>
      <c r="X820" s="1026"/>
      <c r="Y820" s="1754"/>
      <c r="Z820" s="1755"/>
      <c r="AA820" s="1775"/>
      <c r="AB820" s="1814"/>
      <c r="AC820" s="876"/>
      <c r="AD820" s="1295"/>
      <c r="AE820" s="1525"/>
      <c r="AF820" s="1525"/>
      <c r="AG820" s="1525"/>
      <c r="AH820" s="1525"/>
      <c r="AI820" s="1525"/>
      <c r="AJ820" s="1525"/>
      <c r="AK820" s="1525"/>
      <c r="AL820" s="1525"/>
      <c r="AM820" s="1525"/>
      <c r="AN820" s="1525"/>
      <c r="AO820" s="1525"/>
      <c r="AP820" s="1525"/>
      <c r="AQ820" s="1525"/>
      <c r="AR820" s="1525"/>
      <c r="AS820" s="1525"/>
      <c r="AU820" s="1525"/>
      <c r="AV820" s="1295"/>
      <c r="AW820" s="1525"/>
      <c r="AX820" s="1525"/>
      <c r="AY820" s="1525"/>
      <c r="AZ820" s="1525"/>
      <c r="BA820" s="1525"/>
      <c r="BB820" s="1525"/>
      <c r="BC820" s="1525"/>
      <c r="BD820" s="1525"/>
      <c r="BE820" s="1525"/>
      <c r="BF820" s="1525"/>
      <c r="BG820" s="1525"/>
      <c r="BH820" s="1525"/>
      <c r="BI820" s="1525"/>
      <c r="BJ820" s="1525"/>
      <c r="BK820" s="1525"/>
      <c r="BL820" s="1525"/>
      <c r="BM820" s="1525"/>
      <c r="BN820" s="1525"/>
      <c r="BO820" s="1525"/>
      <c r="BP820" s="1525"/>
      <c r="BQ820" s="1525"/>
      <c r="BR820" s="1525"/>
      <c r="BS820" s="1525"/>
      <c r="BT820" s="1670"/>
      <c r="BV820"/>
      <c r="BW820" s="913"/>
    </row>
    <row r="821" spans="2:75" ht="12.75" customHeight="1" x14ac:dyDescent="0.2">
      <c r="B821" s="175">
        <f>B820+1</f>
        <v>1</v>
      </c>
      <c r="C821" s="219">
        <v>14</v>
      </c>
      <c r="E821" s="12" t="s">
        <v>298</v>
      </c>
      <c r="F821" s="1" t="s">
        <v>626</v>
      </c>
      <c r="G821" s="856" t="s">
        <v>1785</v>
      </c>
      <c r="H821" s="858">
        <v>155022</v>
      </c>
      <c r="I821" s="200" t="s">
        <v>583</v>
      </c>
      <c r="J821" s="168"/>
      <c r="K821" s="168">
        <v>1</v>
      </c>
      <c r="L821" s="841"/>
      <c r="M821" s="858">
        <v>1</v>
      </c>
      <c r="N821" s="855" t="s">
        <v>892</v>
      </c>
      <c r="O821" s="1196">
        <v>32451</v>
      </c>
      <c r="P821" s="1218">
        <f ca="1">YEARFRAC(TODAY(),O821)</f>
        <v>28.911111111111111</v>
      </c>
      <c r="Q821" s="1148">
        <v>27600</v>
      </c>
      <c r="R821" s="874"/>
      <c r="S821" s="875"/>
      <c r="T821" s="875"/>
      <c r="U821" s="875"/>
      <c r="V821" s="875"/>
      <c r="W821" s="875"/>
      <c r="X821" s="1026">
        <f>(Q821+R821+S821+T821+U821+V821+W821)*M821</f>
        <v>27600</v>
      </c>
      <c r="Y821" s="1512">
        <f>(T821+U821)*M821/(X821-M821*(T821+U821))</f>
        <v>0</v>
      </c>
      <c r="Z821" s="1741">
        <f>M821*(1+Y821)</f>
        <v>1</v>
      </c>
      <c r="AA821" s="1749">
        <f>SUM(AD821:AS821)</f>
        <v>1</v>
      </c>
      <c r="AB821" s="1810">
        <f t="shared" ref="AB821:AB823" si="493">100*AA821/Z821</f>
        <v>100</v>
      </c>
      <c r="AC821" s="876"/>
      <c r="AD821" s="1525">
        <f t="shared" ref="AD821:AS823" si="494">SUMIF($AV$6:$BS$6,AD$5,$AV821:$BS821)</f>
        <v>0</v>
      </c>
      <c r="AE821" s="1525">
        <f t="shared" si="494"/>
        <v>0</v>
      </c>
      <c r="AF821" s="1525">
        <f t="shared" si="494"/>
        <v>0</v>
      </c>
      <c r="AG821" s="1525">
        <f t="shared" si="494"/>
        <v>0</v>
      </c>
      <c r="AH821" s="1525">
        <f t="shared" si="494"/>
        <v>0</v>
      </c>
      <c r="AI821" s="1525">
        <f t="shared" si="494"/>
        <v>0</v>
      </c>
      <c r="AJ821" s="1525">
        <f t="shared" si="494"/>
        <v>1</v>
      </c>
      <c r="AK821" s="1525">
        <f t="shared" si="494"/>
        <v>0</v>
      </c>
      <c r="AL821" s="1525">
        <f t="shared" si="494"/>
        <v>0</v>
      </c>
      <c r="AM821" s="1525">
        <f t="shared" si="494"/>
        <v>0</v>
      </c>
      <c r="AN821" s="1525">
        <f t="shared" si="494"/>
        <v>0</v>
      </c>
      <c r="AO821" s="1525">
        <f t="shared" si="494"/>
        <v>0</v>
      </c>
      <c r="AP821" s="1525">
        <f t="shared" si="494"/>
        <v>0</v>
      </c>
      <c r="AQ821" s="1525">
        <f t="shared" si="494"/>
        <v>0</v>
      </c>
      <c r="AR821" s="1525">
        <f t="shared" si="494"/>
        <v>0</v>
      </c>
      <c r="AS821" s="1525">
        <f t="shared" si="494"/>
        <v>0</v>
      </c>
      <c r="AU821" s="1525"/>
      <c r="AV821" s="1291"/>
      <c r="AW821" s="1292"/>
      <c r="AX821" s="1292"/>
      <c r="AY821" s="1292"/>
      <c r="AZ821" s="1292"/>
      <c r="BA821" s="1292"/>
      <c r="BB821" s="1292"/>
      <c r="BC821" s="1292"/>
      <c r="BD821" s="1292"/>
      <c r="BE821" s="1292"/>
      <c r="BF821" s="1292"/>
      <c r="BG821" s="1292">
        <v>1</v>
      </c>
      <c r="BH821" s="1292"/>
      <c r="BI821" s="1292"/>
      <c r="BJ821" s="1292"/>
      <c r="BK821" s="1292"/>
      <c r="BL821" s="1292"/>
      <c r="BM821" s="1292"/>
      <c r="BN821" s="1292"/>
      <c r="BO821" s="1292"/>
      <c r="BP821" s="1292"/>
      <c r="BQ821" s="1292"/>
      <c r="BR821" s="1292"/>
      <c r="BS821" s="1292"/>
      <c r="BT821" s="1670">
        <f t="shared" ref="BT821:BT823" si="495">SUM(AV821:BS821)</f>
        <v>1</v>
      </c>
      <c r="BW821" s="856" t="s">
        <v>1785</v>
      </c>
    </row>
    <row r="822" spans="2:75" s="164" customFormat="1" ht="12.75" customHeight="1" x14ac:dyDescent="0.2">
      <c r="B822" s="175">
        <f t="shared" ref="B822:B823" si="496">B821+1</f>
        <v>2</v>
      </c>
      <c r="C822" s="219">
        <v>18</v>
      </c>
      <c r="E822" s="12" t="s">
        <v>298</v>
      </c>
      <c r="F822" s="1" t="s">
        <v>584</v>
      </c>
      <c r="G822" s="856" t="s">
        <v>1921</v>
      </c>
      <c r="H822" s="858">
        <v>154998</v>
      </c>
      <c r="I822" s="200" t="s">
        <v>583</v>
      </c>
      <c r="J822" s="168"/>
      <c r="K822" s="168">
        <v>1</v>
      </c>
      <c r="L822" s="841"/>
      <c r="M822" s="858">
        <v>1</v>
      </c>
      <c r="N822" s="855" t="s">
        <v>892</v>
      </c>
      <c r="O822" s="1196">
        <v>31023</v>
      </c>
      <c r="P822" s="1218">
        <f ca="1">YEARFRAC(TODAY(),O822)</f>
        <v>32.819444444444443</v>
      </c>
      <c r="Q822" s="1148">
        <v>24000</v>
      </c>
      <c r="R822" s="874"/>
      <c r="S822" s="875"/>
      <c r="T822" s="875"/>
      <c r="U822" s="875"/>
      <c r="V822" s="875"/>
      <c r="W822" s="875"/>
      <c r="X822" s="1026">
        <f>(Q822+R822+S822+T822+U822+V822+W822)*M822</f>
        <v>24000</v>
      </c>
      <c r="Y822" s="1512">
        <f>(T822+U822)*M822/(X822-M822*(T822+U822))</f>
        <v>0</v>
      </c>
      <c r="Z822" s="1741">
        <f>M822*(1+Y822)</f>
        <v>1</v>
      </c>
      <c r="AA822" s="1749">
        <f>SUM(AD822:AS822)</f>
        <v>1</v>
      </c>
      <c r="AB822" s="1810">
        <f t="shared" si="493"/>
        <v>100</v>
      </c>
      <c r="AC822" s="876"/>
      <c r="AD822" s="1525">
        <f t="shared" si="494"/>
        <v>0.5</v>
      </c>
      <c r="AE822" s="1525">
        <f t="shared" si="494"/>
        <v>0</v>
      </c>
      <c r="AF822" s="1525">
        <f t="shared" si="494"/>
        <v>0</v>
      </c>
      <c r="AG822" s="1525">
        <f t="shared" si="494"/>
        <v>0</v>
      </c>
      <c r="AH822" s="1525">
        <f t="shared" si="494"/>
        <v>0</v>
      </c>
      <c r="AI822" s="1525">
        <f t="shared" si="494"/>
        <v>0</v>
      </c>
      <c r="AJ822" s="1525">
        <f t="shared" si="494"/>
        <v>0.5</v>
      </c>
      <c r="AK822" s="1525">
        <f t="shared" si="494"/>
        <v>0</v>
      </c>
      <c r="AL822" s="1525">
        <f t="shared" si="494"/>
        <v>0</v>
      </c>
      <c r="AM822" s="1525">
        <f t="shared" si="494"/>
        <v>0</v>
      </c>
      <c r="AN822" s="1525">
        <f t="shared" si="494"/>
        <v>0</v>
      </c>
      <c r="AO822" s="1525">
        <f t="shared" si="494"/>
        <v>0</v>
      </c>
      <c r="AP822" s="1525">
        <f t="shared" si="494"/>
        <v>0</v>
      </c>
      <c r="AQ822" s="1525">
        <f t="shared" si="494"/>
        <v>0</v>
      </c>
      <c r="AR822" s="1525">
        <f t="shared" si="494"/>
        <v>0</v>
      </c>
      <c r="AS822" s="1525">
        <f t="shared" si="494"/>
        <v>0</v>
      </c>
      <c r="AU822" s="1525"/>
      <c r="AV822" s="1295"/>
      <c r="AW822" s="1525"/>
      <c r="AX822" s="1525"/>
      <c r="AY822" s="1525"/>
      <c r="AZ822" s="1525"/>
      <c r="BA822" s="1525"/>
      <c r="BB822" s="1525"/>
      <c r="BC822" s="1525"/>
      <c r="BD822" s="1525"/>
      <c r="BE822" s="1525"/>
      <c r="BF822" s="1525"/>
      <c r="BG822" s="1525"/>
      <c r="BH822" s="1525">
        <v>0.5</v>
      </c>
      <c r="BI822" s="1525">
        <v>0.5</v>
      </c>
      <c r="BJ822" s="1525"/>
      <c r="BK822" s="1525"/>
      <c r="BL822" s="1525"/>
      <c r="BM822" s="1525"/>
      <c r="BN822" s="1525"/>
      <c r="BO822" s="1525"/>
      <c r="BP822" s="1525"/>
      <c r="BQ822" s="1525"/>
      <c r="BR822" s="1525"/>
      <c r="BS822" s="1525"/>
      <c r="BT822" s="1670">
        <f t="shared" si="495"/>
        <v>1</v>
      </c>
      <c r="BV822"/>
      <c r="BW822" s="856" t="s">
        <v>1921</v>
      </c>
    </row>
    <row r="823" spans="2:75" ht="12.75" customHeight="1" x14ac:dyDescent="0.2">
      <c r="B823" s="175">
        <f t="shared" si="496"/>
        <v>3</v>
      </c>
      <c r="C823" s="219">
        <v>18</v>
      </c>
      <c r="E823" s="12" t="s">
        <v>298</v>
      </c>
      <c r="F823" s="1" t="s">
        <v>584</v>
      </c>
      <c r="G823" s="856" t="s">
        <v>1653</v>
      </c>
      <c r="H823" s="858">
        <v>140834</v>
      </c>
      <c r="I823" s="200" t="s">
        <v>583</v>
      </c>
      <c r="J823" s="168"/>
      <c r="K823" s="168">
        <v>0.5</v>
      </c>
      <c r="L823" s="841"/>
      <c r="M823" s="858">
        <v>0.5</v>
      </c>
      <c r="N823" s="855" t="s">
        <v>892</v>
      </c>
      <c r="O823" s="1196">
        <v>31636</v>
      </c>
      <c r="P823" s="1218">
        <f ca="1">YEARFRAC(TODAY(),O823)</f>
        <v>31.138888888888889</v>
      </c>
      <c r="Q823" s="1148">
        <v>17200</v>
      </c>
      <c r="R823" s="874"/>
      <c r="S823" s="875"/>
      <c r="T823" s="875"/>
      <c r="U823" s="875"/>
      <c r="V823" s="875"/>
      <c r="W823" s="875"/>
      <c r="X823" s="1026">
        <f>(Q823+R823+S823+T823+U823+V823+W823)*M823</f>
        <v>8600</v>
      </c>
      <c r="Y823" s="1512">
        <f>(T823+U823)*M823/(X823-M823*(T823+U823))</f>
        <v>0</v>
      </c>
      <c r="Z823" s="1741">
        <f>M823*(1+Y823)</f>
        <v>0.5</v>
      </c>
      <c r="AA823" s="1749">
        <f>SUM(AD823:AS823)</f>
        <v>0.5</v>
      </c>
      <c r="AB823" s="1810">
        <f t="shared" si="493"/>
        <v>100</v>
      </c>
      <c r="AC823" s="876"/>
      <c r="AD823" s="1525">
        <f t="shared" si="494"/>
        <v>0.1</v>
      </c>
      <c r="AE823" s="1525">
        <f t="shared" si="494"/>
        <v>0</v>
      </c>
      <c r="AF823" s="1525">
        <f t="shared" si="494"/>
        <v>0</v>
      </c>
      <c r="AG823" s="1525">
        <f t="shared" si="494"/>
        <v>0</v>
      </c>
      <c r="AH823" s="1525">
        <f t="shared" si="494"/>
        <v>0</v>
      </c>
      <c r="AI823" s="1525">
        <f t="shared" si="494"/>
        <v>0</v>
      </c>
      <c r="AJ823" s="1525">
        <f t="shared" si="494"/>
        <v>0.4</v>
      </c>
      <c r="AK823" s="1525">
        <f t="shared" si="494"/>
        <v>0</v>
      </c>
      <c r="AL823" s="1525">
        <f t="shared" si="494"/>
        <v>0</v>
      </c>
      <c r="AM823" s="1525">
        <f t="shared" si="494"/>
        <v>0</v>
      </c>
      <c r="AN823" s="1525">
        <f t="shared" si="494"/>
        <v>0</v>
      </c>
      <c r="AO823" s="1525">
        <f t="shared" si="494"/>
        <v>0</v>
      </c>
      <c r="AP823" s="1525">
        <f t="shared" si="494"/>
        <v>0</v>
      </c>
      <c r="AQ823" s="1525">
        <f t="shared" si="494"/>
        <v>0</v>
      </c>
      <c r="AR823" s="1525">
        <f t="shared" si="494"/>
        <v>0</v>
      </c>
      <c r="AS823" s="1525">
        <f t="shared" si="494"/>
        <v>0</v>
      </c>
      <c r="AU823" s="1525"/>
      <c r="AV823" s="1291"/>
      <c r="AW823" s="1292"/>
      <c r="AX823" s="1292"/>
      <c r="AY823" s="1292"/>
      <c r="AZ823" s="1292"/>
      <c r="BA823" s="1292"/>
      <c r="BB823" s="1292"/>
      <c r="BC823" s="1292"/>
      <c r="BD823" s="1292"/>
      <c r="BE823" s="1292"/>
      <c r="BF823" s="1292"/>
      <c r="BG823" s="1292">
        <v>0.4</v>
      </c>
      <c r="BH823" s="1292"/>
      <c r="BI823" s="1292"/>
      <c r="BJ823" s="1292">
        <v>0.1</v>
      </c>
      <c r="BK823" s="1292"/>
      <c r="BL823" s="1292"/>
      <c r="BM823" s="1292"/>
      <c r="BN823" s="1292"/>
      <c r="BO823" s="1292"/>
      <c r="BP823" s="1292"/>
      <c r="BQ823" s="1292"/>
      <c r="BR823" s="1292"/>
      <c r="BS823" s="1292"/>
      <c r="BT823" s="1670">
        <f t="shared" si="495"/>
        <v>0.5</v>
      </c>
      <c r="BW823" s="856" t="s">
        <v>1653</v>
      </c>
    </row>
    <row r="824" spans="2:75" ht="12.75" customHeight="1" x14ac:dyDescent="0.2">
      <c r="B824" s="175"/>
      <c r="C824" s="219"/>
      <c r="E824" s="12"/>
      <c r="F824" s="37"/>
      <c r="G824" s="862"/>
      <c r="H824" s="861"/>
      <c r="I824" s="180"/>
      <c r="J824" s="173"/>
      <c r="K824" s="173"/>
      <c r="L824" s="893"/>
      <c r="M824" s="861"/>
      <c r="N824" s="832"/>
      <c r="O824" s="1196"/>
      <c r="P824" s="1218"/>
      <c r="Q824" s="1148"/>
      <c r="R824" s="874"/>
      <c r="S824" s="876"/>
      <c r="T824" s="876"/>
      <c r="U824" s="876"/>
      <c r="V824" s="876"/>
      <c r="W824" s="876"/>
      <c r="X824" s="1026"/>
      <c r="Y824" s="1335"/>
      <c r="Z824" s="1335"/>
      <c r="AA824" s="1775"/>
      <c r="AB824" s="1814"/>
      <c r="AC824" s="876"/>
      <c r="AD824" s="1525"/>
      <c r="AE824" s="1525"/>
      <c r="AF824" s="1525"/>
      <c r="AG824" s="1525"/>
      <c r="AH824" s="1525"/>
      <c r="AI824" s="1525"/>
      <c r="AJ824" s="1525"/>
      <c r="AK824" s="1525"/>
      <c r="AL824" s="1525"/>
      <c r="AM824" s="1525"/>
      <c r="AN824" s="1525"/>
      <c r="AO824" s="1525"/>
      <c r="AP824" s="1525"/>
      <c r="AQ824" s="1525"/>
      <c r="AR824" s="1525"/>
      <c r="AS824" s="1525"/>
      <c r="AU824" s="1525"/>
      <c r="AV824" s="1291"/>
      <c r="AW824" s="1292"/>
      <c r="AX824" s="1292"/>
      <c r="AY824" s="1292"/>
      <c r="AZ824" s="1292"/>
      <c r="BA824" s="1292"/>
      <c r="BB824" s="1292"/>
      <c r="BC824" s="1292"/>
      <c r="BD824" s="1292"/>
      <c r="BE824" s="1292"/>
      <c r="BF824" s="1292"/>
      <c r="BG824" s="1292"/>
      <c r="BH824" s="1292"/>
      <c r="BI824" s="1292"/>
      <c r="BJ824" s="1292"/>
      <c r="BK824" s="1292"/>
      <c r="BL824" s="1292"/>
      <c r="BM824" s="1292"/>
      <c r="BN824" s="1292"/>
      <c r="BO824" s="1292"/>
      <c r="BP824" s="1292"/>
      <c r="BQ824" s="1292"/>
      <c r="BR824" s="1292"/>
      <c r="BS824" s="1292"/>
      <c r="BT824" s="1670"/>
      <c r="BW824" s="862"/>
    </row>
    <row r="825" spans="2:75" s="164" customFormat="1" ht="12.75" customHeight="1" x14ac:dyDescent="0.15">
      <c r="B825" s="175"/>
      <c r="C825" s="219" t="s">
        <v>1120</v>
      </c>
      <c r="F825" s="1" t="s">
        <v>1143</v>
      </c>
      <c r="G825" s="856"/>
      <c r="H825" s="1365" t="s">
        <v>1508</v>
      </c>
      <c r="I825" s="172"/>
      <c r="J825" s="168"/>
      <c r="K825" s="911">
        <f t="shared" ref="K825:L825" si="497">SUM(K814:K823)</f>
        <v>2.5</v>
      </c>
      <c r="L825" s="911">
        <f t="shared" si="497"/>
        <v>4.875</v>
      </c>
      <c r="M825" s="911">
        <f>SUM(M814:M823)</f>
        <v>7.375</v>
      </c>
      <c r="N825" s="855"/>
      <c r="O825" s="1200"/>
      <c r="P825" s="550"/>
      <c r="Q825" s="1153"/>
      <c r="R825" s="877"/>
      <c r="S825" s="875"/>
      <c r="T825" s="875"/>
      <c r="U825" s="875"/>
      <c r="V825" s="875"/>
      <c r="W825" s="875"/>
      <c r="X825" s="1026"/>
      <c r="Y825" s="1335"/>
      <c r="Z825" s="1335"/>
      <c r="AA825" s="1775"/>
      <c r="AB825" s="1814"/>
      <c r="AC825" s="876"/>
      <c r="AD825" s="1295"/>
      <c r="AE825" s="1525"/>
      <c r="AF825" s="1525"/>
      <c r="AG825" s="1525"/>
      <c r="AH825" s="1525"/>
      <c r="AI825" s="1525"/>
      <c r="AJ825" s="1525"/>
      <c r="AK825" s="1525"/>
      <c r="AL825" s="1525"/>
      <c r="AM825" s="1525"/>
      <c r="AN825" s="1525"/>
      <c r="AO825" s="1525"/>
      <c r="AP825" s="1525"/>
      <c r="AQ825" s="1525"/>
      <c r="AR825" s="1525"/>
      <c r="AS825" s="1525"/>
      <c r="AU825" s="1525"/>
      <c r="AV825" s="1295"/>
      <c r="AW825" s="1525"/>
      <c r="AX825" s="1525"/>
      <c r="AY825" s="1525"/>
      <c r="AZ825" s="1525"/>
      <c r="BA825" s="1525"/>
      <c r="BB825" s="1525"/>
      <c r="BC825" s="1525"/>
      <c r="BD825" s="1525"/>
      <c r="BE825" s="1525"/>
      <c r="BF825" s="1525"/>
      <c r="BG825" s="1525"/>
      <c r="BH825" s="1525"/>
      <c r="BI825" s="1525"/>
      <c r="BJ825" s="1525"/>
      <c r="BK825" s="1525"/>
      <c r="BL825" s="1525"/>
      <c r="BM825" s="1525"/>
      <c r="BN825" s="1525"/>
      <c r="BO825" s="1525"/>
      <c r="BP825" s="1525"/>
      <c r="BQ825" s="1525"/>
      <c r="BR825" s="1525"/>
      <c r="BS825" s="1525"/>
      <c r="BT825" s="1670"/>
      <c r="BV825"/>
      <c r="BW825" s="856"/>
    </row>
    <row r="826" spans="2:75" s="164" customFormat="1" ht="12.75" customHeight="1" x14ac:dyDescent="0.2">
      <c r="B826" s="175"/>
      <c r="C826" s="219"/>
      <c r="E826" s="12"/>
      <c r="F826" s="1"/>
      <c r="G826" s="856"/>
      <c r="H826" s="1346" t="s">
        <v>1508</v>
      </c>
      <c r="I826" s="200"/>
      <c r="J826" s="168"/>
      <c r="K826" s="168"/>
      <c r="L826" s="841"/>
      <c r="M826" s="858"/>
      <c r="N826" s="855"/>
      <c r="O826" s="1194"/>
      <c r="P826" s="1218"/>
      <c r="Q826" s="1148"/>
      <c r="R826" s="874"/>
      <c r="S826" s="875"/>
      <c r="T826" s="875"/>
      <c r="U826" s="875"/>
      <c r="V826" s="875"/>
      <c r="W826" s="875"/>
      <c r="X826" s="1026"/>
      <c r="Y826" s="1754"/>
      <c r="Z826" s="1755"/>
      <c r="AA826" s="1775"/>
      <c r="AB826" s="1814"/>
      <c r="AC826" s="876"/>
      <c r="AD826" s="1295"/>
      <c r="AE826" s="1525"/>
      <c r="AF826" s="1525"/>
      <c r="AG826" s="1525"/>
      <c r="AH826" s="1525"/>
      <c r="AI826" s="1525"/>
      <c r="AJ826" s="1525"/>
      <c r="AK826" s="1525"/>
      <c r="AL826" s="1525"/>
      <c r="AM826" s="1525"/>
      <c r="AN826" s="1525"/>
      <c r="AO826" s="1525"/>
      <c r="AP826" s="1525"/>
      <c r="AQ826" s="1525"/>
      <c r="AR826" s="1525"/>
      <c r="AS826" s="1525"/>
      <c r="AU826" s="1525"/>
      <c r="AV826" s="1295"/>
      <c r="AW826" s="1525"/>
      <c r="AX826" s="1525"/>
      <c r="AY826" s="1525"/>
      <c r="AZ826" s="1525"/>
      <c r="BA826" s="1525"/>
      <c r="BB826" s="1525"/>
      <c r="BC826" s="1525"/>
      <c r="BD826" s="1525"/>
      <c r="BE826" s="1525"/>
      <c r="BF826" s="1525"/>
      <c r="BG826" s="1525"/>
      <c r="BH826" s="1525"/>
      <c r="BI826" s="1525"/>
      <c r="BJ826" s="1525"/>
      <c r="BK826" s="1525"/>
      <c r="BL826" s="1525"/>
      <c r="BM826" s="1525"/>
      <c r="BN826" s="1525"/>
      <c r="BO826" s="1525"/>
      <c r="BP826" s="1525"/>
      <c r="BQ826" s="1525"/>
      <c r="BR826" s="1525"/>
      <c r="BS826" s="1525"/>
      <c r="BT826" s="1670"/>
      <c r="BV826"/>
      <c r="BW826" s="856"/>
    </row>
    <row r="827" spans="2:75" s="164" customFormat="1" ht="12.75" customHeight="1" x14ac:dyDescent="0.2">
      <c r="B827" s="175"/>
      <c r="F827" s="1" t="s">
        <v>842</v>
      </c>
      <c r="G827" s="856"/>
      <c r="H827" s="1377" t="s">
        <v>1508</v>
      </c>
      <c r="I827" s="172"/>
      <c r="J827" s="168"/>
      <c r="K827" s="168"/>
      <c r="L827" s="946"/>
      <c r="M827" s="946"/>
      <c r="N827" s="855"/>
      <c r="O827" s="1192"/>
      <c r="P827" s="550"/>
      <c r="Q827" s="1148"/>
      <c r="R827" s="874"/>
      <c r="S827" s="875"/>
      <c r="T827" s="875"/>
      <c r="U827" s="875"/>
      <c r="V827" s="875"/>
      <c r="W827" s="875"/>
      <c r="X827" s="1026"/>
      <c r="Y827" s="1754"/>
      <c r="Z827" s="1755"/>
      <c r="AA827" s="1775"/>
      <c r="AB827" s="1814"/>
      <c r="AC827" s="876"/>
      <c r="AD827" s="1295"/>
      <c r="AE827" s="1525"/>
      <c r="AF827" s="1525"/>
      <c r="AG827" s="1525"/>
      <c r="AH827" s="1525"/>
      <c r="AI827" s="1525"/>
      <c r="AJ827" s="1525"/>
      <c r="AK827" s="1525"/>
      <c r="AL827" s="1525"/>
      <c r="AM827" s="1525"/>
      <c r="AN827" s="1525"/>
      <c r="AO827" s="1525"/>
      <c r="AP827" s="1525"/>
      <c r="AQ827" s="1525"/>
      <c r="AR827" s="1525"/>
      <c r="AS827" s="1525"/>
      <c r="AU827" s="1525"/>
      <c r="AV827" s="1295"/>
      <c r="AW827" s="1525"/>
      <c r="AX827" s="1525"/>
      <c r="AY827" s="1525"/>
      <c r="AZ827" s="1525"/>
      <c r="BA827" s="1525"/>
      <c r="BB827" s="1525"/>
      <c r="BC827" s="1525"/>
      <c r="BD827" s="1525"/>
      <c r="BE827" s="1525"/>
      <c r="BF827" s="1525"/>
      <c r="BG827" s="1525"/>
      <c r="BH827" s="1525"/>
      <c r="BI827" s="1525"/>
      <c r="BJ827" s="1525"/>
      <c r="BK827" s="1525"/>
      <c r="BL827" s="1525"/>
      <c r="BM827" s="1525"/>
      <c r="BN827" s="1525"/>
      <c r="BO827" s="1525"/>
      <c r="BP827" s="1525"/>
      <c r="BQ827" s="1525"/>
      <c r="BR827" s="1525"/>
      <c r="BS827" s="1525"/>
      <c r="BT827" s="1670"/>
      <c r="BV827"/>
      <c r="BW827" s="856"/>
    </row>
    <row r="828" spans="2:75" s="164" customFormat="1" ht="12.75" customHeight="1" x14ac:dyDescent="0.2">
      <c r="B828" s="175"/>
      <c r="F828" s="1"/>
      <c r="G828" s="856"/>
      <c r="H828" s="1377" t="s">
        <v>1508</v>
      </c>
      <c r="I828" s="172"/>
      <c r="J828" s="168"/>
      <c r="K828" s="168"/>
      <c r="L828" s="946"/>
      <c r="M828" s="946"/>
      <c r="N828" s="855"/>
      <c r="O828" s="1192"/>
      <c r="P828" s="550"/>
      <c r="Q828" s="1148"/>
      <c r="R828" s="874"/>
      <c r="S828" s="875"/>
      <c r="T828" s="875"/>
      <c r="U828" s="875"/>
      <c r="V828" s="875"/>
      <c r="W828" s="875"/>
      <c r="X828" s="1026"/>
      <c r="Y828" s="1754"/>
      <c r="Z828" s="1755"/>
      <c r="AA828" s="1775"/>
      <c r="AB828" s="1814"/>
      <c r="AC828" s="876"/>
      <c r="AD828" s="1295"/>
      <c r="AE828" s="1525"/>
      <c r="AF828" s="1525"/>
      <c r="AG828" s="1525"/>
      <c r="AH828" s="1525"/>
      <c r="AI828" s="1525"/>
      <c r="AJ828" s="1525"/>
      <c r="AK828" s="1525"/>
      <c r="AL828" s="1525"/>
      <c r="AM828" s="1525"/>
      <c r="AN828" s="1525"/>
      <c r="AO828" s="1525"/>
      <c r="AP828" s="1525"/>
      <c r="AQ828" s="1525"/>
      <c r="AR828" s="1525"/>
      <c r="AS828" s="1525"/>
      <c r="AU828" s="1525"/>
      <c r="AV828" s="1295"/>
      <c r="AW828" s="1525"/>
      <c r="AX828" s="1525"/>
      <c r="AY828" s="1525"/>
      <c r="AZ828" s="1525"/>
      <c r="BA828" s="1525"/>
      <c r="BB828" s="1525"/>
      <c r="BC828" s="1525"/>
      <c r="BD828" s="1525"/>
      <c r="BE828" s="1525"/>
      <c r="BF828" s="1525"/>
      <c r="BG828" s="1525"/>
      <c r="BH828" s="1525"/>
      <c r="BI828" s="1525"/>
      <c r="BJ828" s="1525"/>
      <c r="BK828" s="1525"/>
      <c r="BL828" s="1525"/>
      <c r="BM828" s="1525"/>
      <c r="BN828" s="1525"/>
      <c r="BO828" s="1525"/>
      <c r="BP828" s="1525"/>
      <c r="BQ828" s="1525"/>
      <c r="BR828" s="1525"/>
      <c r="BS828" s="1525"/>
      <c r="BT828" s="1670"/>
      <c r="BV828"/>
      <c r="BW828" s="856"/>
    </row>
    <row r="829" spans="2:75" ht="12.75" customHeight="1" x14ac:dyDescent="0.2">
      <c r="B829" s="175">
        <f>B828+1</f>
        <v>1</v>
      </c>
      <c r="C829" s="219">
        <v>14</v>
      </c>
      <c r="E829" s="12" t="s">
        <v>298</v>
      </c>
      <c r="F829" s="1" t="s">
        <v>341</v>
      </c>
      <c r="G829" s="856" t="s">
        <v>843</v>
      </c>
      <c r="H829" s="858">
        <v>52178</v>
      </c>
      <c r="I829" s="172" t="s">
        <v>583</v>
      </c>
      <c r="J829" s="168"/>
      <c r="K829" s="168"/>
      <c r="L829" s="841">
        <v>1</v>
      </c>
      <c r="M829" s="858">
        <f>K829+L829</f>
        <v>1</v>
      </c>
      <c r="N829" s="836" t="s">
        <v>1402</v>
      </c>
      <c r="O829" s="1196">
        <v>21956</v>
      </c>
      <c r="P829" s="1218">
        <f ca="1">YEARFRAC(TODAY(),O829)</f>
        <v>57.644444444444446</v>
      </c>
      <c r="Q829" s="1148">
        <v>24000</v>
      </c>
      <c r="R829" s="874">
        <f>Q829*0.1</f>
        <v>2400</v>
      </c>
      <c r="S829" s="875"/>
      <c r="T829" s="875"/>
      <c r="U829" s="875"/>
      <c r="V829" s="875"/>
      <c r="W829" s="875"/>
      <c r="X829" s="1026">
        <f>(Q829+R829+S829+T829+U829+V829+W829)*M829</f>
        <v>26400</v>
      </c>
      <c r="Y829" s="1512">
        <f>(T829+U829)*M829/(X829-M829*(T829+U829))</f>
        <v>0</v>
      </c>
      <c r="Z829" s="1741">
        <f>M829*(1+Y829)</f>
        <v>1</v>
      </c>
      <c r="AA829" s="1749">
        <f>SUM(AD829:AS829)</f>
        <v>1</v>
      </c>
      <c r="AB829" s="1810">
        <f t="shared" ref="AB829:AB830" si="498">100*AA829/Z829</f>
        <v>100</v>
      </c>
      <c r="AC829" s="876"/>
      <c r="AD829" s="1525">
        <f t="shared" ref="AD829:AS830" si="499">SUMIF($AV$6:$BS$6,AD$5,$AV829:$BS829)</f>
        <v>0.2</v>
      </c>
      <c r="AE829" s="1525">
        <f t="shared" si="499"/>
        <v>0</v>
      </c>
      <c r="AF829" s="1525">
        <f t="shared" si="499"/>
        <v>0</v>
      </c>
      <c r="AG829" s="1525">
        <f t="shared" si="499"/>
        <v>0</v>
      </c>
      <c r="AH829" s="1525">
        <f t="shared" si="499"/>
        <v>0</v>
      </c>
      <c r="AI829" s="1525">
        <f t="shared" si="499"/>
        <v>0</v>
      </c>
      <c r="AJ829" s="1525">
        <f t="shared" si="499"/>
        <v>0.8</v>
      </c>
      <c r="AK829" s="1525">
        <f t="shared" si="499"/>
        <v>0</v>
      </c>
      <c r="AL829" s="1525">
        <f t="shared" si="499"/>
        <v>0</v>
      </c>
      <c r="AM829" s="1525">
        <f t="shared" si="499"/>
        <v>0</v>
      </c>
      <c r="AN829" s="1525">
        <f t="shared" si="499"/>
        <v>0</v>
      </c>
      <c r="AO829" s="1525">
        <f t="shared" si="499"/>
        <v>0</v>
      </c>
      <c r="AP829" s="1525">
        <f t="shared" si="499"/>
        <v>0</v>
      </c>
      <c r="AQ829" s="1525">
        <f t="shared" si="499"/>
        <v>0</v>
      </c>
      <c r="AR829" s="1525">
        <f t="shared" si="499"/>
        <v>0</v>
      </c>
      <c r="AS829" s="1525">
        <f t="shared" si="499"/>
        <v>0</v>
      </c>
      <c r="AU829" s="1525"/>
      <c r="AV829" s="1291"/>
      <c r="AW829" s="1292"/>
      <c r="AX829" s="1292"/>
      <c r="AY829" s="1292"/>
      <c r="AZ829" s="1292"/>
      <c r="BA829" s="1292"/>
      <c r="BB829" s="1292"/>
      <c r="BC829" s="1292"/>
      <c r="BD829" s="1292"/>
      <c r="BE829" s="1292"/>
      <c r="BF829" s="1292"/>
      <c r="BG829" s="1292">
        <v>0.8</v>
      </c>
      <c r="BH829" s="1292"/>
      <c r="BI829" s="1292"/>
      <c r="BJ829" s="1292">
        <v>0.2</v>
      </c>
      <c r="BK829" s="1292"/>
      <c r="BL829" s="1292"/>
      <c r="BM829" s="1292"/>
      <c r="BN829" s="1292"/>
      <c r="BO829" s="1292"/>
      <c r="BP829" s="1292"/>
      <c r="BQ829" s="1292"/>
      <c r="BR829" s="1292"/>
      <c r="BS829" s="1292"/>
      <c r="BT829" s="1670">
        <f t="shared" ref="BT829:BT830" si="500">SUM(AV829:BS829)</f>
        <v>1</v>
      </c>
      <c r="BW829" s="856" t="s">
        <v>843</v>
      </c>
    </row>
    <row r="830" spans="2:75" ht="12.75" customHeight="1" x14ac:dyDescent="0.2">
      <c r="B830" s="175">
        <f>B829+1</f>
        <v>2</v>
      </c>
      <c r="C830" s="219">
        <v>18</v>
      </c>
      <c r="E830" s="12" t="s">
        <v>298</v>
      </c>
      <c r="F830" s="57" t="s">
        <v>1654</v>
      </c>
      <c r="G830" s="945" t="s">
        <v>844</v>
      </c>
      <c r="H830" s="873">
        <v>7199</v>
      </c>
      <c r="I830" s="176" t="s">
        <v>886</v>
      </c>
      <c r="J830" s="177"/>
      <c r="K830" s="177"/>
      <c r="L830" s="944">
        <v>1</v>
      </c>
      <c r="M830" s="873">
        <f>K830+L830</f>
        <v>1</v>
      </c>
      <c r="N830" s="872" t="s">
        <v>1402</v>
      </c>
      <c r="O830" s="1196">
        <v>17467</v>
      </c>
      <c r="P830" s="1218">
        <f ca="1">YEARFRAC(TODAY(),O830)</f>
        <v>69.930555555555557</v>
      </c>
      <c r="Q830" s="1148">
        <v>21000</v>
      </c>
      <c r="R830" s="874">
        <f>Q830*0.1</f>
        <v>2100</v>
      </c>
      <c r="S830" s="875"/>
      <c r="T830" s="875"/>
      <c r="U830" s="875"/>
      <c r="V830" s="875"/>
      <c r="W830" s="875"/>
      <c r="X830" s="1026">
        <f>(Q830+R830+S830+T830+U830+V830+W830)*M830</f>
        <v>23100</v>
      </c>
      <c r="Y830" s="1512">
        <f>(T830+U830)*M830/(X830-M830*(T830+U830))</f>
        <v>0</v>
      </c>
      <c r="Z830" s="1741">
        <f>M830*(1+Y830)</f>
        <v>1</v>
      </c>
      <c r="AA830" s="1749">
        <f>SUM(AD830:AS830)</f>
        <v>1</v>
      </c>
      <c r="AB830" s="1810">
        <f t="shared" si="498"/>
        <v>100</v>
      </c>
      <c r="AC830" s="876"/>
      <c r="AD830" s="1525">
        <f t="shared" si="499"/>
        <v>0.2</v>
      </c>
      <c r="AE830" s="1525">
        <f t="shared" si="499"/>
        <v>0</v>
      </c>
      <c r="AF830" s="1525">
        <f t="shared" si="499"/>
        <v>0</v>
      </c>
      <c r="AG830" s="1525">
        <f t="shared" si="499"/>
        <v>0</v>
      </c>
      <c r="AH830" s="1525">
        <f t="shared" si="499"/>
        <v>0</v>
      </c>
      <c r="AI830" s="1525">
        <f t="shared" si="499"/>
        <v>0</v>
      </c>
      <c r="AJ830" s="1525">
        <f t="shared" si="499"/>
        <v>0.8</v>
      </c>
      <c r="AK830" s="1525">
        <f t="shared" si="499"/>
        <v>0</v>
      </c>
      <c r="AL830" s="1525">
        <f t="shared" si="499"/>
        <v>0</v>
      </c>
      <c r="AM830" s="1525">
        <f t="shared" si="499"/>
        <v>0</v>
      </c>
      <c r="AN830" s="1525">
        <f t="shared" si="499"/>
        <v>0</v>
      </c>
      <c r="AO830" s="1525">
        <f t="shared" si="499"/>
        <v>0</v>
      </c>
      <c r="AP830" s="1525">
        <f t="shared" si="499"/>
        <v>0</v>
      </c>
      <c r="AQ830" s="1525">
        <f t="shared" si="499"/>
        <v>0</v>
      </c>
      <c r="AR830" s="1525">
        <f t="shared" si="499"/>
        <v>0</v>
      </c>
      <c r="AS830" s="1525">
        <f t="shared" si="499"/>
        <v>0</v>
      </c>
      <c r="AU830" s="1525"/>
      <c r="AV830" s="1291"/>
      <c r="AW830" s="1292"/>
      <c r="AX830" s="1292"/>
      <c r="AY830" s="1292"/>
      <c r="AZ830" s="1292"/>
      <c r="BA830" s="1292"/>
      <c r="BB830" s="1292"/>
      <c r="BC830" s="1292"/>
      <c r="BD830" s="1292"/>
      <c r="BE830" s="1292"/>
      <c r="BF830" s="1292"/>
      <c r="BG830" s="1292">
        <v>0.8</v>
      </c>
      <c r="BH830" s="1292"/>
      <c r="BI830" s="1292"/>
      <c r="BJ830" s="1292">
        <v>0.2</v>
      </c>
      <c r="BK830" s="1292"/>
      <c r="BL830" s="1292"/>
      <c r="BM830" s="1292"/>
      <c r="BN830" s="1292"/>
      <c r="BO830" s="1292"/>
      <c r="BP830" s="1292"/>
      <c r="BQ830" s="1292"/>
      <c r="BR830" s="1292"/>
      <c r="BS830" s="1292"/>
      <c r="BT830" s="1670">
        <f t="shared" si="500"/>
        <v>1</v>
      </c>
      <c r="BW830" s="945" t="s">
        <v>844</v>
      </c>
    </row>
    <row r="831" spans="2:75" x14ac:dyDescent="0.15">
      <c r="X831" s="1709"/>
      <c r="Y831" s="210"/>
      <c r="Z831" s="210"/>
      <c r="AA831" s="1763"/>
      <c r="AB831" s="1760"/>
      <c r="AC831" s="210"/>
      <c r="AD831" s="553"/>
      <c r="AE831" s="553"/>
      <c r="AF831" s="553"/>
      <c r="AG831" s="553"/>
      <c r="AH831" s="553"/>
      <c r="AI831" s="553"/>
      <c r="AJ831" s="553"/>
      <c r="AK831" s="553"/>
      <c r="AL831" s="553"/>
      <c r="AM831" s="553"/>
      <c r="AN831" s="553"/>
      <c r="AO831" s="553"/>
      <c r="AP831" s="553"/>
      <c r="AQ831" s="553"/>
      <c r="AR831" s="553"/>
      <c r="AS831" s="553"/>
      <c r="AV831" s="1292"/>
      <c r="AX831" s="1292"/>
      <c r="BT831" s="1671"/>
    </row>
    <row r="832" spans="2:75" s="164" customFormat="1" ht="12.75" customHeight="1" x14ac:dyDescent="0.15">
      <c r="B832" s="175"/>
      <c r="F832" s="1"/>
      <c r="G832" s="856"/>
      <c r="H832" s="1364" t="s">
        <v>1508</v>
      </c>
      <c r="I832" s="172"/>
      <c r="J832" s="168"/>
      <c r="K832" s="168"/>
      <c r="L832" s="841"/>
      <c r="M832" s="841"/>
      <c r="N832" s="855"/>
      <c r="O832" s="1200"/>
      <c r="P832" s="550"/>
      <c r="Q832" s="1148"/>
      <c r="R832" s="874"/>
      <c r="S832" s="875"/>
      <c r="T832" s="875"/>
      <c r="U832" s="875"/>
      <c r="V832" s="875"/>
      <c r="W832" s="875"/>
      <c r="X832" s="1026"/>
      <c r="Y832" s="1754"/>
      <c r="Z832" s="1755"/>
      <c r="AA832" s="1775"/>
      <c r="AB832" s="1814"/>
      <c r="AC832" s="876"/>
      <c r="AD832" s="1295"/>
      <c r="AE832" s="1525"/>
      <c r="AF832" s="1525"/>
      <c r="AG832" s="1525"/>
      <c r="AH832" s="1525"/>
      <c r="AI832" s="1525"/>
      <c r="AJ832" s="1525"/>
      <c r="AK832" s="1525"/>
      <c r="AL832" s="1525"/>
      <c r="AM832" s="1525"/>
      <c r="AN832" s="1525"/>
      <c r="AO832" s="1525"/>
      <c r="AP832" s="1525"/>
      <c r="AQ832" s="1525"/>
      <c r="AR832" s="1525"/>
      <c r="AS832" s="1525"/>
      <c r="AU832" s="1525"/>
      <c r="AV832" s="1295"/>
      <c r="AW832" s="1525"/>
      <c r="AX832" s="1525"/>
      <c r="AY832" s="1525"/>
      <c r="AZ832" s="1525"/>
      <c r="BA832" s="1525"/>
      <c r="BB832" s="1525"/>
      <c r="BC832" s="1525"/>
      <c r="BD832" s="1525"/>
      <c r="BE832" s="1525"/>
      <c r="BF832" s="1525"/>
      <c r="BG832" s="1525"/>
      <c r="BH832" s="1525"/>
      <c r="BI832" s="1525"/>
      <c r="BJ832" s="1525"/>
      <c r="BK832" s="1525"/>
      <c r="BL832" s="1525"/>
      <c r="BM832" s="1525"/>
      <c r="BN832" s="1525"/>
      <c r="BO832" s="1525"/>
      <c r="BP832" s="1525"/>
      <c r="BQ832" s="1525"/>
      <c r="BR832" s="1525"/>
      <c r="BS832" s="1525"/>
      <c r="BT832" s="1670"/>
      <c r="BV832"/>
      <c r="BW832" s="856"/>
    </row>
    <row r="833" spans="2:75" s="164" customFormat="1" ht="12.75" customHeight="1" x14ac:dyDescent="0.15">
      <c r="B833" s="175"/>
      <c r="F833" s="1119" t="s">
        <v>436</v>
      </c>
      <c r="G833" s="913"/>
      <c r="H833" s="1358" t="s">
        <v>1508</v>
      </c>
      <c r="I833" s="180"/>
      <c r="J833" s="173"/>
      <c r="K833" s="173"/>
      <c r="L833" s="893"/>
      <c r="M833" s="893"/>
      <c r="N833" s="832"/>
      <c r="O833" s="1200"/>
      <c r="P833" s="550"/>
      <c r="Q833" s="1148"/>
      <c r="R833" s="874"/>
      <c r="S833" s="875"/>
      <c r="T833" s="875"/>
      <c r="U833" s="875"/>
      <c r="V833" s="875"/>
      <c r="W833" s="875"/>
      <c r="X833" s="1026"/>
      <c r="Y833" s="1754"/>
      <c r="Z833" s="1755"/>
      <c r="AA833" s="1775"/>
      <c r="AB833" s="1814"/>
      <c r="AC833" s="876"/>
      <c r="AD833" s="1295"/>
      <c r="AE833" s="1525"/>
      <c r="AF833" s="1525"/>
      <c r="AG833" s="1525"/>
      <c r="AH833" s="1525"/>
      <c r="AI833" s="1525"/>
      <c r="AJ833" s="1525"/>
      <c r="AK833" s="1525"/>
      <c r="AL833" s="1525"/>
      <c r="AM833" s="1525"/>
      <c r="AN833" s="1525"/>
      <c r="AO833" s="1525"/>
      <c r="AP833" s="1525"/>
      <c r="AQ833" s="1525"/>
      <c r="AR833" s="1525"/>
      <c r="AS833" s="1525"/>
      <c r="AU833" s="1525"/>
      <c r="AV833" s="1295"/>
      <c r="AW833" s="1525"/>
      <c r="AX833" s="1525"/>
      <c r="AY833" s="1525"/>
      <c r="AZ833" s="1525"/>
      <c r="BA833" s="1525"/>
      <c r="BB833" s="1525"/>
      <c r="BC833" s="1525"/>
      <c r="BD833" s="1525"/>
      <c r="BE833" s="1525"/>
      <c r="BF833" s="1525"/>
      <c r="BG833" s="1525"/>
      <c r="BH833" s="1525"/>
      <c r="BI833" s="1525"/>
      <c r="BJ833" s="1525"/>
      <c r="BK833" s="1525"/>
      <c r="BL833" s="1525"/>
      <c r="BM833" s="1525"/>
      <c r="BN833" s="1525"/>
      <c r="BO833" s="1525"/>
      <c r="BP833" s="1525"/>
      <c r="BQ833" s="1525"/>
      <c r="BR833" s="1525"/>
      <c r="BS833" s="1525"/>
      <c r="BT833" s="1670"/>
      <c r="BV833"/>
      <c r="BW833" s="913"/>
    </row>
    <row r="834" spans="2:75" ht="12.75" customHeight="1" x14ac:dyDescent="0.2">
      <c r="B834" s="175">
        <f>B833+1</f>
        <v>1</v>
      </c>
      <c r="C834" s="219">
        <v>11</v>
      </c>
      <c r="E834" s="12" t="s">
        <v>298</v>
      </c>
      <c r="F834" s="37" t="s">
        <v>746</v>
      </c>
      <c r="G834" s="913" t="s">
        <v>962</v>
      </c>
      <c r="H834" s="861">
        <v>7265</v>
      </c>
      <c r="I834" s="200" t="s">
        <v>351</v>
      </c>
      <c r="J834" s="168"/>
      <c r="K834" s="168">
        <v>1</v>
      </c>
      <c r="L834" s="893"/>
      <c r="M834" s="861">
        <f>K834+L834</f>
        <v>1</v>
      </c>
      <c r="N834" s="832" t="s">
        <v>963</v>
      </c>
      <c r="O834" s="1196">
        <v>15865</v>
      </c>
      <c r="P834" s="1218">
        <f ca="1">YEARFRAC(TODAY(),O834)</f>
        <v>74.316666666666663</v>
      </c>
      <c r="Q834" s="1148">
        <v>33300</v>
      </c>
      <c r="R834" s="874">
        <f>Q834*0.1</f>
        <v>3330</v>
      </c>
      <c r="S834" s="875"/>
      <c r="T834" s="875"/>
      <c r="U834" s="875"/>
      <c r="V834" s="875"/>
      <c r="W834" s="875"/>
      <c r="X834" s="1026">
        <f>(Q834+R834+S834+T834+U834+V834+W834)*M834</f>
        <v>36630</v>
      </c>
      <c r="Y834" s="1512">
        <f>(T834+U834)*M834/(X834-M834*(T834+U834))</f>
        <v>0</v>
      </c>
      <c r="Z834" s="1741">
        <f>M834*(1+Y834)</f>
        <v>1</v>
      </c>
      <c r="AA834" s="1749">
        <f>SUM(AD834:AS834)</f>
        <v>1</v>
      </c>
      <c r="AB834" s="1810">
        <f t="shared" ref="AB834:AB835" si="501">100*AA834/Z834</f>
        <v>100</v>
      </c>
      <c r="AC834" s="876"/>
      <c r="AD834" s="1525">
        <f t="shared" ref="AD834:AS835" si="502">SUMIF($AV$6:$BS$6,AD$5,$AV834:$BS834)</f>
        <v>0.2</v>
      </c>
      <c r="AE834" s="1525">
        <f t="shared" si="502"/>
        <v>0</v>
      </c>
      <c r="AF834" s="1525">
        <f t="shared" si="502"/>
        <v>0</v>
      </c>
      <c r="AG834" s="1525">
        <f t="shared" si="502"/>
        <v>0</v>
      </c>
      <c r="AH834" s="1525">
        <f t="shared" si="502"/>
        <v>0</v>
      </c>
      <c r="AI834" s="1525">
        <f t="shared" si="502"/>
        <v>0</v>
      </c>
      <c r="AJ834" s="1525">
        <f t="shared" si="502"/>
        <v>0.8</v>
      </c>
      <c r="AK834" s="1525">
        <f t="shared" si="502"/>
        <v>0</v>
      </c>
      <c r="AL834" s="1525">
        <f t="shared" si="502"/>
        <v>0</v>
      </c>
      <c r="AM834" s="1525">
        <f t="shared" si="502"/>
        <v>0</v>
      </c>
      <c r="AN834" s="1525">
        <f t="shared" si="502"/>
        <v>0</v>
      </c>
      <c r="AO834" s="1525">
        <f t="shared" si="502"/>
        <v>0</v>
      </c>
      <c r="AP834" s="1525">
        <f t="shared" si="502"/>
        <v>0</v>
      </c>
      <c r="AQ834" s="1525">
        <f t="shared" si="502"/>
        <v>0</v>
      </c>
      <c r="AR834" s="1525">
        <f t="shared" si="502"/>
        <v>0</v>
      </c>
      <c r="AS834" s="1525">
        <f t="shared" si="502"/>
        <v>0</v>
      </c>
      <c r="AU834" s="1525"/>
      <c r="AV834" s="1291"/>
      <c r="AW834" s="1292"/>
      <c r="AX834" s="1292"/>
      <c r="AY834" s="1292"/>
      <c r="AZ834" s="1292"/>
      <c r="BA834" s="1292"/>
      <c r="BB834" s="1292"/>
      <c r="BC834" s="1292"/>
      <c r="BD834" s="1292"/>
      <c r="BE834" s="1292"/>
      <c r="BF834" s="1292"/>
      <c r="BG834" s="1292">
        <v>0.8</v>
      </c>
      <c r="BH834" s="1292"/>
      <c r="BI834" s="1292"/>
      <c r="BJ834" s="1292">
        <v>0.2</v>
      </c>
      <c r="BK834" s="1292"/>
      <c r="BL834" s="1292"/>
      <c r="BM834" s="1292"/>
      <c r="BN834" s="1292"/>
      <c r="BO834" s="1292"/>
      <c r="BP834" s="1292"/>
      <c r="BQ834" s="1292"/>
      <c r="BR834" s="1292"/>
      <c r="BS834" s="1292"/>
      <c r="BT834" s="1670">
        <f t="shared" ref="BT834:BT835" si="503">SUM(AV834:BS834)</f>
        <v>1</v>
      </c>
      <c r="BW834" s="913" t="s">
        <v>962</v>
      </c>
    </row>
    <row r="835" spans="2:75" s="164" customFormat="1" ht="12.75" customHeight="1" x14ac:dyDescent="0.15">
      <c r="B835" s="175">
        <f>B834+1</f>
        <v>2</v>
      </c>
      <c r="C835" s="219">
        <v>14</v>
      </c>
      <c r="E835" s="12" t="s">
        <v>298</v>
      </c>
      <c r="F835" s="1" t="s">
        <v>341</v>
      </c>
      <c r="G835" s="913" t="s">
        <v>1780</v>
      </c>
      <c r="H835" s="893">
        <v>130809</v>
      </c>
      <c r="I835" s="172" t="s">
        <v>583</v>
      </c>
      <c r="J835" s="168"/>
      <c r="K835" s="168">
        <v>1</v>
      </c>
      <c r="L835" s="893"/>
      <c r="M835" s="893">
        <v>1</v>
      </c>
      <c r="N835" s="832"/>
      <c r="O835" s="1200"/>
      <c r="P835" s="550"/>
      <c r="Q835" s="1148">
        <v>21600</v>
      </c>
      <c r="R835" s="874"/>
      <c r="S835" s="875"/>
      <c r="T835" s="875"/>
      <c r="U835" s="875"/>
      <c r="V835" s="875"/>
      <c r="W835" s="875"/>
      <c r="X835" s="1026">
        <f>(Q835+R835+S835+T835+U835+V835+W835)*M835</f>
        <v>21600</v>
      </c>
      <c r="Y835" s="1512">
        <f>(T835+U835)*M835/(X835-M835*(T835+U835))</f>
        <v>0</v>
      </c>
      <c r="Z835" s="1741">
        <f>M835*(1+Y835)</f>
        <v>1</v>
      </c>
      <c r="AA835" s="1749">
        <f>SUM(AD835:AS835)</f>
        <v>1</v>
      </c>
      <c r="AB835" s="1810">
        <f t="shared" si="501"/>
        <v>100</v>
      </c>
      <c r="AC835" s="876"/>
      <c r="AD835" s="1525">
        <f t="shared" si="502"/>
        <v>0.2</v>
      </c>
      <c r="AE835" s="1525">
        <f t="shared" si="502"/>
        <v>0</v>
      </c>
      <c r="AF835" s="1525">
        <f t="shared" si="502"/>
        <v>0</v>
      </c>
      <c r="AG835" s="1525">
        <f t="shared" si="502"/>
        <v>0</v>
      </c>
      <c r="AH835" s="1525">
        <f t="shared" si="502"/>
        <v>0</v>
      </c>
      <c r="AI835" s="1525">
        <f t="shared" si="502"/>
        <v>0</v>
      </c>
      <c r="AJ835" s="1525">
        <f t="shared" si="502"/>
        <v>0.8</v>
      </c>
      <c r="AK835" s="1525">
        <f t="shared" si="502"/>
        <v>0</v>
      </c>
      <c r="AL835" s="1525">
        <f t="shared" si="502"/>
        <v>0</v>
      </c>
      <c r="AM835" s="1525">
        <f t="shared" si="502"/>
        <v>0</v>
      </c>
      <c r="AN835" s="1525">
        <f t="shared" si="502"/>
        <v>0</v>
      </c>
      <c r="AO835" s="1525">
        <f t="shared" si="502"/>
        <v>0</v>
      </c>
      <c r="AP835" s="1525">
        <f t="shared" si="502"/>
        <v>0</v>
      </c>
      <c r="AQ835" s="1525">
        <f t="shared" si="502"/>
        <v>0</v>
      </c>
      <c r="AR835" s="1525">
        <f t="shared" si="502"/>
        <v>0</v>
      </c>
      <c r="AS835" s="1525">
        <f t="shared" si="502"/>
        <v>0</v>
      </c>
      <c r="AU835" s="1525"/>
      <c r="AV835" s="1295"/>
      <c r="AW835" s="1525"/>
      <c r="AX835" s="1525"/>
      <c r="AY835" s="1525"/>
      <c r="AZ835" s="1525"/>
      <c r="BA835" s="1525"/>
      <c r="BB835" s="1525"/>
      <c r="BC835" s="1525"/>
      <c r="BD835" s="1525"/>
      <c r="BE835" s="1525"/>
      <c r="BF835" s="1525"/>
      <c r="BG835" s="1525">
        <v>0.8</v>
      </c>
      <c r="BH835" s="1525"/>
      <c r="BI835" s="1525"/>
      <c r="BJ835" s="1525">
        <v>0.2</v>
      </c>
      <c r="BK835" s="1525"/>
      <c r="BL835" s="1525"/>
      <c r="BM835" s="1525"/>
      <c r="BN835" s="1525"/>
      <c r="BO835" s="1525"/>
      <c r="BP835" s="1525"/>
      <c r="BQ835" s="1525"/>
      <c r="BR835" s="1525"/>
      <c r="BS835" s="1525"/>
      <c r="BT835" s="1670">
        <f t="shared" si="503"/>
        <v>1</v>
      </c>
      <c r="BV835"/>
      <c r="BW835" s="913" t="s">
        <v>1780</v>
      </c>
    </row>
    <row r="836" spans="2:75" s="164" customFormat="1" ht="12.75" customHeight="1" x14ac:dyDescent="0.15">
      <c r="B836" s="175"/>
      <c r="C836" s="219"/>
      <c r="E836" s="12"/>
      <c r="F836" s="1"/>
      <c r="G836" s="913"/>
      <c r="H836" s="893"/>
      <c r="I836" s="172"/>
      <c r="J836" s="168"/>
      <c r="K836" s="168"/>
      <c r="L836" s="893"/>
      <c r="M836" s="893"/>
      <c r="N836" s="832"/>
      <c r="O836" s="1200"/>
      <c r="P836" s="550"/>
      <c r="Q836" s="1148"/>
      <c r="R836" s="874"/>
      <c r="S836" s="875"/>
      <c r="T836" s="875"/>
      <c r="U836" s="875"/>
      <c r="V836" s="875"/>
      <c r="W836" s="875"/>
      <c r="X836" s="1026"/>
      <c r="Y836" s="1754"/>
      <c r="Z836" s="1755"/>
      <c r="AA836" s="1775"/>
      <c r="AB836" s="1814"/>
      <c r="AC836" s="876"/>
      <c r="AD836" s="1525"/>
      <c r="AE836" s="1525"/>
      <c r="AF836" s="1525"/>
      <c r="AG836" s="1525"/>
      <c r="AH836" s="1525"/>
      <c r="AI836" s="1525"/>
      <c r="AJ836" s="1525"/>
      <c r="AK836" s="1525"/>
      <c r="AL836" s="1525"/>
      <c r="AM836" s="1525"/>
      <c r="AN836" s="1525"/>
      <c r="AO836" s="1525"/>
      <c r="AP836" s="1525"/>
      <c r="AQ836" s="1525"/>
      <c r="AR836" s="1525"/>
      <c r="AS836" s="1525"/>
      <c r="AU836" s="1525"/>
      <c r="AV836" s="1295"/>
      <c r="AW836" s="1525"/>
      <c r="AX836" s="1525"/>
      <c r="AY836" s="1525"/>
      <c r="AZ836" s="1525"/>
      <c r="BA836" s="1525"/>
      <c r="BB836" s="1525"/>
      <c r="BC836" s="1525"/>
      <c r="BD836" s="1525"/>
      <c r="BE836" s="1525"/>
      <c r="BF836" s="1525"/>
      <c r="BG836" s="1525"/>
      <c r="BH836" s="1525"/>
      <c r="BI836" s="1525"/>
      <c r="BJ836" s="1525"/>
      <c r="BK836" s="1525"/>
      <c r="BL836" s="1525"/>
      <c r="BM836" s="1525"/>
      <c r="BN836" s="1525"/>
      <c r="BO836" s="1525"/>
      <c r="BP836" s="1525"/>
      <c r="BQ836" s="1525"/>
      <c r="BR836" s="1525"/>
      <c r="BS836" s="1525"/>
      <c r="BT836" s="1670"/>
      <c r="BV836"/>
      <c r="BW836" s="913"/>
    </row>
    <row r="837" spans="2:75" s="164" customFormat="1" ht="12.75" customHeight="1" x14ac:dyDescent="0.15">
      <c r="B837" s="175"/>
      <c r="C837" s="219" t="s">
        <v>1120</v>
      </c>
      <c r="F837" s="1" t="s">
        <v>1238</v>
      </c>
      <c r="G837" s="856"/>
      <c r="H837" s="1364" t="s">
        <v>1508</v>
      </c>
      <c r="I837" s="172"/>
      <c r="J837" s="168"/>
      <c r="K837" s="1123">
        <f>SUM(K829:K830)</f>
        <v>0</v>
      </c>
      <c r="L837" s="1123">
        <f>SUM(L829:L830)</f>
        <v>2</v>
      </c>
      <c r="M837" s="1123">
        <f>SUM(M834:M836)</f>
        <v>2</v>
      </c>
      <c r="N837" s="855"/>
      <c r="O837" s="1200"/>
      <c r="P837" s="550"/>
      <c r="Q837" s="1153"/>
      <c r="R837" s="877"/>
      <c r="S837" s="875"/>
      <c r="T837" s="875"/>
      <c r="U837" s="875"/>
      <c r="V837" s="875"/>
      <c r="W837" s="875"/>
      <c r="X837" s="1026"/>
      <c r="Y837" s="1335"/>
      <c r="Z837" s="1335"/>
      <c r="AA837" s="1775"/>
      <c r="AB837" s="1814"/>
      <c r="AC837" s="876"/>
      <c r="AD837" s="1295"/>
      <c r="AE837" s="1525"/>
      <c r="AF837" s="1525"/>
      <c r="AG837" s="1525"/>
      <c r="AH837" s="1525"/>
      <c r="AI837" s="1525"/>
      <c r="AJ837" s="1525"/>
      <c r="AK837" s="1525"/>
      <c r="AL837" s="1525"/>
      <c r="AM837" s="1525"/>
      <c r="AN837" s="1525"/>
      <c r="AO837" s="1525"/>
      <c r="AP837" s="1525"/>
      <c r="AQ837" s="1525"/>
      <c r="AR837" s="1525"/>
      <c r="AS837" s="1525"/>
      <c r="AU837" s="1525"/>
      <c r="AV837" s="1295"/>
      <c r="AW837" s="1525"/>
      <c r="AX837" s="1525"/>
      <c r="AY837" s="1525"/>
      <c r="AZ837" s="1525"/>
      <c r="BA837" s="1525"/>
      <c r="BB837" s="1525"/>
      <c r="BC837" s="1525"/>
      <c r="BD837" s="1525"/>
      <c r="BE837" s="1525"/>
      <c r="BF837" s="1525"/>
      <c r="BG837" s="1525"/>
      <c r="BH837" s="1525"/>
      <c r="BI837" s="1525"/>
      <c r="BJ837" s="1525"/>
      <c r="BK837" s="1525"/>
      <c r="BL837" s="1525"/>
      <c r="BM837" s="1525"/>
      <c r="BN837" s="1525"/>
      <c r="BO837" s="1525"/>
      <c r="BP837" s="1525"/>
      <c r="BQ837" s="1525"/>
      <c r="BR837" s="1525"/>
      <c r="BS837" s="1525"/>
      <c r="BT837" s="1670"/>
      <c r="BV837"/>
      <c r="BW837" s="856"/>
    </row>
    <row r="838" spans="2:75" s="164" customFormat="1" ht="12.75" customHeight="1" x14ac:dyDescent="0.15">
      <c r="B838" s="175"/>
      <c r="C838" s="219"/>
      <c r="E838" s="12"/>
      <c r="F838" s="1"/>
      <c r="G838" s="913"/>
      <c r="H838" s="893"/>
      <c r="I838" s="172"/>
      <c r="J838" s="168"/>
      <c r="K838" s="168"/>
      <c r="L838" s="893"/>
      <c r="M838" s="893"/>
      <c r="N838" s="832"/>
      <c r="O838" s="1200"/>
      <c r="P838" s="550"/>
      <c r="Q838" s="1148"/>
      <c r="R838" s="874"/>
      <c r="S838" s="875"/>
      <c r="T838" s="875"/>
      <c r="U838" s="875"/>
      <c r="V838" s="875"/>
      <c r="W838" s="875"/>
      <c r="X838" s="1026"/>
      <c r="Y838" s="1754"/>
      <c r="Z838" s="1755"/>
      <c r="AA838" s="1775"/>
      <c r="AB838" s="1814"/>
      <c r="AC838" s="876"/>
      <c r="AD838" s="1525"/>
      <c r="AE838" s="1525"/>
      <c r="AF838" s="1525"/>
      <c r="AG838" s="1525"/>
      <c r="AH838" s="1525"/>
      <c r="AI838" s="1525"/>
      <c r="AJ838" s="1525"/>
      <c r="AK838" s="1525"/>
      <c r="AL838" s="1525"/>
      <c r="AM838" s="1525"/>
      <c r="AN838" s="1525"/>
      <c r="AO838" s="1525"/>
      <c r="AP838" s="1525"/>
      <c r="AQ838" s="1525"/>
      <c r="AR838" s="1525"/>
      <c r="AS838" s="1525"/>
      <c r="AU838" s="1525"/>
      <c r="AV838" s="1295"/>
      <c r="AW838" s="1525"/>
      <c r="AX838" s="1525"/>
      <c r="AY838" s="1525"/>
      <c r="AZ838" s="1525"/>
      <c r="BA838" s="1525"/>
      <c r="BB838" s="1525"/>
      <c r="BC838" s="1525"/>
      <c r="BD838" s="1525"/>
      <c r="BE838" s="1525"/>
      <c r="BF838" s="1525"/>
      <c r="BG838" s="1525"/>
      <c r="BH838" s="1525"/>
      <c r="BI838" s="1525"/>
      <c r="BJ838" s="1525"/>
      <c r="BK838" s="1525"/>
      <c r="BL838" s="1525"/>
      <c r="BM838" s="1525"/>
      <c r="BN838" s="1525"/>
      <c r="BO838" s="1525"/>
      <c r="BP838" s="1525"/>
      <c r="BQ838" s="1525"/>
      <c r="BR838" s="1525"/>
      <c r="BS838" s="1525"/>
      <c r="BT838" s="1670"/>
      <c r="BV838"/>
      <c r="BW838" s="913"/>
    </row>
    <row r="839" spans="2:75" s="164" customFormat="1" ht="12.75" customHeight="1" x14ac:dyDescent="0.15">
      <c r="B839" s="175"/>
      <c r="F839" s="37" t="s">
        <v>964</v>
      </c>
      <c r="G839" s="913"/>
      <c r="H839" s="1378" t="s">
        <v>1508</v>
      </c>
      <c r="I839" s="180"/>
      <c r="J839" s="173"/>
      <c r="K839" s="173"/>
      <c r="L839" s="947"/>
      <c r="M839" s="947"/>
      <c r="N839" s="832"/>
      <c r="O839" s="1200"/>
      <c r="P839" s="550"/>
      <c r="Q839" s="1148"/>
      <c r="R839" s="874"/>
      <c r="S839" s="875"/>
      <c r="T839" s="875"/>
      <c r="U839" s="875"/>
      <c r="V839" s="875"/>
      <c r="W839" s="875"/>
      <c r="X839" s="1026"/>
      <c r="Y839" s="1754"/>
      <c r="Z839" s="1755"/>
      <c r="AA839" s="1775"/>
      <c r="AB839" s="1814"/>
      <c r="AC839" s="876"/>
      <c r="AD839" s="1295"/>
      <c r="AE839" s="1525"/>
      <c r="AF839" s="1525"/>
      <c r="AG839" s="1525"/>
      <c r="AH839" s="1525"/>
      <c r="AI839" s="1525"/>
      <c r="AJ839" s="1525"/>
      <c r="AK839" s="1525"/>
      <c r="AL839" s="1525"/>
      <c r="AM839" s="1525"/>
      <c r="AN839" s="1525"/>
      <c r="AO839" s="1525"/>
      <c r="AP839" s="1525"/>
      <c r="AQ839" s="1525"/>
      <c r="AR839" s="1525"/>
      <c r="AS839" s="1525"/>
      <c r="AU839" s="1525"/>
      <c r="AV839" s="1295"/>
      <c r="AW839" s="1525"/>
      <c r="AX839" s="1525"/>
      <c r="AY839" s="1525"/>
      <c r="AZ839" s="1525"/>
      <c r="BA839" s="1525"/>
      <c r="BB839" s="1525"/>
      <c r="BC839" s="1525"/>
      <c r="BD839" s="1525"/>
      <c r="BE839" s="1525"/>
      <c r="BF839" s="1525"/>
      <c r="BG839" s="1525"/>
      <c r="BH839" s="1525"/>
      <c r="BI839" s="1525"/>
      <c r="BJ839" s="1525"/>
      <c r="BK839" s="1525"/>
      <c r="BL839" s="1525"/>
      <c r="BM839" s="1525"/>
      <c r="BN839" s="1525"/>
      <c r="BO839" s="1525"/>
      <c r="BP839" s="1525"/>
      <c r="BQ839" s="1525"/>
      <c r="BR839" s="1525"/>
      <c r="BS839" s="1525"/>
      <c r="BT839" s="1670"/>
      <c r="BV839"/>
      <c r="BW839" s="913"/>
    </row>
    <row r="840" spans="2:75" s="164" customFormat="1" ht="12.75" customHeight="1" x14ac:dyDescent="0.15">
      <c r="B840" s="175"/>
      <c r="F840" s="37"/>
      <c r="G840" s="913"/>
      <c r="H840" s="1378" t="s">
        <v>1508</v>
      </c>
      <c r="I840" s="180"/>
      <c r="J840" s="173"/>
      <c r="K840" s="173"/>
      <c r="L840" s="947"/>
      <c r="M840" s="947"/>
      <c r="N840" s="832"/>
      <c r="O840" s="1200"/>
      <c r="P840" s="550"/>
      <c r="Q840" s="1148"/>
      <c r="R840" s="874"/>
      <c r="S840" s="875"/>
      <c r="T840" s="875"/>
      <c r="U840" s="875"/>
      <c r="V840" s="875"/>
      <c r="W840" s="875"/>
      <c r="X840" s="1026"/>
      <c r="Y840" s="1754"/>
      <c r="Z840" s="1755"/>
      <c r="AA840" s="1775"/>
      <c r="AB840" s="1814"/>
      <c r="AC840" s="876"/>
      <c r="AD840" s="1295"/>
      <c r="AE840" s="1525"/>
      <c r="AF840" s="1525"/>
      <c r="AG840" s="1525"/>
      <c r="AH840" s="1525"/>
      <c r="AI840" s="1525"/>
      <c r="AJ840" s="1525"/>
      <c r="AK840" s="1525"/>
      <c r="AL840" s="1525"/>
      <c r="AM840" s="1525"/>
      <c r="AN840" s="1525"/>
      <c r="AO840" s="1525"/>
      <c r="AP840" s="1525"/>
      <c r="AQ840" s="1525"/>
      <c r="AR840" s="1525"/>
      <c r="AS840" s="1525"/>
      <c r="AU840" s="1525"/>
      <c r="AV840" s="1295"/>
      <c r="AW840" s="1525"/>
      <c r="AX840" s="1525"/>
      <c r="AY840" s="1525"/>
      <c r="AZ840" s="1525"/>
      <c r="BA840" s="1525"/>
      <c r="BB840" s="1525"/>
      <c r="BC840" s="1525"/>
      <c r="BD840" s="1525"/>
      <c r="BE840" s="1525"/>
      <c r="BF840" s="1525"/>
      <c r="BG840" s="1525"/>
      <c r="BH840" s="1525"/>
      <c r="BI840" s="1525"/>
      <c r="BJ840" s="1525"/>
      <c r="BK840" s="1525"/>
      <c r="BL840" s="1525"/>
      <c r="BM840" s="1525"/>
      <c r="BN840" s="1525"/>
      <c r="BO840" s="1525"/>
      <c r="BP840" s="1525"/>
      <c r="BQ840" s="1525"/>
      <c r="BR840" s="1525"/>
      <c r="BS840" s="1525"/>
      <c r="BT840" s="1670"/>
      <c r="BV840"/>
      <c r="BW840" s="913"/>
    </row>
    <row r="841" spans="2:75" ht="12.75" customHeight="1" x14ac:dyDescent="0.2">
      <c r="B841" s="175">
        <f>B840+1</f>
        <v>1</v>
      </c>
      <c r="C841" s="219">
        <v>11</v>
      </c>
      <c r="E841" s="12" t="s">
        <v>298</v>
      </c>
      <c r="F841" s="37" t="s">
        <v>824</v>
      </c>
      <c r="G841" s="913" t="s">
        <v>965</v>
      </c>
      <c r="H841" s="858">
        <v>212023</v>
      </c>
      <c r="I841" s="180" t="s">
        <v>161</v>
      </c>
      <c r="J841" s="173"/>
      <c r="K841" s="173"/>
      <c r="L841" s="893">
        <v>1</v>
      </c>
      <c r="M841" s="858">
        <f>K841+L841</f>
        <v>1</v>
      </c>
      <c r="N841" s="836" t="s">
        <v>1402</v>
      </c>
      <c r="O841" s="1196">
        <v>21013</v>
      </c>
      <c r="P841" s="1218">
        <f ca="1">YEARFRAC(TODAY(),O841)</f>
        <v>60.222222222222221</v>
      </c>
      <c r="Q841" s="1148">
        <v>31500</v>
      </c>
      <c r="R841" s="874">
        <f>Q841*0.1</f>
        <v>3150</v>
      </c>
      <c r="S841" s="875">
        <v>3000</v>
      </c>
      <c r="T841" s="875"/>
      <c r="U841" s="875"/>
      <c r="V841" s="875"/>
      <c r="W841" s="875"/>
      <c r="X841" s="1026">
        <f>(Q841+R841+S841+T841+U841+V841+W841)*M841</f>
        <v>37650</v>
      </c>
      <c r="Y841" s="1512">
        <f>(T841+U841)*M841/(X841-M841*(T841+U841))</f>
        <v>0</v>
      </c>
      <c r="Z841" s="1741">
        <f>M841*(1+Y841)</f>
        <v>1</v>
      </c>
      <c r="AA841" s="1749">
        <f>SUM(AD841:AS841)</f>
        <v>1</v>
      </c>
      <c r="AB841" s="1810">
        <f t="shared" ref="AB841:AB844" si="504">100*AA841/Z841</f>
        <v>100</v>
      </c>
      <c r="AC841" s="876"/>
      <c r="AD841" s="1525">
        <f t="shared" ref="AD841:AS844" si="505">SUMIF($AV$6:$BS$6,AD$5,$AV841:$BS841)</f>
        <v>0.2</v>
      </c>
      <c r="AE841" s="1525">
        <f t="shared" si="505"/>
        <v>0</v>
      </c>
      <c r="AF841" s="1525">
        <f t="shared" si="505"/>
        <v>0</v>
      </c>
      <c r="AG841" s="1525">
        <f t="shared" si="505"/>
        <v>0</v>
      </c>
      <c r="AH841" s="1525">
        <f t="shared" si="505"/>
        <v>0</v>
      </c>
      <c r="AI841" s="1525">
        <f t="shared" si="505"/>
        <v>0</v>
      </c>
      <c r="AJ841" s="1525">
        <f t="shared" si="505"/>
        <v>0.8</v>
      </c>
      <c r="AK841" s="1525">
        <f t="shared" si="505"/>
        <v>0</v>
      </c>
      <c r="AL841" s="1525">
        <f t="shared" si="505"/>
        <v>0</v>
      </c>
      <c r="AM841" s="1525">
        <f t="shared" si="505"/>
        <v>0</v>
      </c>
      <c r="AN841" s="1525">
        <f t="shared" si="505"/>
        <v>0</v>
      </c>
      <c r="AO841" s="1525">
        <f t="shared" si="505"/>
        <v>0</v>
      </c>
      <c r="AP841" s="1525">
        <f t="shared" si="505"/>
        <v>0</v>
      </c>
      <c r="AQ841" s="1525">
        <f t="shared" si="505"/>
        <v>0</v>
      </c>
      <c r="AR841" s="1525">
        <f t="shared" si="505"/>
        <v>0</v>
      </c>
      <c r="AS841" s="1525">
        <f t="shared" si="505"/>
        <v>0</v>
      </c>
      <c r="AU841" s="1525"/>
      <c r="AV841" s="1291"/>
      <c r="AW841" s="1292"/>
      <c r="AX841" s="1292"/>
      <c r="AY841" s="1292"/>
      <c r="AZ841" s="1292"/>
      <c r="BA841" s="1292"/>
      <c r="BB841" s="1292"/>
      <c r="BC841" s="1292"/>
      <c r="BD841" s="1292"/>
      <c r="BE841" s="1292"/>
      <c r="BF841" s="1292"/>
      <c r="BG841" s="1292">
        <v>0.8</v>
      </c>
      <c r="BH841" s="1292"/>
      <c r="BI841" s="1292"/>
      <c r="BJ841" s="1292">
        <v>0.2</v>
      </c>
      <c r="BK841" s="1292"/>
      <c r="BL841" s="1292"/>
      <c r="BM841" s="1292"/>
      <c r="BN841" s="1292"/>
      <c r="BO841" s="1292"/>
      <c r="BP841" s="1292"/>
      <c r="BQ841" s="1292"/>
      <c r="BR841" s="1292"/>
      <c r="BS841" s="1292"/>
      <c r="BT841" s="1670">
        <f t="shared" ref="BT841:BT844" si="506">SUM(AV841:BS841)</f>
        <v>1</v>
      </c>
      <c r="BW841" s="913" t="s">
        <v>965</v>
      </c>
    </row>
    <row r="842" spans="2:75" ht="12.75" customHeight="1" x14ac:dyDescent="0.2">
      <c r="B842" s="175">
        <f>B841+1</f>
        <v>2</v>
      </c>
      <c r="C842" s="220">
        <v>18</v>
      </c>
      <c r="D842" s="170"/>
      <c r="E842" s="447" t="s">
        <v>298</v>
      </c>
      <c r="F842" s="769" t="s">
        <v>1655</v>
      </c>
      <c r="G842" s="913" t="s">
        <v>809</v>
      </c>
      <c r="H842" s="861">
        <v>70851</v>
      </c>
      <c r="I842" s="180" t="s">
        <v>886</v>
      </c>
      <c r="J842" s="173"/>
      <c r="K842" s="173"/>
      <c r="L842" s="893">
        <v>1</v>
      </c>
      <c r="M842" s="861">
        <f>K842+L842</f>
        <v>1</v>
      </c>
      <c r="N842" s="836" t="s">
        <v>1402</v>
      </c>
      <c r="O842" s="1196">
        <v>24852</v>
      </c>
      <c r="P842" s="1218">
        <f ca="1">YEARFRAC(TODAY(),O842)</f>
        <v>49.713888888888889</v>
      </c>
      <c r="Q842" s="1148">
        <v>20000</v>
      </c>
      <c r="R842" s="874">
        <f>Q842*0.1</f>
        <v>2000</v>
      </c>
      <c r="S842" s="876"/>
      <c r="T842" s="876"/>
      <c r="U842" s="876"/>
      <c r="V842" s="876"/>
      <c r="W842" s="876"/>
      <c r="X842" s="1026">
        <f>(Q842+R842+S842+T842+U842+V842+W842)*M842</f>
        <v>22000</v>
      </c>
      <c r="Y842" s="1512">
        <f>(T842+U842)*M842/(X842-M842*(T842+U842))</f>
        <v>0</v>
      </c>
      <c r="Z842" s="1741">
        <f>M842*(1+Y842)</f>
        <v>1</v>
      </c>
      <c r="AA842" s="1749">
        <f>SUM(AD842:AS842)</f>
        <v>1</v>
      </c>
      <c r="AB842" s="1810">
        <f t="shared" si="504"/>
        <v>100</v>
      </c>
      <c r="AC842" s="876"/>
      <c r="AD842" s="1525">
        <f t="shared" si="505"/>
        <v>0.2</v>
      </c>
      <c r="AE842" s="1525">
        <f t="shared" si="505"/>
        <v>0</v>
      </c>
      <c r="AF842" s="1525">
        <f t="shared" si="505"/>
        <v>0</v>
      </c>
      <c r="AG842" s="1525">
        <f t="shared" si="505"/>
        <v>0</v>
      </c>
      <c r="AH842" s="1525">
        <f t="shared" si="505"/>
        <v>0</v>
      </c>
      <c r="AI842" s="1525">
        <f t="shared" si="505"/>
        <v>0</v>
      </c>
      <c r="AJ842" s="1525">
        <f t="shared" si="505"/>
        <v>0.8</v>
      </c>
      <c r="AK842" s="1525">
        <f t="shared" si="505"/>
        <v>0</v>
      </c>
      <c r="AL842" s="1525">
        <f t="shared" si="505"/>
        <v>0</v>
      </c>
      <c r="AM842" s="1525">
        <f t="shared" si="505"/>
        <v>0</v>
      </c>
      <c r="AN842" s="1525">
        <f t="shared" si="505"/>
        <v>0</v>
      </c>
      <c r="AO842" s="1525">
        <f t="shared" si="505"/>
        <v>0</v>
      </c>
      <c r="AP842" s="1525">
        <f t="shared" si="505"/>
        <v>0</v>
      </c>
      <c r="AQ842" s="1525">
        <f t="shared" si="505"/>
        <v>0</v>
      </c>
      <c r="AR842" s="1525">
        <f t="shared" si="505"/>
        <v>0</v>
      </c>
      <c r="AS842" s="1525">
        <f t="shared" si="505"/>
        <v>0</v>
      </c>
      <c r="AU842" s="1525"/>
      <c r="AV842" s="1291"/>
      <c r="AW842" s="1292"/>
      <c r="AX842" s="1292"/>
      <c r="AY842" s="1292"/>
      <c r="AZ842" s="1292"/>
      <c r="BA842" s="1292"/>
      <c r="BB842" s="1292"/>
      <c r="BC842" s="1292"/>
      <c r="BD842" s="1292"/>
      <c r="BE842" s="1292"/>
      <c r="BF842" s="1292"/>
      <c r="BG842" s="1292">
        <v>0.8</v>
      </c>
      <c r="BH842" s="1292"/>
      <c r="BI842" s="1292"/>
      <c r="BJ842" s="1292">
        <v>0.2</v>
      </c>
      <c r="BK842" s="1292"/>
      <c r="BL842" s="1292"/>
      <c r="BM842" s="1292"/>
      <c r="BN842" s="1292"/>
      <c r="BO842" s="1292"/>
      <c r="BP842" s="1292"/>
      <c r="BQ842" s="1292"/>
      <c r="BR842" s="1292"/>
      <c r="BS842" s="1292"/>
      <c r="BT842" s="1670">
        <f t="shared" si="506"/>
        <v>1</v>
      </c>
      <c r="BW842" s="913" t="s">
        <v>809</v>
      </c>
    </row>
    <row r="843" spans="2:75" ht="12.75" customHeight="1" x14ac:dyDescent="0.2">
      <c r="B843" s="175">
        <f>B842+1</f>
        <v>3</v>
      </c>
      <c r="C843" s="219">
        <v>18</v>
      </c>
      <c r="E843" s="12" t="s">
        <v>298</v>
      </c>
      <c r="F843" s="769" t="s">
        <v>1656</v>
      </c>
      <c r="G843" s="913" t="s">
        <v>447</v>
      </c>
      <c r="H843" s="858">
        <v>636</v>
      </c>
      <c r="I843" s="180" t="s">
        <v>886</v>
      </c>
      <c r="J843" s="173"/>
      <c r="K843" s="173"/>
      <c r="L843" s="893">
        <v>1</v>
      </c>
      <c r="M843" s="858">
        <f>K843+L843</f>
        <v>1</v>
      </c>
      <c r="N843" s="836" t="s">
        <v>1402</v>
      </c>
      <c r="O843" s="1196">
        <v>21047</v>
      </c>
      <c r="P843" s="1218">
        <f ca="1">YEARFRAC(TODAY(),O843)</f>
        <v>60.130555555555553</v>
      </c>
      <c r="Q843" s="1148">
        <v>18500</v>
      </c>
      <c r="R843" s="874">
        <f>Q843*0.1</f>
        <v>1850</v>
      </c>
      <c r="S843" s="875"/>
      <c r="T843" s="875"/>
      <c r="U843" s="875"/>
      <c r="V843" s="875"/>
      <c r="W843" s="875"/>
      <c r="X843" s="1026">
        <f>(Q843+R843+S843+T843+U843+V843+W843)*M843</f>
        <v>20350</v>
      </c>
      <c r="Y843" s="1512">
        <f>(T843+U843)*M843/(X843-M843*(T843+U843))</f>
        <v>0</v>
      </c>
      <c r="Z843" s="1741">
        <f>M843*(1+Y843)</f>
        <v>1</v>
      </c>
      <c r="AA843" s="1749">
        <f>SUM(AD843:AS843)</f>
        <v>1</v>
      </c>
      <c r="AB843" s="1810">
        <f t="shared" si="504"/>
        <v>100</v>
      </c>
      <c r="AC843" s="876"/>
      <c r="AD843" s="1525">
        <f t="shared" si="505"/>
        <v>0.2</v>
      </c>
      <c r="AE843" s="1525">
        <f t="shared" si="505"/>
        <v>0</v>
      </c>
      <c r="AF843" s="1525">
        <f t="shared" si="505"/>
        <v>0</v>
      </c>
      <c r="AG843" s="1525">
        <f t="shared" si="505"/>
        <v>0</v>
      </c>
      <c r="AH843" s="1525">
        <f t="shared" si="505"/>
        <v>0</v>
      </c>
      <c r="AI843" s="1525">
        <f t="shared" si="505"/>
        <v>0</v>
      </c>
      <c r="AJ843" s="1525">
        <f t="shared" si="505"/>
        <v>0.8</v>
      </c>
      <c r="AK843" s="1525">
        <f t="shared" si="505"/>
        <v>0</v>
      </c>
      <c r="AL843" s="1525">
        <f t="shared" si="505"/>
        <v>0</v>
      </c>
      <c r="AM843" s="1525">
        <f t="shared" si="505"/>
        <v>0</v>
      </c>
      <c r="AN843" s="1525">
        <f t="shared" si="505"/>
        <v>0</v>
      </c>
      <c r="AO843" s="1525">
        <f t="shared" si="505"/>
        <v>0</v>
      </c>
      <c r="AP843" s="1525">
        <f t="shared" si="505"/>
        <v>0</v>
      </c>
      <c r="AQ843" s="1525">
        <f t="shared" si="505"/>
        <v>0</v>
      </c>
      <c r="AR843" s="1525">
        <f t="shared" si="505"/>
        <v>0</v>
      </c>
      <c r="AS843" s="1525">
        <f t="shared" si="505"/>
        <v>0</v>
      </c>
      <c r="AU843" s="1525"/>
      <c r="AV843" s="1291"/>
      <c r="AW843" s="1292"/>
      <c r="AX843" s="1292"/>
      <c r="AY843" s="1292"/>
      <c r="AZ843" s="1292"/>
      <c r="BA843" s="1292"/>
      <c r="BB843" s="1292"/>
      <c r="BC843" s="1292"/>
      <c r="BD843" s="1292"/>
      <c r="BE843" s="1292"/>
      <c r="BF843" s="1292"/>
      <c r="BG843" s="1292">
        <v>0.8</v>
      </c>
      <c r="BH843" s="1292"/>
      <c r="BI843" s="1292"/>
      <c r="BJ843" s="1292">
        <v>0.2</v>
      </c>
      <c r="BK843" s="1292"/>
      <c r="BL843" s="1292"/>
      <c r="BM843" s="1292"/>
      <c r="BN843" s="1292"/>
      <c r="BO843" s="1292"/>
      <c r="BP843" s="1292"/>
      <c r="BQ843" s="1292"/>
      <c r="BR843" s="1292"/>
      <c r="BS843" s="1292"/>
      <c r="BT843" s="1670">
        <f t="shared" si="506"/>
        <v>1</v>
      </c>
      <c r="BW843" s="913" t="s">
        <v>447</v>
      </c>
    </row>
    <row r="844" spans="2:75" ht="12.75" customHeight="1" x14ac:dyDescent="0.2">
      <c r="B844" s="175">
        <f>B843+1</f>
        <v>4</v>
      </c>
      <c r="C844" s="219">
        <v>18</v>
      </c>
      <c r="E844" s="12" t="s">
        <v>298</v>
      </c>
      <c r="F844" s="770" t="s">
        <v>1657</v>
      </c>
      <c r="G844" s="945" t="s">
        <v>1045</v>
      </c>
      <c r="H844" s="873">
        <v>3051</v>
      </c>
      <c r="I844" s="176" t="s">
        <v>886</v>
      </c>
      <c r="J844" s="177"/>
      <c r="K844" s="177"/>
      <c r="L844" s="944">
        <v>1</v>
      </c>
      <c r="M844" s="873">
        <f>K844+L844</f>
        <v>1</v>
      </c>
      <c r="N844" s="940" t="s">
        <v>1326</v>
      </c>
      <c r="O844" s="1196">
        <v>20970</v>
      </c>
      <c r="P844" s="1218">
        <f ca="1">YEARFRAC(TODAY(),O844)</f>
        <v>60.338888888888889</v>
      </c>
      <c r="Q844" s="1148">
        <v>24700</v>
      </c>
      <c r="R844" s="874">
        <f>Q844*0.1</f>
        <v>2470</v>
      </c>
      <c r="S844" s="875"/>
      <c r="T844" s="875"/>
      <c r="U844" s="875"/>
      <c r="V844" s="875"/>
      <c r="W844" s="875">
        <f>ROUNDUP((Q844+R844)*0.4,0)</f>
        <v>10868</v>
      </c>
      <c r="X844" s="1026">
        <f>(Q844+R844+S844+T844+U844+V844+W844)*M844</f>
        <v>38038</v>
      </c>
      <c r="Y844" s="1512">
        <f t="shared" ref="Y844" si="507">(T844+U844+W844)*M844/(X844-M844*(T844+U844+W844))</f>
        <v>0.4</v>
      </c>
      <c r="Z844" s="1741">
        <f>M844*(1+Y844)</f>
        <v>1.4</v>
      </c>
      <c r="AA844" s="1749">
        <f>SUM(AD844:AS844)</f>
        <v>1.44</v>
      </c>
      <c r="AB844" s="1810">
        <f t="shared" si="504"/>
        <v>102.85714285714286</v>
      </c>
      <c r="AC844" s="876"/>
      <c r="AD844" s="1525">
        <f t="shared" si="505"/>
        <v>0</v>
      </c>
      <c r="AE844" s="1525">
        <f t="shared" si="505"/>
        <v>0</v>
      </c>
      <c r="AF844" s="1525">
        <f t="shared" si="505"/>
        <v>0</v>
      </c>
      <c r="AG844" s="1525">
        <f t="shared" si="505"/>
        <v>0</v>
      </c>
      <c r="AH844" s="1525">
        <f t="shared" si="505"/>
        <v>0</v>
      </c>
      <c r="AI844" s="1525">
        <f t="shared" si="505"/>
        <v>0</v>
      </c>
      <c r="AJ844" s="1525">
        <f t="shared" si="505"/>
        <v>0.8</v>
      </c>
      <c r="AK844" s="1525">
        <f t="shared" si="505"/>
        <v>0</v>
      </c>
      <c r="AL844" s="1525">
        <f t="shared" si="505"/>
        <v>0</v>
      </c>
      <c r="AM844" s="1525">
        <f t="shared" si="505"/>
        <v>0</v>
      </c>
      <c r="AN844" s="1525">
        <f t="shared" si="505"/>
        <v>0</v>
      </c>
      <c r="AO844" s="1525">
        <f t="shared" si="505"/>
        <v>0.64</v>
      </c>
      <c r="AP844" s="1525">
        <f t="shared" si="505"/>
        <v>0</v>
      </c>
      <c r="AQ844" s="1525">
        <f t="shared" si="505"/>
        <v>0</v>
      </c>
      <c r="AR844" s="1525">
        <f t="shared" si="505"/>
        <v>0</v>
      </c>
      <c r="AS844" s="1525">
        <f t="shared" si="505"/>
        <v>0</v>
      </c>
      <c r="AU844" s="1525"/>
      <c r="AV844" s="1291"/>
      <c r="AW844" s="1292"/>
      <c r="AX844" s="1292"/>
      <c r="AY844" s="1292"/>
      <c r="AZ844" s="1292"/>
      <c r="BA844" s="1292"/>
      <c r="BB844" s="1292"/>
      <c r="BC844" s="1292"/>
      <c r="BD844" s="1292">
        <v>0.64</v>
      </c>
      <c r="BE844" s="1292"/>
      <c r="BF844" s="1292"/>
      <c r="BG844" s="1292">
        <v>0.8</v>
      </c>
      <c r="BH844" s="1292"/>
      <c r="BI844" s="1292"/>
      <c r="BJ844" s="1292"/>
      <c r="BK844" s="1292"/>
      <c r="BL844" s="1292"/>
      <c r="BM844" s="1292"/>
      <c r="BN844" s="1292"/>
      <c r="BO844" s="1292"/>
      <c r="BP844" s="1292"/>
      <c r="BQ844" s="1292"/>
      <c r="BR844" s="1292"/>
      <c r="BS844" s="1292"/>
      <c r="BT844" s="1670">
        <f t="shared" si="506"/>
        <v>1.44</v>
      </c>
      <c r="BW844" s="945" t="s">
        <v>1045</v>
      </c>
    </row>
    <row r="845" spans="2:75" s="164" customFormat="1" ht="12.75" customHeight="1" x14ac:dyDescent="0.15">
      <c r="B845" s="175"/>
      <c r="C845" s="219" t="s">
        <v>1120</v>
      </c>
      <c r="F845" s="1" t="s">
        <v>812</v>
      </c>
      <c r="G845" s="856"/>
      <c r="H845" s="1346" t="s">
        <v>1508</v>
      </c>
      <c r="I845" s="172"/>
      <c r="J845" s="168"/>
      <c r="K845" s="1123">
        <f t="shared" ref="K845:L845" si="508">SUM(K841:K844)</f>
        <v>0</v>
      </c>
      <c r="L845" s="1123">
        <f t="shared" si="508"/>
        <v>4</v>
      </c>
      <c r="M845" s="1123">
        <f>SUM(M841:M844)</f>
        <v>4</v>
      </c>
      <c r="N845" s="855"/>
      <c r="O845" s="1200"/>
      <c r="P845" s="550"/>
      <c r="Q845" s="1153"/>
      <c r="R845" s="877"/>
      <c r="S845" s="875"/>
      <c r="T845" s="875"/>
      <c r="U845" s="875"/>
      <c r="V845" s="875"/>
      <c r="W845" s="875"/>
      <c r="X845" s="1026"/>
      <c r="Y845" s="875"/>
      <c r="Z845" s="875"/>
      <c r="AA845" s="1775"/>
      <c r="AB845" s="1814"/>
      <c r="AC845" s="876"/>
      <c r="AD845" s="1295"/>
      <c r="AE845" s="1525"/>
      <c r="AF845" s="1525"/>
      <c r="AG845" s="1525"/>
      <c r="AH845" s="1525"/>
      <c r="AI845" s="1525"/>
      <c r="AJ845" s="1525"/>
      <c r="AK845" s="1525"/>
      <c r="AL845" s="1525"/>
      <c r="AM845" s="1525"/>
      <c r="AN845" s="1525"/>
      <c r="AO845" s="1525"/>
      <c r="AP845" s="1525"/>
      <c r="AQ845" s="1525"/>
      <c r="AR845" s="1525"/>
      <c r="AS845" s="1525"/>
      <c r="AU845" s="1525"/>
      <c r="AV845" s="1295"/>
      <c r="AW845" s="1525"/>
      <c r="AX845" s="1525"/>
      <c r="AY845" s="1525"/>
      <c r="AZ845" s="1525"/>
      <c r="BA845" s="1525"/>
      <c r="BB845" s="1525"/>
      <c r="BC845" s="1525"/>
      <c r="BD845" s="1525"/>
      <c r="BE845" s="1525"/>
      <c r="BF845" s="1525"/>
      <c r="BG845" s="1525"/>
      <c r="BH845" s="1525"/>
      <c r="BI845" s="1525"/>
      <c r="BJ845" s="1525"/>
      <c r="BK845" s="1525"/>
      <c r="BL845" s="1525"/>
      <c r="BM845" s="1525"/>
      <c r="BN845" s="1525"/>
      <c r="BO845" s="1525"/>
      <c r="BP845" s="1525"/>
      <c r="BQ845" s="1525"/>
      <c r="BR845" s="1525"/>
      <c r="BS845" s="1525"/>
      <c r="BT845" s="1670"/>
      <c r="BV845"/>
      <c r="BW845" s="856"/>
    </row>
    <row r="846" spans="2:75" s="164" customFormat="1" ht="12.75" customHeight="1" x14ac:dyDescent="0.15">
      <c r="B846" s="175"/>
      <c r="F846" s="29"/>
      <c r="G846" s="856"/>
      <c r="H846" s="1364" t="s">
        <v>1508</v>
      </c>
      <c r="I846" s="172"/>
      <c r="J846" s="168"/>
      <c r="K846" s="168"/>
      <c r="L846" s="841"/>
      <c r="M846" s="841"/>
      <c r="N846" s="855"/>
      <c r="O846" s="1200"/>
      <c r="P846" s="550"/>
      <c r="Q846" s="1148"/>
      <c r="R846" s="874"/>
      <c r="S846" s="875"/>
      <c r="T846" s="875"/>
      <c r="U846" s="875"/>
      <c r="V846" s="875"/>
      <c r="W846" s="875"/>
      <c r="X846" s="1026"/>
      <c r="Y846" s="1757"/>
      <c r="Z846" s="1756"/>
      <c r="AA846" s="1775"/>
      <c r="AB846" s="1814"/>
      <c r="AC846" s="876"/>
      <c r="AD846" s="1295"/>
      <c r="AE846" s="1525"/>
      <c r="AF846" s="1525"/>
      <c r="AG846" s="1525"/>
      <c r="AH846" s="1525"/>
      <c r="AI846" s="1525"/>
      <c r="AJ846" s="1525"/>
      <c r="AK846" s="1525"/>
      <c r="AL846" s="1525"/>
      <c r="AM846" s="1525"/>
      <c r="AN846" s="1525"/>
      <c r="AO846" s="1525"/>
      <c r="AP846" s="1525"/>
      <c r="AQ846" s="1525"/>
      <c r="AR846" s="1525"/>
      <c r="AS846" s="1525"/>
      <c r="AU846" s="1525"/>
      <c r="AV846" s="1295"/>
      <c r="AW846" s="1525"/>
      <c r="AX846" s="1525"/>
      <c r="AY846" s="1525"/>
      <c r="AZ846" s="1525"/>
      <c r="BA846" s="1525"/>
      <c r="BB846" s="1525"/>
      <c r="BC846" s="1525"/>
      <c r="BD846" s="1525"/>
      <c r="BE846" s="1525"/>
      <c r="BF846" s="1525"/>
      <c r="BG846" s="1525"/>
      <c r="BH846" s="1525"/>
      <c r="BI846" s="1525"/>
      <c r="BJ846" s="1525"/>
      <c r="BK846" s="1525"/>
      <c r="BL846" s="1525"/>
      <c r="BM846" s="1525"/>
      <c r="BN846" s="1525"/>
      <c r="BO846" s="1525"/>
      <c r="BP846" s="1525"/>
      <c r="BQ846" s="1525"/>
      <c r="BR846" s="1525"/>
      <c r="BS846" s="1525"/>
      <c r="BT846" s="1670"/>
      <c r="BV846"/>
      <c r="BW846" s="856"/>
    </row>
    <row r="847" spans="2:75" s="164" customFormat="1" ht="12.75" customHeight="1" x14ac:dyDescent="0.15">
      <c r="B847" s="175"/>
      <c r="C847" s="219" t="s">
        <v>1120</v>
      </c>
      <c r="F847" s="43" t="s">
        <v>814</v>
      </c>
      <c r="G847" s="856"/>
      <c r="H847" s="1361" t="s">
        <v>1508</v>
      </c>
      <c r="I847" s="257"/>
      <c r="J847" s="248"/>
      <c r="K847" s="450">
        <f>K825+K837+K845</f>
        <v>2.5</v>
      </c>
      <c r="L847" s="902">
        <f>L825+L837+L845</f>
        <v>10.875</v>
      </c>
      <c r="M847" s="902">
        <f>M825+M837+M845</f>
        <v>13.375</v>
      </c>
      <c r="N847" s="855"/>
      <c r="O847" s="1200"/>
      <c r="P847" s="550"/>
      <c r="Q847" s="1153"/>
      <c r="R847" s="877"/>
      <c r="S847" s="875"/>
      <c r="T847" s="875"/>
      <c r="U847" s="875"/>
      <c r="V847" s="875"/>
      <c r="W847" s="875"/>
      <c r="X847" s="1026"/>
      <c r="Y847" s="875"/>
      <c r="Z847" s="875"/>
      <c r="AA847" s="1775"/>
      <c r="AB847" s="1814"/>
      <c r="AC847" s="876"/>
      <c r="AD847" s="1295"/>
      <c r="AE847" s="1525"/>
      <c r="AF847" s="1525"/>
      <c r="AG847" s="1525"/>
      <c r="AH847" s="1525"/>
      <c r="AI847" s="1525"/>
      <c r="AJ847" s="1525"/>
      <c r="AK847" s="1525"/>
      <c r="AL847" s="1525"/>
      <c r="AM847" s="1525"/>
      <c r="AN847" s="1525"/>
      <c r="AO847" s="1525"/>
      <c r="AP847" s="1525"/>
      <c r="AQ847" s="1525"/>
      <c r="AR847" s="1525"/>
      <c r="AS847" s="1525"/>
      <c r="AU847" s="1525"/>
      <c r="AV847" s="1295"/>
      <c r="AW847" s="1525"/>
      <c r="AX847" s="1525"/>
      <c r="AY847" s="1525"/>
      <c r="AZ847" s="1525"/>
      <c r="BA847" s="1525"/>
      <c r="BB847" s="1525"/>
      <c r="BC847" s="1525"/>
      <c r="BD847" s="1525"/>
      <c r="BE847" s="1525"/>
      <c r="BF847" s="1525"/>
      <c r="BG847" s="1525"/>
      <c r="BH847" s="1525"/>
      <c r="BI847" s="1525"/>
      <c r="BJ847" s="1525"/>
      <c r="BK847" s="1525"/>
      <c r="BL847" s="1525"/>
      <c r="BM847" s="1525"/>
      <c r="BN847" s="1525"/>
      <c r="BO847" s="1525"/>
      <c r="BP847" s="1525"/>
      <c r="BQ847" s="1525"/>
      <c r="BR847" s="1525"/>
      <c r="BS847" s="1525"/>
      <c r="BT847" s="1670"/>
      <c r="BV847"/>
      <c r="BW847" s="856"/>
    </row>
    <row r="848" spans="2:75" s="164" customFormat="1" ht="12.75" customHeight="1" x14ac:dyDescent="0.15">
      <c r="B848" s="175"/>
      <c r="F848" s="37"/>
      <c r="G848" s="913"/>
      <c r="H848" s="1358" t="s">
        <v>1508</v>
      </c>
      <c r="I848" s="180"/>
      <c r="J848" s="173"/>
      <c r="K848" s="173"/>
      <c r="L848" s="893"/>
      <c r="M848" s="893"/>
      <c r="N848" s="832"/>
      <c r="O848" s="1200"/>
      <c r="P848" s="550"/>
      <c r="Q848" s="1148"/>
      <c r="R848" s="874"/>
      <c r="S848" s="875"/>
      <c r="T848" s="875"/>
      <c r="U848" s="875"/>
      <c r="V848" s="875"/>
      <c r="W848" s="875"/>
      <c r="X848" s="1026"/>
      <c r="Y848" s="1757"/>
      <c r="Z848" s="1756"/>
      <c r="AA848" s="1775"/>
      <c r="AB848" s="1814"/>
      <c r="AC848" s="876"/>
      <c r="AD848" s="1295"/>
      <c r="AE848" s="1525"/>
      <c r="AF848" s="1525"/>
      <c r="AG848" s="1525"/>
      <c r="AH848" s="1525"/>
      <c r="AI848" s="1525"/>
      <c r="AJ848" s="1525"/>
      <c r="AK848" s="1525"/>
      <c r="AL848" s="1525"/>
      <c r="AM848" s="1525"/>
      <c r="AN848" s="1525"/>
      <c r="AO848" s="1525"/>
      <c r="AP848" s="1525"/>
      <c r="AQ848" s="1525"/>
      <c r="AR848" s="1525"/>
      <c r="AS848" s="1525"/>
      <c r="AU848" s="1525"/>
      <c r="AV848" s="1295"/>
      <c r="AW848" s="1525"/>
      <c r="AX848" s="1525"/>
      <c r="AY848" s="1525"/>
      <c r="AZ848" s="1525"/>
      <c r="BA848" s="1525"/>
      <c r="BB848" s="1525"/>
      <c r="BC848" s="1525"/>
      <c r="BD848" s="1525"/>
      <c r="BE848" s="1525"/>
      <c r="BF848" s="1525"/>
      <c r="BG848" s="1525"/>
      <c r="BH848" s="1525"/>
      <c r="BI848" s="1525"/>
      <c r="BJ848" s="1525"/>
      <c r="BK848" s="1525"/>
      <c r="BL848" s="1525"/>
      <c r="BM848" s="1525"/>
      <c r="BN848" s="1525"/>
      <c r="BO848" s="1525"/>
      <c r="BP848" s="1525"/>
      <c r="BQ848" s="1525"/>
      <c r="BR848" s="1525"/>
      <c r="BS848" s="1525"/>
      <c r="BT848" s="1670"/>
      <c r="BV848"/>
      <c r="BW848" s="913"/>
    </row>
    <row r="849" spans="2:75" s="164" customFormat="1" ht="12.75" customHeight="1" x14ac:dyDescent="0.15">
      <c r="B849" s="175"/>
      <c r="C849" s="648" t="s">
        <v>344</v>
      </c>
      <c r="D849" s="649" t="s">
        <v>346</v>
      </c>
      <c r="E849" s="650" t="s">
        <v>298</v>
      </c>
      <c r="F849" s="624" t="s">
        <v>815</v>
      </c>
      <c r="G849" s="863">
        <f>COUNTA(G758:G848)</f>
        <v>45</v>
      </c>
      <c r="H849" s="1348" t="s">
        <v>1508</v>
      </c>
      <c r="I849" s="626"/>
      <c r="J849" s="627"/>
      <c r="K849" s="628">
        <f>K763+K783+K791+K810+K847</f>
        <v>4.5</v>
      </c>
      <c r="L849" s="863">
        <f>L763+L783+L791+L810+L847</f>
        <v>32.375</v>
      </c>
      <c r="M849" s="863">
        <f>M763+M783+M791+M810+M847</f>
        <v>36.875</v>
      </c>
      <c r="N849" s="840"/>
      <c r="O849" s="840"/>
      <c r="P849" s="1233"/>
      <c r="Q849" s="1168"/>
      <c r="R849" s="1046"/>
      <c r="S849" s="1047"/>
      <c r="T849" s="1047"/>
      <c r="U849" s="1047"/>
      <c r="V849" s="1047"/>
      <c r="W849" s="1047"/>
      <c r="X849" s="1276">
        <f>SUM(X754:X848)</f>
        <v>1577463</v>
      </c>
      <c r="Y849" s="1334"/>
      <c r="Z849" s="1653">
        <f>SUM(Z754:Z848)</f>
        <v>43.611297453496796</v>
      </c>
      <c r="AA849" s="1821">
        <f>SUM(AA756:AA848)</f>
        <v>35.22</v>
      </c>
      <c r="AB849" s="1813">
        <f t="shared" ref="AB849" si="509">100*AA849/Z849</f>
        <v>80.758890600664813</v>
      </c>
      <c r="AC849" s="1721"/>
      <c r="AD849" s="1291"/>
      <c r="AE849" s="1292"/>
      <c r="AF849" s="1525"/>
      <c r="AG849" s="1525"/>
      <c r="AH849" s="1525"/>
      <c r="AI849" s="1525"/>
      <c r="AJ849" s="1525"/>
      <c r="AK849" s="1525"/>
      <c r="AL849" s="1525"/>
      <c r="AM849" s="1525"/>
      <c r="AN849" s="1525"/>
      <c r="AO849" s="1525"/>
      <c r="AP849" s="1525"/>
      <c r="AQ849" s="1525"/>
      <c r="AR849" s="1525"/>
      <c r="AS849" s="1525"/>
      <c r="AU849" s="1525"/>
      <c r="AV849" s="1295"/>
      <c r="AW849" s="1525"/>
      <c r="AX849" s="1525"/>
      <c r="AY849" s="1525"/>
      <c r="AZ849" s="1525"/>
      <c r="BA849" s="1525"/>
      <c r="BB849" s="1525"/>
      <c r="BC849" s="1525"/>
      <c r="BD849" s="1525"/>
      <c r="BE849" s="1525"/>
      <c r="BF849" s="1525"/>
      <c r="BG849" s="1525"/>
      <c r="BH849" s="1525"/>
      <c r="BI849" s="1525"/>
      <c r="BJ849" s="1525"/>
      <c r="BK849" s="1525"/>
      <c r="BL849" s="1525"/>
      <c r="BM849" s="1525"/>
      <c r="BN849" s="1525"/>
      <c r="BO849" s="1525"/>
      <c r="BP849" s="1525"/>
      <c r="BQ849" s="1525"/>
      <c r="BR849" s="1525"/>
      <c r="BS849" s="1525"/>
      <c r="BT849" s="1670"/>
      <c r="BV849"/>
      <c r="BW849" s="864"/>
    </row>
    <row r="850" spans="2:75" s="164" customFormat="1" ht="12.75" customHeight="1" x14ac:dyDescent="0.15">
      <c r="B850" s="175"/>
      <c r="C850" s="423" t="s">
        <v>136</v>
      </c>
      <c r="D850" s="423"/>
      <c r="E850" s="424" t="s">
        <v>298</v>
      </c>
      <c r="F850" s="424" t="s">
        <v>893</v>
      </c>
      <c r="G850" s="867"/>
      <c r="H850" s="1349" t="s">
        <v>1508</v>
      </c>
      <c r="I850" s="426"/>
      <c r="J850" s="425"/>
      <c r="K850" s="425"/>
      <c r="L850" s="866"/>
      <c r="M850" s="866"/>
      <c r="N850" s="865"/>
      <c r="O850" s="865"/>
      <c r="P850" s="1223"/>
      <c r="Q850" s="1158"/>
      <c r="R850" s="1027"/>
      <c r="S850" s="1028"/>
      <c r="T850" s="1028"/>
      <c r="U850" s="1028"/>
      <c r="V850" s="1028"/>
      <c r="W850" s="1028"/>
      <c r="X850" s="1697">
        <v>74000</v>
      </c>
      <c r="Y850" s="1028"/>
      <c r="Z850" s="1028"/>
      <c r="AA850" s="1749"/>
      <c r="AB850" s="1812"/>
      <c r="AC850" s="876"/>
      <c r="AD850" s="1295"/>
      <c r="AE850" s="1525"/>
      <c r="AF850" s="1525"/>
      <c r="AG850" s="1525"/>
      <c r="AH850" s="1525"/>
      <c r="AI850" s="1525"/>
      <c r="AJ850" s="1525"/>
      <c r="AK850" s="1525"/>
      <c r="AL850" s="1525"/>
      <c r="AM850" s="1525"/>
      <c r="AN850" s="1525"/>
      <c r="AO850" s="1525"/>
      <c r="AP850" s="1525"/>
      <c r="AQ850" s="1525"/>
      <c r="AR850" s="1525"/>
      <c r="AS850" s="1525"/>
      <c r="AU850" s="1525"/>
      <c r="AV850" s="1295"/>
      <c r="AW850" s="1525"/>
      <c r="AX850" s="1525"/>
      <c r="AY850" s="1525"/>
      <c r="AZ850" s="1525"/>
      <c r="BA850" s="1525"/>
      <c r="BB850" s="1525"/>
      <c r="BC850" s="1525"/>
      <c r="BD850" s="1525"/>
      <c r="BE850" s="1525"/>
      <c r="BF850" s="1525"/>
      <c r="BG850" s="1525"/>
      <c r="BH850" s="1525"/>
      <c r="BI850" s="1525"/>
      <c r="BJ850" s="1525"/>
      <c r="BK850" s="1525"/>
      <c r="BL850" s="1525"/>
      <c r="BM850" s="1525"/>
      <c r="BN850" s="1525"/>
      <c r="BO850" s="1525"/>
      <c r="BP850" s="1525"/>
      <c r="BQ850" s="1525"/>
      <c r="BR850" s="1525"/>
      <c r="BS850" s="1525"/>
      <c r="BT850" s="1670"/>
      <c r="BV850"/>
      <c r="BW850" s="867"/>
    </row>
    <row r="851" spans="2:75" s="164" customFormat="1" ht="12.75" customHeight="1" x14ac:dyDescent="0.15">
      <c r="B851" s="175"/>
      <c r="C851" s="740" t="s">
        <v>794</v>
      </c>
      <c r="D851" s="741"/>
      <c r="E851" s="517" t="s">
        <v>298</v>
      </c>
      <c r="F851" s="517" t="s">
        <v>884</v>
      </c>
      <c r="G851" s="867"/>
      <c r="H851" s="1349" t="s">
        <v>1508</v>
      </c>
      <c r="I851" s="518"/>
      <c r="J851" s="519"/>
      <c r="K851" s="519"/>
      <c r="L851" s="851"/>
      <c r="M851" s="866"/>
      <c r="N851" s="865"/>
      <c r="O851" s="865"/>
      <c r="P851" s="1223"/>
      <c r="Q851" s="1169"/>
      <c r="R851" s="1037"/>
      <c r="S851" s="1038"/>
      <c r="T851" s="1038"/>
      <c r="U851" s="1038"/>
      <c r="V851" s="1038"/>
      <c r="W851" s="1038"/>
      <c r="X851" s="1710"/>
      <c r="Y851" s="1506"/>
      <c r="Z851" s="1506"/>
      <c r="AA851" s="1749"/>
      <c r="AB851" s="1812"/>
      <c r="AC851" s="1288"/>
      <c r="AD851" s="1295"/>
      <c r="AE851" s="1525"/>
      <c r="AF851" s="1525"/>
      <c r="AG851" s="1525"/>
      <c r="AH851" s="1525"/>
      <c r="AI851" s="1525"/>
      <c r="AJ851" s="1525"/>
      <c r="AK851" s="1525"/>
      <c r="AL851" s="1525"/>
      <c r="AM851" s="1525"/>
      <c r="AN851" s="1525"/>
      <c r="AO851" s="1525"/>
      <c r="AP851" s="1525"/>
      <c r="AQ851" s="1525"/>
      <c r="AR851" s="1525"/>
      <c r="AS851" s="1525"/>
      <c r="AU851" s="1525"/>
      <c r="AV851" s="1295"/>
      <c r="AW851" s="1525"/>
      <c r="AX851" s="1525"/>
      <c r="AY851" s="1525"/>
      <c r="AZ851" s="1525"/>
      <c r="BA851" s="1525"/>
      <c r="BB851" s="1525"/>
      <c r="BC851" s="1525"/>
      <c r="BD851" s="1525"/>
      <c r="BE851" s="1525"/>
      <c r="BF851" s="1525"/>
      <c r="BG851" s="1525"/>
      <c r="BH851" s="1525"/>
      <c r="BI851" s="1525"/>
      <c r="BJ851" s="1525"/>
      <c r="BK851" s="1525"/>
      <c r="BL851" s="1525"/>
      <c r="BM851" s="1525"/>
      <c r="BN851" s="1525"/>
      <c r="BO851" s="1525"/>
      <c r="BP851" s="1525"/>
      <c r="BQ851" s="1525"/>
      <c r="BR851" s="1525"/>
      <c r="BS851" s="1525"/>
      <c r="BT851" s="1670"/>
      <c r="BV851"/>
      <c r="BW851" s="867"/>
    </row>
    <row r="852" spans="2:75" s="164" customFormat="1" ht="12.75" customHeight="1" x14ac:dyDescent="0.15">
      <c r="B852" s="175"/>
      <c r="F852" s="37"/>
      <c r="G852" s="913"/>
      <c r="H852" s="1358" t="s">
        <v>1508</v>
      </c>
      <c r="I852" s="180"/>
      <c r="J852" s="173"/>
      <c r="K852" s="173"/>
      <c r="L852" s="893"/>
      <c r="M852" s="893"/>
      <c r="N852" s="832"/>
      <c r="O852" s="1200"/>
      <c r="P852" s="550"/>
      <c r="Q852" s="1148"/>
      <c r="R852" s="874"/>
      <c r="S852" s="876"/>
      <c r="T852" s="876"/>
      <c r="U852" s="876"/>
      <c r="V852" s="876"/>
      <c r="W852" s="876"/>
      <c r="X852" s="1026"/>
      <c r="Y852" s="1757"/>
      <c r="Z852" s="1756"/>
      <c r="AA852" s="1775"/>
      <c r="AB852" s="1814"/>
      <c r="AC852" s="876"/>
      <c r="AD852" s="1295"/>
      <c r="AE852" s="1525"/>
      <c r="AF852" s="1525"/>
      <c r="AG852" s="1525"/>
      <c r="AH852" s="1525"/>
      <c r="AI852" s="1525"/>
      <c r="AJ852" s="1525"/>
      <c r="AK852" s="1525"/>
      <c r="AL852" s="1525"/>
      <c r="AM852" s="1525"/>
      <c r="AN852" s="1525"/>
      <c r="AO852" s="1525"/>
      <c r="AP852" s="1525"/>
      <c r="AQ852" s="1525"/>
      <c r="AR852" s="1525"/>
      <c r="AS852" s="1525"/>
      <c r="AU852" s="1525"/>
      <c r="AV852" s="1295"/>
      <c r="AW852" s="1525"/>
      <c r="AX852" s="1525"/>
      <c r="AY852" s="1525"/>
      <c r="AZ852" s="1525"/>
      <c r="BA852" s="1525"/>
      <c r="BB852" s="1525"/>
      <c r="BC852" s="1525"/>
      <c r="BD852" s="1525"/>
      <c r="BE852" s="1525"/>
      <c r="BF852" s="1525"/>
      <c r="BG852" s="1525"/>
      <c r="BH852" s="1525"/>
      <c r="BI852" s="1525"/>
      <c r="BJ852" s="1525"/>
      <c r="BK852" s="1525"/>
      <c r="BL852" s="1525"/>
      <c r="BM852" s="1525"/>
      <c r="BN852" s="1525"/>
      <c r="BO852" s="1525"/>
      <c r="BP852" s="1525"/>
      <c r="BQ852" s="1525"/>
      <c r="BR852" s="1525"/>
      <c r="BS852" s="1525"/>
      <c r="BT852" s="1670"/>
      <c r="BV852"/>
      <c r="BW852" s="913"/>
    </row>
    <row r="853" spans="2:75" s="164" customFormat="1" ht="12.75" customHeight="1" x14ac:dyDescent="0.15">
      <c r="B853" s="175"/>
      <c r="F853" s="18" t="s">
        <v>472</v>
      </c>
      <c r="G853" s="832"/>
      <c r="H853" s="1358" t="s">
        <v>1508</v>
      </c>
      <c r="I853" s="240"/>
      <c r="J853" s="291"/>
      <c r="K853" s="291"/>
      <c r="L853" s="893"/>
      <c r="M853" s="893"/>
      <c r="N853" s="948"/>
      <c r="O853" s="1200"/>
      <c r="P853" s="550"/>
      <c r="Q853" s="1148"/>
      <c r="R853" s="874"/>
      <c r="S853" s="875"/>
      <c r="T853" s="875"/>
      <c r="U853" s="875"/>
      <c r="V853" s="875"/>
      <c r="W853" s="875"/>
      <c r="X853" s="1026"/>
      <c r="Y853" s="1757"/>
      <c r="Z853" s="1756"/>
      <c r="AA853" s="1775"/>
      <c r="AB853" s="1814"/>
      <c r="AC853" s="876"/>
      <c r="AD853" s="1295"/>
      <c r="AE853" s="1525"/>
      <c r="AF853" s="1525"/>
      <c r="AG853" s="1525"/>
      <c r="AH853" s="1525"/>
      <c r="AI853" s="1525"/>
      <c r="AJ853" s="1525"/>
      <c r="AK853" s="1525"/>
      <c r="AL853" s="1525"/>
      <c r="AM853" s="1525"/>
      <c r="AN853" s="1525"/>
      <c r="AO853" s="1525"/>
      <c r="AP853" s="1525"/>
      <c r="AQ853" s="1525"/>
      <c r="AR853" s="1525"/>
      <c r="AS853" s="1525"/>
      <c r="AU853" s="1525"/>
      <c r="AV853" s="1295"/>
      <c r="AW853" s="1525"/>
      <c r="AX853" s="1525"/>
      <c r="AY853" s="1525"/>
      <c r="AZ853" s="1525"/>
      <c r="BA853" s="1525"/>
      <c r="BB853" s="1525"/>
      <c r="BC853" s="1525"/>
      <c r="BD853" s="1525"/>
      <c r="BE853" s="1525"/>
      <c r="BF853" s="1525"/>
      <c r="BG853" s="1525"/>
      <c r="BH853" s="1525"/>
      <c r="BI853" s="1525"/>
      <c r="BJ853" s="1525"/>
      <c r="BK853" s="1525"/>
      <c r="BL853" s="1525"/>
      <c r="BM853" s="1525"/>
      <c r="BN853" s="1525"/>
      <c r="BO853" s="1525"/>
      <c r="BP853" s="1525"/>
      <c r="BQ853" s="1525"/>
      <c r="BR853" s="1525"/>
      <c r="BS853" s="1525"/>
      <c r="BT853" s="1670"/>
      <c r="BV853"/>
      <c r="BW853" s="832"/>
    </row>
    <row r="854" spans="2:75" s="164" customFormat="1" ht="12.75" customHeight="1" x14ac:dyDescent="0.15">
      <c r="B854" s="175"/>
      <c r="F854" s="58"/>
      <c r="G854" s="832"/>
      <c r="H854" s="1358" t="s">
        <v>1508</v>
      </c>
      <c r="I854" s="240"/>
      <c r="J854" s="291"/>
      <c r="K854" s="291"/>
      <c r="L854" s="893"/>
      <c r="M854" s="893"/>
      <c r="N854" s="948"/>
      <c r="O854" s="1200"/>
      <c r="P854" s="550"/>
      <c r="Q854" s="1148"/>
      <c r="R854" s="874"/>
      <c r="S854" s="875"/>
      <c r="T854" s="875"/>
      <c r="U854" s="875"/>
      <c r="V854" s="875"/>
      <c r="W854" s="875"/>
      <c r="X854" s="1026"/>
      <c r="Y854" s="1757"/>
      <c r="Z854" s="1756"/>
      <c r="AA854" s="1775"/>
      <c r="AB854" s="1814"/>
      <c r="AC854" s="876"/>
      <c r="AD854" s="1295"/>
      <c r="AE854" s="1525"/>
      <c r="AF854" s="1525"/>
      <c r="AG854" s="1525"/>
      <c r="AH854" s="1525"/>
      <c r="AI854" s="1525"/>
      <c r="AJ854" s="1525"/>
      <c r="AK854" s="1525"/>
      <c r="AL854" s="1525"/>
      <c r="AM854" s="1525"/>
      <c r="AN854" s="1525"/>
      <c r="AO854" s="1525"/>
      <c r="AP854" s="1525"/>
      <c r="AQ854" s="1525"/>
      <c r="AR854" s="1525"/>
      <c r="AS854" s="1525"/>
      <c r="AU854" s="1525"/>
      <c r="AV854" s="1295"/>
      <c r="AW854" s="1525"/>
      <c r="AX854" s="1525"/>
      <c r="AY854" s="1525"/>
      <c r="AZ854" s="1525"/>
      <c r="BA854" s="1525"/>
      <c r="BB854" s="1525"/>
      <c r="BC854" s="1525"/>
      <c r="BD854" s="1525"/>
      <c r="BE854" s="1525"/>
      <c r="BF854" s="1525"/>
      <c r="BG854" s="1525"/>
      <c r="BH854" s="1525"/>
      <c r="BI854" s="1525"/>
      <c r="BJ854" s="1525"/>
      <c r="BK854" s="1525"/>
      <c r="BL854" s="1525"/>
      <c r="BM854" s="1525"/>
      <c r="BN854" s="1525"/>
      <c r="BO854" s="1525"/>
      <c r="BP854" s="1525"/>
      <c r="BQ854" s="1525"/>
      <c r="BR854" s="1525"/>
      <c r="BS854" s="1525"/>
      <c r="BT854" s="1670"/>
      <c r="BV854"/>
      <c r="BW854" s="832"/>
    </row>
    <row r="855" spans="2:75" ht="12.75" customHeight="1" x14ac:dyDescent="0.2">
      <c r="B855" s="175">
        <f>B854+1</f>
        <v>1</v>
      </c>
      <c r="C855" s="219">
        <v>7</v>
      </c>
      <c r="E855" s="12" t="s">
        <v>209</v>
      </c>
      <c r="F855" s="17" t="s">
        <v>1334</v>
      </c>
      <c r="G855" s="834" t="s">
        <v>828</v>
      </c>
      <c r="H855" s="861">
        <v>110604</v>
      </c>
      <c r="I855" s="747" t="s">
        <v>583</v>
      </c>
      <c r="J855" s="260"/>
      <c r="K855" s="260"/>
      <c r="L855" s="893">
        <v>1</v>
      </c>
      <c r="M855" s="861">
        <f>K855+L855</f>
        <v>1</v>
      </c>
      <c r="N855" s="832" t="s">
        <v>892</v>
      </c>
      <c r="O855" s="1196">
        <v>18581</v>
      </c>
      <c r="P855" s="1218">
        <f ca="1">YEARFRAC(TODAY(),O855)</f>
        <v>66.88333333333334</v>
      </c>
      <c r="Q855" s="1148">
        <v>35300</v>
      </c>
      <c r="R855" s="874">
        <f>Q855*0.1</f>
        <v>3530</v>
      </c>
      <c r="S855" s="875">
        <v>7000</v>
      </c>
      <c r="T855" s="875">
        <v>3500</v>
      </c>
      <c r="U855" s="875"/>
      <c r="V855" s="875"/>
      <c r="W855" s="875"/>
      <c r="X855" s="1026">
        <f>(Q855+R855+S855+T855+U855+V855+W855)*M855</f>
        <v>49330</v>
      </c>
      <c r="Y855" s="1512">
        <f>(T855+U855)*M855/(X855-M855*(T855+U855))</f>
        <v>7.6369190486580849E-2</v>
      </c>
      <c r="Z855" s="1741">
        <f>M855*(1+Y855)</f>
        <v>1.0763691904865809</v>
      </c>
      <c r="AA855" s="1749">
        <f>SUM(AD855:AS855)</f>
        <v>0</v>
      </c>
      <c r="AB855" s="1810">
        <f t="shared" ref="AB855:AB856" si="510">100*AA855/Z855</f>
        <v>0</v>
      </c>
      <c r="AC855" s="876"/>
      <c r="AD855" s="1525">
        <f t="shared" ref="AD855:AS856" si="511">SUMIF($AV$6:$BS$6,AD$5,$AV855:$BS855)</f>
        <v>0</v>
      </c>
      <c r="AE855" s="1525">
        <f t="shared" si="511"/>
        <v>0</v>
      </c>
      <c r="AF855" s="1525">
        <f t="shared" si="511"/>
        <v>0</v>
      </c>
      <c r="AG855" s="1525">
        <f t="shared" si="511"/>
        <v>0</v>
      </c>
      <c r="AH855" s="1525">
        <f t="shared" si="511"/>
        <v>0</v>
      </c>
      <c r="AI855" s="1525">
        <f t="shared" si="511"/>
        <v>0</v>
      </c>
      <c r="AJ855" s="1525">
        <f t="shared" si="511"/>
        <v>0</v>
      </c>
      <c r="AK855" s="1525">
        <f t="shared" si="511"/>
        <v>0</v>
      </c>
      <c r="AL855" s="1525">
        <f t="shared" si="511"/>
        <v>0</v>
      </c>
      <c r="AM855" s="1525">
        <f t="shared" si="511"/>
        <v>0</v>
      </c>
      <c r="AN855" s="1525">
        <f t="shared" si="511"/>
        <v>0</v>
      </c>
      <c r="AO855" s="1525">
        <f t="shared" si="511"/>
        <v>0</v>
      </c>
      <c r="AP855" s="1525">
        <f t="shared" si="511"/>
        <v>0</v>
      </c>
      <c r="AQ855" s="1525">
        <f t="shared" si="511"/>
        <v>0</v>
      </c>
      <c r="AR855" s="1525">
        <f t="shared" si="511"/>
        <v>0</v>
      </c>
      <c r="AS855" s="1525">
        <f t="shared" si="511"/>
        <v>0</v>
      </c>
      <c r="AU855" s="1525"/>
      <c r="AV855" s="1291"/>
      <c r="AW855" s="1292"/>
      <c r="AX855" s="1292"/>
      <c r="AY855" s="1292"/>
      <c r="AZ855" s="1292"/>
      <c r="BA855" s="1292"/>
      <c r="BB855" s="1292"/>
      <c r="BC855" s="1292"/>
      <c r="BD855" s="1292"/>
      <c r="BE855" s="1292"/>
      <c r="BF855" s="1292"/>
      <c r="BG855" s="1292"/>
      <c r="BH855" s="1292"/>
      <c r="BI855" s="1292"/>
      <c r="BJ855" s="1292"/>
      <c r="BK855" s="1292"/>
      <c r="BL855" s="1292"/>
      <c r="BM855" s="1292"/>
      <c r="BN855" s="1292"/>
      <c r="BO855" s="1292"/>
      <c r="BP855" s="1292"/>
      <c r="BQ855" s="1292"/>
      <c r="BR855" s="1292"/>
      <c r="BS855" s="1292"/>
      <c r="BT855" s="1670">
        <f t="shared" ref="BT855:BT856" si="512">SUM(AV855:BS855)</f>
        <v>0</v>
      </c>
      <c r="BW855" s="834" t="s">
        <v>828</v>
      </c>
    </row>
    <row r="856" spans="2:75" ht="12.75" customHeight="1" x14ac:dyDescent="0.2">
      <c r="B856" s="175">
        <f>B855+1</f>
        <v>2</v>
      </c>
      <c r="C856" s="219">
        <v>20</v>
      </c>
      <c r="E856" s="12" t="s">
        <v>209</v>
      </c>
      <c r="F856" s="26" t="s">
        <v>1583</v>
      </c>
      <c r="G856" s="912" t="s">
        <v>827</v>
      </c>
      <c r="H856" s="873">
        <v>80089</v>
      </c>
      <c r="I856" s="689" t="s">
        <v>351</v>
      </c>
      <c r="J856" s="748"/>
      <c r="K856" s="748"/>
      <c r="L856" s="944">
        <v>1</v>
      </c>
      <c r="M856" s="873">
        <f>K856+L856</f>
        <v>1</v>
      </c>
      <c r="N856" s="940" t="s">
        <v>1326</v>
      </c>
      <c r="O856" s="1196">
        <v>25314</v>
      </c>
      <c r="P856" s="1218">
        <f ca="1">YEARFRAC(TODAY(),O856)</f>
        <v>48.447222222222223</v>
      </c>
      <c r="Q856" s="1148">
        <v>25400</v>
      </c>
      <c r="R856" s="874"/>
      <c r="S856" s="875"/>
      <c r="T856" s="875">
        <v>3000</v>
      </c>
      <c r="U856" s="875"/>
      <c r="V856" s="875"/>
      <c r="W856" s="875"/>
      <c r="X856" s="1026">
        <f>(Q856+R856+S856+T856+U856+V856+W856)*M856</f>
        <v>28400</v>
      </c>
      <c r="Y856" s="1512">
        <f>(T856+U856)*M856/(X856-M856*(T856+U856))</f>
        <v>0.11811023622047244</v>
      </c>
      <c r="Z856" s="1741">
        <f>M856*(1+Y856)</f>
        <v>1.1181102362204725</v>
      </c>
      <c r="AA856" s="1749">
        <f>SUM(AD856:AS856)</f>
        <v>0</v>
      </c>
      <c r="AB856" s="1810">
        <f t="shared" si="510"/>
        <v>0</v>
      </c>
      <c r="AC856" s="876"/>
      <c r="AD856" s="1525">
        <f t="shared" si="511"/>
        <v>0</v>
      </c>
      <c r="AE856" s="1525">
        <f t="shared" si="511"/>
        <v>0</v>
      </c>
      <c r="AF856" s="1525">
        <f t="shared" si="511"/>
        <v>0</v>
      </c>
      <c r="AG856" s="1525">
        <f t="shared" si="511"/>
        <v>0</v>
      </c>
      <c r="AH856" s="1525">
        <f t="shared" si="511"/>
        <v>0</v>
      </c>
      <c r="AI856" s="1525">
        <f t="shared" si="511"/>
        <v>0</v>
      </c>
      <c r="AJ856" s="1525">
        <f t="shared" si="511"/>
        <v>0</v>
      </c>
      <c r="AK856" s="1525">
        <f t="shared" si="511"/>
        <v>0</v>
      </c>
      <c r="AL856" s="1525">
        <f t="shared" si="511"/>
        <v>0</v>
      </c>
      <c r="AM856" s="1525">
        <f t="shared" si="511"/>
        <v>0</v>
      </c>
      <c r="AN856" s="1525">
        <f t="shared" si="511"/>
        <v>0</v>
      </c>
      <c r="AO856" s="1525">
        <f t="shared" si="511"/>
        <v>0</v>
      </c>
      <c r="AP856" s="1525">
        <f t="shared" si="511"/>
        <v>0</v>
      </c>
      <c r="AQ856" s="1525">
        <f t="shared" si="511"/>
        <v>0</v>
      </c>
      <c r="AR856" s="1525">
        <f t="shared" si="511"/>
        <v>0</v>
      </c>
      <c r="AS856" s="1525">
        <f t="shared" si="511"/>
        <v>0</v>
      </c>
      <c r="AU856" s="1525"/>
      <c r="AV856" s="1291"/>
      <c r="AW856" s="1292"/>
      <c r="AX856" s="1292"/>
      <c r="AY856" s="1292"/>
      <c r="AZ856" s="1292"/>
      <c r="BA856" s="1292"/>
      <c r="BB856" s="1292"/>
      <c r="BC856" s="1292"/>
      <c r="BD856" s="1292"/>
      <c r="BE856" s="1292"/>
      <c r="BF856" s="1292"/>
      <c r="BG856" s="1292"/>
      <c r="BH856" s="1292"/>
      <c r="BI856" s="1292"/>
      <c r="BJ856" s="1292"/>
      <c r="BK856" s="1292"/>
      <c r="BL856" s="1292"/>
      <c r="BM856" s="1292"/>
      <c r="BN856" s="1292"/>
      <c r="BO856" s="1292"/>
      <c r="BP856" s="1292"/>
      <c r="BQ856" s="1292"/>
      <c r="BR856" s="1292"/>
      <c r="BS856" s="1292"/>
      <c r="BT856" s="1670">
        <f t="shared" si="512"/>
        <v>0</v>
      </c>
      <c r="BW856" s="1518" t="s">
        <v>827</v>
      </c>
    </row>
    <row r="857" spans="2:75" s="164" customFormat="1" ht="12.75" customHeight="1" x14ac:dyDescent="0.15">
      <c r="B857" s="175"/>
      <c r="C857" s="219" t="s">
        <v>1120</v>
      </c>
      <c r="F857" s="17" t="s">
        <v>379</v>
      </c>
      <c r="G857" s="823"/>
      <c r="H857" s="1361" t="s">
        <v>1508</v>
      </c>
      <c r="I857" s="242"/>
      <c r="J857" s="236"/>
      <c r="K857" s="451"/>
      <c r="L857" s="902">
        <f>SUM(L855:L856)</f>
        <v>2</v>
      </c>
      <c r="M857" s="902">
        <f>SUM(M855:M856)</f>
        <v>2</v>
      </c>
      <c r="N857" s="832"/>
      <c r="O857" s="1200"/>
      <c r="P857" s="550"/>
      <c r="Q857" s="1153"/>
      <c r="R857" s="877"/>
      <c r="S857" s="875"/>
      <c r="T857" s="875"/>
      <c r="U857" s="875"/>
      <c r="V857" s="875"/>
      <c r="W857" s="875"/>
      <c r="X857" s="1026"/>
      <c r="Y857" s="1335"/>
      <c r="Z857" s="1335"/>
      <c r="AA857" s="1775"/>
      <c r="AB857" s="1814"/>
      <c r="AC857" s="876"/>
      <c r="AD857" s="1295"/>
      <c r="AE857" s="1525"/>
      <c r="AF857" s="1525"/>
      <c r="AG857" s="1525"/>
      <c r="AH857" s="1525"/>
      <c r="AI857" s="1525"/>
      <c r="AJ857" s="1525"/>
      <c r="AK857" s="1525"/>
      <c r="AL857" s="1525"/>
      <c r="AM857" s="1525"/>
      <c r="AN857" s="1525"/>
      <c r="AO857" s="1525"/>
      <c r="AP857" s="1525"/>
      <c r="AQ857" s="1525"/>
      <c r="AR857" s="1525"/>
      <c r="AS857" s="1525"/>
      <c r="AU857" s="1525"/>
      <c r="AV857" s="1295"/>
      <c r="AW857" s="1525"/>
      <c r="AX857" s="1525"/>
      <c r="AY857" s="1525"/>
      <c r="AZ857" s="1525"/>
      <c r="BA857" s="1525"/>
      <c r="BB857" s="1525"/>
      <c r="BC857" s="1525"/>
      <c r="BD857" s="1525"/>
      <c r="BE857" s="1525"/>
      <c r="BF857" s="1525"/>
      <c r="BG857" s="1525"/>
      <c r="BH857" s="1525"/>
      <c r="BI857" s="1525"/>
      <c r="BJ857" s="1525"/>
      <c r="BK857" s="1525"/>
      <c r="BL857" s="1525"/>
      <c r="BM857" s="1525"/>
      <c r="BN857" s="1525"/>
      <c r="BO857" s="1525"/>
      <c r="BP857" s="1525"/>
      <c r="BQ857" s="1525"/>
      <c r="BR857" s="1525"/>
      <c r="BS857" s="1525"/>
      <c r="BT857" s="1670"/>
      <c r="BV857"/>
      <c r="BW857" s="823"/>
    </row>
    <row r="858" spans="2:75" s="164" customFormat="1" ht="12.75" customHeight="1" x14ac:dyDescent="0.15">
      <c r="B858" s="175"/>
      <c r="F858" s="17"/>
      <c r="G858" s="823"/>
      <c r="H858" s="1364" t="s">
        <v>1508</v>
      </c>
      <c r="I858" s="242"/>
      <c r="J858" s="236"/>
      <c r="K858" s="236"/>
      <c r="L858" s="841" t="s">
        <v>1473</v>
      </c>
      <c r="M858" s="841"/>
      <c r="N858" s="832"/>
      <c r="O858" s="1200"/>
      <c r="P858" s="550"/>
      <c r="Q858" s="1148"/>
      <c r="R858" s="874"/>
      <c r="S858" s="875"/>
      <c r="T858" s="875"/>
      <c r="U858" s="875"/>
      <c r="V858" s="875"/>
      <c r="W858" s="875"/>
      <c r="X858" s="1026"/>
      <c r="Y858" s="1754"/>
      <c r="Z858" s="1755"/>
      <c r="AA858" s="1775"/>
      <c r="AB858" s="1814"/>
      <c r="AC858" s="876"/>
      <c r="AD858" s="1295"/>
      <c r="AE858" s="1525"/>
      <c r="AF858" s="1525"/>
      <c r="AG858" s="1525"/>
      <c r="AH858" s="1525"/>
      <c r="AI858" s="1525"/>
      <c r="AJ858" s="1525"/>
      <c r="AK858" s="1525"/>
      <c r="AL858" s="1525"/>
      <c r="AM858" s="1525"/>
      <c r="AN858" s="1525"/>
      <c r="AO858" s="1525"/>
      <c r="AP858" s="1525"/>
      <c r="AQ858" s="1525"/>
      <c r="AR858" s="1525"/>
      <c r="AS858" s="1525"/>
      <c r="AU858" s="1525"/>
      <c r="AV858" s="1295"/>
      <c r="AW858" s="1525"/>
      <c r="AX858" s="1525"/>
      <c r="AY858" s="1525"/>
      <c r="AZ858" s="1525"/>
      <c r="BA858" s="1525"/>
      <c r="BB858" s="1525"/>
      <c r="BC858" s="1525"/>
      <c r="BD858" s="1525"/>
      <c r="BE858" s="1525"/>
      <c r="BF858" s="1525"/>
      <c r="BG858" s="1525"/>
      <c r="BH858" s="1525"/>
      <c r="BI858" s="1525"/>
      <c r="BJ858" s="1525"/>
      <c r="BK858" s="1525"/>
      <c r="BL858" s="1525"/>
      <c r="BM858" s="1525"/>
      <c r="BN858" s="1525"/>
      <c r="BO858" s="1525"/>
      <c r="BP858" s="1525"/>
      <c r="BQ858" s="1525"/>
      <c r="BR858" s="1525"/>
      <c r="BS858" s="1525"/>
      <c r="BT858" s="1670"/>
      <c r="BV858"/>
      <c r="BW858" s="823"/>
    </row>
    <row r="859" spans="2:75" s="164" customFormat="1" ht="12.75" customHeight="1" x14ac:dyDescent="0.15">
      <c r="B859" s="175"/>
      <c r="F859" s="17"/>
      <c r="G859" s="823"/>
      <c r="H859" s="1364" t="s">
        <v>1508</v>
      </c>
      <c r="I859" s="242"/>
      <c r="J859" s="236"/>
      <c r="K859" s="236"/>
      <c r="L859" s="841"/>
      <c r="M859" s="841"/>
      <c r="N859" s="832"/>
      <c r="O859" s="1200"/>
      <c r="P859" s="550"/>
      <c r="Q859" s="1148"/>
      <c r="R859" s="874"/>
      <c r="S859" s="875"/>
      <c r="T859" s="875"/>
      <c r="U859" s="875"/>
      <c r="V859" s="875"/>
      <c r="W859" s="875"/>
      <c r="X859" s="1026"/>
      <c r="Y859" s="1754"/>
      <c r="Z859" s="1755"/>
      <c r="AA859" s="1775"/>
      <c r="AB859" s="1814"/>
      <c r="AC859" s="876"/>
      <c r="AD859" s="1295"/>
      <c r="AE859" s="1525"/>
      <c r="AF859" s="1525"/>
      <c r="AG859" s="1525"/>
      <c r="AH859" s="1525"/>
      <c r="AI859" s="1525"/>
      <c r="AJ859" s="1525"/>
      <c r="AK859" s="1525"/>
      <c r="AL859" s="1525"/>
      <c r="AM859" s="1525"/>
      <c r="AN859" s="1525"/>
      <c r="AO859" s="1525"/>
      <c r="AP859" s="1525"/>
      <c r="AQ859" s="1525"/>
      <c r="AR859" s="1525"/>
      <c r="AS859" s="1525"/>
      <c r="AU859" s="1525"/>
      <c r="AV859" s="1295"/>
      <c r="AW859" s="1525"/>
      <c r="AX859" s="1525"/>
      <c r="AY859" s="1525"/>
      <c r="AZ859" s="1525"/>
      <c r="BA859" s="1525"/>
      <c r="BB859" s="1525"/>
      <c r="BC859" s="1525"/>
      <c r="BD859" s="1525"/>
      <c r="BE859" s="1525"/>
      <c r="BF859" s="1525"/>
      <c r="BG859" s="1525"/>
      <c r="BH859" s="1525"/>
      <c r="BI859" s="1525"/>
      <c r="BJ859" s="1525"/>
      <c r="BK859" s="1525"/>
      <c r="BL859" s="1525"/>
      <c r="BM859" s="1525"/>
      <c r="BN859" s="1525"/>
      <c r="BO859" s="1525"/>
      <c r="BP859" s="1525"/>
      <c r="BQ859" s="1525"/>
      <c r="BR859" s="1525"/>
      <c r="BS859" s="1525"/>
      <c r="BT859" s="1670"/>
      <c r="BV859"/>
      <c r="BW859" s="823"/>
    </row>
    <row r="860" spans="2:75" s="164" customFormat="1" ht="12.75" customHeight="1" x14ac:dyDescent="0.15">
      <c r="B860" s="175"/>
      <c r="F860" s="11" t="s">
        <v>829</v>
      </c>
      <c r="G860" s="949"/>
      <c r="H860" s="1364" t="s">
        <v>1508</v>
      </c>
      <c r="I860" s="263"/>
      <c r="J860" s="303"/>
      <c r="K860" s="303"/>
      <c r="L860" s="841"/>
      <c r="M860" s="841"/>
      <c r="N860" s="832"/>
      <c r="O860" s="1200"/>
      <c r="P860" s="550"/>
      <c r="Q860" s="1148"/>
      <c r="R860" s="874"/>
      <c r="S860" s="875"/>
      <c r="T860" s="875"/>
      <c r="U860" s="875"/>
      <c r="V860" s="875"/>
      <c r="W860" s="875"/>
      <c r="X860" s="1026"/>
      <c r="Y860" s="1754"/>
      <c r="Z860" s="1755"/>
      <c r="AA860" s="1775"/>
      <c r="AB860" s="1814"/>
      <c r="AC860" s="876"/>
      <c r="AD860" s="1295"/>
      <c r="AE860" s="1525"/>
      <c r="AF860" s="1525"/>
      <c r="AG860" s="1525"/>
      <c r="AH860" s="1525"/>
      <c r="AI860" s="1525"/>
      <c r="AJ860" s="1525"/>
      <c r="AK860" s="1525"/>
      <c r="AL860" s="1525"/>
      <c r="AM860" s="1525"/>
      <c r="AN860" s="1525"/>
      <c r="AO860" s="1525"/>
      <c r="AP860" s="1525"/>
      <c r="AQ860" s="1525"/>
      <c r="AR860" s="1525"/>
      <c r="AS860" s="1525"/>
      <c r="AU860" s="1525"/>
      <c r="AV860" s="1295"/>
      <c r="AW860" s="1525"/>
      <c r="AX860" s="1525"/>
      <c r="AY860" s="1525"/>
      <c r="AZ860" s="1525"/>
      <c r="BA860" s="1525"/>
      <c r="BB860" s="1525"/>
      <c r="BC860" s="1525"/>
      <c r="BD860" s="1525"/>
      <c r="BE860" s="1525"/>
      <c r="BF860" s="1525"/>
      <c r="BG860" s="1525"/>
      <c r="BH860" s="1525"/>
      <c r="BI860" s="1525"/>
      <c r="BJ860" s="1525"/>
      <c r="BK860" s="1525"/>
      <c r="BL860" s="1525"/>
      <c r="BM860" s="1525"/>
      <c r="BN860" s="1525"/>
      <c r="BO860" s="1525"/>
      <c r="BP860" s="1525"/>
      <c r="BQ860" s="1525"/>
      <c r="BR860" s="1525"/>
      <c r="BS860" s="1525"/>
      <c r="BT860" s="1670"/>
      <c r="BV860"/>
      <c r="BW860" s="949"/>
    </row>
    <row r="861" spans="2:75" s="164" customFormat="1" ht="12.75" customHeight="1" x14ac:dyDescent="0.15">
      <c r="B861" s="175"/>
      <c r="F861" s="11"/>
      <c r="G861" s="855"/>
      <c r="H861" s="1364" t="s">
        <v>1508</v>
      </c>
      <c r="I861" s="264"/>
      <c r="J861" s="304"/>
      <c r="K861" s="304"/>
      <c r="L861" s="841"/>
      <c r="M861" s="841"/>
      <c r="N861" s="948"/>
      <c r="O861" s="1200"/>
      <c r="P861" s="550"/>
      <c r="Q861" s="1148"/>
      <c r="R861" s="874"/>
      <c r="S861" s="875"/>
      <c r="T861" s="875"/>
      <c r="U861" s="875"/>
      <c r="V861" s="875"/>
      <c r="W861" s="875"/>
      <c r="X861" s="1026"/>
      <c r="Y861" s="1754"/>
      <c r="Z861" s="1755"/>
      <c r="AA861" s="1775"/>
      <c r="AB861" s="1814"/>
      <c r="AC861" s="876"/>
      <c r="AD861" s="1295"/>
      <c r="AE861" s="1525"/>
      <c r="AF861" s="1525"/>
      <c r="AG861" s="1525"/>
      <c r="AH861" s="1525"/>
      <c r="AI861" s="1525"/>
      <c r="AJ861" s="1525"/>
      <c r="AK861" s="1525"/>
      <c r="AL861" s="1525"/>
      <c r="AM861" s="1525"/>
      <c r="AN861" s="1525"/>
      <c r="AO861" s="1525"/>
      <c r="AP861" s="1525"/>
      <c r="AQ861" s="1525"/>
      <c r="AR861" s="1525"/>
      <c r="AS861" s="1525"/>
      <c r="AU861" s="1525"/>
      <c r="AV861" s="1295"/>
      <c r="AW861" s="1525"/>
      <c r="AX861" s="1525"/>
      <c r="AY861" s="1525"/>
      <c r="AZ861" s="1525"/>
      <c r="BA861" s="1525"/>
      <c r="BB861" s="1525"/>
      <c r="BC861" s="1525"/>
      <c r="BD861" s="1525"/>
      <c r="BE861" s="1525"/>
      <c r="BF861" s="1525"/>
      <c r="BG861" s="1525"/>
      <c r="BH861" s="1525"/>
      <c r="BI861" s="1525"/>
      <c r="BJ861" s="1525"/>
      <c r="BK861" s="1525"/>
      <c r="BL861" s="1525"/>
      <c r="BM861" s="1525"/>
      <c r="BN861" s="1525"/>
      <c r="BO861" s="1525"/>
      <c r="BP861" s="1525"/>
      <c r="BQ861" s="1525"/>
      <c r="BR861" s="1525"/>
      <c r="BS861" s="1525"/>
      <c r="BT861" s="1670"/>
      <c r="BV861"/>
      <c r="BW861" s="855"/>
    </row>
    <row r="862" spans="2:75" ht="12.75" customHeight="1" x14ac:dyDescent="0.2">
      <c r="B862" s="175">
        <f t="shared" ref="B862:B871" si="513">B861+1</f>
        <v>1</v>
      </c>
      <c r="C862" s="236">
        <v>8</v>
      </c>
      <c r="D862" s="218"/>
      <c r="E862" s="166" t="s">
        <v>209</v>
      </c>
      <c r="F862" s="67" t="s">
        <v>353</v>
      </c>
      <c r="G862" s="834" t="s">
        <v>830</v>
      </c>
      <c r="H862" s="1412">
        <v>7476</v>
      </c>
      <c r="I862" s="274" t="s">
        <v>351</v>
      </c>
      <c r="J862" s="581"/>
      <c r="K862" s="581"/>
      <c r="L862" s="893">
        <v>1</v>
      </c>
      <c r="M862" s="861">
        <f>K862+L862</f>
        <v>1</v>
      </c>
      <c r="N862" s="832" t="s">
        <v>1326</v>
      </c>
      <c r="O862" s="1196">
        <v>16250</v>
      </c>
      <c r="P862" s="1218">
        <f t="shared" ref="P862:P868" ca="1" si="514">YEARFRAC(TODAY(),O862)</f>
        <v>73.263888888888886</v>
      </c>
      <c r="Q862" s="1148">
        <v>41450</v>
      </c>
      <c r="R862" s="874">
        <f>Q862*0.1</f>
        <v>4145</v>
      </c>
      <c r="S862" s="876"/>
      <c r="T862" s="876">
        <v>6000</v>
      </c>
      <c r="U862" s="876">
        <v>2000</v>
      </c>
      <c r="V862" s="876"/>
      <c r="W862" s="876"/>
      <c r="X862" s="1026">
        <f t="shared" ref="X862:X871" si="515">(Q862+R862+S862+T862+U862+V862+W862)*M862</f>
        <v>53595</v>
      </c>
      <c r="Y862" s="1512">
        <f t="shared" ref="Y862:Y870" si="516">(T862+U862)*M862/(X862-M862*(T862+U862))</f>
        <v>0.17545783528895711</v>
      </c>
      <c r="Z862" s="1741">
        <f t="shared" ref="Z862:Z871" si="517">M862*(1+Y862)</f>
        <v>1.1754578352889571</v>
      </c>
      <c r="AA862" s="1749">
        <f t="shared" ref="AA862:AA871" si="518">SUM(AD862:AS862)</f>
        <v>1</v>
      </c>
      <c r="AB862" s="1810">
        <f t="shared" ref="AB862:AB871" si="519">100*AA862/Z862</f>
        <v>85.073234443511524</v>
      </c>
      <c r="AC862" s="876"/>
      <c r="AD862" s="1525">
        <f t="shared" ref="AD862:AS863" si="520">SUMIF($AV$6:$BS$6,AD$5,$AV862:$BS862)</f>
        <v>0</v>
      </c>
      <c r="AE862" s="1525">
        <f t="shared" si="520"/>
        <v>0</v>
      </c>
      <c r="AF862" s="1525">
        <f t="shared" si="520"/>
        <v>0</v>
      </c>
      <c r="AG862" s="1525">
        <f t="shared" si="520"/>
        <v>0</v>
      </c>
      <c r="AH862" s="1525">
        <f t="shared" si="520"/>
        <v>0</v>
      </c>
      <c r="AI862" s="1525">
        <f t="shared" si="520"/>
        <v>0</v>
      </c>
      <c r="AJ862" s="1525">
        <f t="shared" si="520"/>
        <v>0</v>
      </c>
      <c r="AK862" s="1525">
        <f t="shared" si="520"/>
        <v>0</v>
      </c>
      <c r="AL862" s="1525">
        <f t="shared" si="520"/>
        <v>0</v>
      </c>
      <c r="AM862" s="1525">
        <f t="shared" si="520"/>
        <v>1</v>
      </c>
      <c r="AN862" s="1525">
        <f t="shared" si="520"/>
        <v>0</v>
      </c>
      <c r="AO862" s="1525">
        <f t="shared" si="520"/>
        <v>0</v>
      </c>
      <c r="AP862" s="1525">
        <f t="shared" si="520"/>
        <v>0</v>
      </c>
      <c r="AQ862" s="1525">
        <f t="shared" si="520"/>
        <v>0</v>
      </c>
      <c r="AR862" s="1525">
        <f t="shared" si="520"/>
        <v>0</v>
      </c>
      <c r="AS862" s="1525">
        <f t="shared" si="520"/>
        <v>0</v>
      </c>
      <c r="AU862" s="1525"/>
      <c r="AV862" s="1291"/>
      <c r="AW862" s="1292"/>
      <c r="AX862" s="1292"/>
      <c r="AY862" s="1292"/>
      <c r="AZ862" s="1292"/>
      <c r="BA862" s="1292"/>
      <c r="BB862" s="1292"/>
      <c r="BC862" s="1292"/>
      <c r="BD862" s="1292"/>
      <c r="BE862" s="1292"/>
      <c r="BF862" s="1292"/>
      <c r="BG862" s="1292"/>
      <c r="BH862" s="1292"/>
      <c r="BI862" s="1292"/>
      <c r="BJ862" s="1292"/>
      <c r="BK862" s="1292"/>
      <c r="BL862" s="1292"/>
      <c r="BM862" s="1292"/>
      <c r="BN862" s="1292">
        <v>1</v>
      </c>
      <c r="BO862" s="1292"/>
      <c r="BP862" s="1292"/>
      <c r="BQ862" s="1292"/>
      <c r="BR862" s="1292"/>
      <c r="BS862" s="1292"/>
      <c r="BT862" s="1670">
        <f t="shared" ref="BT862:BT871" si="521">SUM(AV862:BS862)</f>
        <v>1</v>
      </c>
      <c r="BW862" s="834" t="s">
        <v>830</v>
      </c>
    </row>
    <row r="863" spans="2:75" ht="12.5" customHeight="1" x14ac:dyDescent="0.2">
      <c r="B863" s="175">
        <f t="shared" si="513"/>
        <v>2</v>
      </c>
      <c r="C863" s="236">
        <v>8</v>
      </c>
      <c r="D863" s="218"/>
      <c r="E863" s="166" t="s">
        <v>209</v>
      </c>
      <c r="F863" s="67" t="s">
        <v>353</v>
      </c>
      <c r="G863" s="834" t="s">
        <v>1403</v>
      </c>
      <c r="H863" s="1412">
        <v>132068</v>
      </c>
      <c r="I863" s="274" t="s">
        <v>351</v>
      </c>
      <c r="J863" s="581"/>
      <c r="K863" s="581"/>
      <c r="L863" s="893">
        <v>0.5</v>
      </c>
      <c r="M863" s="861">
        <f>K863+L863</f>
        <v>0.5</v>
      </c>
      <c r="N863" s="832" t="s">
        <v>892</v>
      </c>
      <c r="O863" s="1196">
        <v>25728</v>
      </c>
      <c r="P863" s="1218">
        <f t="shared" ca="1" si="514"/>
        <v>47.31388888888889</v>
      </c>
      <c r="Q863" s="1148">
        <v>29250</v>
      </c>
      <c r="R863" s="874"/>
      <c r="S863" s="876"/>
      <c r="T863" s="876"/>
      <c r="U863" s="876"/>
      <c r="V863" s="876"/>
      <c r="W863" s="876"/>
      <c r="X863" s="1026">
        <f t="shared" si="515"/>
        <v>14625</v>
      </c>
      <c r="Y863" s="1512">
        <f t="shared" si="516"/>
        <v>0</v>
      </c>
      <c r="Z863" s="1741">
        <f t="shared" si="517"/>
        <v>0.5</v>
      </c>
      <c r="AA863" s="1749">
        <f t="shared" si="518"/>
        <v>0</v>
      </c>
      <c r="AB863" s="1810">
        <f t="shared" si="519"/>
        <v>0</v>
      </c>
      <c r="AC863" s="876"/>
      <c r="AD863" s="1525">
        <f t="shared" si="520"/>
        <v>0</v>
      </c>
      <c r="AE863" s="1525">
        <f t="shared" si="520"/>
        <v>0</v>
      </c>
      <c r="AF863" s="1525">
        <f t="shared" si="520"/>
        <v>0</v>
      </c>
      <c r="AG863" s="1525">
        <f t="shared" si="520"/>
        <v>0</v>
      </c>
      <c r="AH863" s="1525">
        <f t="shared" si="520"/>
        <v>0</v>
      </c>
      <c r="AI863" s="1525">
        <f t="shared" si="520"/>
        <v>0</v>
      </c>
      <c r="AJ863" s="1525">
        <f t="shared" si="520"/>
        <v>0</v>
      </c>
      <c r="AK863" s="1525">
        <f t="shared" si="520"/>
        <v>0</v>
      </c>
      <c r="AL863" s="1525">
        <f t="shared" si="520"/>
        <v>0</v>
      </c>
      <c r="AM863" s="1525">
        <f t="shared" si="520"/>
        <v>0</v>
      </c>
      <c r="AN863" s="1525">
        <f t="shared" si="520"/>
        <v>0</v>
      </c>
      <c r="AO863" s="1525">
        <f t="shared" si="520"/>
        <v>0</v>
      </c>
      <c r="AP863" s="1525">
        <f t="shared" si="520"/>
        <v>0</v>
      </c>
      <c r="AQ863" s="1525">
        <f t="shared" si="520"/>
        <v>0</v>
      </c>
      <c r="AR863" s="1525">
        <f t="shared" si="520"/>
        <v>0</v>
      </c>
      <c r="AS863" s="1525">
        <f t="shared" si="520"/>
        <v>0</v>
      </c>
      <c r="AU863" s="1525"/>
      <c r="AV863" s="1291"/>
      <c r="AW863" s="1292"/>
      <c r="AX863" s="1292"/>
      <c r="AY863" s="1292"/>
      <c r="AZ863" s="1292"/>
      <c r="BA863" s="1292"/>
      <c r="BB863" s="1292"/>
      <c r="BC863" s="1292"/>
      <c r="BD863" s="1292"/>
      <c r="BE863" s="1292"/>
      <c r="BF863" s="1292"/>
      <c r="BG863" s="1292"/>
      <c r="BH863" s="1292"/>
      <c r="BI863" s="1292"/>
      <c r="BJ863" s="1292"/>
      <c r="BK863" s="1292"/>
      <c r="BL863" s="1292"/>
      <c r="BM863" s="1292"/>
      <c r="BN863" s="1292"/>
      <c r="BO863" s="1292"/>
      <c r="BP863" s="1292"/>
      <c r="BQ863" s="1292"/>
      <c r="BR863" s="1292"/>
      <c r="BS863" s="1292"/>
      <c r="BT863" s="1670">
        <f t="shared" si="521"/>
        <v>0</v>
      </c>
      <c r="BW863" s="834" t="s">
        <v>1403</v>
      </c>
    </row>
    <row r="864" spans="2:75" ht="12.75" customHeight="1" x14ac:dyDescent="0.2">
      <c r="B864" s="175">
        <f t="shared" si="513"/>
        <v>3</v>
      </c>
      <c r="C864" s="236">
        <v>13</v>
      </c>
      <c r="D864" s="218"/>
      <c r="E864" s="166" t="s">
        <v>209</v>
      </c>
      <c r="F864" s="65" t="s">
        <v>1272</v>
      </c>
      <c r="G864" s="862" t="s">
        <v>263</v>
      </c>
      <c r="H864" s="1412">
        <v>115648</v>
      </c>
      <c r="I864" s="197" t="s">
        <v>583</v>
      </c>
      <c r="J864" s="173"/>
      <c r="K864" s="173"/>
      <c r="L864" s="950">
        <v>1</v>
      </c>
      <c r="M864" s="861">
        <f>K864+L864</f>
        <v>1</v>
      </c>
      <c r="N864" s="832" t="s">
        <v>1326</v>
      </c>
      <c r="O864" s="1196">
        <v>28473</v>
      </c>
      <c r="P864" s="1218">
        <f t="shared" ca="1" si="514"/>
        <v>39.799999999999997</v>
      </c>
      <c r="Q864" s="1148">
        <v>26500</v>
      </c>
      <c r="R864" s="874">
        <f>Q864*0.1</f>
        <v>2650</v>
      </c>
      <c r="S864" s="875"/>
      <c r="T864" s="875"/>
      <c r="U864" s="875">
        <v>4000</v>
      </c>
      <c r="V864" s="875"/>
      <c r="W864" s="875"/>
      <c r="X864" s="1026">
        <f t="shared" si="515"/>
        <v>33150</v>
      </c>
      <c r="Y864" s="1512">
        <f t="shared" si="516"/>
        <v>0.137221269296741</v>
      </c>
      <c r="Z864" s="1741">
        <f t="shared" si="517"/>
        <v>1.1372212692967409</v>
      </c>
      <c r="AA864" s="1749">
        <f t="shared" si="518"/>
        <v>1</v>
      </c>
      <c r="AB864" s="1810">
        <f t="shared" si="519"/>
        <v>87.933634992458522</v>
      </c>
      <c r="AC864" s="876"/>
      <c r="AD864" s="1613">
        <f>0.35+SUMIF($AV$6:$BS$6,AD$5,$AV864:$BS864)</f>
        <v>0.35</v>
      </c>
      <c r="AE864" s="1525">
        <f t="shared" ref="AE864:AS871" si="522">SUMIF($AV$6:$BS$6,AE$5,$AV864:$BS864)</f>
        <v>0</v>
      </c>
      <c r="AF864" s="1525">
        <f t="shared" si="522"/>
        <v>0</v>
      </c>
      <c r="AG864" s="1525">
        <f t="shared" si="522"/>
        <v>0</v>
      </c>
      <c r="AH864" s="1525">
        <f t="shared" si="522"/>
        <v>0</v>
      </c>
      <c r="AI864" s="1525">
        <f t="shared" si="522"/>
        <v>0</v>
      </c>
      <c r="AJ864" s="1525">
        <f t="shared" si="522"/>
        <v>0</v>
      </c>
      <c r="AK864" s="1525">
        <f t="shared" si="522"/>
        <v>0</v>
      </c>
      <c r="AL864" s="1525">
        <f t="shared" si="522"/>
        <v>0</v>
      </c>
      <c r="AM864" s="1525">
        <f t="shared" si="522"/>
        <v>0.65</v>
      </c>
      <c r="AN864" s="1525">
        <f t="shared" si="522"/>
        <v>0</v>
      </c>
      <c r="AO864" s="1525">
        <f t="shared" si="522"/>
        <v>0</v>
      </c>
      <c r="AP864" s="1525">
        <f t="shared" si="522"/>
        <v>0</v>
      </c>
      <c r="AQ864" s="1525">
        <f t="shared" si="522"/>
        <v>0</v>
      </c>
      <c r="AR864" s="1525">
        <f t="shared" si="522"/>
        <v>0</v>
      </c>
      <c r="AS864" s="1525">
        <f t="shared" si="522"/>
        <v>0</v>
      </c>
      <c r="AU864" s="1525"/>
      <c r="AV864" s="1291"/>
      <c r="AW864" s="1292"/>
      <c r="AX864" s="1292"/>
      <c r="AY864" s="1292"/>
      <c r="AZ864" s="1292"/>
      <c r="BA864" s="1292"/>
      <c r="BB864" s="1292"/>
      <c r="BC864" s="1292"/>
      <c r="BD864" s="1292"/>
      <c r="BE864" s="1292"/>
      <c r="BF864" s="1292"/>
      <c r="BG864" s="1292"/>
      <c r="BH864" s="1292"/>
      <c r="BI864" s="1292"/>
      <c r="BJ864" s="1292"/>
      <c r="BK864" s="1292"/>
      <c r="BL864" s="1292"/>
      <c r="BM864" s="1292"/>
      <c r="BN864" s="1292">
        <v>0.55000000000000004</v>
      </c>
      <c r="BO864" s="1292">
        <v>0.1</v>
      </c>
      <c r="BP864" s="1292"/>
      <c r="BQ864" s="1292"/>
      <c r="BR864" s="1292"/>
      <c r="BS864" s="1292"/>
      <c r="BT864" s="1670">
        <f t="shared" si="521"/>
        <v>0.65</v>
      </c>
      <c r="BV864" t="s">
        <v>2069</v>
      </c>
      <c r="BW864" s="862" t="s">
        <v>263</v>
      </c>
    </row>
    <row r="865" spans="2:75" ht="12.75" customHeight="1" x14ac:dyDescent="0.2">
      <c r="B865" s="175">
        <f t="shared" si="513"/>
        <v>4</v>
      </c>
      <c r="C865" s="219">
        <v>14</v>
      </c>
      <c r="D865" s="12"/>
      <c r="E865" s="166" t="s">
        <v>209</v>
      </c>
      <c r="F865" s="65" t="s">
        <v>626</v>
      </c>
      <c r="G865" s="913" t="s">
        <v>905</v>
      </c>
      <c r="H865" s="1412">
        <v>294607</v>
      </c>
      <c r="I865" s="197" t="s">
        <v>583</v>
      </c>
      <c r="J865" s="173"/>
      <c r="K865" s="173"/>
      <c r="L865" s="950">
        <v>0.5</v>
      </c>
      <c r="M865" s="861">
        <v>0.5</v>
      </c>
      <c r="N865" s="832" t="s">
        <v>892</v>
      </c>
      <c r="O865" s="1196">
        <v>33080</v>
      </c>
      <c r="P865" s="1218">
        <f t="shared" ca="1" si="514"/>
        <v>27.183333333333334</v>
      </c>
      <c r="Q865" s="1148">
        <v>20200</v>
      </c>
      <c r="R865" s="874"/>
      <c r="S865" s="875"/>
      <c r="T865" s="875"/>
      <c r="U865" s="875"/>
      <c r="V865" s="875"/>
      <c r="W865" s="875"/>
      <c r="X865" s="1026">
        <f t="shared" si="515"/>
        <v>10100</v>
      </c>
      <c r="Y865" s="1512">
        <f t="shared" si="516"/>
        <v>0</v>
      </c>
      <c r="Z865" s="1741">
        <f t="shared" si="517"/>
        <v>0.5</v>
      </c>
      <c r="AA865" s="1749">
        <f t="shared" si="518"/>
        <v>0</v>
      </c>
      <c r="AB865" s="1810">
        <f t="shared" si="519"/>
        <v>0</v>
      </c>
      <c r="AC865" s="876"/>
      <c r="AD865" s="1525">
        <f t="shared" ref="AD865:AD871" si="523">SUMIF($AV$6:$BS$6,AD$5,$AV865:$BS865)</f>
        <v>0</v>
      </c>
      <c r="AE865" s="1525">
        <f t="shared" si="522"/>
        <v>0</v>
      </c>
      <c r="AF865" s="1525">
        <f t="shared" si="522"/>
        <v>0</v>
      </c>
      <c r="AG865" s="1525">
        <f t="shared" si="522"/>
        <v>0</v>
      </c>
      <c r="AH865" s="1525">
        <f t="shared" si="522"/>
        <v>0</v>
      </c>
      <c r="AI865" s="1525">
        <f t="shared" si="522"/>
        <v>0</v>
      </c>
      <c r="AJ865" s="1525">
        <f t="shared" si="522"/>
        <v>0</v>
      </c>
      <c r="AK865" s="1525">
        <f t="shared" si="522"/>
        <v>0</v>
      </c>
      <c r="AL865" s="1525">
        <f t="shared" si="522"/>
        <v>0</v>
      </c>
      <c r="AM865" s="1525">
        <f t="shared" si="522"/>
        <v>0</v>
      </c>
      <c r="AN865" s="1525">
        <f t="shared" si="522"/>
        <v>0</v>
      </c>
      <c r="AO865" s="1525">
        <f t="shared" si="522"/>
        <v>0</v>
      </c>
      <c r="AP865" s="1525">
        <f t="shared" si="522"/>
        <v>0</v>
      </c>
      <c r="AQ865" s="1525">
        <f t="shared" si="522"/>
        <v>0</v>
      </c>
      <c r="AR865" s="1525">
        <f t="shared" si="522"/>
        <v>0</v>
      </c>
      <c r="AS865" s="1525">
        <f t="shared" si="522"/>
        <v>0</v>
      </c>
      <c r="AU865" s="1525"/>
      <c r="AV865" s="1291"/>
      <c r="AW865" s="1292"/>
      <c r="AX865" s="1292"/>
      <c r="AY865" s="1292"/>
      <c r="AZ865" s="1292"/>
      <c r="BA865" s="1292"/>
      <c r="BB865" s="1292"/>
      <c r="BC865" s="1292"/>
      <c r="BD865" s="1292"/>
      <c r="BE865" s="1292"/>
      <c r="BF865" s="1292"/>
      <c r="BG865" s="1292"/>
      <c r="BH865" s="1292"/>
      <c r="BI865" s="1292"/>
      <c r="BJ865" s="1292"/>
      <c r="BK865" s="1292"/>
      <c r="BL865" s="1292"/>
      <c r="BM865" s="1292"/>
      <c r="BN865" s="1292"/>
      <c r="BO865" s="1292"/>
      <c r="BP865" s="1292"/>
      <c r="BQ865" s="1292"/>
      <c r="BR865" s="1292"/>
      <c r="BS865" s="1292"/>
      <c r="BT865" s="1670">
        <f t="shared" si="521"/>
        <v>0</v>
      </c>
      <c r="BW865" s="913" t="s">
        <v>905</v>
      </c>
    </row>
    <row r="866" spans="2:75" ht="12.75" customHeight="1" x14ac:dyDescent="0.2">
      <c r="B866" s="175">
        <f t="shared" si="513"/>
        <v>5</v>
      </c>
      <c r="C866" s="219">
        <v>14</v>
      </c>
      <c r="D866" s="12"/>
      <c r="E866" s="166" t="s">
        <v>209</v>
      </c>
      <c r="F866" s="65" t="s">
        <v>626</v>
      </c>
      <c r="G866" s="913" t="s">
        <v>1916</v>
      </c>
      <c r="H866" s="1412">
        <v>150996</v>
      </c>
      <c r="I866" s="197" t="s">
        <v>583</v>
      </c>
      <c r="J866" s="173"/>
      <c r="K866" s="173"/>
      <c r="L866" s="950">
        <v>1</v>
      </c>
      <c r="M866" s="861">
        <v>1</v>
      </c>
      <c r="N866" s="832" t="s">
        <v>892</v>
      </c>
      <c r="O866" s="1196">
        <v>33002</v>
      </c>
      <c r="P866" s="1218">
        <f t="shared" ca="1" si="514"/>
        <v>27.397222222222222</v>
      </c>
      <c r="Q866" s="1148">
        <v>30000</v>
      </c>
      <c r="R866" s="874"/>
      <c r="S866" s="875"/>
      <c r="T866" s="875"/>
      <c r="U866" s="875"/>
      <c r="V866" s="875"/>
      <c r="W866" s="875"/>
      <c r="X866" s="1026">
        <f t="shared" si="515"/>
        <v>30000</v>
      </c>
      <c r="Y866" s="1512">
        <f t="shared" si="516"/>
        <v>0</v>
      </c>
      <c r="Z866" s="1741">
        <f t="shared" si="517"/>
        <v>1</v>
      </c>
      <c r="AA866" s="1749">
        <f t="shared" si="518"/>
        <v>0</v>
      </c>
      <c r="AB866" s="1810">
        <f t="shared" si="519"/>
        <v>0</v>
      </c>
      <c r="AC866" s="876"/>
      <c r="AD866" s="1525">
        <f t="shared" si="523"/>
        <v>0</v>
      </c>
      <c r="AE866" s="1525">
        <f t="shared" si="522"/>
        <v>0</v>
      </c>
      <c r="AF866" s="1525">
        <f t="shared" si="522"/>
        <v>0</v>
      </c>
      <c r="AG866" s="1525">
        <f t="shared" si="522"/>
        <v>0</v>
      </c>
      <c r="AH866" s="1525">
        <f t="shared" si="522"/>
        <v>0</v>
      </c>
      <c r="AI866" s="1525">
        <f t="shared" si="522"/>
        <v>0</v>
      </c>
      <c r="AJ866" s="1525">
        <f t="shared" si="522"/>
        <v>0</v>
      </c>
      <c r="AK866" s="1525">
        <f t="shared" si="522"/>
        <v>0</v>
      </c>
      <c r="AL866" s="1525">
        <f t="shared" si="522"/>
        <v>0</v>
      </c>
      <c r="AM866" s="1525">
        <f t="shared" si="522"/>
        <v>0</v>
      </c>
      <c r="AN866" s="1525">
        <f t="shared" si="522"/>
        <v>0</v>
      </c>
      <c r="AO866" s="1525">
        <f t="shared" si="522"/>
        <v>0</v>
      </c>
      <c r="AP866" s="1525">
        <f t="shared" si="522"/>
        <v>0</v>
      </c>
      <c r="AQ866" s="1525">
        <f t="shared" si="522"/>
        <v>0</v>
      </c>
      <c r="AR866" s="1525">
        <f t="shared" si="522"/>
        <v>0</v>
      </c>
      <c r="AS866" s="1525">
        <f t="shared" si="522"/>
        <v>0</v>
      </c>
      <c r="AU866" s="1525"/>
      <c r="AV866" s="1291"/>
      <c r="AW866" s="1292"/>
      <c r="AX866" s="1292"/>
      <c r="AY866" s="1292"/>
      <c r="AZ866" s="1292"/>
      <c r="BA866" s="1292"/>
      <c r="BB866" s="1292"/>
      <c r="BC866" s="1292"/>
      <c r="BD866" s="1292"/>
      <c r="BE866" s="1292"/>
      <c r="BF866" s="1292"/>
      <c r="BG866" s="1292"/>
      <c r="BH866" s="1292"/>
      <c r="BI866" s="1292"/>
      <c r="BJ866" s="1292"/>
      <c r="BK866" s="1292"/>
      <c r="BL866" s="1292"/>
      <c r="BM866" s="1292"/>
      <c r="BN866" s="1292"/>
      <c r="BO866" s="1292"/>
      <c r="BP866" s="1292"/>
      <c r="BQ866" s="1292"/>
      <c r="BR866" s="1292"/>
      <c r="BS866" s="1292"/>
      <c r="BT866" s="1670">
        <f t="shared" si="521"/>
        <v>0</v>
      </c>
      <c r="BW866" s="913" t="s">
        <v>1916</v>
      </c>
    </row>
    <row r="867" spans="2:75" ht="12.75" customHeight="1" x14ac:dyDescent="0.2">
      <c r="B867" s="175">
        <f t="shared" si="513"/>
        <v>6</v>
      </c>
      <c r="C867" s="219">
        <v>14</v>
      </c>
      <c r="D867" s="12"/>
      <c r="E867" s="166" t="s">
        <v>209</v>
      </c>
      <c r="F867" s="65" t="s">
        <v>626</v>
      </c>
      <c r="G867" s="913" t="s">
        <v>1765</v>
      </c>
      <c r="H867" s="1412">
        <v>155768</v>
      </c>
      <c r="I867" s="197" t="s">
        <v>583</v>
      </c>
      <c r="J867" s="173"/>
      <c r="K867" s="173"/>
      <c r="L867" s="950">
        <v>0.5</v>
      </c>
      <c r="M867" s="861">
        <v>0.5</v>
      </c>
      <c r="N867" s="832" t="s">
        <v>892</v>
      </c>
      <c r="O867" s="1196">
        <v>34144</v>
      </c>
      <c r="P867" s="1218">
        <f t="shared" ca="1" si="514"/>
        <v>24.272222222222222</v>
      </c>
      <c r="Q867" s="1148">
        <v>30000</v>
      </c>
      <c r="R867" s="874"/>
      <c r="S867" s="875"/>
      <c r="T867" s="875"/>
      <c r="U867" s="875"/>
      <c r="V867" s="875"/>
      <c r="W867" s="875"/>
      <c r="X867" s="1026">
        <f t="shared" si="515"/>
        <v>15000</v>
      </c>
      <c r="Y867" s="1512">
        <f t="shared" si="516"/>
        <v>0</v>
      </c>
      <c r="Z867" s="1741">
        <f t="shared" si="517"/>
        <v>0.5</v>
      </c>
      <c r="AA867" s="1749">
        <f t="shared" si="518"/>
        <v>0.5</v>
      </c>
      <c r="AB867" s="1810">
        <f t="shared" si="519"/>
        <v>100</v>
      </c>
      <c r="AC867" s="876"/>
      <c r="AD867" s="1525">
        <f t="shared" si="523"/>
        <v>0</v>
      </c>
      <c r="AE867" s="1525">
        <f t="shared" si="522"/>
        <v>0</v>
      </c>
      <c r="AF867" s="1525">
        <f t="shared" si="522"/>
        <v>0</v>
      </c>
      <c r="AG867" s="1525">
        <f t="shared" si="522"/>
        <v>0</v>
      </c>
      <c r="AH867" s="1525">
        <f t="shared" si="522"/>
        <v>0</v>
      </c>
      <c r="AI867" s="1525">
        <f t="shared" si="522"/>
        <v>0.5</v>
      </c>
      <c r="AJ867" s="1525">
        <f t="shared" si="522"/>
        <v>0</v>
      </c>
      <c r="AK867" s="1525">
        <f t="shared" si="522"/>
        <v>0</v>
      </c>
      <c r="AL867" s="1525">
        <f t="shared" si="522"/>
        <v>0</v>
      </c>
      <c r="AM867" s="1525">
        <f t="shared" si="522"/>
        <v>0</v>
      </c>
      <c r="AN867" s="1525">
        <f t="shared" si="522"/>
        <v>0</v>
      </c>
      <c r="AO867" s="1525">
        <f t="shared" si="522"/>
        <v>0</v>
      </c>
      <c r="AP867" s="1525">
        <f t="shared" si="522"/>
        <v>0</v>
      </c>
      <c r="AQ867" s="1525">
        <f t="shared" si="522"/>
        <v>0</v>
      </c>
      <c r="AR867" s="1525">
        <f t="shared" si="522"/>
        <v>0</v>
      </c>
      <c r="AS867" s="1525">
        <f t="shared" si="522"/>
        <v>0</v>
      </c>
      <c r="AU867" s="1525"/>
      <c r="AV867" s="1291"/>
      <c r="AW867" s="1292"/>
      <c r="AX867" s="1292"/>
      <c r="AY867" s="1292"/>
      <c r="AZ867" s="1292"/>
      <c r="BA867" s="1292"/>
      <c r="BB867" s="1292"/>
      <c r="BC867" s="1292"/>
      <c r="BD867" s="1292"/>
      <c r="BE867" s="1292"/>
      <c r="BF867" s="1292"/>
      <c r="BG867" s="1292"/>
      <c r="BH867" s="1292"/>
      <c r="BI867" s="1292"/>
      <c r="BJ867" s="1292"/>
      <c r="BK867" s="1292"/>
      <c r="BL867" s="1292"/>
      <c r="BM867" s="1292">
        <v>0.5</v>
      </c>
      <c r="BN867" s="1292"/>
      <c r="BO867" s="1292"/>
      <c r="BP867" s="1292"/>
      <c r="BQ867" s="1292"/>
      <c r="BR867" s="1292"/>
      <c r="BS867" s="1292"/>
      <c r="BT867" s="1670">
        <f t="shared" si="521"/>
        <v>0.5</v>
      </c>
      <c r="BW867" s="913" t="s">
        <v>1765</v>
      </c>
    </row>
    <row r="868" spans="2:75" ht="12.75" customHeight="1" x14ac:dyDescent="0.2">
      <c r="B868" s="175">
        <f t="shared" si="513"/>
        <v>7</v>
      </c>
      <c r="C868" s="219">
        <v>14</v>
      </c>
      <c r="D868" s="12"/>
      <c r="E868" s="166" t="s">
        <v>209</v>
      </c>
      <c r="F868" s="65" t="s">
        <v>626</v>
      </c>
      <c r="G868" s="913" t="s">
        <v>1981</v>
      </c>
      <c r="H868" s="1412">
        <v>164137</v>
      </c>
      <c r="I868" s="197" t="s">
        <v>583</v>
      </c>
      <c r="J868" s="173"/>
      <c r="K868" s="173"/>
      <c r="L868" s="950">
        <v>0.5</v>
      </c>
      <c r="M868" s="861">
        <v>0.5</v>
      </c>
      <c r="N868" s="832" t="s">
        <v>892</v>
      </c>
      <c r="O868" s="1196">
        <v>16535</v>
      </c>
      <c r="P868" s="1218">
        <f t="shared" ca="1" si="514"/>
        <v>72.483333333333334</v>
      </c>
      <c r="Q868" s="1148">
        <v>37000</v>
      </c>
      <c r="R868" s="874"/>
      <c r="S868" s="875"/>
      <c r="T868" s="875">
        <v>3000</v>
      </c>
      <c r="U868" s="875"/>
      <c r="V868" s="875"/>
      <c r="W868" s="875"/>
      <c r="X868" s="1026">
        <f t="shared" si="515"/>
        <v>20000</v>
      </c>
      <c r="Y868" s="1512">
        <f t="shared" si="516"/>
        <v>8.1081081081081086E-2</v>
      </c>
      <c r="Z868" s="1741">
        <f t="shared" si="517"/>
        <v>0.54054054054054057</v>
      </c>
      <c r="AA868" s="1749">
        <f t="shared" si="518"/>
        <v>0</v>
      </c>
      <c r="AB868" s="1810">
        <f t="shared" si="519"/>
        <v>0</v>
      </c>
      <c r="AC868" s="876"/>
      <c r="AD868" s="1525">
        <f t="shared" si="523"/>
        <v>0</v>
      </c>
      <c r="AE868" s="1525">
        <f t="shared" si="522"/>
        <v>0</v>
      </c>
      <c r="AF868" s="1525">
        <f t="shared" si="522"/>
        <v>0</v>
      </c>
      <c r="AG868" s="1525">
        <f t="shared" si="522"/>
        <v>0</v>
      </c>
      <c r="AH868" s="1525">
        <f t="shared" si="522"/>
        <v>0</v>
      </c>
      <c r="AI868" s="1525">
        <f t="shared" si="522"/>
        <v>0</v>
      </c>
      <c r="AJ868" s="1525">
        <f t="shared" si="522"/>
        <v>0</v>
      </c>
      <c r="AK868" s="1525">
        <f t="shared" si="522"/>
        <v>0</v>
      </c>
      <c r="AL868" s="1525">
        <f t="shared" si="522"/>
        <v>0</v>
      </c>
      <c r="AM868" s="1525">
        <f t="shared" si="522"/>
        <v>0</v>
      </c>
      <c r="AN868" s="1525">
        <f t="shared" si="522"/>
        <v>0</v>
      </c>
      <c r="AO868" s="1525">
        <f t="shared" si="522"/>
        <v>0</v>
      </c>
      <c r="AP868" s="1525">
        <f t="shared" si="522"/>
        <v>0</v>
      </c>
      <c r="AQ868" s="1525">
        <f t="shared" si="522"/>
        <v>0</v>
      </c>
      <c r="AR868" s="1525">
        <f t="shared" si="522"/>
        <v>0</v>
      </c>
      <c r="AS868" s="1525">
        <f t="shared" si="522"/>
        <v>0</v>
      </c>
      <c r="AU868" s="1525"/>
      <c r="AV868" s="1291"/>
      <c r="AW868" s="1292"/>
      <c r="AX868" s="1292"/>
      <c r="AY868" s="1292"/>
      <c r="AZ868" s="1292"/>
      <c r="BA868" s="1292"/>
      <c r="BB868" s="1292"/>
      <c r="BC868" s="1292"/>
      <c r="BD868" s="1292"/>
      <c r="BE868" s="1292"/>
      <c r="BF868" s="1292"/>
      <c r="BG868" s="1292"/>
      <c r="BH868" s="1292"/>
      <c r="BI868" s="1292"/>
      <c r="BJ868" s="1292"/>
      <c r="BK868" s="1292"/>
      <c r="BL868" s="1292"/>
      <c r="BM868" s="1292"/>
      <c r="BN868" s="1292"/>
      <c r="BO868" s="1292"/>
      <c r="BP868" s="1292"/>
      <c r="BQ868" s="1292"/>
      <c r="BR868" s="1292"/>
      <c r="BS868" s="1292"/>
      <c r="BT868" s="1670">
        <f t="shared" si="521"/>
        <v>0</v>
      </c>
      <c r="BW868" s="913" t="s">
        <v>1981</v>
      </c>
    </row>
    <row r="869" spans="2:75" ht="12.75" customHeight="1" x14ac:dyDescent="0.2">
      <c r="B869" s="175">
        <f t="shared" si="513"/>
        <v>8</v>
      </c>
      <c r="C869" s="219">
        <v>14</v>
      </c>
      <c r="D869" s="12"/>
      <c r="E869" s="166" t="s">
        <v>209</v>
      </c>
      <c r="F869" s="65" t="s">
        <v>626</v>
      </c>
      <c r="G869" s="913" t="s">
        <v>1711</v>
      </c>
      <c r="H869" s="1412">
        <v>146977</v>
      </c>
      <c r="I869" s="197" t="s">
        <v>583</v>
      </c>
      <c r="J869" s="173"/>
      <c r="K869" s="173"/>
      <c r="L869" s="950">
        <v>0.33300000000000002</v>
      </c>
      <c r="M869" s="861">
        <v>0.33300000000000002</v>
      </c>
      <c r="N869" s="832" t="s">
        <v>892</v>
      </c>
      <c r="O869" s="1196">
        <v>33780</v>
      </c>
      <c r="P869" s="1218">
        <f ca="1">YEARFRAC(TODAY(),O869)</f>
        <v>25.269444444444446</v>
      </c>
      <c r="Q869" s="1148">
        <v>30000</v>
      </c>
      <c r="R869" s="874"/>
      <c r="S869" s="875"/>
      <c r="T869" s="875"/>
      <c r="U869" s="875"/>
      <c r="V869" s="875"/>
      <c r="W869" s="875"/>
      <c r="X869" s="1026">
        <f t="shared" si="515"/>
        <v>9990</v>
      </c>
      <c r="Y869" s="1512">
        <f t="shared" si="516"/>
        <v>0</v>
      </c>
      <c r="Z869" s="1741">
        <f t="shared" si="517"/>
        <v>0.33300000000000002</v>
      </c>
      <c r="AA869" s="1749">
        <f t="shared" si="518"/>
        <v>0</v>
      </c>
      <c r="AB869" s="1810">
        <f t="shared" si="519"/>
        <v>0</v>
      </c>
      <c r="AC869" s="876"/>
      <c r="AD869" s="1525">
        <f t="shared" si="523"/>
        <v>0</v>
      </c>
      <c r="AE869" s="1525">
        <f t="shared" si="522"/>
        <v>0</v>
      </c>
      <c r="AF869" s="1525">
        <f t="shared" si="522"/>
        <v>0</v>
      </c>
      <c r="AG869" s="1525">
        <f t="shared" si="522"/>
        <v>0</v>
      </c>
      <c r="AH869" s="1525">
        <f t="shared" si="522"/>
        <v>0</v>
      </c>
      <c r="AI869" s="1525">
        <f t="shared" si="522"/>
        <v>0</v>
      </c>
      <c r="AJ869" s="1525">
        <f t="shared" si="522"/>
        <v>0</v>
      </c>
      <c r="AK869" s="1525">
        <f t="shared" si="522"/>
        <v>0</v>
      </c>
      <c r="AL869" s="1525">
        <f t="shared" si="522"/>
        <v>0</v>
      </c>
      <c r="AM869" s="1525">
        <f t="shared" si="522"/>
        <v>0</v>
      </c>
      <c r="AN869" s="1525">
        <f t="shared" si="522"/>
        <v>0</v>
      </c>
      <c r="AO869" s="1525">
        <f t="shared" si="522"/>
        <v>0</v>
      </c>
      <c r="AP869" s="1525">
        <f t="shared" si="522"/>
        <v>0</v>
      </c>
      <c r="AQ869" s="1525">
        <f t="shared" si="522"/>
        <v>0</v>
      </c>
      <c r="AR869" s="1525">
        <f t="shared" si="522"/>
        <v>0</v>
      </c>
      <c r="AS869" s="1525">
        <f t="shared" si="522"/>
        <v>0</v>
      </c>
      <c r="AU869" s="1525"/>
      <c r="AV869" s="1291"/>
      <c r="AW869" s="1292"/>
      <c r="AX869" s="1292"/>
      <c r="AY869" s="1292"/>
      <c r="AZ869" s="1292"/>
      <c r="BA869" s="1292"/>
      <c r="BB869" s="1292"/>
      <c r="BC869" s="1292"/>
      <c r="BD869" s="1292"/>
      <c r="BE869" s="1292"/>
      <c r="BF869" s="1292"/>
      <c r="BG869" s="1292"/>
      <c r="BH869" s="1292"/>
      <c r="BI869" s="1292"/>
      <c r="BJ869" s="1292"/>
      <c r="BK869" s="1292"/>
      <c r="BL869" s="1292"/>
      <c r="BM869" s="1292"/>
      <c r="BN869" s="1292"/>
      <c r="BO869" s="1292"/>
      <c r="BP869" s="1292"/>
      <c r="BQ869" s="1292"/>
      <c r="BR869" s="1292"/>
      <c r="BS869" s="1292"/>
      <c r="BT869" s="1670">
        <f t="shared" si="521"/>
        <v>0</v>
      </c>
      <c r="BW869" s="913" t="s">
        <v>1711</v>
      </c>
    </row>
    <row r="870" spans="2:75" ht="12.75" customHeight="1" x14ac:dyDescent="0.2">
      <c r="B870" s="175">
        <f t="shared" si="513"/>
        <v>9</v>
      </c>
      <c r="C870" s="236">
        <v>18</v>
      </c>
      <c r="D870" s="218"/>
      <c r="E870" s="166" t="s">
        <v>209</v>
      </c>
      <c r="F870" s="65" t="s">
        <v>584</v>
      </c>
      <c r="G870" s="862" t="s">
        <v>146</v>
      </c>
      <c r="H870" s="1412">
        <v>135400</v>
      </c>
      <c r="I870" s="197" t="s">
        <v>583</v>
      </c>
      <c r="J870" s="173"/>
      <c r="K870" s="173"/>
      <c r="L870" s="950">
        <v>1</v>
      </c>
      <c r="M870" s="861">
        <f>K870+L870</f>
        <v>1</v>
      </c>
      <c r="N870" s="832" t="s">
        <v>892</v>
      </c>
      <c r="O870" s="1196">
        <v>31574</v>
      </c>
      <c r="P870" s="1218">
        <f ca="1">YEARFRAC(TODAY(),O870)</f>
        <v>31.308333333333334</v>
      </c>
      <c r="Q870" s="1148">
        <v>28000</v>
      </c>
      <c r="R870" s="874"/>
      <c r="S870" s="875"/>
      <c r="T870" s="875"/>
      <c r="U870" s="875"/>
      <c r="V870" s="875"/>
      <c r="W870" s="875"/>
      <c r="X870" s="1026">
        <f t="shared" si="515"/>
        <v>28000</v>
      </c>
      <c r="Y870" s="1512">
        <f t="shared" si="516"/>
        <v>0</v>
      </c>
      <c r="Z870" s="1741">
        <f t="shared" si="517"/>
        <v>1</v>
      </c>
      <c r="AA870" s="1749">
        <f t="shared" si="518"/>
        <v>0</v>
      </c>
      <c r="AB870" s="1810">
        <f t="shared" si="519"/>
        <v>0</v>
      </c>
      <c r="AC870" s="876"/>
      <c r="AD870" s="1525">
        <f t="shared" si="523"/>
        <v>0</v>
      </c>
      <c r="AE870" s="1525">
        <f t="shared" si="522"/>
        <v>0</v>
      </c>
      <c r="AF870" s="1525">
        <f t="shared" si="522"/>
        <v>0</v>
      </c>
      <c r="AG870" s="1525">
        <f t="shared" si="522"/>
        <v>0</v>
      </c>
      <c r="AH870" s="1525">
        <f t="shared" si="522"/>
        <v>0</v>
      </c>
      <c r="AI870" s="1525">
        <f t="shared" si="522"/>
        <v>0</v>
      </c>
      <c r="AJ870" s="1525">
        <f t="shared" si="522"/>
        <v>0</v>
      </c>
      <c r="AK870" s="1525">
        <f t="shared" si="522"/>
        <v>0</v>
      </c>
      <c r="AL870" s="1525">
        <f t="shared" si="522"/>
        <v>0</v>
      </c>
      <c r="AM870" s="1525">
        <f t="shared" si="522"/>
        <v>0</v>
      </c>
      <c r="AN870" s="1525">
        <f t="shared" si="522"/>
        <v>0</v>
      </c>
      <c r="AO870" s="1525">
        <f t="shared" si="522"/>
        <v>0</v>
      </c>
      <c r="AP870" s="1525">
        <f t="shared" si="522"/>
        <v>0</v>
      </c>
      <c r="AQ870" s="1525">
        <f t="shared" si="522"/>
        <v>0</v>
      </c>
      <c r="AR870" s="1525">
        <f t="shared" si="522"/>
        <v>0</v>
      </c>
      <c r="AS870" s="1525">
        <f t="shared" si="522"/>
        <v>0</v>
      </c>
      <c r="AU870" s="1525"/>
      <c r="AV870" s="1291"/>
      <c r="AW870" s="1292"/>
      <c r="AX870" s="1292"/>
      <c r="AY870" s="1292"/>
      <c r="AZ870" s="1292"/>
      <c r="BA870" s="1292"/>
      <c r="BB870" s="1292"/>
      <c r="BC870" s="1292"/>
      <c r="BD870" s="1292"/>
      <c r="BE870" s="1292"/>
      <c r="BF870" s="1292"/>
      <c r="BG870" s="1292"/>
      <c r="BH870" s="1292"/>
      <c r="BI870" s="1292"/>
      <c r="BJ870" s="1292"/>
      <c r="BK870" s="1292"/>
      <c r="BL870" s="1292"/>
      <c r="BM870" s="1292"/>
      <c r="BN870" s="1292"/>
      <c r="BO870" s="1292"/>
      <c r="BP870" s="1292"/>
      <c r="BQ870" s="1292"/>
      <c r="BR870" s="1292"/>
      <c r="BS870" s="1292"/>
      <c r="BT870" s="1670">
        <f t="shared" si="521"/>
        <v>0</v>
      </c>
      <c r="BW870" s="862" t="s">
        <v>146</v>
      </c>
    </row>
    <row r="871" spans="2:75" ht="12.75" customHeight="1" x14ac:dyDescent="0.2">
      <c r="B871" s="175">
        <f t="shared" si="513"/>
        <v>10</v>
      </c>
      <c r="C871" s="236">
        <v>18</v>
      </c>
      <c r="D871" s="218"/>
      <c r="E871" s="166" t="s">
        <v>209</v>
      </c>
      <c r="F871" s="20" t="s">
        <v>84</v>
      </c>
      <c r="G871" s="910" t="s">
        <v>170</v>
      </c>
      <c r="H871" s="1414">
        <v>115038</v>
      </c>
      <c r="I871" s="196" t="s">
        <v>1442</v>
      </c>
      <c r="J871" s="177"/>
      <c r="K871" s="177"/>
      <c r="L871" s="951">
        <v>1</v>
      </c>
      <c r="M871" s="873">
        <f>K871+L871</f>
        <v>1</v>
      </c>
      <c r="N871" s="852" t="s">
        <v>1326</v>
      </c>
      <c r="O871" s="1196">
        <v>27150</v>
      </c>
      <c r="P871" s="1218">
        <f ca="1">YEARFRAC(TODAY(),O871)</f>
        <v>43.419444444444444</v>
      </c>
      <c r="Q871" s="1071">
        <v>22200</v>
      </c>
      <c r="R871" s="890">
        <f>Q871*0.1</f>
        <v>2220</v>
      </c>
      <c r="S871" s="891"/>
      <c r="T871" s="891"/>
      <c r="U871" s="891"/>
      <c r="V871" s="891"/>
      <c r="W871" s="891">
        <f>(Q871+R871)*0.1</f>
        <v>2442</v>
      </c>
      <c r="X871" s="1026">
        <f t="shared" si="515"/>
        <v>26862</v>
      </c>
      <c r="Y871" s="1512">
        <f t="shared" ref="Y871" si="524">(T871+U871+W871)*M871/(X871-M871*(T871+U871+W871))</f>
        <v>0.1</v>
      </c>
      <c r="Z871" s="1741">
        <f t="shared" si="517"/>
        <v>1.1000000000000001</v>
      </c>
      <c r="AA871" s="1749">
        <f t="shared" si="518"/>
        <v>0</v>
      </c>
      <c r="AB871" s="1810">
        <f t="shared" si="519"/>
        <v>0</v>
      </c>
      <c r="AC871" s="876"/>
      <c r="AD871" s="1525">
        <f t="shared" si="523"/>
        <v>0</v>
      </c>
      <c r="AE871" s="1525">
        <f t="shared" si="522"/>
        <v>0</v>
      </c>
      <c r="AF871" s="1525">
        <f t="shared" si="522"/>
        <v>0</v>
      </c>
      <c r="AG871" s="1525">
        <f t="shared" si="522"/>
        <v>0</v>
      </c>
      <c r="AH871" s="1525">
        <f t="shared" si="522"/>
        <v>0</v>
      </c>
      <c r="AI871" s="1525">
        <f t="shared" si="522"/>
        <v>0</v>
      </c>
      <c r="AJ871" s="1525">
        <f t="shared" si="522"/>
        <v>0</v>
      </c>
      <c r="AK871" s="1525">
        <f t="shared" si="522"/>
        <v>0</v>
      </c>
      <c r="AL871" s="1525">
        <f t="shared" si="522"/>
        <v>0</v>
      </c>
      <c r="AM871" s="1525">
        <f t="shared" si="522"/>
        <v>0</v>
      </c>
      <c r="AN871" s="1525">
        <f t="shared" si="522"/>
        <v>0</v>
      </c>
      <c r="AO871" s="1525">
        <f t="shared" si="522"/>
        <v>0</v>
      </c>
      <c r="AP871" s="1525">
        <f t="shared" si="522"/>
        <v>0</v>
      </c>
      <c r="AQ871" s="1525">
        <f t="shared" si="522"/>
        <v>0</v>
      </c>
      <c r="AR871" s="1525">
        <f t="shared" si="522"/>
        <v>0</v>
      </c>
      <c r="AS871" s="1525">
        <f t="shared" si="522"/>
        <v>0</v>
      </c>
      <c r="AU871" s="1525"/>
      <c r="AV871" s="1291"/>
      <c r="AW871" s="1292"/>
      <c r="AX871" s="1292"/>
      <c r="AY871" s="1292"/>
      <c r="AZ871" s="1292"/>
      <c r="BA871" s="1292"/>
      <c r="BB871" s="1292"/>
      <c r="BC871" s="1292"/>
      <c r="BD871" s="1292"/>
      <c r="BE871" s="1292"/>
      <c r="BF871" s="1292"/>
      <c r="BG871" s="1292"/>
      <c r="BH871" s="1292"/>
      <c r="BI871" s="1292"/>
      <c r="BJ871" s="1292"/>
      <c r="BK871" s="1292"/>
      <c r="BL871" s="1292"/>
      <c r="BM871" s="1292"/>
      <c r="BN871" s="1292"/>
      <c r="BO871" s="1292"/>
      <c r="BP871" s="1292"/>
      <c r="BQ871" s="1292"/>
      <c r="BR871" s="1292"/>
      <c r="BS871" s="1292"/>
      <c r="BT871" s="1670">
        <f t="shared" si="521"/>
        <v>0</v>
      </c>
      <c r="BW871" s="910" t="s">
        <v>170</v>
      </c>
    </row>
    <row r="872" spans="2:75" s="164" customFormat="1" ht="12.75" customHeight="1" x14ac:dyDescent="0.15">
      <c r="B872" s="175"/>
      <c r="C872" s="219" t="s">
        <v>1120</v>
      </c>
      <c r="F872" s="24" t="s">
        <v>1238</v>
      </c>
      <c r="G872" s="856"/>
      <c r="H872" s="1420" t="s">
        <v>1508</v>
      </c>
      <c r="I872" s="200"/>
      <c r="J872" s="189"/>
      <c r="K872" s="318"/>
      <c r="L872" s="902">
        <f>SUM(L862:L871)</f>
        <v>7.3330000000000002</v>
      </c>
      <c r="M872" s="902">
        <f>SUM(M862:M871)+K872</f>
        <v>7.3330000000000002</v>
      </c>
      <c r="N872" s="857"/>
      <c r="O872" s="1200"/>
      <c r="P872" s="550"/>
      <c r="Q872" s="1153"/>
      <c r="R872" s="877"/>
      <c r="S872" s="875"/>
      <c r="T872" s="875"/>
      <c r="U872" s="875"/>
      <c r="V872" s="875"/>
      <c r="W872" s="875"/>
      <c r="X872" s="1026"/>
      <c r="Y872" s="1335"/>
      <c r="Z872" s="1335"/>
      <c r="AA872" s="1775"/>
      <c r="AB872" s="1814"/>
      <c r="AC872" s="876"/>
      <c r="AD872" s="1295"/>
      <c r="AE872" s="1525"/>
      <c r="AF872" s="1525"/>
      <c r="AG872" s="1525"/>
      <c r="AH872" s="1525"/>
      <c r="AI872" s="1525"/>
      <c r="AJ872" s="1525"/>
      <c r="AK872" s="1525"/>
      <c r="AL872" s="1525"/>
      <c r="AM872" s="1525"/>
      <c r="AN872" s="1525"/>
      <c r="AO872" s="1525"/>
      <c r="AP872" s="1525"/>
      <c r="AQ872" s="1525"/>
      <c r="AR872" s="1525"/>
      <c r="AS872" s="1525"/>
      <c r="AU872" s="1525"/>
      <c r="AV872" s="1295"/>
      <c r="AW872" s="1525"/>
      <c r="AX872" s="1525"/>
      <c r="AY872" s="1525"/>
      <c r="AZ872" s="1525"/>
      <c r="BA872" s="1525"/>
      <c r="BB872" s="1525"/>
      <c r="BC872" s="1525"/>
      <c r="BD872" s="1525"/>
      <c r="BE872" s="1525"/>
      <c r="BF872" s="1525"/>
      <c r="BG872" s="1525"/>
      <c r="BH872" s="1525"/>
      <c r="BI872" s="1525"/>
      <c r="BJ872" s="1525"/>
      <c r="BK872" s="1525"/>
      <c r="BL872" s="1525"/>
      <c r="BM872" s="1525"/>
      <c r="BN872" s="1525"/>
      <c r="BO872" s="1525"/>
      <c r="BP872" s="1525"/>
      <c r="BQ872" s="1525"/>
      <c r="BR872" s="1525"/>
      <c r="BS872" s="1525"/>
      <c r="BT872" s="1670"/>
      <c r="BV872"/>
      <c r="BW872" s="856"/>
    </row>
    <row r="873" spans="2:75" s="164" customFormat="1" ht="12.75" customHeight="1" x14ac:dyDescent="0.15">
      <c r="B873" s="175"/>
      <c r="C873" s="219"/>
      <c r="F873" s="24"/>
      <c r="G873" s="856"/>
      <c r="H873" s="1420" t="s">
        <v>1508</v>
      </c>
      <c r="I873" s="200"/>
      <c r="J873" s="189"/>
      <c r="K873" s="318"/>
      <c r="L873" s="902"/>
      <c r="M873" s="902"/>
      <c r="N873" s="857"/>
      <c r="O873" s="1200"/>
      <c r="P873" s="550"/>
      <c r="Q873" s="1153"/>
      <c r="R873" s="877"/>
      <c r="S873" s="875"/>
      <c r="T873" s="875"/>
      <c r="U873" s="875"/>
      <c r="V873" s="875"/>
      <c r="W873" s="875"/>
      <c r="X873" s="1026"/>
      <c r="Y873" s="1754"/>
      <c r="Z873" s="1755"/>
      <c r="AA873" s="1775"/>
      <c r="AB873" s="1814"/>
      <c r="AC873" s="876"/>
      <c r="AD873" s="1295"/>
      <c r="AE873" s="1525"/>
      <c r="AF873" s="1525"/>
      <c r="AG873" s="1525"/>
      <c r="AH873" s="1525"/>
      <c r="AI873" s="1525"/>
      <c r="AJ873" s="1525"/>
      <c r="AK873" s="1525"/>
      <c r="AL873" s="1525"/>
      <c r="AM873" s="1525"/>
      <c r="AN873" s="1525"/>
      <c r="AO873" s="1525"/>
      <c r="AP873" s="1525"/>
      <c r="AQ873" s="1525"/>
      <c r="AR873" s="1525"/>
      <c r="AS873" s="1525"/>
      <c r="AU873" s="1525"/>
      <c r="AV873" s="1295"/>
      <c r="AW873" s="1525"/>
      <c r="AX873" s="1525"/>
      <c r="AY873" s="1525"/>
      <c r="AZ873" s="1525"/>
      <c r="BA873" s="1525"/>
      <c r="BB873" s="1525"/>
      <c r="BC873" s="1525"/>
      <c r="BD873" s="1525"/>
      <c r="BE873" s="1525"/>
      <c r="BF873" s="1525"/>
      <c r="BG873" s="1525"/>
      <c r="BH873" s="1525"/>
      <c r="BI873" s="1525"/>
      <c r="BJ873" s="1525"/>
      <c r="BK873" s="1525"/>
      <c r="BL873" s="1525"/>
      <c r="BM873" s="1525"/>
      <c r="BN873" s="1525"/>
      <c r="BO873" s="1525"/>
      <c r="BP873" s="1525"/>
      <c r="BQ873" s="1525"/>
      <c r="BR873" s="1525"/>
      <c r="BS873" s="1525"/>
      <c r="BT873" s="1670"/>
      <c r="BV873"/>
      <c r="BW873" s="856"/>
    </row>
    <row r="874" spans="2:75" s="164" customFormat="1" ht="12.75" customHeight="1" x14ac:dyDescent="0.15">
      <c r="B874" s="175"/>
      <c r="F874" s="4"/>
      <c r="G874" s="844"/>
      <c r="H874" s="1412" t="s">
        <v>1508</v>
      </c>
      <c r="I874" s="197"/>
      <c r="J874" s="174"/>
      <c r="K874" s="174"/>
      <c r="L874" s="861"/>
      <c r="M874" s="861"/>
      <c r="N874" s="836"/>
      <c r="O874" s="1200"/>
      <c r="P874" s="550"/>
      <c r="Q874" s="1148"/>
      <c r="R874" s="874"/>
      <c r="S874" s="875"/>
      <c r="T874" s="875"/>
      <c r="U874" s="875"/>
      <c r="V874" s="875"/>
      <c r="W874" s="875"/>
      <c r="X874" s="1026"/>
      <c r="Y874" s="1754"/>
      <c r="Z874" s="1755"/>
      <c r="AA874" s="1775"/>
      <c r="AB874" s="1814"/>
      <c r="AC874" s="876"/>
      <c r="AD874" s="1295"/>
      <c r="AE874" s="1525"/>
      <c r="AF874" s="1525"/>
      <c r="AG874" s="1525"/>
      <c r="AH874" s="1525"/>
      <c r="AI874" s="1525"/>
      <c r="AJ874" s="1525"/>
      <c r="AK874" s="1525"/>
      <c r="AL874" s="1525"/>
      <c r="AM874" s="1525"/>
      <c r="AN874" s="1525"/>
      <c r="AO874" s="1525"/>
      <c r="AP874" s="1525"/>
      <c r="AQ874" s="1525"/>
      <c r="AR874" s="1525"/>
      <c r="AS874" s="1525"/>
      <c r="AU874" s="1525"/>
      <c r="AV874" s="1295"/>
      <c r="AW874" s="1525"/>
      <c r="AX874" s="1525"/>
      <c r="AY874" s="1525"/>
      <c r="AZ874" s="1525"/>
      <c r="BA874" s="1525"/>
      <c r="BB874" s="1525"/>
      <c r="BC874" s="1525"/>
      <c r="BD874" s="1525"/>
      <c r="BE874" s="1525"/>
      <c r="BF874" s="1525"/>
      <c r="BG874" s="1525"/>
      <c r="BH874" s="1525"/>
      <c r="BI874" s="1525"/>
      <c r="BJ874" s="1525"/>
      <c r="BK874" s="1525"/>
      <c r="BL874" s="1525"/>
      <c r="BM874" s="1525"/>
      <c r="BN874" s="1525"/>
      <c r="BO874" s="1525"/>
      <c r="BP874" s="1525"/>
      <c r="BQ874" s="1525"/>
      <c r="BR874" s="1525"/>
      <c r="BS874" s="1525"/>
      <c r="BT874" s="1670"/>
      <c r="BV874"/>
      <c r="BW874" s="844"/>
    </row>
    <row r="875" spans="2:75" s="164" customFormat="1" ht="12.75" customHeight="1" x14ac:dyDescent="0.15">
      <c r="B875" s="175"/>
      <c r="F875" s="4" t="s">
        <v>831</v>
      </c>
      <c r="G875" s="844"/>
      <c r="H875" s="1412" t="s">
        <v>1508</v>
      </c>
      <c r="I875" s="197"/>
      <c r="J875" s="174"/>
      <c r="K875" s="174"/>
      <c r="L875" s="861"/>
      <c r="M875" s="861"/>
      <c r="N875" s="836"/>
      <c r="O875" s="1200"/>
      <c r="P875" s="550"/>
      <c r="Q875" s="1148"/>
      <c r="R875" s="874"/>
      <c r="S875" s="875"/>
      <c r="T875" s="875"/>
      <c r="U875" s="875"/>
      <c r="V875" s="875"/>
      <c r="W875" s="875"/>
      <c r="X875" s="1026"/>
      <c r="Y875" s="1754"/>
      <c r="Z875" s="1755"/>
      <c r="AA875" s="1775"/>
      <c r="AB875" s="1814"/>
      <c r="AC875" s="876"/>
      <c r="AD875" s="1295"/>
      <c r="AE875" s="1525"/>
      <c r="AF875" s="1525"/>
      <c r="AG875" s="1525"/>
      <c r="AH875" s="1525"/>
      <c r="AI875" s="1525"/>
      <c r="AJ875" s="1525"/>
      <c r="AK875" s="1525"/>
      <c r="AL875" s="1525"/>
      <c r="AM875" s="1525"/>
      <c r="AN875" s="1525"/>
      <c r="AO875" s="1525"/>
      <c r="AP875" s="1525"/>
      <c r="AQ875" s="1525"/>
      <c r="AR875" s="1525"/>
      <c r="AS875" s="1525"/>
      <c r="AU875" s="1525"/>
      <c r="AV875" s="1295"/>
      <c r="AW875" s="1525"/>
      <c r="AX875" s="1525"/>
      <c r="AY875" s="1525"/>
      <c r="AZ875" s="1525"/>
      <c r="BA875" s="1525"/>
      <c r="BB875" s="1525"/>
      <c r="BC875" s="1525"/>
      <c r="BD875" s="1525"/>
      <c r="BE875" s="1525"/>
      <c r="BF875" s="1525"/>
      <c r="BG875" s="1525"/>
      <c r="BH875" s="1525"/>
      <c r="BI875" s="1525"/>
      <c r="BJ875" s="1525"/>
      <c r="BK875" s="1525"/>
      <c r="BL875" s="1525"/>
      <c r="BM875" s="1525"/>
      <c r="BN875" s="1525"/>
      <c r="BO875" s="1525"/>
      <c r="BP875" s="1525"/>
      <c r="BQ875" s="1525"/>
      <c r="BR875" s="1525"/>
      <c r="BS875" s="1525"/>
      <c r="BT875" s="1670"/>
      <c r="BV875"/>
      <c r="BW875" s="844"/>
    </row>
    <row r="876" spans="2:75" s="164" customFormat="1" ht="12.75" customHeight="1" x14ac:dyDescent="0.15">
      <c r="B876" s="175"/>
      <c r="F876" s="4"/>
      <c r="G876" s="844"/>
      <c r="H876" s="1412" t="s">
        <v>1508</v>
      </c>
      <c r="I876" s="197"/>
      <c r="J876" s="174"/>
      <c r="K876" s="174"/>
      <c r="L876" s="861"/>
      <c r="M876" s="861"/>
      <c r="N876" s="836"/>
      <c r="O876" s="1200"/>
      <c r="P876" s="550"/>
      <c r="Q876" s="1148"/>
      <c r="R876" s="874"/>
      <c r="S876" s="876"/>
      <c r="T876" s="876"/>
      <c r="U876" s="876"/>
      <c r="V876" s="876"/>
      <c r="W876" s="876"/>
      <c r="X876" s="1026"/>
      <c r="Y876" s="1754"/>
      <c r="Z876" s="1755"/>
      <c r="AA876" s="1775"/>
      <c r="AB876" s="1814"/>
      <c r="AC876" s="876"/>
      <c r="AD876" s="1295"/>
      <c r="AE876" s="1525"/>
      <c r="AF876" s="1525"/>
      <c r="AG876" s="1525"/>
      <c r="AH876" s="1525"/>
      <c r="AI876" s="1525"/>
      <c r="AJ876" s="1525"/>
      <c r="AK876" s="1525"/>
      <c r="AL876" s="1525"/>
      <c r="AM876" s="1525"/>
      <c r="AN876" s="1525"/>
      <c r="AO876" s="1525"/>
      <c r="AP876" s="1525"/>
      <c r="AQ876" s="1525"/>
      <c r="AR876" s="1525"/>
      <c r="AS876" s="1525"/>
      <c r="AU876" s="1525"/>
      <c r="AV876" s="1295"/>
      <c r="AW876" s="1525"/>
      <c r="AX876" s="1525"/>
      <c r="AY876" s="1525"/>
      <c r="AZ876" s="1525"/>
      <c r="BA876" s="1525"/>
      <c r="BB876" s="1525"/>
      <c r="BC876" s="1525"/>
      <c r="BD876" s="1525"/>
      <c r="BE876" s="1525"/>
      <c r="BF876" s="1525"/>
      <c r="BG876" s="1525"/>
      <c r="BH876" s="1525"/>
      <c r="BI876" s="1525"/>
      <c r="BJ876" s="1525"/>
      <c r="BK876" s="1525"/>
      <c r="BL876" s="1525"/>
      <c r="BM876" s="1525"/>
      <c r="BN876" s="1525"/>
      <c r="BO876" s="1525"/>
      <c r="BP876" s="1525"/>
      <c r="BQ876" s="1525"/>
      <c r="BR876" s="1525"/>
      <c r="BS876" s="1525"/>
      <c r="BT876" s="1670"/>
      <c r="BV876"/>
      <c r="BW876" s="844"/>
    </row>
    <row r="877" spans="2:75" ht="12.75" customHeight="1" x14ac:dyDescent="0.2">
      <c r="B877" s="175">
        <f>B876+1</f>
        <v>1</v>
      </c>
      <c r="C877" s="219">
        <v>5</v>
      </c>
      <c r="E877" s="12" t="s">
        <v>209</v>
      </c>
      <c r="F877" s="67" t="s">
        <v>216</v>
      </c>
      <c r="G877" s="913" t="s">
        <v>36</v>
      </c>
      <c r="H877" s="1412">
        <v>7440</v>
      </c>
      <c r="I877" s="197" t="s">
        <v>351</v>
      </c>
      <c r="J877" s="182"/>
      <c r="K877" s="182"/>
      <c r="L877" s="861">
        <v>1</v>
      </c>
      <c r="M877" s="861">
        <f>K877+L877</f>
        <v>1</v>
      </c>
      <c r="N877" s="832" t="s">
        <v>1326</v>
      </c>
      <c r="O877" s="1196">
        <v>18726</v>
      </c>
      <c r="P877" s="1218">
        <f ca="1">YEARFRAC(TODAY(),O877)</f>
        <v>66.483333333333334</v>
      </c>
      <c r="Q877" s="1148">
        <v>41400</v>
      </c>
      <c r="R877" s="874">
        <f>Q877*0.1</f>
        <v>4140</v>
      </c>
      <c r="S877" s="875">
        <v>3000</v>
      </c>
      <c r="T877" s="875"/>
      <c r="U877" s="875"/>
      <c r="V877" s="875"/>
      <c r="W877" s="875"/>
      <c r="X877" s="1026">
        <f>(Q877+R877+S877+T877+U877+V877+W877)*M877</f>
        <v>48540</v>
      </c>
      <c r="Y877" s="1512">
        <f>(T877+U877)*M877/(X877-M877*(T877+U877))</f>
        <v>0</v>
      </c>
      <c r="Z877" s="1741">
        <f>M877*(1+Y877)</f>
        <v>1</v>
      </c>
      <c r="AA877" s="1749">
        <f>SUM(AD877:AS877)</f>
        <v>1</v>
      </c>
      <c r="AB877" s="1810">
        <f t="shared" ref="AB877:AB881" si="525">100*AA877/Z877</f>
        <v>100</v>
      </c>
      <c r="AC877" s="876"/>
      <c r="AD877" s="1525">
        <f t="shared" ref="AD877:AS881" si="526">SUMIF($AV$6:$BS$6,AD$5,$AV877:$BS877)</f>
        <v>0</v>
      </c>
      <c r="AE877" s="1525">
        <f t="shared" si="526"/>
        <v>0</v>
      </c>
      <c r="AF877" s="1525">
        <f t="shared" si="526"/>
        <v>0</v>
      </c>
      <c r="AG877" s="1525">
        <f t="shared" si="526"/>
        <v>0</v>
      </c>
      <c r="AH877" s="1525">
        <f t="shared" si="526"/>
        <v>0</v>
      </c>
      <c r="AI877" s="1525">
        <f t="shared" si="526"/>
        <v>0</v>
      </c>
      <c r="AJ877" s="1525">
        <f t="shared" si="526"/>
        <v>0</v>
      </c>
      <c r="AK877" s="1525">
        <f t="shared" si="526"/>
        <v>0</v>
      </c>
      <c r="AL877" s="1525">
        <f t="shared" si="526"/>
        <v>0</v>
      </c>
      <c r="AM877" s="1525">
        <f t="shared" si="526"/>
        <v>1</v>
      </c>
      <c r="AN877" s="1525">
        <f t="shared" si="526"/>
        <v>0</v>
      </c>
      <c r="AO877" s="1525">
        <f t="shared" si="526"/>
        <v>0</v>
      </c>
      <c r="AP877" s="1525">
        <f t="shared" si="526"/>
        <v>0</v>
      </c>
      <c r="AQ877" s="1525">
        <f t="shared" si="526"/>
        <v>0</v>
      </c>
      <c r="AR877" s="1525">
        <f t="shared" si="526"/>
        <v>0</v>
      </c>
      <c r="AS877" s="1525">
        <f t="shared" si="526"/>
        <v>0</v>
      </c>
      <c r="AU877" s="1525"/>
      <c r="AV877" s="1291"/>
      <c r="AW877" s="1292"/>
      <c r="AX877" s="1292"/>
      <c r="AY877" s="1292"/>
      <c r="AZ877" s="1292"/>
      <c r="BA877" s="1292"/>
      <c r="BB877" s="1292"/>
      <c r="BC877" s="1292"/>
      <c r="BD877" s="1292"/>
      <c r="BE877" s="1292"/>
      <c r="BF877" s="1292"/>
      <c r="BG877" s="1292"/>
      <c r="BH877" s="1292"/>
      <c r="BI877" s="1292"/>
      <c r="BJ877" s="1292"/>
      <c r="BK877" s="1292"/>
      <c r="BL877" s="1292"/>
      <c r="BM877" s="1292"/>
      <c r="BN877" s="1292">
        <v>1</v>
      </c>
      <c r="BO877" s="1292"/>
      <c r="BP877" s="1292"/>
      <c r="BQ877" s="1292"/>
      <c r="BR877" s="1292"/>
      <c r="BS877" s="1292"/>
      <c r="BT877" s="1670">
        <f t="shared" ref="BT877:BT881" si="527">SUM(AV877:BS877)</f>
        <v>1</v>
      </c>
      <c r="BW877" s="913" t="s">
        <v>36</v>
      </c>
    </row>
    <row r="878" spans="2:75" s="164" customFormat="1" ht="12.75" customHeight="1" x14ac:dyDescent="0.2">
      <c r="B878" s="175">
        <f>B877+1</f>
        <v>2</v>
      </c>
      <c r="C878" s="219">
        <v>7</v>
      </c>
      <c r="E878" s="12" t="s">
        <v>209</v>
      </c>
      <c r="F878" s="30" t="s">
        <v>1334</v>
      </c>
      <c r="G878" s="799" t="s">
        <v>37</v>
      </c>
      <c r="H878" s="1413">
        <v>7488</v>
      </c>
      <c r="I878" s="200" t="s">
        <v>351</v>
      </c>
      <c r="J878" s="189"/>
      <c r="K878" s="189"/>
      <c r="L878" s="858">
        <v>1</v>
      </c>
      <c r="M878" s="858">
        <f>K878+L878</f>
        <v>1</v>
      </c>
      <c r="N878" s="857" t="s">
        <v>1326</v>
      </c>
      <c r="O878" s="1196">
        <v>15151</v>
      </c>
      <c r="P878" s="1218">
        <f ca="1">YEARFRAC(TODAY(),O878)</f>
        <v>76.272222222222226</v>
      </c>
      <c r="Q878" s="1148">
        <v>26850</v>
      </c>
      <c r="R878" s="874">
        <f>Q878*0.1</f>
        <v>2685</v>
      </c>
      <c r="S878" s="875">
        <v>7000</v>
      </c>
      <c r="T878" s="875"/>
      <c r="U878" s="875"/>
      <c r="V878" s="875"/>
      <c r="W878" s="875"/>
      <c r="X878" s="1026">
        <f>(Q878+R878+S878+T878+U878+V878+W878)*M878</f>
        <v>36535</v>
      </c>
      <c r="Y878" s="1512">
        <f>(T878+U878)*M878/(X878-M878*(T878+U878))</f>
        <v>0</v>
      </c>
      <c r="Z878" s="1741">
        <f>M878*(1+Y878)</f>
        <v>1</v>
      </c>
      <c r="AA878" s="1749">
        <f>SUM(AD878:AS878)</f>
        <v>1</v>
      </c>
      <c r="AB878" s="1810">
        <f t="shared" si="525"/>
        <v>100</v>
      </c>
      <c r="AC878" s="876"/>
      <c r="AD878" s="1525">
        <f t="shared" si="526"/>
        <v>0</v>
      </c>
      <c r="AE878" s="1525">
        <f t="shared" si="526"/>
        <v>0</v>
      </c>
      <c r="AF878" s="1525">
        <f t="shared" si="526"/>
        <v>0</v>
      </c>
      <c r="AG878" s="1525">
        <f t="shared" si="526"/>
        <v>0</v>
      </c>
      <c r="AH878" s="1525">
        <f t="shared" si="526"/>
        <v>0</v>
      </c>
      <c r="AI878" s="1525">
        <f t="shared" si="526"/>
        <v>0</v>
      </c>
      <c r="AJ878" s="1525">
        <f t="shared" si="526"/>
        <v>0</v>
      </c>
      <c r="AK878" s="1525">
        <f t="shared" si="526"/>
        <v>0</v>
      </c>
      <c r="AL878" s="1525">
        <f t="shared" si="526"/>
        <v>0</v>
      </c>
      <c r="AM878" s="1525">
        <f t="shared" si="526"/>
        <v>1</v>
      </c>
      <c r="AN878" s="1525">
        <f t="shared" si="526"/>
        <v>0</v>
      </c>
      <c r="AO878" s="1525">
        <f t="shared" si="526"/>
        <v>0</v>
      </c>
      <c r="AP878" s="1525">
        <f t="shared" si="526"/>
        <v>0</v>
      </c>
      <c r="AQ878" s="1525">
        <f t="shared" si="526"/>
        <v>0</v>
      </c>
      <c r="AR878" s="1525">
        <f t="shared" si="526"/>
        <v>0</v>
      </c>
      <c r="AS878" s="1525">
        <f t="shared" si="526"/>
        <v>0</v>
      </c>
      <c r="AU878" s="1525"/>
      <c r="AV878" s="1295"/>
      <c r="AW878" s="1525"/>
      <c r="AX878" s="1525"/>
      <c r="AY878" s="1525"/>
      <c r="AZ878" s="1525"/>
      <c r="BA878" s="1525"/>
      <c r="BB878" s="1525"/>
      <c r="BC878" s="1525"/>
      <c r="BD878" s="1525"/>
      <c r="BE878" s="1525"/>
      <c r="BF878" s="1525"/>
      <c r="BG878" s="1525"/>
      <c r="BH878" s="1525"/>
      <c r="BI878" s="1525"/>
      <c r="BJ878" s="1525"/>
      <c r="BK878" s="1525"/>
      <c r="BL878" s="1525"/>
      <c r="BM878" s="1525"/>
      <c r="BN878" s="1525">
        <v>1</v>
      </c>
      <c r="BO878" s="1525"/>
      <c r="BP878" s="1525"/>
      <c r="BQ878" s="1525"/>
      <c r="BR878" s="1525"/>
      <c r="BS878" s="1525"/>
      <c r="BT878" s="1670">
        <f t="shared" si="527"/>
        <v>1</v>
      </c>
      <c r="BV878"/>
      <c r="BW878" s="799" t="s">
        <v>37</v>
      </c>
    </row>
    <row r="879" spans="2:75" ht="12.75" customHeight="1" x14ac:dyDescent="0.2">
      <c r="B879" s="175">
        <f>B878+1</f>
        <v>3</v>
      </c>
      <c r="C879" s="219">
        <v>12</v>
      </c>
      <c r="E879" s="12" t="s">
        <v>209</v>
      </c>
      <c r="F879" s="30" t="s">
        <v>1235</v>
      </c>
      <c r="G879" s="856" t="s">
        <v>38</v>
      </c>
      <c r="H879" s="1413">
        <v>7077</v>
      </c>
      <c r="I879" s="202" t="s">
        <v>583</v>
      </c>
      <c r="J879" s="215"/>
      <c r="K879" s="215"/>
      <c r="L879" s="858">
        <v>1</v>
      </c>
      <c r="M879" s="858">
        <f>K879+L879</f>
        <v>1</v>
      </c>
      <c r="N879" s="855" t="s">
        <v>1326</v>
      </c>
      <c r="O879" s="1196">
        <v>14540</v>
      </c>
      <c r="P879" s="1218">
        <f ca="1">YEARFRAC(TODAY(),O879)</f>
        <v>77.944444444444443</v>
      </c>
      <c r="Q879" s="1148">
        <v>22300</v>
      </c>
      <c r="R879" s="874">
        <f>Q879*0.1</f>
        <v>2230</v>
      </c>
      <c r="S879" s="875"/>
      <c r="T879" s="875"/>
      <c r="U879" s="875"/>
      <c r="V879" s="875"/>
      <c r="W879" s="875"/>
      <c r="X879" s="1026">
        <f>(Q879+R879+S879+T879+U879+V879+W879)*M879</f>
        <v>24530</v>
      </c>
      <c r="Y879" s="1512">
        <f>(T879+U879)*M879/(X879-M879*(T879+U879))</f>
        <v>0</v>
      </c>
      <c r="Z879" s="1741">
        <f>M879*(1+Y879)</f>
        <v>1</v>
      </c>
      <c r="AA879" s="1749">
        <f>SUM(AD879:AS879)</f>
        <v>1</v>
      </c>
      <c r="AB879" s="1810">
        <f t="shared" si="525"/>
        <v>100</v>
      </c>
      <c r="AC879" s="876"/>
      <c r="AD879" s="1525">
        <f t="shared" si="526"/>
        <v>0</v>
      </c>
      <c r="AE879" s="1525">
        <f t="shared" si="526"/>
        <v>0</v>
      </c>
      <c r="AF879" s="1525">
        <f t="shared" si="526"/>
        <v>0</v>
      </c>
      <c r="AG879" s="1525">
        <f t="shared" si="526"/>
        <v>0</v>
      </c>
      <c r="AH879" s="1525">
        <f t="shared" si="526"/>
        <v>0</v>
      </c>
      <c r="AI879" s="1525">
        <f t="shared" si="526"/>
        <v>0</v>
      </c>
      <c r="AJ879" s="1525">
        <f t="shared" si="526"/>
        <v>0</v>
      </c>
      <c r="AK879" s="1525">
        <f t="shared" si="526"/>
        <v>0</v>
      </c>
      <c r="AL879" s="1525">
        <f t="shared" si="526"/>
        <v>0</v>
      </c>
      <c r="AM879" s="1525">
        <f t="shared" si="526"/>
        <v>1</v>
      </c>
      <c r="AN879" s="1525">
        <f t="shared" si="526"/>
        <v>0</v>
      </c>
      <c r="AO879" s="1525">
        <f t="shared" si="526"/>
        <v>0</v>
      </c>
      <c r="AP879" s="1525">
        <f t="shared" si="526"/>
        <v>0</v>
      </c>
      <c r="AQ879" s="1525">
        <f t="shared" si="526"/>
        <v>0</v>
      </c>
      <c r="AR879" s="1525">
        <f t="shared" si="526"/>
        <v>0</v>
      </c>
      <c r="AS879" s="1525">
        <f t="shared" si="526"/>
        <v>0</v>
      </c>
      <c r="AU879" s="1525"/>
      <c r="AV879" s="1291"/>
      <c r="AW879" s="1292"/>
      <c r="AX879" s="1292"/>
      <c r="AY879" s="1292"/>
      <c r="AZ879" s="1292"/>
      <c r="BA879" s="1292"/>
      <c r="BB879" s="1292"/>
      <c r="BC879" s="1292"/>
      <c r="BD879" s="1292"/>
      <c r="BE879" s="1292"/>
      <c r="BF879" s="1292"/>
      <c r="BG879" s="1292"/>
      <c r="BH879" s="1292"/>
      <c r="BI879" s="1292"/>
      <c r="BJ879" s="1292"/>
      <c r="BK879" s="1292"/>
      <c r="BL879" s="1292"/>
      <c r="BM879" s="1292"/>
      <c r="BN879" s="1292">
        <v>1</v>
      </c>
      <c r="BO879" s="1292"/>
      <c r="BP879" s="1292"/>
      <c r="BQ879" s="1292"/>
      <c r="BR879" s="1292"/>
      <c r="BS879" s="1292"/>
      <c r="BT879" s="1670">
        <f t="shared" si="527"/>
        <v>1</v>
      </c>
      <c r="BW879" s="856" t="s">
        <v>38</v>
      </c>
    </row>
    <row r="880" spans="2:75" ht="12.75" customHeight="1" x14ac:dyDescent="0.2">
      <c r="B880" s="175">
        <f>B879+1</f>
        <v>4</v>
      </c>
      <c r="C880" s="219">
        <v>26</v>
      </c>
      <c r="E880" s="12" t="s">
        <v>209</v>
      </c>
      <c r="F880" s="24" t="s">
        <v>41</v>
      </c>
      <c r="G880" s="856" t="s">
        <v>39</v>
      </c>
      <c r="H880" s="1413">
        <v>48947</v>
      </c>
      <c r="I880" s="200" t="s">
        <v>583</v>
      </c>
      <c r="J880" s="189"/>
      <c r="K880" s="189"/>
      <c r="L880" s="858">
        <v>1</v>
      </c>
      <c r="M880" s="858">
        <f>K880+L880</f>
        <v>1</v>
      </c>
      <c r="N880" s="857" t="s">
        <v>892</v>
      </c>
      <c r="O880" s="1196">
        <v>20267</v>
      </c>
      <c r="P880" s="1218">
        <f ca="1">YEARFRAC(TODAY(),O880)</f>
        <v>62.263888888888886</v>
      </c>
      <c r="Q880" s="1148">
        <v>25000</v>
      </c>
      <c r="R880" s="874"/>
      <c r="S880" s="875"/>
      <c r="T880" s="875"/>
      <c r="U880" s="875"/>
      <c r="V880" s="875"/>
      <c r="W880" s="875"/>
      <c r="X880" s="1026">
        <f>(Q880+R880+S880+T880+U880+V880+W880)*M880</f>
        <v>25000</v>
      </c>
      <c r="Y880" s="1512">
        <f>(T880+U880)*M880/(X880-M880*(T880+U880))</f>
        <v>0</v>
      </c>
      <c r="Z880" s="1741">
        <f>M880*(1+Y880)</f>
        <v>1</v>
      </c>
      <c r="AA880" s="1749">
        <f>SUM(AD880:AS880)</f>
        <v>1</v>
      </c>
      <c r="AB880" s="1810">
        <f t="shared" si="525"/>
        <v>100</v>
      </c>
      <c r="AC880" s="876"/>
      <c r="AD880" s="1525">
        <f t="shared" si="526"/>
        <v>0</v>
      </c>
      <c r="AE880" s="1525">
        <f t="shared" si="526"/>
        <v>0</v>
      </c>
      <c r="AF880" s="1525">
        <f t="shared" si="526"/>
        <v>0</v>
      </c>
      <c r="AG880" s="1525">
        <f t="shared" si="526"/>
        <v>0</v>
      </c>
      <c r="AH880" s="1525">
        <f t="shared" si="526"/>
        <v>0</v>
      </c>
      <c r="AI880" s="1525">
        <f t="shared" si="526"/>
        <v>0</v>
      </c>
      <c r="AJ880" s="1525">
        <f t="shared" si="526"/>
        <v>0</v>
      </c>
      <c r="AK880" s="1525">
        <f t="shared" si="526"/>
        <v>0</v>
      </c>
      <c r="AL880" s="1525">
        <f t="shared" si="526"/>
        <v>0</v>
      </c>
      <c r="AM880" s="1525">
        <f t="shared" si="526"/>
        <v>1</v>
      </c>
      <c r="AN880" s="1525">
        <f t="shared" si="526"/>
        <v>0</v>
      </c>
      <c r="AO880" s="1525">
        <f t="shared" si="526"/>
        <v>0</v>
      </c>
      <c r="AP880" s="1525">
        <f t="shared" si="526"/>
        <v>0</v>
      </c>
      <c r="AQ880" s="1525">
        <f t="shared" si="526"/>
        <v>0</v>
      </c>
      <c r="AR880" s="1525">
        <f t="shared" si="526"/>
        <v>0</v>
      </c>
      <c r="AS880" s="1525">
        <f t="shared" si="526"/>
        <v>0</v>
      </c>
      <c r="AU880" s="1525"/>
      <c r="AV880" s="1291"/>
      <c r="AW880" s="1292"/>
      <c r="AX880" s="1292"/>
      <c r="AY880" s="1292"/>
      <c r="AZ880" s="1292"/>
      <c r="BA880" s="1292"/>
      <c r="BB880" s="1292"/>
      <c r="BC880" s="1292"/>
      <c r="BD880" s="1292"/>
      <c r="BE880" s="1292"/>
      <c r="BF880" s="1292"/>
      <c r="BG880" s="1292"/>
      <c r="BH880" s="1292"/>
      <c r="BI880" s="1292"/>
      <c r="BJ880" s="1292"/>
      <c r="BK880" s="1292"/>
      <c r="BL880" s="1292"/>
      <c r="BM880" s="1292"/>
      <c r="BN880" s="1292">
        <v>1</v>
      </c>
      <c r="BO880" s="1292"/>
      <c r="BP880" s="1292"/>
      <c r="BQ880" s="1292"/>
      <c r="BR880" s="1292"/>
      <c r="BS880" s="1292"/>
      <c r="BT880" s="1670">
        <f t="shared" si="527"/>
        <v>1</v>
      </c>
      <c r="BW880" s="856" t="s">
        <v>39</v>
      </c>
    </row>
    <row r="881" spans="2:75" ht="12.75" customHeight="1" x14ac:dyDescent="0.2">
      <c r="B881" s="175">
        <f>B880+1</f>
        <v>5</v>
      </c>
      <c r="C881" s="219">
        <v>16</v>
      </c>
      <c r="E881" s="12" t="s">
        <v>209</v>
      </c>
      <c r="F881" s="26" t="s">
        <v>9</v>
      </c>
      <c r="G881" s="945" t="s">
        <v>133</v>
      </c>
      <c r="H881" s="1414">
        <v>97739</v>
      </c>
      <c r="I881" s="196" t="s">
        <v>583</v>
      </c>
      <c r="J881" s="195"/>
      <c r="K881" s="195"/>
      <c r="L881" s="873">
        <v>1</v>
      </c>
      <c r="M881" s="873">
        <f>K881+L881</f>
        <v>1</v>
      </c>
      <c r="N881" s="872" t="s">
        <v>1402</v>
      </c>
      <c r="O881" s="1196">
        <v>24892</v>
      </c>
      <c r="P881" s="1218">
        <f ca="1">YEARFRAC(TODAY(),O881)</f>
        <v>49.605555555555554</v>
      </c>
      <c r="Q881" s="1148">
        <v>22000</v>
      </c>
      <c r="R881" s="874">
        <f>Q881*0.1</f>
        <v>2200</v>
      </c>
      <c r="S881" s="875"/>
      <c r="T881" s="875"/>
      <c r="U881" s="875"/>
      <c r="V881" s="875"/>
      <c r="W881" s="875"/>
      <c r="X881" s="1026">
        <f>(Q881+R881+S881+T881+U881+V881+W881)*M881</f>
        <v>24200</v>
      </c>
      <c r="Y881" s="1512">
        <f>(T881+U881)*M881/(X881-M881*(T881+U881))</f>
        <v>0</v>
      </c>
      <c r="Z881" s="1741">
        <f>M881*(1+Y881)</f>
        <v>1</v>
      </c>
      <c r="AA881" s="1749">
        <f>SUM(AD881:AS881)</f>
        <v>0</v>
      </c>
      <c r="AB881" s="1810">
        <f t="shared" si="525"/>
        <v>0</v>
      </c>
      <c r="AC881" s="876"/>
      <c r="AD881" s="1525">
        <f t="shared" si="526"/>
        <v>0</v>
      </c>
      <c r="AE881" s="1525">
        <f t="shared" si="526"/>
        <v>0</v>
      </c>
      <c r="AF881" s="1525">
        <f t="shared" si="526"/>
        <v>0</v>
      </c>
      <c r="AG881" s="1525">
        <f t="shared" si="526"/>
        <v>0</v>
      </c>
      <c r="AH881" s="1525">
        <f t="shared" si="526"/>
        <v>0</v>
      </c>
      <c r="AI881" s="1525">
        <f t="shared" si="526"/>
        <v>0</v>
      </c>
      <c r="AJ881" s="1525">
        <f t="shared" si="526"/>
        <v>0</v>
      </c>
      <c r="AK881" s="1525">
        <f t="shared" si="526"/>
        <v>0</v>
      </c>
      <c r="AL881" s="1525">
        <f t="shared" si="526"/>
        <v>0</v>
      </c>
      <c r="AM881" s="1525">
        <f t="shared" si="526"/>
        <v>0</v>
      </c>
      <c r="AN881" s="1525">
        <f t="shared" si="526"/>
        <v>0</v>
      </c>
      <c r="AO881" s="1525">
        <f t="shared" si="526"/>
        <v>0</v>
      </c>
      <c r="AP881" s="1525">
        <f t="shared" si="526"/>
        <v>0</v>
      </c>
      <c r="AQ881" s="1525">
        <f t="shared" si="526"/>
        <v>0</v>
      </c>
      <c r="AR881" s="1525">
        <f t="shared" si="526"/>
        <v>0</v>
      </c>
      <c r="AS881" s="1525">
        <f t="shared" si="526"/>
        <v>0</v>
      </c>
      <c r="AU881" s="1525"/>
      <c r="AV881" s="1291"/>
      <c r="AW881" s="1292"/>
      <c r="AX881" s="1292"/>
      <c r="AY881" s="1292"/>
      <c r="AZ881" s="1292"/>
      <c r="BA881" s="1292"/>
      <c r="BB881" s="1292"/>
      <c r="BC881" s="1292"/>
      <c r="BD881" s="1292"/>
      <c r="BE881" s="1292"/>
      <c r="BF881" s="1292"/>
      <c r="BG881" s="1292"/>
      <c r="BH881" s="1292"/>
      <c r="BI881" s="1292"/>
      <c r="BJ881" s="1292"/>
      <c r="BK881" s="1292"/>
      <c r="BL881" s="1292"/>
      <c r="BM881" s="1292"/>
      <c r="BN881" s="1292"/>
      <c r="BO881" s="1292"/>
      <c r="BP881" s="1292"/>
      <c r="BQ881" s="1292"/>
      <c r="BR881" s="1292"/>
      <c r="BS881" s="1292"/>
      <c r="BT881" s="1670">
        <f t="shared" si="527"/>
        <v>0</v>
      </c>
      <c r="BW881" s="945" t="s">
        <v>133</v>
      </c>
    </row>
    <row r="882" spans="2:75" s="164" customFormat="1" ht="12.75" customHeight="1" x14ac:dyDescent="0.15">
      <c r="B882" s="175"/>
      <c r="C882" s="219" t="s">
        <v>1120</v>
      </c>
      <c r="F882" s="24" t="s">
        <v>1459</v>
      </c>
      <c r="G882" s="856"/>
      <c r="H882" s="1413" t="s">
        <v>1508</v>
      </c>
      <c r="I882" s="200"/>
      <c r="J882" s="189"/>
      <c r="K882" s="190">
        <f>SUM(K877:K881)</f>
        <v>0</v>
      </c>
      <c r="L882" s="858">
        <f>SUM(L877:L881)</f>
        <v>5</v>
      </c>
      <c r="M882" s="858">
        <f>SUM(M877:M881)</f>
        <v>5</v>
      </c>
      <c r="N882" s="857"/>
      <c r="O882" s="1200"/>
      <c r="P882" s="550"/>
      <c r="Q882" s="1153"/>
      <c r="R882" s="877"/>
      <c r="S882" s="875"/>
      <c r="T882" s="875"/>
      <c r="U882" s="875"/>
      <c r="V882" s="875"/>
      <c r="W882" s="875"/>
      <c r="X882" s="1026"/>
      <c r="Y882" s="1335"/>
      <c r="Z882" s="1335"/>
      <c r="AA882" s="1775"/>
      <c r="AB882" s="1814"/>
      <c r="AC882" s="876"/>
      <c r="AD882" s="1295"/>
      <c r="AE882" s="1525"/>
      <c r="AF882" s="1525"/>
      <c r="AG882" s="1525"/>
      <c r="AH882" s="1525"/>
      <c r="AI882" s="1525"/>
      <c r="AJ882" s="1525"/>
      <c r="AK882" s="1525"/>
      <c r="AL882" s="1525"/>
      <c r="AM882" s="1525"/>
      <c r="AN882" s="1525"/>
      <c r="AO882" s="1525"/>
      <c r="AP882" s="1525"/>
      <c r="AQ882" s="1525"/>
      <c r="AR882" s="1525"/>
      <c r="AS882" s="1525"/>
      <c r="AU882" s="1525"/>
      <c r="AV882" s="1295"/>
      <c r="AW882" s="1525"/>
      <c r="AX882" s="1525"/>
      <c r="AY882" s="1525"/>
      <c r="AZ882" s="1525"/>
      <c r="BA882" s="1525"/>
      <c r="BB882" s="1525"/>
      <c r="BC882" s="1525"/>
      <c r="BD882" s="1525"/>
      <c r="BE882" s="1525"/>
      <c r="BF882" s="1525"/>
      <c r="BG882" s="1525"/>
      <c r="BH882" s="1525"/>
      <c r="BI882" s="1525"/>
      <c r="BJ882" s="1525"/>
      <c r="BK882" s="1525"/>
      <c r="BL882" s="1525"/>
      <c r="BM882" s="1525"/>
      <c r="BN882" s="1525"/>
      <c r="BO882" s="1525"/>
      <c r="BP882" s="1525"/>
      <c r="BQ882" s="1525"/>
      <c r="BR882" s="1525"/>
      <c r="BS882" s="1525"/>
      <c r="BT882" s="1670"/>
      <c r="BV882"/>
      <c r="BW882" s="856"/>
    </row>
    <row r="883" spans="2:75" s="164" customFormat="1" ht="12.75" customHeight="1" x14ac:dyDescent="0.15">
      <c r="B883" s="175"/>
      <c r="F883" s="4"/>
      <c r="G883" s="844"/>
      <c r="H883" s="1412" t="s">
        <v>1508</v>
      </c>
      <c r="I883" s="197"/>
      <c r="J883" s="174"/>
      <c r="K883" s="174"/>
      <c r="L883" s="861"/>
      <c r="M883" s="861"/>
      <c r="N883" s="836"/>
      <c r="O883" s="1200"/>
      <c r="P883" s="550"/>
      <c r="Q883" s="1148"/>
      <c r="R883" s="874"/>
      <c r="S883" s="875"/>
      <c r="T883" s="875"/>
      <c r="U883" s="875"/>
      <c r="V883" s="875"/>
      <c r="W883" s="875"/>
      <c r="X883" s="1026"/>
      <c r="Y883" s="1754"/>
      <c r="Z883" s="1755"/>
      <c r="AA883" s="1775"/>
      <c r="AB883" s="1814"/>
      <c r="AC883" s="876"/>
      <c r="AD883" s="1295"/>
      <c r="AE883" s="1525"/>
      <c r="AF883" s="1525"/>
      <c r="AG883" s="1525"/>
      <c r="AH883" s="1525"/>
      <c r="AI883" s="1525"/>
      <c r="AJ883" s="1525"/>
      <c r="AK883" s="1525"/>
      <c r="AL883" s="1525"/>
      <c r="AM883" s="1525"/>
      <c r="AN883" s="1525"/>
      <c r="AO883" s="1525"/>
      <c r="AP883" s="1525"/>
      <c r="AQ883" s="1525"/>
      <c r="AR883" s="1525"/>
      <c r="AS883" s="1525"/>
      <c r="AU883" s="1525"/>
      <c r="AV883" s="1295"/>
      <c r="AW883" s="1525"/>
      <c r="AX883" s="1525"/>
      <c r="AY883" s="1525"/>
      <c r="AZ883" s="1525"/>
      <c r="BA883" s="1525"/>
      <c r="BB883" s="1525"/>
      <c r="BC883" s="1525"/>
      <c r="BD883" s="1525"/>
      <c r="BE883" s="1525"/>
      <c r="BF883" s="1525"/>
      <c r="BG883" s="1525"/>
      <c r="BH883" s="1525"/>
      <c r="BI883" s="1525"/>
      <c r="BJ883" s="1525"/>
      <c r="BK883" s="1525"/>
      <c r="BL883" s="1525"/>
      <c r="BM883" s="1525"/>
      <c r="BN883" s="1525"/>
      <c r="BO883" s="1525"/>
      <c r="BP883" s="1525"/>
      <c r="BQ883" s="1525"/>
      <c r="BR883" s="1525"/>
      <c r="BS883" s="1525"/>
      <c r="BT883" s="1670"/>
      <c r="BV883"/>
      <c r="BW883" s="844"/>
    </row>
    <row r="884" spans="2:75" s="164" customFormat="1" ht="12.75" customHeight="1" x14ac:dyDescent="0.15">
      <c r="B884" s="175"/>
      <c r="F884" s="24" t="s">
        <v>40</v>
      </c>
      <c r="G884" s="856"/>
      <c r="H884" s="1418" t="s">
        <v>1508</v>
      </c>
      <c r="I884" s="200"/>
      <c r="J884" s="189"/>
      <c r="K884" s="189"/>
      <c r="L884" s="897"/>
      <c r="M884" s="897"/>
      <c r="N884" s="857"/>
      <c r="O884" s="1200"/>
      <c r="P884" s="550"/>
      <c r="Q884" s="1148"/>
      <c r="R884" s="874"/>
      <c r="S884" s="875"/>
      <c r="T884" s="875"/>
      <c r="U884" s="875"/>
      <c r="V884" s="875"/>
      <c r="W884" s="875"/>
      <c r="X884" s="1026"/>
      <c r="Y884" s="1754"/>
      <c r="Z884" s="1755"/>
      <c r="AA884" s="1775"/>
      <c r="AB884" s="1814"/>
      <c r="AC884" s="876"/>
      <c r="AD884" s="1295"/>
      <c r="AE884" s="1525"/>
      <c r="AF884" s="1525"/>
      <c r="AG884" s="1525"/>
      <c r="AH884" s="1525"/>
      <c r="AI884" s="1525"/>
      <c r="AJ884" s="1525"/>
      <c r="AK884" s="1525"/>
      <c r="AL884" s="1525"/>
      <c r="AM884" s="1525"/>
      <c r="AN884" s="1525"/>
      <c r="AO884" s="1525"/>
      <c r="AP884" s="1525"/>
      <c r="AQ884" s="1525"/>
      <c r="AR884" s="1525"/>
      <c r="AS884" s="1525"/>
      <c r="AU884" s="1525"/>
      <c r="AV884" s="1295"/>
      <c r="AW884" s="1525"/>
      <c r="AX884" s="1525"/>
      <c r="AY884" s="1525"/>
      <c r="AZ884" s="1525"/>
      <c r="BA884" s="1525"/>
      <c r="BB884" s="1525"/>
      <c r="BC884" s="1525"/>
      <c r="BD884" s="1525"/>
      <c r="BE884" s="1525"/>
      <c r="BF884" s="1525"/>
      <c r="BG884" s="1525"/>
      <c r="BH884" s="1525"/>
      <c r="BI884" s="1525"/>
      <c r="BJ884" s="1525"/>
      <c r="BK884" s="1525"/>
      <c r="BL884" s="1525"/>
      <c r="BM884" s="1525"/>
      <c r="BN884" s="1525"/>
      <c r="BO884" s="1525"/>
      <c r="BP884" s="1525"/>
      <c r="BQ884" s="1525"/>
      <c r="BR884" s="1525"/>
      <c r="BS884" s="1525"/>
      <c r="BT884" s="1670"/>
      <c r="BV884"/>
      <c r="BW884" s="856"/>
    </row>
    <row r="885" spans="2:75" s="164" customFormat="1" ht="12.75" customHeight="1" x14ac:dyDescent="0.15">
      <c r="B885" s="175"/>
      <c r="F885" s="24" t="s">
        <v>278</v>
      </c>
      <c r="G885" s="859"/>
      <c r="H885" s="1413" t="s">
        <v>1508</v>
      </c>
      <c r="I885" s="200"/>
      <c r="J885" s="189"/>
      <c r="K885" s="189"/>
      <c r="L885" s="858"/>
      <c r="M885" s="858"/>
      <c r="N885" s="857"/>
      <c r="O885" s="1200"/>
      <c r="P885" s="550"/>
      <c r="Q885" s="1148"/>
      <c r="R885" s="874"/>
      <c r="S885" s="875"/>
      <c r="T885" s="875"/>
      <c r="U885" s="875"/>
      <c r="V885" s="875"/>
      <c r="W885" s="875"/>
      <c r="X885" s="1026"/>
      <c r="Y885" s="1754"/>
      <c r="Z885" s="1755"/>
      <c r="AA885" s="1775"/>
      <c r="AB885" s="1814"/>
      <c r="AC885" s="876"/>
      <c r="AD885" s="1295"/>
      <c r="AE885" s="1525"/>
      <c r="AF885" s="1525"/>
      <c r="AG885" s="1525"/>
      <c r="AH885" s="1525"/>
      <c r="AI885" s="1525"/>
      <c r="AJ885" s="1525"/>
      <c r="AK885" s="1525"/>
      <c r="AL885" s="1525"/>
      <c r="AM885" s="1525"/>
      <c r="AN885" s="1525"/>
      <c r="AO885" s="1525"/>
      <c r="AP885" s="1525"/>
      <c r="AQ885" s="1525"/>
      <c r="AR885" s="1525"/>
      <c r="AS885" s="1525"/>
      <c r="AU885" s="1525"/>
      <c r="AV885" s="1295"/>
      <c r="AW885" s="1525"/>
      <c r="AX885" s="1525"/>
      <c r="AY885" s="1525"/>
      <c r="AZ885" s="1525"/>
      <c r="BA885" s="1525"/>
      <c r="BB885" s="1525"/>
      <c r="BC885" s="1525"/>
      <c r="BD885" s="1525"/>
      <c r="BE885" s="1525"/>
      <c r="BF885" s="1525"/>
      <c r="BG885" s="1525"/>
      <c r="BH885" s="1525"/>
      <c r="BI885" s="1525"/>
      <c r="BJ885" s="1525"/>
      <c r="BK885" s="1525"/>
      <c r="BL885" s="1525"/>
      <c r="BM885" s="1525"/>
      <c r="BN885" s="1525"/>
      <c r="BO885" s="1525"/>
      <c r="BP885" s="1525"/>
      <c r="BQ885" s="1525"/>
      <c r="BR885" s="1525"/>
      <c r="BS885" s="1525"/>
      <c r="BT885" s="1670"/>
      <c r="BV885"/>
      <c r="BW885" s="859"/>
    </row>
    <row r="886" spans="2:75" s="164" customFormat="1" ht="12.75" customHeight="1" x14ac:dyDescent="0.15">
      <c r="B886" s="175"/>
      <c r="F886" s="24"/>
      <c r="G886" s="859"/>
      <c r="H886" s="1413" t="s">
        <v>1508</v>
      </c>
      <c r="I886" s="200"/>
      <c r="J886" s="189"/>
      <c r="K886" s="189"/>
      <c r="L886" s="858"/>
      <c r="M886" s="858"/>
      <c r="N886" s="857"/>
      <c r="O886" s="1200"/>
      <c r="P886" s="550"/>
      <c r="Q886" s="1148"/>
      <c r="R886" s="874"/>
      <c r="S886" s="875"/>
      <c r="T886" s="875"/>
      <c r="U886" s="875"/>
      <c r="V886" s="875"/>
      <c r="W886" s="875"/>
      <c r="X886" s="1026"/>
      <c r="Y886" s="1754"/>
      <c r="Z886" s="1755"/>
      <c r="AA886" s="1775"/>
      <c r="AB886" s="1814"/>
      <c r="AC886" s="876"/>
      <c r="AD886" s="1295"/>
      <c r="AE886" s="1525"/>
      <c r="AF886" s="1525"/>
      <c r="AG886" s="1525"/>
      <c r="AH886" s="1525"/>
      <c r="AI886" s="1525"/>
      <c r="AJ886" s="1525"/>
      <c r="AK886" s="1525"/>
      <c r="AL886" s="1525"/>
      <c r="AM886" s="1525"/>
      <c r="AN886" s="1525"/>
      <c r="AO886" s="1525"/>
      <c r="AP886" s="1525"/>
      <c r="AQ886" s="1525"/>
      <c r="AR886" s="1525"/>
      <c r="AS886" s="1525"/>
      <c r="AU886" s="1525"/>
      <c r="AV886" s="1295"/>
      <c r="AW886" s="1525"/>
      <c r="AX886" s="1525"/>
      <c r="AY886" s="1525"/>
      <c r="AZ886" s="1525"/>
      <c r="BA886" s="1525"/>
      <c r="BB886" s="1525"/>
      <c r="BC886" s="1525"/>
      <c r="BD886" s="1525"/>
      <c r="BE886" s="1525"/>
      <c r="BF886" s="1525"/>
      <c r="BG886" s="1525"/>
      <c r="BH886" s="1525"/>
      <c r="BI886" s="1525"/>
      <c r="BJ886" s="1525"/>
      <c r="BK886" s="1525"/>
      <c r="BL886" s="1525"/>
      <c r="BM886" s="1525"/>
      <c r="BN886" s="1525"/>
      <c r="BO886" s="1525"/>
      <c r="BP886" s="1525"/>
      <c r="BQ886" s="1525"/>
      <c r="BR886" s="1525"/>
      <c r="BS886" s="1525"/>
      <c r="BT886" s="1670"/>
      <c r="BV886"/>
      <c r="BW886" s="859"/>
    </row>
    <row r="887" spans="2:75" ht="12.75" customHeight="1" x14ac:dyDescent="0.2">
      <c r="B887" s="175">
        <f>B886+1</f>
        <v>1</v>
      </c>
      <c r="C887" s="219">
        <v>7</v>
      </c>
      <c r="E887" s="12" t="s">
        <v>209</v>
      </c>
      <c r="F887" s="30" t="s">
        <v>1334</v>
      </c>
      <c r="G887" s="859" t="s">
        <v>279</v>
      </c>
      <c r="H887" s="1420">
        <v>7513</v>
      </c>
      <c r="I887" s="200" t="s">
        <v>351</v>
      </c>
      <c r="L887" s="843">
        <v>0.5</v>
      </c>
      <c r="M887" s="902">
        <v>0.5</v>
      </c>
      <c r="N887" s="952" t="s">
        <v>892</v>
      </c>
      <c r="O887" s="1196">
        <v>15235</v>
      </c>
      <c r="P887" s="1218">
        <f ca="1">YEARFRAC(TODAY(),O887)</f>
        <v>76.044444444444451</v>
      </c>
      <c r="Q887" s="1148">
        <v>48050</v>
      </c>
      <c r="R887" s="874"/>
      <c r="S887" s="875">
        <v>3000</v>
      </c>
      <c r="T887" s="875">
        <v>10400</v>
      </c>
      <c r="U887" s="875"/>
      <c r="V887" s="875"/>
      <c r="W887" s="875"/>
      <c r="X887" s="1026">
        <f>(Q887+R887+S887+T887+U887+V887+W887)*M887</f>
        <v>30725</v>
      </c>
      <c r="Y887" s="1512">
        <f>(T887+U887)*M887/(X887-M887*(T887+U887))</f>
        <v>0.20372184133202742</v>
      </c>
      <c r="Z887" s="1741">
        <f>M887*(1+Y887)</f>
        <v>0.60186092066601371</v>
      </c>
      <c r="AA887" s="1749">
        <f>SUM(AD887:AS887)</f>
        <v>0</v>
      </c>
      <c r="AB887" s="1810">
        <f t="shared" ref="AB887:AB889" si="528">100*AA887/Z887</f>
        <v>0</v>
      </c>
      <c r="AC887" s="876"/>
      <c r="AD887" s="1525">
        <f t="shared" ref="AD887:AS889" si="529">SUMIF($AV$6:$BS$6,AD$5,$AV887:$BS887)</f>
        <v>0</v>
      </c>
      <c r="AE887" s="1525">
        <f t="shared" si="529"/>
        <v>0</v>
      </c>
      <c r="AF887" s="1525">
        <f t="shared" si="529"/>
        <v>0</v>
      </c>
      <c r="AG887" s="1525">
        <f t="shared" si="529"/>
        <v>0</v>
      </c>
      <c r="AH887" s="1525">
        <f t="shared" si="529"/>
        <v>0</v>
      </c>
      <c r="AI887" s="1525">
        <f t="shared" si="529"/>
        <v>0</v>
      </c>
      <c r="AJ887" s="1525">
        <f t="shared" si="529"/>
        <v>0</v>
      </c>
      <c r="AK887" s="1525">
        <f t="shared" si="529"/>
        <v>0</v>
      </c>
      <c r="AL887" s="1525">
        <f t="shared" si="529"/>
        <v>0</v>
      </c>
      <c r="AM887" s="1525">
        <f t="shared" si="529"/>
        <v>0</v>
      </c>
      <c r="AN887" s="1525">
        <f t="shared" si="529"/>
        <v>0</v>
      </c>
      <c r="AO887" s="1525">
        <f t="shared" si="529"/>
        <v>0</v>
      </c>
      <c r="AP887" s="1525">
        <f t="shared" si="529"/>
        <v>0</v>
      </c>
      <c r="AQ887" s="1525">
        <f t="shared" si="529"/>
        <v>0</v>
      </c>
      <c r="AR887" s="1525">
        <f t="shared" si="529"/>
        <v>0</v>
      </c>
      <c r="AS887" s="1525">
        <f t="shared" si="529"/>
        <v>0</v>
      </c>
      <c r="AU887" s="1525"/>
      <c r="AV887" s="1291"/>
      <c r="AW887" s="1292"/>
      <c r="AX887" s="1292"/>
      <c r="AY887" s="1292"/>
      <c r="AZ887" s="1292"/>
      <c r="BA887" s="1292"/>
      <c r="BB887" s="1292"/>
      <c r="BC887" s="1292"/>
      <c r="BD887" s="1292"/>
      <c r="BE887" s="1292"/>
      <c r="BF887" s="1292"/>
      <c r="BG887" s="1292"/>
      <c r="BH887" s="1292"/>
      <c r="BI887" s="1292"/>
      <c r="BJ887" s="1292"/>
      <c r="BK887" s="1292"/>
      <c r="BL887" s="1292"/>
      <c r="BM887" s="1292"/>
      <c r="BN887" s="1292"/>
      <c r="BO887" s="1292"/>
      <c r="BP887" s="1292"/>
      <c r="BQ887" s="1292"/>
      <c r="BR887" s="1292"/>
      <c r="BS887" s="1292"/>
      <c r="BT887" s="1670">
        <f t="shared" ref="BT887:BT889" si="530">SUM(AV887:BS887)</f>
        <v>0</v>
      </c>
      <c r="BW887" s="859" t="s">
        <v>279</v>
      </c>
    </row>
    <row r="888" spans="2:75" ht="12.75" customHeight="1" x14ac:dyDescent="0.2">
      <c r="B888" s="175">
        <f t="shared" ref="B888:B928" si="531">B887+1</f>
        <v>2</v>
      </c>
      <c r="C888" s="219">
        <v>8</v>
      </c>
      <c r="E888" s="12" t="s">
        <v>209</v>
      </c>
      <c r="F888" t="s">
        <v>919</v>
      </c>
      <c r="G888" s="859" t="s">
        <v>280</v>
      </c>
      <c r="H888" s="1413">
        <v>6052</v>
      </c>
      <c r="I888" s="200" t="s">
        <v>351</v>
      </c>
      <c r="L888" s="843">
        <v>1</v>
      </c>
      <c r="M888" s="858">
        <f>K888+L888</f>
        <v>1</v>
      </c>
      <c r="N888" s="952" t="s">
        <v>1326</v>
      </c>
      <c r="O888" s="1196">
        <v>16246</v>
      </c>
      <c r="P888" s="1218">
        <f ca="1">YEARFRAC(TODAY(),O888)</f>
        <v>73.275000000000006</v>
      </c>
      <c r="Q888" s="1148">
        <v>21200</v>
      </c>
      <c r="R888" s="874">
        <f>Q888*0.1</f>
        <v>2120</v>
      </c>
      <c r="S888" s="875">
        <v>3000</v>
      </c>
      <c r="T888" s="875"/>
      <c r="U888" s="875"/>
      <c r="V888" s="875"/>
      <c r="W888" s="875"/>
      <c r="X888" s="1026">
        <f>(Q888+R888+S888+T888+U888+V888+W888)*M888</f>
        <v>26320</v>
      </c>
      <c r="Y888" s="1512">
        <f>(T888+U888)*M888/(X888-M888*(T888+U888))</f>
        <v>0</v>
      </c>
      <c r="Z888" s="1741">
        <f>M888*(1+Y888)</f>
        <v>1</v>
      </c>
      <c r="AA888" s="1749">
        <f>SUM(AD888:AS888)</f>
        <v>0</v>
      </c>
      <c r="AB888" s="1810">
        <f t="shared" si="528"/>
        <v>0</v>
      </c>
      <c r="AC888" s="876"/>
      <c r="AD888" s="1525">
        <f t="shared" si="529"/>
        <v>0</v>
      </c>
      <c r="AE888" s="1525">
        <f t="shared" si="529"/>
        <v>0</v>
      </c>
      <c r="AF888" s="1525">
        <f t="shared" si="529"/>
        <v>0</v>
      </c>
      <c r="AG888" s="1525">
        <f t="shared" si="529"/>
        <v>0</v>
      </c>
      <c r="AH888" s="1525">
        <f t="shared" si="529"/>
        <v>0</v>
      </c>
      <c r="AI888" s="1525">
        <f t="shared" si="529"/>
        <v>0</v>
      </c>
      <c r="AJ888" s="1525">
        <f t="shared" si="529"/>
        <v>0</v>
      </c>
      <c r="AK888" s="1525">
        <f t="shared" si="529"/>
        <v>0</v>
      </c>
      <c r="AL888" s="1525">
        <f t="shared" si="529"/>
        <v>0</v>
      </c>
      <c r="AM888" s="1525">
        <f t="shared" si="529"/>
        <v>0</v>
      </c>
      <c r="AN888" s="1525">
        <f t="shared" si="529"/>
        <v>0</v>
      </c>
      <c r="AO888" s="1525">
        <f t="shared" si="529"/>
        <v>0</v>
      </c>
      <c r="AP888" s="1525">
        <f t="shared" si="529"/>
        <v>0</v>
      </c>
      <c r="AQ888" s="1525">
        <f t="shared" si="529"/>
        <v>0</v>
      </c>
      <c r="AR888" s="1525">
        <f t="shared" si="529"/>
        <v>0</v>
      </c>
      <c r="AS888" s="1525">
        <f t="shared" si="529"/>
        <v>0</v>
      </c>
      <c r="AU888" s="1525"/>
      <c r="AV888" s="1291"/>
      <c r="AW888" s="1292"/>
      <c r="AX888" s="1292"/>
      <c r="AY888" s="1292"/>
      <c r="AZ888" s="1292"/>
      <c r="BA888" s="1292"/>
      <c r="BB888" s="1292"/>
      <c r="BC888" s="1292"/>
      <c r="BD888" s="1292"/>
      <c r="BE888" s="1292"/>
      <c r="BF888" s="1292"/>
      <c r="BG888" s="1292"/>
      <c r="BH888" s="1292"/>
      <c r="BI888" s="1292"/>
      <c r="BJ888" s="1292"/>
      <c r="BK888" s="1292"/>
      <c r="BL888" s="1292"/>
      <c r="BM888" s="1292"/>
      <c r="BN888" s="1292"/>
      <c r="BO888" s="1292"/>
      <c r="BP888" s="1292"/>
      <c r="BQ888" s="1292"/>
      <c r="BR888" s="1292"/>
      <c r="BS888" s="1292"/>
      <c r="BT888" s="1670">
        <f t="shared" si="530"/>
        <v>0</v>
      </c>
      <c r="BW888" s="859" t="s">
        <v>280</v>
      </c>
    </row>
    <row r="889" spans="2:75" ht="12.75" customHeight="1" x14ac:dyDescent="0.2">
      <c r="B889" s="175">
        <f t="shared" si="531"/>
        <v>3</v>
      </c>
      <c r="C889" s="219">
        <v>8</v>
      </c>
      <c r="E889" s="12" t="s">
        <v>209</v>
      </c>
      <c r="F889" t="s">
        <v>919</v>
      </c>
      <c r="G889" s="859" t="s">
        <v>281</v>
      </c>
      <c r="H889" s="1413">
        <v>232211</v>
      </c>
      <c r="I889" s="200" t="s">
        <v>351</v>
      </c>
      <c r="J889" s="168"/>
      <c r="K889" s="168"/>
      <c r="L889" s="843">
        <v>1</v>
      </c>
      <c r="M889" s="858">
        <f>K889+L889</f>
        <v>1</v>
      </c>
      <c r="N889" s="952" t="s">
        <v>1326</v>
      </c>
      <c r="O889" s="1196">
        <v>26686</v>
      </c>
      <c r="P889" s="1218">
        <f ca="1">YEARFRAC(TODAY(),O889)</f>
        <v>44.694444444444443</v>
      </c>
      <c r="Q889" s="1148">
        <v>33300</v>
      </c>
      <c r="R889" s="874">
        <f>Q889*0.1</f>
        <v>3330</v>
      </c>
      <c r="S889" s="875"/>
      <c r="T889" s="875"/>
      <c r="U889" s="875">
        <v>4000</v>
      </c>
      <c r="V889" s="875"/>
      <c r="W889" s="875"/>
      <c r="X889" s="1026">
        <f>(Q889+R889+S889+T889+U889+V889+W889)*M889</f>
        <v>40630</v>
      </c>
      <c r="Y889" s="1512">
        <f>(T889+U889)*M889/(X889-M889*(T889+U889))</f>
        <v>0.1092001092001092</v>
      </c>
      <c r="Z889" s="1741">
        <f>M889*(1+Y889)</f>
        <v>1.1092001092001091</v>
      </c>
      <c r="AA889" s="1749">
        <f>SUM(AD889:AS889)</f>
        <v>1.1000000000000001</v>
      </c>
      <c r="AB889" s="1810">
        <f t="shared" si="528"/>
        <v>99.17056362293873</v>
      </c>
      <c r="AC889" s="876"/>
      <c r="AD889" s="1525">
        <f t="shared" si="529"/>
        <v>0.2</v>
      </c>
      <c r="AE889" s="1525">
        <f t="shared" si="529"/>
        <v>0</v>
      </c>
      <c r="AF889" s="1525">
        <f t="shared" si="529"/>
        <v>0</v>
      </c>
      <c r="AG889" s="1525">
        <f t="shared" si="529"/>
        <v>0</v>
      </c>
      <c r="AH889" s="1525">
        <f t="shared" si="529"/>
        <v>0</v>
      </c>
      <c r="AI889" s="1525">
        <f t="shared" si="529"/>
        <v>0</v>
      </c>
      <c r="AJ889" s="1525">
        <f t="shared" si="529"/>
        <v>0</v>
      </c>
      <c r="AK889" s="1525">
        <f t="shared" si="529"/>
        <v>0</v>
      </c>
      <c r="AL889" s="1525">
        <f t="shared" si="529"/>
        <v>0</v>
      </c>
      <c r="AM889" s="1525">
        <f t="shared" si="529"/>
        <v>0.9</v>
      </c>
      <c r="AN889" s="1525">
        <f t="shared" si="529"/>
        <v>0</v>
      </c>
      <c r="AO889" s="1525">
        <f t="shared" si="529"/>
        <v>0</v>
      </c>
      <c r="AP889" s="1525">
        <f t="shared" si="529"/>
        <v>0</v>
      </c>
      <c r="AQ889" s="1525">
        <f t="shared" si="529"/>
        <v>0</v>
      </c>
      <c r="AR889" s="1525">
        <f t="shared" si="529"/>
        <v>0</v>
      </c>
      <c r="AS889" s="1525">
        <f t="shared" si="529"/>
        <v>0</v>
      </c>
      <c r="AU889" s="1525"/>
      <c r="AV889" s="1291"/>
      <c r="AW889" s="1292"/>
      <c r="AX889" s="1292"/>
      <c r="AY889" s="1292"/>
      <c r="AZ889" s="1292"/>
      <c r="BA889" s="1292"/>
      <c r="BB889" s="1292"/>
      <c r="BC889" s="1292"/>
      <c r="BD889" s="1292"/>
      <c r="BE889" s="1292"/>
      <c r="BF889" s="1292"/>
      <c r="BG889" s="1292"/>
      <c r="BH889" s="1292"/>
      <c r="BI889" s="1292">
        <v>0.2</v>
      </c>
      <c r="BJ889" s="1292"/>
      <c r="BK889" s="1292"/>
      <c r="BL889" s="1292"/>
      <c r="BM889" s="1292"/>
      <c r="BN889" s="1759">
        <v>0.9</v>
      </c>
      <c r="BO889" s="1292"/>
      <c r="BP889" s="1292"/>
      <c r="BQ889" s="1292"/>
      <c r="BR889" s="1292"/>
      <c r="BS889" s="1292"/>
      <c r="BT889" s="1670">
        <f t="shared" si="530"/>
        <v>1.1000000000000001</v>
      </c>
      <c r="BW889" s="859" t="s">
        <v>281</v>
      </c>
    </row>
    <row r="890" spans="2:75" s="164" customFormat="1" ht="12.75" customHeight="1" x14ac:dyDescent="0.15">
      <c r="B890" s="175"/>
      <c r="C890" s="219" t="s">
        <v>1120</v>
      </c>
      <c r="F890" s="33" t="s">
        <v>1238</v>
      </c>
      <c r="G890" s="915"/>
      <c r="H890" s="1419" t="s">
        <v>1508</v>
      </c>
      <c r="I890" s="201"/>
      <c r="J890" s="199"/>
      <c r="K890" s="198">
        <f>SUM(K887:K889)</f>
        <v>0</v>
      </c>
      <c r="L890" s="899">
        <f>SUM(L887:L889)</f>
        <v>2.5</v>
      </c>
      <c r="M890" s="899">
        <f>SUM(M887:M889)</f>
        <v>2.5</v>
      </c>
      <c r="N890" s="901"/>
      <c r="O890" s="901"/>
      <c r="P890" s="1236"/>
      <c r="Q890" s="1159"/>
      <c r="R890" s="1029"/>
      <c r="S890" s="1030"/>
      <c r="T890" s="1030"/>
      <c r="U890" s="1030"/>
      <c r="V890" s="1030"/>
      <c r="W890" s="1030"/>
      <c r="X890" s="1026"/>
      <c r="Y890" s="1335"/>
      <c r="Z890" s="1335"/>
      <c r="AA890" s="1775"/>
      <c r="AB890" s="1814"/>
      <c r="AC890" s="876"/>
      <c r="AD890" s="1295"/>
      <c r="AE890" s="1525"/>
      <c r="AF890" s="1525"/>
      <c r="AG890" s="1525"/>
      <c r="AH890" s="1525"/>
      <c r="AI890" s="1525"/>
      <c r="AJ890" s="1525"/>
      <c r="AK890" s="1525"/>
      <c r="AL890" s="1525"/>
      <c r="AM890" s="1525"/>
      <c r="AN890" s="1525"/>
      <c r="AO890" s="1525"/>
      <c r="AP890" s="1525"/>
      <c r="AQ890" s="1525"/>
      <c r="AR890" s="1525"/>
      <c r="AS890" s="1525"/>
      <c r="AU890" s="1525"/>
      <c r="AV890" s="1295"/>
      <c r="AW890" s="1525"/>
      <c r="AX890" s="1525"/>
      <c r="AY890" s="1525"/>
      <c r="AZ890" s="1525"/>
      <c r="BA890" s="1525"/>
      <c r="BB890" s="1525"/>
      <c r="BC890" s="1525"/>
      <c r="BD890" s="1525"/>
      <c r="BE890" s="1525"/>
      <c r="BF890" s="1525"/>
      <c r="BG890" s="1525"/>
      <c r="BH890" s="1525"/>
      <c r="BI890" s="1525"/>
      <c r="BJ890" s="1525"/>
      <c r="BK890" s="1525"/>
      <c r="BL890" s="1525"/>
      <c r="BM890" s="1525"/>
      <c r="BN890" s="1525"/>
      <c r="BO890" s="1525"/>
      <c r="BP890" s="1525"/>
      <c r="BQ890" s="1525"/>
      <c r="BR890" s="1525"/>
      <c r="BS890" s="1525"/>
      <c r="BT890" s="1670"/>
      <c r="BV890"/>
      <c r="BW890" s="915"/>
    </row>
    <row r="891" spans="2:75" s="164" customFormat="1" ht="12.75" customHeight="1" x14ac:dyDescent="0.15">
      <c r="B891" s="175"/>
      <c r="C891" s="219" t="s">
        <v>1120</v>
      </c>
      <c r="F891" s="24" t="s">
        <v>1125</v>
      </c>
      <c r="G891" s="856"/>
      <c r="H891" s="1420" t="s">
        <v>1508</v>
      </c>
      <c r="I891" s="200"/>
      <c r="J891" s="189"/>
      <c r="K891" s="448">
        <f>K882+K890</f>
        <v>0</v>
      </c>
      <c r="L891" s="902">
        <f>L882+L890</f>
        <v>7.5</v>
      </c>
      <c r="M891" s="902">
        <f>M882+M890</f>
        <v>7.5</v>
      </c>
      <c r="N891" s="857"/>
      <c r="O891" s="1200"/>
      <c r="P891" s="550"/>
      <c r="Q891" s="1153"/>
      <c r="R891" s="877"/>
      <c r="S891" s="875"/>
      <c r="T891" s="875"/>
      <c r="U891" s="875"/>
      <c r="V891" s="875"/>
      <c r="W891" s="875"/>
      <c r="X891" s="1026"/>
      <c r="Y891" s="1335"/>
      <c r="Z891" s="1335"/>
      <c r="AA891" s="1775"/>
      <c r="AB891" s="1814"/>
      <c r="AC891" s="876"/>
      <c r="AD891" s="1295"/>
      <c r="AE891" s="1525"/>
      <c r="AF891" s="1525"/>
      <c r="AG891" s="1525"/>
      <c r="AH891" s="1525"/>
      <c r="AI891" s="1525"/>
      <c r="AJ891" s="1525"/>
      <c r="AK891" s="1525"/>
      <c r="AL891" s="1525"/>
      <c r="AM891" s="1525"/>
      <c r="AN891" s="1525"/>
      <c r="AO891" s="1525"/>
      <c r="AP891" s="1525"/>
      <c r="AQ891" s="1525"/>
      <c r="AR891" s="1525"/>
      <c r="AS891" s="1525"/>
      <c r="AU891" s="1525"/>
      <c r="AV891" s="1295"/>
      <c r="AW891" s="1525"/>
      <c r="AX891" s="1525"/>
      <c r="AY891" s="1525"/>
      <c r="AZ891" s="1525"/>
      <c r="BA891" s="1525"/>
      <c r="BB891" s="1525"/>
      <c r="BC891" s="1525"/>
      <c r="BD891" s="1525"/>
      <c r="BE891" s="1525"/>
      <c r="BF891" s="1525"/>
      <c r="BG891" s="1525"/>
      <c r="BH891" s="1525"/>
      <c r="BI891" s="1525"/>
      <c r="BJ891" s="1525"/>
      <c r="BK891" s="1525"/>
      <c r="BL891" s="1525"/>
      <c r="BM891" s="1525"/>
      <c r="BN891" s="1525"/>
      <c r="BO891" s="1525"/>
      <c r="BP891" s="1525"/>
      <c r="BQ891" s="1525"/>
      <c r="BR891" s="1525"/>
      <c r="BS891" s="1525"/>
      <c r="BT891" s="1670"/>
      <c r="BV891"/>
      <c r="BW891" s="856"/>
    </row>
    <row r="892" spans="2:75" s="164" customFormat="1" ht="12.75" customHeight="1" x14ac:dyDescent="0.15">
      <c r="B892" s="175"/>
      <c r="F892" s="24"/>
      <c r="G892" s="856"/>
      <c r="H892" s="1413" t="s">
        <v>1508</v>
      </c>
      <c r="I892" s="200"/>
      <c r="J892" s="189"/>
      <c r="K892" s="189"/>
      <c r="L892" s="858"/>
      <c r="M892" s="858"/>
      <c r="N892" s="857"/>
      <c r="O892" s="1200"/>
      <c r="P892" s="550"/>
      <c r="Q892" s="1148"/>
      <c r="R892" s="874"/>
      <c r="S892" s="875"/>
      <c r="T892" s="875"/>
      <c r="U892" s="875"/>
      <c r="V892" s="875"/>
      <c r="W892" s="875"/>
      <c r="X892" s="1026"/>
      <c r="Y892" s="1754"/>
      <c r="Z892" s="1755"/>
      <c r="AA892" s="1775"/>
      <c r="AB892" s="1814"/>
      <c r="AC892" s="876"/>
      <c r="AD892" s="1295"/>
      <c r="AE892" s="1525"/>
      <c r="AF892" s="1525"/>
      <c r="AG892" s="1525"/>
      <c r="AH892" s="1525"/>
      <c r="AI892" s="1525"/>
      <c r="AJ892" s="1525"/>
      <c r="AK892" s="1525"/>
      <c r="AL892" s="1525"/>
      <c r="AM892" s="1525"/>
      <c r="AN892" s="1525"/>
      <c r="AO892" s="1525"/>
      <c r="AP892" s="1525"/>
      <c r="AQ892" s="1525"/>
      <c r="AR892" s="1525"/>
      <c r="AS892" s="1525"/>
      <c r="AU892" s="1525"/>
      <c r="AV892" s="1295"/>
      <c r="AW892" s="1525"/>
      <c r="AX892" s="1525"/>
      <c r="AY892" s="1525"/>
      <c r="AZ892" s="1525"/>
      <c r="BA892" s="1525"/>
      <c r="BB892" s="1525"/>
      <c r="BC892" s="1525"/>
      <c r="BD892" s="1525"/>
      <c r="BE892" s="1525"/>
      <c r="BF892" s="1525"/>
      <c r="BG892" s="1525"/>
      <c r="BH892" s="1525"/>
      <c r="BI892" s="1525"/>
      <c r="BJ892" s="1525"/>
      <c r="BK892" s="1525"/>
      <c r="BL892" s="1525"/>
      <c r="BM892" s="1525"/>
      <c r="BN892" s="1525"/>
      <c r="BO892" s="1525"/>
      <c r="BP892" s="1525"/>
      <c r="BQ892" s="1525"/>
      <c r="BR892" s="1525"/>
      <c r="BS892" s="1525"/>
      <c r="BT892" s="1670"/>
      <c r="BV892"/>
      <c r="BW892" s="856"/>
    </row>
    <row r="893" spans="2:75" s="164" customFormat="1" ht="12.75" customHeight="1" x14ac:dyDescent="0.15">
      <c r="B893" s="175"/>
      <c r="F893" s="62" t="s">
        <v>996</v>
      </c>
      <c r="G893" s="821"/>
      <c r="H893" s="1413" t="s">
        <v>1508</v>
      </c>
      <c r="I893" s="180"/>
      <c r="J893" s="173"/>
      <c r="K893" s="173"/>
      <c r="L893" s="858"/>
      <c r="M893" s="858"/>
      <c r="N893" s="857"/>
      <c r="O893" s="1200"/>
      <c r="P893" s="550"/>
      <c r="Q893" s="1148"/>
      <c r="R893" s="874"/>
      <c r="S893" s="875"/>
      <c r="T893" s="875"/>
      <c r="U893" s="875"/>
      <c r="V893" s="875"/>
      <c r="W893" s="875"/>
      <c r="X893" s="1026"/>
      <c r="Y893" s="1754"/>
      <c r="Z893" s="1755"/>
      <c r="AA893" s="1775"/>
      <c r="AB893" s="1814"/>
      <c r="AC893" s="876"/>
      <c r="AD893" s="1295"/>
      <c r="AE893" s="1525"/>
      <c r="AF893" s="1525"/>
      <c r="AG893" s="1525"/>
      <c r="AH893" s="1525"/>
      <c r="AI893" s="1525"/>
      <c r="AJ893" s="1525"/>
      <c r="AK893" s="1525"/>
      <c r="AL893" s="1525"/>
      <c r="AM893" s="1525"/>
      <c r="AN893" s="1525"/>
      <c r="AO893" s="1525"/>
      <c r="AP893" s="1525"/>
      <c r="AQ893" s="1525"/>
      <c r="AR893" s="1525"/>
      <c r="AS893" s="1525"/>
      <c r="AU893" s="1525"/>
      <c r="AV893" s="1295"/>
      <c r="AW893" s="1525"/>
      <c r="AX893" s="1525"/>
      <c r="AY893" s="1525"/>
      <c r="AZ893" s="1525"/>
      <c r="BA893" s="1525"/>
      <c r="BB893" s="1525"/>
      <c r="BC893" s="1525"/>
      <c r="BD893" s="1525"/>
      <c r="BE893" s="1525"/>
      <c r="BF893" s="1525"/>
      <c r="BG893" s="1525"/>
      <c r="BH893" s="1525"/>
      <c r="BI893" s="1525"/>
      <c r="BJ893" s="1525"/>
      <c r="BK893" s="1525"/>
      <c r="BL893" s="1525"/>
      <c r="BM893" s="1525"/>
      <c r="BN893" s="1525"/>
      <c r="BO893" s="1525"/>
      <c r="BP893" s="1525"/>
      <c r="BQ893" s="1525"/>
      <c r="BR893" s="1525"/>
      <c r="BS893" s="1525"/>
      <c r="BT893" s="1670"/>
      <c r="BV893"/>
      <c r="BW893" s="821"/>
    </row>
    <row r="894" spans="2:75" ht="12.75" customHeight="1" x14ac:dyDescent="0.2">
      <c r="B894" s="175">
        <f t="shared" si="531"/>
        <v>1</v>
      </c>
      <c r="C894" s="236">
        <v>5</v>
      </c>
      <c r="D894" s="218"/>
      <c r="E894" s="166" t="s">
        <v>209</v>
      </c>
      <c r="F894" s="4" t="s">
        <v>1452</v>
      </c>
      <c r="G894" s="825" t="s">
        <v>1453</v>
      </c>
      <c r="H894" s="1412">
        <v>90852</v>
      </c>
      <c r="I894" s="197" t="s">
        <v>351</v>
      </c>
      <c r="J894" s="174"/>
      <c r="K894" s="174"/>
      <c r="L894" s="861">
        <v>1</v>
      </c>
      <c r="M894" s="861">
        <f>K894+L894</f>
        <v>1</v>
      </c>
      <c r="N894" s="836" t="s">
        <v>1454</v>
      </c>
      <c r="O894" s="1196">
        <v>24366</v>
      </c>
      <c r="P894" s="1218">
        <f t="shared" ref="P894:P904" ca="1" si="532">YEARFRAC(TODAY(),O894)</f>
        <v>51.044444444444444</v>
      </c>
      <c r="Q894" s="1148">
        <v>46750</v>
      </c>
      <c r="R894" s="874">
        <f>Q894*0.1</f>
        <v>4675</v>
      </c>
      <c r="S894" s="875">
        <v>7000</v>
      </c>
      <c r="T894" s="875">
        <v>16500</v>
      </c>
      <c r="U894" s="875">
        <v>3500</v>
      </c>
      <c r="V894" s="875"/>
      <c r="W894" s="875"/>
      <c r="X894" s="1026">
        <f t="shared" ref="X894:X904" si="533">(Q894+R894+S894+T894+U894+V894+W894)*M894</f>
        <v>78425</v>
      </c>
      <c r="Y894" s="1512">
        <f t="shared" ref="Y894:Y904" si="534">(T894+U894)*M894/(X894-M894*(T894+U894))</f>
        <v>0.34231921266581089</v>
      </c>
      <c r="Z894" s="1741">
        <f t="shared" ref="Z894:Z904" si="535">M894*(1+Y894)</f>
        <v>1.342319212665811</v>
      </c>
      <c r="AA894" s="1749">
        <f t="shared" ref="AA894:AA904" si="536">SUM(AD894:AS894)</f>
        <v>1</v>
      </c>
      <c r="AB894" s="1810">
        <f t="shared" ref="AB894:AB904" si="537">100*AA894/Z894</f>
        <v>74.497927956646464</v>
      </c>
      <c r="AC894" s="876"/>
      <c r="AD894" s="1525">
        <f t="shared" ref="AD894:AS894" si="538">SUMIF($AV$6:$BS$6,AD$5,$AV894:$BS894)</f>
        <v>0</v>
      </c>
      <c r="AE894" s="1525">
        <f t="shared" si="538"/>
        <v>0</v>
      </c>
      <c r="AF894" s="1525">
        <f t="shared" si="538"/>
        <v>0</v>
      </c>
      <c r="AG894" s="1525">
        <f t="shared" si="538"/>
        <v>0</v>
      </c>
      <c r="AH894" s="1525">
        <f t="shared" si="538"/>
        <v>0</v>
      </c>
      <c r="AI894" s="1525">
        <f t="shared" si="538"/>
        <v>0</v>
      </c>
      <c r="AJ894" s="1525">
        <f t="shared" si="538"/>
        <v>0</v>
      </c>
      <c r="AK894" s="1525">
        <f t="shared" si="538"/>
        <v>0</v>
      </c>
      <c r="AL894" s="1525">
        <f t="shared" si="538"/>
        <v>0</v>
      </c>
      <c r="AM894" s="1525">
        <f t="shared" si="538"/>
        <v>0.5</v>
      </c>
      <c r="AN894" s="1525">
        <f t="shared" si="538"/>
        <v>0.5</v>
      </c>
      <c r="AO894" s="1525">
        <f t="shared" si="538"/>
        <v>0</v>
      </c>
      <c r="AP894" s="1525">
        <f t="shared" si="538"/>
        <v>0</v>
      </c>
      <c r="AQ894" s="1525">
        <f t="shared" si="538"/>
        <v>0</v>
      </c>
      <c r="AR894" s="1525">
        <f t="shared" si="538"/>
        <v>0</v>
      </c>
      <c r="AS894" s="1525">
        <f t="shared" si="538"/>
        <v>0</v>
      </c>
      <c r="AU894" s="1525"/>
      <c r="AV894" s="1291"/>
      <c r="AW894" s="1292"/>
      <c r="AX894" s="1292"/>
      <c r="AY894" s="1292"/>
      <c r="AZ894" s="1292"/>
      <c r="BA894" s="1292"/>
      <c r="BB894" s="1292"/>
      <c r="BC894" s="1292"/>
      <c r="BD894" s="1292"/>
      <c r="BE894" s="1292">
        <v>0.4</v>
      </c>
      <c r="BF894" s="1292">
        <v>0.1</v>
      </c>
      <c r="BG894" s="1292"/>
      <c r="BH894" s="1292"/>
      <c r="BI894" s="1292"/>
      <c r="BJ894" s="1292"/>
      <c r="BK894" s="1292"/>
      <c r="BL894" s="1292"/>
      <c r="BM894" s="1292"/>
      <c r="BN894" s="1292"/>
      <c r="BO894" s="1292">
        <v>0.5</v>
      </c>
      <c r="BP894" s="1292"/>
      <c r="BQ894" s="1292"/>
      <c r="BR894" s="1292"/>
      <c r="BS894" s="1292"/>
      <c r="BT894" s="1670">
        <f t="shared" ref="BT894:BT904" si="539">SUM(AV894:BS894)</f>
        <v>1</v>
      </c>
      <c r="BW894" s="825" t="s">
        <v>1453</v>
      </c>
    </row>
    <row r="895" spans="2:75" ht="12.75" customHeight="1" x14ac:dyDescent="0.2">
      <c r="B895" s="175">
        <f t="shared" si="531"/>
        <v>2</v>
      </c>
      <c r="C895" s="236">
        <v>7</v>
      </c>
      <c r="D895" s="218"/>
      <c r="E895" s="166" t="s">
        <v>209</v>
      </c>
      <c r="F895" s="30" t="s">
        <v>1334</v>
      </c>
      <c r="G895" s="821" t="s">
        <v>1577</v>
      </c>
      <c r="H895" s="1413">
        <v>17695</v>
      </c>
      <c r="I895" s="200" t="s">
        <v>351</v>
      </c>
      <c r="J895" s="189"/>
      <c r="K895" s="189"/>
      <c r="L895" s="858">
        <v>1</v>
      </c>
      <c r="M895" s="858">
        <v>1</v>
      </c>
      <c r="N895" s="857" t="s">
        <v>1454</v>
      </c>
      <c r="O895" s="1196">
        <v>25517</v>
      </c>
      <c r="P895" s="1218">
        <f t="shared" ca="1" si="532"/>
        <v>47.894444444444446</v>
      </c>
      <c r="Q895" s="1148">
        <v>35300</v>
      </c>
      <c r="R895" s="874">
        <f>Q895*0.1</f>
        <v>3530</v>
      </c>
      <c r="S895" s="875">
        <v>3000</v>
      </c>
      <c r="T895" s="875"/>
      <c r="U895" s="875"/>
      <c r="V895" s="875"/>
      <c r="W895" s="875"/>
      <c r="X895" s="1026">
        <f t="shared" si="533"/>
        <v>41830</v>
      </c>
      <c r="Y895" s="1512">
        <f t="shared" si="534"/>
        <v>0</v>
      </c>
      <c r="Z895" s="1741">
        <f t="shared" si="535"/>
        <v>1</v>
      </c>
      <c r="AA895" s="1749">
        <f t="shared" si="536"/>
        <v>1</v>
      </c>
      <c r="AB895" s="1810">
        <f t="shared" si="537"/>
        <v>100</v>
      </c>
      <c r="AC895" s="876"/>
      <c r="AD895" s="1613">
        <f>0.3 + SUMIF($AV$6:$BS$6,AD$5,$AV895:$BS895)</f>
        <v>0.3</v>
      </c>
      <c r="AE895" s="1525">
        <f t="shared" ref="AE895:AS904" si="540">SUMIF($AV$6:$BS$6,AE$5,$AV895:$BS895)</f>
        <v>0</v>
      </c>
      <c r="AF895" s="1525">
        <f t="shared" si="540"/>
        <v>0</v>
      </c>
      <c r="AG895" s="1525">
        <f t="shared" si="540"/>
        <v>0</v>
      </c>
      <c r="AH895" s="1525">
        <f t="shared" si="540"/>
        <v>0</v>
      </c>
      <c r="AI895" s="1525">
        <f t="shared" si="540"/>
        <v>0</v>
      </c>
      <c r="AJ895" s="1525">
        <f t="shared" si="540"/>
        <v>0</v>
      </c>
      <c r="AK895" s="1525">
        <f t="shared" si="540"/>
        <v>0</v>
      </c>
      <c r="AL895" s="1525">
        <f t="shared" si="540"/>
        <v>0</v>
      </c>
      <c r="AM895" s="1525">
        <f t="shared" si="540"/>
        <v>0.7</v>
      </c>
      <c r="AN895" s="1525">
        <f t="shared" si="540"/>
        <v>0</v>
      </c>
      <c r="AO895" s="1525">
        <f t="shared" si="540"/>
        <v>0</v>
      </c>
      <c r="AP895" s="1525">
        <f t="shared" si="540"/>
        <v>0</v>
      </c>
      <c r="AQ895" s="1525">
        <f t="shared" si="540"/>
        <v>0</v>
      </c>
      <c r="AR895" s="1525">
        <f t="shared" si="540"/>
        <v>0</v>
      </c>
      <c r="AS895" s="1525">
        <f t="shared" si="540"/>
        <v>0</v>
      </c>
      <c r="AU895" s="1525"/>
      <c r="AV895" s="1291"/>
      <c r="AW895" s="1292"/>
      <c r="AX895" s="1292"/>
      <c r="AY895" s="1292"/>
      <c r="AZ895" s="1292"/>
      <c r="BA895" s="1292"/>
      <c r="BB895" s="1292"/>
      <c r="BC895" s="1292"/>
      <c r="BD895" s="1292"/>
      <c r="BE895" s="1292"/>
      <c r="BF895" s="1292"/>
      <c r="BG895" s="1292"/>
      <c r="BH895" s="1292"/>
      <c r="BI895" s="1292"/>
      <c r="BJ895" s="1292"/>
      <c r="BK895" s="1292"/>
      <c r="BL895" s="1292"/>
      <c r="BM895" s="1292"/>
      <c r="BN895" s="1292"/>
      <c r="BO895" s="1292">
        <v>0.7</v>
      </c>
      <c r="BP895" s="1292"/>
      <c r="BQ895" s="1292"/>
      <c r="BR895" s="1292"/>
      <c r="BS895" s="1292"/>
      <c r="BT895" s="1670">
        <f t="shared" si="539"/>
        <v>0.7</v>
      </c>
      <c r="BV895" t="s">
        <v>2070</v>
      </c>
      <c r="BW895" s="821" t="s">
        <v>1577</v>
      </c>
    </row>
    <row r="896" spans="2:75" ht="12.75" customHeight="1" x14ac:dyDescent="0.2">
      <c r="B896" s="175">
        <f t="shared" si="531"/>
        <v>3</v>
      </c>
      <c r="C896" s="219">
        <v>7</v>
      </c>
      <c r="E896" s="12" t="s">
        <v>209</v>
      </c>
      <c r="F896" s="24" t="s">
        <v>1333</v>
      </c>
      <c r="G896" s="821" t="s">
        <v>1291</v>
      </c>
      <c r="H896" s="1413">
        <v>45148</v>
      </c>
      <c r="I896" s="200" t="s">
        <v>351</v>
      </c>
      <c r="J896" s="189"/>
      <c r="K896" s="189"/>
      <c r="L896" s="858">
        <v>1</v>
      </c>
      <c r="M896" s="858">
        <f>K896+L896</f>
        <v>1</v>
      </c>
      <c r="N896" s="857" t="s">
        <v>892</v>
      </c>
      <c r="O896" s="1196">
        <v>24958</v>
      </c>
      <c r="P896" s="1218">
        <f t="shared" ca="1" si="532"/>
        <v>49.422222222222224</v>
      </c>
      <c r="Q896" s="1148">
        <v>39550</v>
      </c>
      <c r="R896" s="874"/>
      <c r="S896" s="875">
        <v>3000</v>
      </c>
      <c r="T896" s="875">
        <v>2000</v>
      </c>
      <c r="U896" s="875"/>
      <c r="V896" s="875"/>
      <c r="W896" s="875"/>
      <c r="X896" s="1026">
        <f t="shared" si="533"/>
        <v>44550</v>
      </c>
      <c r="Y896" s="1512">
        <f t="shared" si="534"/>
        <v>4.700352526439483E-2</v>
      </c>
      <c r="Z896" s="1741">
        <f t="shared" si="535"/>
        <v>1.0470035252643948</v>
      </c>
      <c r="AA896" s="1749">
        <f t="shared" si="536"/>
        <v>1</v>
      </c>
      <c r="AB896" s="1810">
        <f t="shared" si="537"/>
        <v>95.510662177328854</v>
      </c>
      <c r="AC896" s="876"/>
      <c r="AD896" s="1525">
        <f t="shared" ref="AD896:AD904" si="541">SUMIF($AV$6:$BS$6,AD$5,$AV896:$BS896)</f>
        <v>0</v>
      </c>
      <c r="AE896" s="1525">
        <f t="shared" si="540"/>
        <v>0</v>
      </c>
      <c r="AF896" s="1525">
        <f t="shared" si="540"/>
        <v>0</v>
      </c>
      <c r="AG896" s="1525">
        <f t="shared" si="540"/>
        <v>0</v>
      </c>
      <c r="AH896" s="1525">
        <f t="shared" si="540"/>
        <v>0</v>
      </c>
      <c r="AI896" s="1525">
        <f t="shared" si="540"/>
        <v>0</v>
      </c>
      <c r="AJ896" s="1525">
        <f t="shared" si="540"/>
        <v>0</v>
      </c>
      <c r="AK896" s="1525">
        <f t="shared" si="540"/>
        <v>0</v>
      </c>
      <c r="AL896" s="1525">
        <f t="shared" si="540"/>
        <v>0</v>
      </c>
      <c r="AM896" s="1525">
        <f t="shared" si="540"/>
        <v>0.9</v>
      </c>
      <c r="AN896" s="1525">
        <f t="shared" si="540"/>
        <v>0.1</v>
      </c>
      <c r="AO896" s="1525">
        <f t="shared" si="540"/>
        <v>0</v>
      </c>
      <c r="AP896" s="1525">
        <f t="shared" si="540"/>
        <v>0</v>
      </c>
      <c r="AQ896" s="1525">
        <f t="shared" si="540"/>
        <v>0</v>
      </c>
      <c r="AR896" s="1525">
        <f t="shared" si="540"/>
        <v>0</v>
      </c>
      <c r="AS896" s="1525">
        <f t="shared" si="540"/>
        <v>0</v>
      </c>
      <c r="AU896" s="1525"/>
      <c r="AV896" s="1291"/>
      <c r="AW896" s="1292"/>
      <c r="AX896" s="1292"/>
      <c r="AY896" s="1292"/>
      <c r="AZ896" s="1292"/>
      <c r="BA896" s="1292"/>
      <c r="BB896" s="1292"/>
      <c r="BC896" s="1292"/>
      <c r="BD896" s="1292"/>
      <c r="BE896" s="1292">
        <v>0.1</v>
      </c>
      <c r="BF896" s="1292"/>
      <c r="BG896" s="1292"/>
      <c r="BH896" s="1292"/>
      <c r="BI896" s="1292"/>
      <c r="BJ896" s="1292"/>
      <c r="BK896" s="1292"/>
      <c r="BL896" s="1292"/>
      <c r="BM896" s="1292"/>
      <c r="BN896" s="1292"/>
      <c r="BO896" s="1292">
        <v>0.9</v>
      </c>
      <c r="BP896" s="1292"/>
      <c r="BQ896" s="1292"/>
      <c r="BR896" s="1292"/>
      <c r="BS896" s="1292"/>
      <c r="BT896" s="1670">
        <f t="shared" si="539"/>
        <v>1</v>
      </c>
      <c r="BW896" s="821" t="s">
        <v>1291</v>
      </c>
    </row>
    <row r="897" spans="2:75" s="164" customFormat="1" ht="12.75" customHeight="1" x14ac:dyDescent="0.2">
      <c r="B897" s="175">
        <f t="shared" si="531"/>
        <v>4</v>
      </c>
      <c r="C897" s="219">
        <v>8</v>
      </c>
      <c r="E897" s="12" t="s">
        <v>209</v>
      </c>
      <c r="F897" s="24" t="s">
        <v>353</v>
      </c>
      <c r="G897" s="821" t="s">
        <v>1292</v>
      </c>
      <c r="H897" s="1413">
        <v>147</v>
      </c>
      <c r="I897" s="200" t="s">
        <v>351</v>
      </c>
      <c r="J897" s="189"/>
      <c r="K897" s="189"/>
      <c r="L897" s="858">
        <v>1</v>
      </c>
      <c r="M897" s="858">
        <f>K897+L897</f>
        <v>1</v>
      </c>
      <c r="N897" s="857" t="s">
        <v>892</v>
      </c>
      <c r="O897" s="1196">
        <v>17908</v>
      </c>
      <c r="P897" s="1218">
        <f t="shared" ca="1" si="532"/>
        <v>68.727777777777774</v>
      </c>
      <c r="Q897" s="1148">
        <v>25150</v>
      </c>
      <c r="R897" s="874"/>
      <c r="S897" s="875"/>
      <c r="T897" s="875"/>
      <c r="U897" s="875"/>
      <c r="V897" s="875"/>
      <c r="W897" s="875"/>
      <c r="X897" s="1026">
        <f t="shared" si="533"/>
        <v>25150</v>
      </c>
      <c r="Y897" s="1512">
        <f t="shared" si="534"/>
        <v>0</v>
      </c>
      <c r="Z897" s="1741">
        <f t="shared" si="535"/>
        <v>1</v>
      </c>
      <c r="AA897" s="1749">
        <f t="shared" si="536"/>
        <v>0.9</v>
      </c>
      <c r="AB897" s="1810">
        <f t="shared" si="537"/>
        <v>90</v>
      </c>
      <c r="AC897" s="876"/>
      <c r="AD897" s="1525">
        <f t="shared" si="541"/>
        <v>0</v>
      </c>
      <c r="AE897" s="1525">
        <f t="shared" si="540"/>
        <v>0</v>
      </c>
      <c r="AF897" s="1525">
        <f t="shared" si="540"/>
        <v>0</v>
      </c>
      <c r="AG897" s="1525">
        <f t="shared" si="540"/>
        <v>0</v>
      </c>
      <c r="AH897" s="1525">
        <f t="shared" si="540"/>
        <v>0</v>
      </c>
      <c r="AI897" s="1525">
        <f t="shared" si="540"/>
        <v>0</v>
      </c>
      <c r="AJ897" s="1525">
        <f t="shared" si="540"/>
        <v>0</v>
      </c>
      <c r="AK897" s="1525">
        <f t="shared" si="540"/>
        <v>0</v>
      </c>
      <c r="AL897" s="1525">
        <f t="shared" si="540"/>
        <v>0</v>
      </c>
      <c r="AM897" s="1525">
        <f t="shared" si="540"/>
        <v>0</v>
      </c>
      <c r="AN897" s="1525">
        <f t="shared" si="540"/>
        <v>0.9</v>
      </c>
      <c r="AO897" s="1525">
        <f t="shared" si="540"/>
        <v>0</v>
      </c>
      <c r="AP897" s="1525">
        <f t="shared" si="540"/>
        <v>0</v>
      </c>
      <c r="AQ897" s="1525">
        <f t="shared" si="540"/>
        <v>0</v>
      </c>
      <c r="AR897" s="1525">
        <f t="shared" si="540"/>
        <v>0</v>
      </c>
      <c r="AS897" s="1525">
        <f t="shared" si="540"/>
        <v>0</v>
      </c>
      <c r="AU897" s="1525"/>
      <c r="AV897" s="1295"/>
      <c r="AW897" s="1525"/>
      <c r="AX897" s="1525"/>
      <c r="AY897" s="1525"/>
      <c r="AZ897" s="1525"/>
      <c r="BA897" s="1525"/>
      <c r="BB897" s="1525"/>
      <c r="BC897" s="1525"/>
      <c r="BD897" s="1525"/>
      <c r="BE897" s="1525">
        <v>0.1</v>
      </c>
      <c r="BF897" s="1525">
        <v>0.8</v>
      </c>
      <c r="BG897" s="1525"/>
      <c r="BH897" s="1525"/>
      <c r="BI897" s="1525"/>
      <c r="BJ897" s="1525"/>
      <c r="BK897" s="1525"/>
      <c r="BL897" s="1525"/>
      <c r="BM897" s="1525"/>
      <c r="BN897" s="1525"/>
      <c r="BO897" s="1525"/>
      <c r="BP897" s="1525"/>
      <c r="BQ897" s="1525"/>
      <c r="BR897" s="1525"/>
      <c r="BS897" s="1525"/>
      <c r="BT897" s="1670">
        <f t="shared" si="539"/>
        <v>0.9</v>
      </c>
      <c r="BV897"/>
      <c r="BW897" s="821" t="s">
        <v>1292</v>
      </c>
    </row>
    <row r="898" spans="2:75" s="164" customFormat="1" ht="12.75" customHeight="1" x14ac:dyDescent="0.2">
      <c r="B898" s="175">
        <f t="shared" si="531"/>
        <v>5</v>
      </c>
      <c r="C898" s="219">
        <v>8</v>
      </c>
      <c r="E898" s="12" t="s">
        <v>209</v>
      </c>
      <c r="F898" s="24" t="s">
        <v>353</v>
      </c>
      <c r="G898" s="825" t="s">
        <v>261</v>
      </c>
      <c r="H898" s="1413">
        <v>253496</v>
      </c>
      <c r="I898" s="200" t="s">
        <v>351</v>
      </c>
      <c r="J898" s="189"/>
      <c r="K898" s="189"/>
      <c r="L898" s="858">
        <v>1</v>
      </c>
      <c r="M898" s="858">
        <v>1</v>
      </c>
      <c r="N898" s="857" t="s">
        <v>1326</v>
      </c>
      <c r="O898" s="1196">
        <v>30414</v>
      </c>
      <c r="P898" s="1218">
        <f t="shared" ca="1" si="532"/>
        <v>34.483333333333334</v>
      </c>
      <c r="Q898" s="1148">
        <v>33300</v>
      </c>
      <c r="R898" s="874">
        <f>Q898*0.1</f>
        <v>3330</v>
      </c>
      <c r="S898" s="875">
        <v>3000</v>
      </c>
      <c r="T898" s="875"/>
      <c r="U898" s="875">
        <v>1500</v>
      </c>
      <c r="V898" s="875"/>
      <c r="W898" s="875"/>
      <c r="X898" s="1026">
        <f t="shared" si="533"/>
        <v>41130</v>
      </c>
      <c r="Y898" s="1512">
        <f t="shared" si="534"/>
        <v>3.7850113550340653E-2</v>
      </c>
      <c r="Z898" s="1741">
        <f t="shared" si="535"/>
        <v>1.0378501135503406</v>
      </c>
      <c r="AA898" s="1749">
        <f t="shared" si="536"/>
        <v>1</v>
      </c>
      <c r="AB898" s="1810">
        <f t="shared" si="537"/>
        <v>96.353026987600288</v>
      </c>
      <c r="AC898" s="876"/>
      <c r="AD898" s="1525">
        <f t="shared" si="541"/>
        <v>0</v>
      </c>
      <c r="AE898" s="1525">
        <f t="shared" si="540"/>
        <v>0</v>
      </c>
      <c r="AF898" s="1525">
        <f t="shared" si="540"/>
        <v>0</v>
      </c>
      <c r="AG898" s="1525">
        <f t="shared" si="540"/>
        <v>0</v>
      </c>
      <c r="AH898" s="1525">
        <f t="shared" si="540"/>
        <v>0</v>
      </c>
      <c r="AI898" s="1525">
        <f t="shared" si="540"/>
        <v>0</v>
      </c>
      <c r="AJ898" s="1525">
        <f t="shared" si="540"/>
        <v>0</v>
      </c>
      <c r="AK898" s="1525">
        <f t="shared" si="540"/>
        <v>0</v>
      </c>
      <c r="AL898" s="1525">
        <f t="shared" si="540"/>
        <v>0</v>
      </c>
      <c r="AM898" s="1525">
        <f t="shared" si="540"/>
        <v>0.5</v>
      </c>
      <c r="AN898" s="1525">
        <f t="shared" si="540"/>
        <v>0.5</v>
      </c>
      <c r="AO898" s="1525">
        <f t="shared" si="540"/>
        <v>0</v>
      </c>
      <c r="AP898" s="1525">
        <f t="shared" si="540"/>
        <v>0</v>
      </c>
      <c r="AQ898" s="1525">
        <f t="shared" si="540"/>
        <v>0</v>
      </c>
      <c r="AR898" s="1525">
        <f t="shared" si="540"/>
        <v>0</v>
      </c>
      <c r="AS898" s="1525">
        <f t="shared" si="540"/>
        <v>0</v>
      </c>
      <c r="AU898" s="1525"/>
      <c r="AV898" s="1295"/>
      <c r="AW898" s="1525"/>
      <c r="AX898" s="1525"/>
      <c r="AY898" s="1525"/>
      <c r="AZ898" s="1525"/>
      <c r="BA898" s="1525"/>
      <c r="BB898" s="1525"/>
      <c r="BC898" s="1525"/>
      <c r="BD898" s="1525"/>
      <c r="BE898" s="1525">
        <v>0.4</v>
      </c>
      <c r="BF898" s="1525">
        <v>0.1</v>
      </c>
      <c r="BG898" s="1525"/>
      <c r="BH898" s="1525"/>
      <c r="BI898" s="1525"/>
      <c r="BJ898" s="1525"/>
      <c r="BK898" s="1525"/>
      <c r="BL898" s="1525"/>
      <c r="BM898" s="1525"/>
      <c r="BN898" s="1525"/>
      <c r="BO898" s="1525">
        <v>0.5</v>
      </c>
      <c r="BP898" s="1525"/>
      <c r="BQ898" s="1525"/>
      <c r="BR898" s="1525"/>
      <c r="BS898" s="1525"/>
      <c r="BT898" s="1670">
        <f t="shared" si="539"/>
        <v>1</v>
      </c>
      <c r="BV898"/>
      <c r="BW898" s="825" t="s">
        <v>261</v>
      </c>
    </row>
    <row r="899" spans="2:75" ht="12.75" customHeight="1" x14ac:dyDescent="0.2">
      <c r="B899" s="175">
        <f t="shared" si="531"/>
        <v>6</v>
      </c>
      <c r="C899" s="219">
        <v>8</v>
      </c>
      <c r="E899" s="12" t="s">
        <v>209</v>
      </c>
      <c r="F899" s="24" t="s">
        <v>353</v>
      </c>
      <c r="G899" s="821" t="s">
        <v>1293</v>
      </c>
      <c r="H899" s="1413">
        <v>30651</v>
      </c>
      <c r="I899" s="200" t="s">
        <v>351</v>
      </c>
      <c r="J899" s="189"/>
      <c r="K899" s="189"/>
      <c r="L899" s="858">
        <v>1</v>
      </c>
      <c r="M899" s="858">
        <f t="shared" ref="M899:M904" si="542">K899+L899</f>
        <v>1</v>
      </c>
      <c r="N899" s="857" t="s">
        <v>1454</v>
      </c>
      <c r="O899" s="1196">
        <v>22144</v>
      </c>
      <c r="P899" s="1218">
        <f t="shared" ca="1" si="532"/>
        <v>57.12777777777778</v>
      </c>
      <c r="Q899" s="1148">
        <v>33300</v>
      </c>
      <c r="R899" s="874">
        <f>Q899*0.1</f>
        <v>3330</v>
      </c>
      <c r="S899" s="875"/>
      <c r="T899" s="875"/>
      <c r="U899" s="875"/>
      <c r="V899" s="875"/>
      <c r="W899" s="875"/>
      <c r="X899" s="1026">
        <f t="shared" si="533"/>
        <v>36630</v>
      </c>
      <c r="Y899" s="1512">
        <f t="shared" si="534"/>
        <v>0</v>
      </c>
      <c r="Z899" s="1741">
        <f t="shared" si="535"/>
        <v>1</v>
      </c>
      <c r="AA899" s="1749">
        <f t="shared" si="536"/>
        <v>0.9</v>
      </c>
      <c r="AB899" s="1810">
        <f t="shared" si="537"/>
        <v>90</v>
      </c>
      <c r="AC899" s="876"/>
      <c r="AD899" s="1525">
        <f t="shared" si="541"/>
        <v>0</v>
      </c>
      <c r="AE899" s="1525">
        <f t="shared" si="540"/>
        <v>0</v>
      </c>
      <c r="AF899" s="1525">
        <f t="shared" si="540"/>
        <v>0</v>
      </c>
      <c r="AG899" s="1525">
        <f t="shared" si="540"/>
        <v>0</v>
      </c>
      <c r="AH899" s="1525">
        <f t="shared" si="540"/>
        <v>0</v>
      </c>
      <c r="AI899" s="1525">
        <f t="shared" si="540"/>
        <v>0</v>
      </c>
      <c r="AJ899" s="1525">
        <f t="shared" si="540"/>
        <v>0</v>
      </c>
      <c r="AK899" s="1525">
        <f t="shared" si="540"/>
        <v>0</v>
      </c>
      <c r="AL899" s="1525">
        <f t="shared" si="540"/>
        <v>0</v>
      </c>
      <c r="AM899" s="1525">
        <f t="shared" si="540"/>
        <v>0.9</v>
      </c>
      <c r="AN899" s="1525">
        <f t="shared" si="540"/>
        <v>0</v>
      </c>
      <c r="AO899" s="1525">
        <f t="shared" si="540"/>
        <v>0</v>
      </c>
      <c r="AP899" s="1525">
        <f t="shared" si="540"/>
        <v>0</v>
      </c>
      <c r="AQ899" s="1525">
        <f t="shared" si="540"/>
        <v>0</v>
      </c>
      <c r="AR899" s="1525">
        <f t="shared" si="540"/>
        <v>0</v>
      </c>
      <c r="AS899" s="1525">
        <f t="shared" si="540"/>
        <v>0</v>
      </c>
      <c r="AU899" s="1525"/>
      <c r="AV899" s="1291"/>
      <c r="AW899" s="1292"/>
      <c r="AX899" s="1292"/>
      <c r="AY899" s="1292"/>
      <c r="AZ899" s="1292"/>
      <c r="BA899" s="1292"/>
      <c r="BB899" s="1292"/>
      <c r="BC899" s="1292"/>
      <c r="BD899" s="1292"/>
      <c r="BE899" s="1292"/>
      <c r="BF899" s="1292"/>
      <c r="BG899" s="1292"/>
      <c r="BH899" s="1292"/>
      <c r="BI899" s="1292"/>
      <c r="BJ899" s="1292"/>
      <c r="BK899" s="1292"/>
      <c r="BL899" s="1292"/>
      <c r="BM899" s="1292"/>
      <c r="BN899" s="1292"/>
      <c r="BO899" s="1292">
        <v>0.9</v>
      </c>
      <c r="BP899" s="1292"/>
      <c r="BQ899" s="1292"/>
      <c r="BR899" s="1292"/>
      <c r="BS899" s="1292"/>
      <c r="BT899" s="1670">
        <f t="shared" si="539"/>
        <v>0.9</v>
      </c>
      <c r="BW899" s="821" t="s">
        <v>1293</v>
      </c>
    </row>
    <row r="900" spans="2:75" ht="12.75" customHeight="1" x14ac:dyDescent="0.2">
      <c r="B900" s="175">
        <f t="shared" si="531"/>
        <v>7</v>
      </c>
      <c r="C900" s="219">
        <v>9</v>
      </c>
      <c r="E900" s="12" t="s">
        <v>209</v>
      </c>
      <c r="F900" s="1" t="s">
        <v>1476</v>
      </c>
      <c r="G900" s="859" t="s">
        <v>1295</v>
      </c>
      <c r="H900" s="1413">
        <v>253227</v>
      </c>
      <c r="I900" s="200" t="s">
        <v>351</v>
      </c>
      <c r="J900" s="189"/>
      <c r="K900" s="189"/>
      <c r="L900" s="858">
        <v>1</v>
      </c>
      <c r="M900" s="858">
        <f t="shared" si="542"/>
        <v>1</v>
      </c>
      <c r="N900" s="857" t="s">
        <v>1454</v>
      </c>
      <c r="O900" s="1196">
        <v>30380</v>
      </c>
      <c r="P900" s="1218">
        <f t="shared" ca="1" si="532"/>
        <v>34.575000000000003</v>
      </c>
      <c r="Q900" s="1148">
        <v>29900</v>
      </c>
      <c r="R900" s="874">
        <f>Q900*0.1</f>
        <v>2990</v>
      </c>
      <c r="S900" s="875"/>
      <c r="T900" s="875"/>
      <c r="U900" s="875"/>
      <c r="V900" s="875"/>
      <c r="W900" s="875"/>
      <c r="X900" s="1026">
        <f t="shared" si="533"/>
        <v>32890</v>
      </c>
      <c r="Y900" s="1512">
        <f t="shared" si="534"/>
        <v>0</v>
      </c>
      <c r="Z900" s="1741">
        <f t="shared" si="535"/>
        <v>1</v>
      </c>
      <c r="AA900" s="1749">
        <f t="shared" si="536"/>
        <v>1</v>
      </c>
      <c r="AB900" s="1810">
        <f t="shared" si="537"/>
        <v>100</v>
      </c>
      <c r="AC900" s="876"/>
      <c r="AD900" s="1525">
        <f t="shared" si="541"/>
        <v>0</v>
      </c>
      <c r="AE900" s="1525">
        <f t="shared" si="540"/>
        <v>0</v>
      </c>
      <c r="AF900" s="1525">
        <f t="shared" si="540"/>
        <v>0</v>
      </c>
      <c r="AG900" s="1525">
        <f t="shared" si="540"/>
        <v>0</v>
      </c>
      <c r="AH900" s="1525">
        <f t="shared" si="540"/>
        <v>0</v>
      </c>
      <c r="AI900" s="1525">
        <f t="shared" si="540"/>
        <v>0</v>
      </c>
      <c r="AJ900" s="1525">
        <f t="shared" si="540"/>
        <v>0</v>
      </c>
      <c r="AK900" s="1525">
        <f t="shared" si="540"/>
        <v>0</v>
      </c>
      <c r="AL900" s="1525">
        <f t="shared" si="540"/>
        <v>0</v>
      </c>
      <c r="AM900" s="1525">
        <f t="shared" si="540"/>
        <v>1</v>
      </c>
      <c r="AN900" s="1525">
        <f t="shared" si="540"/>
        <v>0</v>
      </c>
      <c r="AO900" s="1525">
        <f t="shared" si="540"/>
        <v>0</v>
      </c>
      <c r="AP900" s="1525">
        <f t="shared" si="540"/>
        <v>0</v>
      </c>
      <c r="AQ900" s="1525">
        <f t="shared" si="540"/>
        <v>0</v>
      </c>
      <c r="AR900" s="1525">
        <f t="shared" si="540"/>
        <v>0</v>
      </c>
      <c r="AS900" s="1525">
        <f t="shared" si="540"/>
        <v>0</v>
      </c>
      <c r="AU900" s="1525"/>
      <c r="AV900" s="1291"/>
      <c r="AW900" s="1292"/>
      <c r="AX900" s="1292"/>
      <c r="AY900" s="1292"/>
      <c r="AZ900" s="1292"/>
      <c r="BA900" s="1292"/>
      <c r="BB900" s="1292"/>
      <c r="BC900" s="1292"/>
      <c r="BD900" s="1292"/>
      <c r="BE900" s="1292"/>
      <c r="BF900" s="1292"/>
      <c r="BG900" s="1292"/>
      <c r="BH900" s="1292"/>
      <c r="BI900" s="1292"/>
      <c r="BJ900" s="1292"/>
      <c r="BK900" s="1292"/>
      <c r="BL900" s="1292"/>
      <c r="BM900" s="1292"/>
      <c r="BN900" s="1292"/>
      <c r="BO900" s="1292">
        <v>1</v>
      </c>
      <c r="BP900" s="1292"/>
      <c r="BQ900" s="1292"/>
      <c r="BR900" s="1292"/>
      <c r="BS900" s="1292"/>
      <c r="BT900" s="1670">
        <f t="shared" si="539"/>
        <v>1</v>
      </c>
      <c r="BW900" s="859" t="s">
        <v>1295</v>
      </c>
    </row>
    <row r="901" spans="2:75" ht="12.75" customHeight="1" x14ac:dyDescent="0.2">
      <c r="B901" s="175">
        <f t="shared" si="531"/>
        <v>8</v>
      </c>
      <c r="C901" s="220">
        <v>10</v>
      </c>
      <c r="D901" s="170"/>
      <c r="E901" s="447" t="s">
        <v>209</v>
      </c>
      <c r="F901" s="4" t="s">
        <v>558</v>
      </c>
      <c r="G901" s="825" t="s">
        <v>765</v>
      </c>
      <c r="H901" s="1412">
        <v>284983</v>
      </c>
      <c r="I901" s="197" t="s">
        <v>351</v>
      </c>
      <c r="J901" s="174"/>
      <c r="K901" s="174"/>
      <c r="L901" s="861">
        <v>1</v>
      </c>
      <c r="M901" s="861">
        <f t="shared" si="542"/>
        <v>1</v>
      </c>
      <c r="N901" s="836" t="s">
        <v>1454</v>
      </c>
      <c r="O901" s="1196">
        <v>31960</v>
      </c>
      <c r="P901" s="1262">
        <f t="shared" ca="1" si="532"/>
        <v>30.25</v>
      </c>
      <c r="Q901" s="1148">
        <v>23450</v>
      </c>
      <c r="R901" s="874">
        <f>Q901*0.1</f>
        <v>2345</v>
      </c>
      <c r="S901" s="876"/>
      <c r="T901" s="876"/>
      <c r="U901" s="876"/>
      <c r="V901" s="876"/>
      <c r="W901" s="876"/>
      <c r="X901" s="1026">
        <f t="shared" si="533"/>
        <v>25795</v>
      </c>
      <c r="Y901" s="1512">
        <f t="shared" si="534"/>
        <v>0</v>
      </c>
      <c r="Z901" s="1741">
        <f t="shared" si="535"/>
        <v>1</v>
      </c>
      <c r="AA901" s="1749">
        <f t="shared" si="536"/>
        <v>1</v>
      </c>
      <c r="AB901" s="1810">
        <f t="shared" si="537"/>
        <v>100</v>
      </c>
      <c r="AC901" s="876"/>
      <c r="AD901" s="1525">
        <f t="shared" si="541"/>
        <v>0</v>
      </c>
      <c r="AE901" s="1525">
        <f t="shared" si="540"/>
        <v>0</v>
      </c>
      <c r="AF901" s="1525">
        <f t="shared" si="540"/>
        <v>0</v>
      </c>
      <c r="AG901" s="1525">
        <f t="shared" si="540"/>
        <v>0</v>
      </c>
      <c r="AH901" s="1525">
        <f t="shared" si="540"/>
        <v>0</v>
      </c>
      <c r="AI901" s="1525">
        <f t="shared" si="540"/>
        <v>0</v>
      </c>
      <c r="AJ901" s="1525">
        <f t="shared" si="540"/>
        <v>0</v>
      </c>
      <c r="AK901" s="1525">
        <f t="shared" si="540"/>
        <v>0</v>
      </c>
      <c r="AL901" s="1525">
        <f t="shared" si="540"/>
        <v>0</v>
      </c>
      <c r="AM901" s="1525">
        <f t="shared" si="540"/>
        <v>1</v>
      </c>
      <c r="AN901" s="1525">
        <f t="shared" si="540"/>
        <v>0</v>
      </c>
      <c r="AO901" s="1525">
        <f t="shared" si="540"/>
        <v>0</v>
      </c>
      <c r="AP901" s="1525">
        <f t="shared" si="540"/>
        <v>0</v>
      </c>
      <c r="AQ901" s="1525">
        <f t="shared" si="540"/>
        <v>0</v>
      </c>
      <c r="AR901" s="1525">
        <f t="shared" si="540"/>
        <v>0</v>
      </c>
      <c r="AS901" s="1525">
        <f t="shared" si="540"/>
        <v>0</v>
      </c>
      <c r="AU901" s="1525"/>
      <c r="AV901" s="1291"/>
      <c r="AW901" s="1292"/>
      <c r="AX901" s="1292"/>
      <c r="AY901" s="1292"/>
      <c r="AZ901" s="1292"/>
      <c r="BA901" s="1292"/>
      <c r="BB901" s="1292"/>
      <c r="BC901" s="1292"/>
      <c r="BD901" s="1292"/>
      <c r="BE901" s="1292"/>
      <c r="BF901" s="1292"/>
      <c r="BG901" s="1292"/>
      <c r="BH901" s="1292"/>
      <c r="BI901" s="1292"/>
      <c r="BJ901" s="1292"/>
      <c r="BK901" s="1292"/>
      <c r="BL901" s="1292"/>
      <c r="BM901" s="1292"/>
      <c r="BN901" s="1292"/>
      <c r="BO901" s="1292">
        <v>1</v>
      </c>
      <c r="BP901" s="1292"/>
      <c r="BQ901" s="1292"/>
      <c r="BR901" s="1292"/>
      <c r="BS901" s="1292"/>
      <c r="BT901" s="1670">
        <f t="shared" si="539"/>
        <v>1</v>
      </c>
      <c r="BW901" s="825" t="s">
        <v>765</v>
      </c>
    </row>
    <row r="902" spans="2:75" ht="12.75" customHeight="1" x14ac:dyDescent="0.2">
      <c r="B902" s="175">
        <f t="shared" si="531"/>
        <v>9</v>
      </c>
      <c r="C902" s="219">
        <v>12</v>
      </c>
      <c r="E902" s="12" t="s">
        <v>209</v>
      </c>
      <c r="F902" s="24" t="s">
        <v>1235</v>
      </c>
      <c r="G902" s="821" t="s">
        <v>946</v>
      </c>
      <c r="H902" s="1413">
        <v>7941</v>
      </c>
      <c r="I902" s="200" t="s">
        <v>583</v>
      </c>
      <c r="J902" s="174"/>
      <c r="K902" s="174"/>
      <c r="L902" s="858">
        <v>0.5</v>
      </c>
      <c r="M902" s="858">
        <f t="shared" si="542"/>
        <v>0.5</v>
      </c>
      <c r="N902" s="857" t="s">
        <v>1454</v>
      </c>
      <c r="O902" s="1196">
        <v>13043</v>
      </c>
      <c r="P902" s="1218">
        <f t="shared" ca="1" si="532"/>
        <v>82.044444444444451</v>
      </c>
      <c r="Q902" s="1148">
        <v>32000</v>
      </c>
      <c r="R902" s="874">
        <f>Q902*0.1</f>
        <v>3200</v>
      </c>
      <c r="S902" s="875"/>
      <c r="T902" s="875">
        <v>18800</v>
      </c>
      <c r="U902" s="875"/>
      <c r="V902" s="875"/>
      <c r="W902" s="875"/>
      <c r="X902" s="1026">
        <f t="shared" si="533"/>
        <v>27000</v>
      </c>
      <c r="Y902" s="1512">
        <f t="shared" si="534"/>
        <v>0.53409090909090906</v>
      </c>
      <c r="Z902" s="1741">
        <f t="shared" si="535"/>
        <v>0.76704545454545459</v>
      </c>
      <c r="AA902" s="1749">
        <f t="shared" si="536"/>
        <v>0.5</v>
      </c>
      <c r="AB902" s="1810">
        <f t="shared" si="537"/>
        <v>65.185185185185176</v>
      </c>
      <c r="AC902" s="876"/>
      <c r="AD902" s="1525">
        <f t="shared" si="541"/>
        <v>0</v>
      </c>
      <c r="AE902" s="1525">
        <f t="shared" si="540"/>
        <v>0</v>
      </c>
      <c r="AF902" s="1525">
        <f t="shared" si="540"/>
        <v>0</v>
      </c>
      <c r="AG902" s="1525">
        <f t="shared" si="540"/>
        <v>0</v>
      </c>
      <c r="AH902" s="1525">
        <f t="shared" si="540"/>
        <v>0</v>
      </c>
      <c r="AI902" s="1525">
        <f t="shared" si="540"/>
        <v>0</v>
      </c>
      <c r="AJ902" s="1525">
        <f t="shared" si="540"/>
        <v>0</v>
      </c>
      <c r="AK902" s="1525">
        <f t="shared" si="540"/>
        <v>0</v>
      </c>
      <c r="AL902" s="1525">
        <f t="shared" si="540"/>
        <v>0</v>
      </c>
      <c r="AM902" s="1525">
        <f t="shared" si="540"/>
        <v>0.5</v>
      </c>
      <c r="AN902" s="1525">
        <f t="shared" si="540"/>
        <v>0</v>
      </c>
      <c r="AO902" s="1525">
        <f t="shared" si="540"/>
        <v>0</v>
      </c>
      <c r="AP902" s="1525">
        <f t="shared" si="540"/>
        <v>0</v>
      </c>
      <c r="AQ902" s="1525">
        <f t="shared" si="540"/>
        <v>0</v>
      </c>
      <c r="AR902" s="1525">
        <f t="shared" si="540"/>
        <v>0</v>
      </c>
      <c r="AS902" s="1525">
        <f t="shared" si="540"/>
        <v>0</v>
      </c>
      <c r="AU902" s="1525"/>
      <c r="AV902" s="1291"/>
      <c r="AW902" s="1292"/>
      <c r="AX902" s="1292"/>
      <c r="AY902" s="1292"/>
      <c r="AZ902" s="1292"/>
      <c r="BA902" s="1292"/>
      <c r="BB902" s="1292"/>
      <c r="BC902" s="1292"/>
      <c r="BD902" s="1292"/>
      <c r="BE902" s="1292"/>
      <c r="BF902" s="1292"/>
      <c r="BG902" s="1292"/>
      <c r="BH902" s="1292"/>
      <c r="BI902" s="1292"/>
      <c r="BJ902" s="1292"/>
      <c r="BK902" s="1292"/>
      <c r="BL902" s="1292"/>
      <c r="BM902" s="1292"/>
      <c r="BN902" s="1292"/>
      <c r="BO902" s="1292">
        <v>0.5</v>
      </c>
      <c r="BP902" s="1292"/>
      <c r="BQ902" s="1292"/>
      <c r="BR902" s="1292"/>
      <c r="BS902" s="1292"/>
      <c r="BT902" s="1670">
        <f t="shared" si="539"/>
        <v>0.5</v>
      </c>
      <c r="BW902" s="821" t="s">
        <v>946</v>
      </c>
    </row>
    <row r="903" spans="2:75" ht="12.75" customHeight="1" x14ac:dyDescent="0.2">
      <c r="B903" s="175">
        <f t="shared" si="531"/>
        <v>10</v>
      </c>
      <c r="C903" s="219">
        <v>14</v>
      </c>
      <c r="E903" s="12" t="s">
        <v>209</v>
      </c>
      <c r="F903" s="24" t="s">
        <v>626</v>
      </c>
      <c r="G903" s="821" t="s">
        <v>1766</v>
      </c>
      <c r="H903" s="1413">
        <v>154537</v>
      </c>
      <c r="I903" s="200" t="s">
        <v>583</v>
      </c>
      <c r="J903" s="174"/>
      <c r="K903" s="174"/>
      <c r="L903" s="858">
        <v>0.5</v>
      </c>
      <c r="M903" s="858">
        <f>K903+L903</f>
        <v>0.5</v>
      </c>
      <c r="N903" s="857" t="s">
        <v>892</v>
      </c>
      <c r="O903" s="1196">
        <v>33653</v>
      </c>
      <c r="P903" s="1218">
        <f ca="1">YEARFRAC(TODAY(),O903)</f>
        <v>25.619444444444444</v>
      </c>
      <c r="Q903" s="1148">
        <v>30000</v>
      </c>
      <c r="R903" s="874"/>
      <c r="S903" s="875"/>
      <c r="T903" s="875"/>
      <c r="U903" s="875"/>
      <c r="V903" s="875"/>
      <c r="W903" s="875"/>
      <c r="X903" s="1026">
        <f t="shared" si="533"/>
        <v>15000</v>
      </c>
      <c r="Y903" s="1512">
        <f t="shared" si="534"/>
        <v>0</v>
      </c>
      <c r="Z903" s="1741">
        <f t="shared" si="535"/>
        <v>0.5</v>
      </c>
      <c r="AA903" s="1749">
        <f t="shared" si="536"/>
        <v>0.33</v>
      </c>
      <c r="AB903" s="1810">
        <f t="shared" si="537"/>
        <v>66</v>
      </c>
      <c r="AC903" s="876"/>
      <c r="AD903" s="1525">
        <f t="shared" si="541"/>
        <v>0</v>
      </c>
      <c r="AE903" s="1525">
        <f t="shared" si="540"/>
        <v>0</v>
      </c>
      <c r="AF903" s="1525">
        <f t="shared" si="540"/>
        <v>0</v>
      </c>
      <c r="AG903" s="1525">
        <f t="shared" si="540"/>
        <v>0</v>
      </c>
      <c r="AH903" s="1525">
        <f t="shared" si="540"/>
        <v>0</v>
      </c>
      <c r="AI903" s="1525">
        <f t="shared" si="540"/>
        <v>0</v>
      </c>
      <c r="AJ903" s="1525">
        <f t="shared" si="540"/>
        <v>0</v>
      </c>
      <c r="AK903" s="1525">
        <f t="shared" si="540"/>
        <v>0</v>
      </c>
      <c r="AL903" s="1525">
        <f t="shared" si="540"/>
        <v>0</v>
      </c>
      <c r="AM903" s="1525">
        <f t="shared" si="540"/>
        <v>0.33</v>
      </c>
      <c r="AN903" s="1525">
        <f t="shared" si="540"/>
        <v>0</v>
      </c>
      <c r="AO903" s="1525">
        <f t="shared" si="540"/>
        <v>0</v>
      </c>
      <c r="AP903" s="1525">
        <f t="shared" si="540"/>
        <v>0</v>
      </c>
      <c r="AQ903" s="1525">
        <f t="shared" si="540"/>
        <v>0</v>
      </c>
      <c r="AR903" s="1525">
        <f t="shared" si="540"/>
        <v>0</v>
      </c>
      <c r="AS903" s="1525">
        <f t="shared" si="540"/>
        <v>0</v>
      </c>
      <c r="AU903" s="1525"/>
      <c r="AV903" s="1291"/>
      <c r="AW903" s="1292"/>
      <c r="AX903" s="1292"/>
      <c r="AY903" s="1292"/>
      <c r="AZ903" s="1292"/>
      <c r="BA903" s="1292"/>
      <c r="BB903" s="1292"/>
      <c r="BC903" s="1292"/>
      <c r="BD903" s="1292"/>
      <c r="BE903" s="1292"/>
      <c r="BF903" s="1292"/>
      <c r="BG903" s="1292"/>
      <c r="BH903" s="1292"/>
      <c r="BI903" s="1292"/>
      <c r="BJ903" s="1292"/>
      <c r="BK903" s="1292"/>
      <c r="BL903" s="1292"/>
      <c r="BM903" s="1292"/>
      <c r="BN903" s="1292"/>
      <c r="BO903" s="1292">
        <v>0.33</v>
      </c>
      <c r="BP903" s="1292"/>
      <c r="BQ903" s="1292"/>
      <c r="BR903" s="1292"/>
      <c r="BS903" s="1292"/>
      <c r="BT903" s="1670">
        <f t="shared" si="539"/>
        <v>0.33</v>
      </c>
      <c r="BW903" s="821" t="s">
        <v>1766</v>
      </c>
    </row>
    <row r="904" spans="2:75" ht="12.75" customHeight="1" x14ac:dyDescent="0.2">
      <c r="B904" s="175">
        <f t="shared" si="531"/>
        <v>11</v>
      </c>
      <c r="C904" s="219">
        <v>14</v>
      </c>
      <c r="E904" s="12" t="s">
        <v>209</v>
      </c>
      <c r="F904" s="24" t="s">
        <v>626</v>
      </c>
      <c r="G904" s="821" t="s">
        <v>1983</v>
      </c>
      <c r="H904" s="1413">
        <v>164838</v>
      </c>
      <c r="I904" s="200" t="s">
        <v>583</v>
      </c>
      <c r="J904" s="174"/>
      <c r="K904" s="174"/>
      <c r="L904" s="858">
        <v>0.33300000000000002</v>
      </c>
      <c r="M904" s="858">
        <f t="shared" si="542"/>
        <v>0.33300000000000002</v>
      </c>
      <c r="N904" s="857" t="s">
        <v>892</v>
      </c>
      <c r="O904" s="1196">
        <v>33999</v>
      </c>
      <c r="P904" s="1218">
        <f t="shared" ca="1" si="532"/>
        <v>24.672222222222221</v>
      </c>
      <c r="Q904" s="1148">
        <v>23000</v>
      </c>
      <c r="R904" s="874"/>
      <c r="S904" s="875"/>
      <c r="T904" s="875"/>
      <c r="U904" s="875"/>
      <c r="V904" s="875"/>
      <c r="W904" s="875"/>
      <c r="X904" s="1026">
        <f t="shared" si="533"/>
        <v>7659</v>
      </c>
      <c r="Y904" s="1512">
        <f t="shared" si="534"/>
        <v>0</v>
      </c>
      <c r="Z904" s="1741">
        <f t="shared" si="535"/>
        <v>0.33300000000000002</v>
      </c>
      <c r="AA904" s="1749">
        <f t="shared" si="536"/>
        <v>0</v>
      </c>
      <c r="AB904" s="1810">
        <f t="shared" si="537"/>
        <v>0</v>
      </c>
      <c r="AC904" s="876"/>
      <c r="AD904" s="1525">
        <f t="shared" si="541"/>
        <v>0</v>
      </c>
      <c r="AE904" s="1525">
        <f t="shared" si="540"/>
        <v>0</v>
      </c>
      <c r="AF904" s="1525">
        <f t="shared" si="540"/>
        <v>0</v>
      </c>
      <c r="AG904" s="1525">
        <f t="shared" si="540"/>
        <v>0</v>
      </c>
      <c r="AH904" s="1525">
        <f t="shared" si="540"/>
        <v>0</v>
      </c>
      <c r="AI904" s="1525">
        <f t="shared" si="540"/>
        <v>0</v>
      </c>
      <c r="AJ904" s="1525">
        <f t="shared" si="540"/>
        <v>0</v>
      </c>
      <c r="AK904" s="1525">
        <f t="shared" si="540"/>
        <v>0</v>
      </c>
      <c r="AL904" s="1525">
        <f t="shared" si="540"/>
        <v>0</v>
      </c>
      <c r="AM904" s="1525">
        <f t="shared" si="540"/>
        <v>0</v>
      </c>
      <c r="AN904" s="1525">
        <f t="shared" si="540"/>
        <v>0</v>
      </c>
      <c r="AO904" s="1525">
        <f t="shared" si="540"/>
        <v>0</v>
      </c>
      <c r="AP904" s="1525">
        <f t="shared" si="540"/>
        <v>0</v>
      </c>
      <c r="AQ904" s="1525">
        <f t="shared" si="540"/>
        <v>0</v>
      </c>
      <c r="AR904" s="1525">
        <f t="shared" si="540"/>
        <v>0</v>
      </c>
      <c r="AS904" s="1525">
        <f t="shared" si="540"/>
        <v>0</v>
      </c>
      <c r="AU904" s="1525"/>
      <c r="AV904" s="1291"/>
      <c r="AW904" s="1292"/>
      <c r="AX904" s="1292"/>
      <c r="AY904" s="1292"/>
      <c r="AZ904" s="1292"/>
      <c r="BA904" s="1292"/>
      <c r="BB904" s="1292"/>
      <c r="BC904" s="1292"/>
      <c r="BD904" s="1292"/>
      <c r="BE904" s="1292"/>
      <c r="BF904" s="1292"/>
      <c r="BG904" s="1292"/>
      <c r="BH904" s="1292"/>
      <c r="BI904" s="1292"/>
      <c r="BJ904" s="1292"/>
      <c r="BK904" s="1292"/>
      <c r="BL904" s="1292"/>
      <c r="BM904" s="1292"/>
      <c r="BN904" s="1292"/>
      <c r="BO904" s="1292"/>
      <c r="BP904" s="1292"/>
      <c r="BQ904" s="1292"/>
      <c r="BR904" s="1292"/>
      <c r="BS904" s="1292"/>
      <c r="BT904" s="1670">
        <f t="shared" si="539"/>
        <v>0</v>
      </c>
      <c r="BW904" s="821" t="s">
        <v>1983</v>
      </c>
    </row>
    <row r="905" spans="2:75" ht="12.75" customHeight="1" x14ac:dyDescent="0.2">
      <c r="B905" s="175"/>
      <c r="C905" s="219"/>
      <c r="E905" s="12"/>
      <c r="F905" s="24"/>
      <c r="G905" s="821"/>
      <c r="H905" s="1413"/>
      <c r="I905" s="200"/>
      <c r="J905" s="174"/>
      <c r="K905" s="174"/>
      <c r="L905" s="858"/>
      <c r="M905" s="858"/>
      <c r="N905" s="857"/>
      <c r="O905" s="1196"/>
      <c r="P905" s="1218"/>
      <c r="Q905" s="1148"/>
      <c r="R905" s="874"/>
      <c r="S905" s="875"/>
      <c r="T905" s="875"/>
      <c r="U905" s="875"/>
      <c r="V905" s="875"/>
      <c r="W905" s="875"/>
      <c r="X905" s="1026"/>
      <c r="Y905" s="1520"/>
      <c r="Z905" s="1520"/>
      <c r="AA905" s="1749"/>
      <c r="AB905" s="1810"/>
      <c r="AC905" s="876"/>
      <c r="AD905" s="1525"/>
      <c r="AE905" s="1525"/>
      <c r="AF905" s="1525"/>
      <c r="AG905" s="1525"/>
      <c r="AH905" s="1525"/>
      <c r="AI905" s="1525"/>
      <c r="AJ905" s="1525"/>
      <c r="AK905" s="1525"/>
      <c r="AL905" s="1525"/>
      <c r="AM905" s="1525"/>
      <c r="AN905" s="1525"/>
      <c r="AO905" s="1525"/>
      <c r="AP905" s="1525"/>
      <c r="AQ905" s="1525"/>
      <c r="AR905" s="1525"/>
      <c r="AS905" s="1525"/>
      <c r="AU905" s="1525"/>
      <c r="AV905" s="1291"/>
      <c r="AW905" s="1292"/>
      <c r="AX905" s="1292"/>
      <c r="AY905" s="1292"/>
      <c r="AZ905" s="1292"/>
      <c r="BA905" s="1292"/>
      <c r="BB905" s="1292"/>
      <c r="BC905" s="1292"/>
      <c r="BD905" s="1292"/>
      <c r="BE905" s="1292"/>
      <c r="BF905" s="1292"/>
      <c r="BG905" s="1292"/>
      <c r="BH905" s="1292"/>
      <c r="BI905" s="1292"/>
      <c r="BJ905" s="1292"/>
      <c r="BK905" s="1292"/>
      <c r="BL905" s="1292"/>
      <c r="BM905" s="1292"/>
      <c r="BN905" s="1292"/>
      <c r="BO905" s="1292"/>
      <c r="BP905" s="1292"/>
      <c r="BQ905" s="1292"/>
      <c r="BR905" s="1292"/>
      <c r="BS905" s="1292"/>
      <c r="BT905" s="1670"/>
      <c r="BW905" s="821"/>
    </row>
    <row r="906" spans="2:75" s="164" customFormat="1" ht="12.75" customHeight="1" x14ac:dyDescent="0.15">
      <c r="B906" s="175"/>
      <c r="C906" s="170"/>
      <c r="D906" s="170"/>
      <c r="E906" s="170"/>
      <c r="F906" s="1103" t="s">
        <v>591</v>
      </c>
      <c r="G906" s="825"/>
      <c r="H906" s="1412" t="s">
        <v>1508</v>
      </c>
      <c r="I906" s="197"/>
      <c r="J906" s="174"/>
      <c r="K906" s="174"/>
      <c r="L906" s="861"/>
      <c r="M906" s="861"/>
      <c r="N906" s="836"/>
      <c r="O906" s="1200"/>
      <c r="P906" s="1294"/>
      <c r="Q906" s="1148"/>
      <c r="R906" s="874"/>
      <c r="S906" s="876"/>
      <c r="T906" s="876"/>
      <c r="U906" s="876"/>
      <c r="V906" s="876"/>
      <c r="W906" s="876"/>
      <c r="X906" s="1026"/>
      <c r="Y906" s="1512"/>
      <c r="Z906" s="1741"/>
      <c r="AA906" s="1749"/>
      <c r="AB906" s="1812"/>
      <c r="AC906" s="876"/>
      <c r="AD906" s="1295"/>
      <c r="AE906" s="1525"/>
      <c r="AF906" s="1525"/>
      <c r="AG906" s="1525"/>
      <c r="AH906" s="1525"/>
      <c r="AI906" s="1525"/>
      <c r="AJ906" s="1525"/>
      <c r="AK906" s="1525"/>
      <c r="AL906" s="1525"/>
      <c r="AM906" s="1525"/>
      <c r="AN906" s="1525"/>
      <c r="AO906" s="1525"/>
      <c r="AP906" s="1525"/>
      <c r="AQ906" s="1525"/>
      <c r="AR906" s="1525"/>
      <c r="AS906" s="1525"/>
      <c r="AU906" s="1525"/>
      <c r="AV906" s="1295"/>
      <c r="AW906" s="1525"/>
      <c r="AX906" s="1525"/>
      <c r="AY906" s="1525"/>
      <c r="AZ906" s="1525"/>
      <c r="BA906" s="1525"/>
      <c r="BB906" s="1525"/>
      <c r="BC906" s="1525"/>
      <c r="BD906" s="1525"/>
      <c r="BE906" s="1525"/>
      <c r="BF906" s="1525"/>
      <c r="BG906" s="1525"/>
      <c r="BH906" s="1525"/>
      <c r="BI906" s="1525"/>
      <c r="BJ906" s="1525"/>
      <c r="BK906" s="1525"/>
      <c r="BL906" s="1525"/>
      <c r="BM906" s="1525"/>
      <c r="BN906" s="1525"/>
      <c r="BO906" s="1525"/>
      <c r="BP906" s="1525"/>
      <c r="BQ906" s="1525"/>
      <c r="BR906" s="1525"/>
      <c r="BS906" s="1525"/>
      <c r="BT906" s="1670"/>
      <c r="BV906"/>
      <c r="BW906" s="825"/>
    </row>
    <row r="907" spans="2:75" ht="12.75" customHeight="1" x14ac:dyDescent="0.2">
      <c r="B907" s="175">
        <f>B906+1</f>
        <v>1</v>
      </c>
      <c r="C907" s="219">
        <v>9</v>
      </c>
      <c r="E907" s="12" t="s">
        <v>209</v>
      </c>
      <c r="F907" s="1" t="s">
        <v>919</v>
      </c>
      <c r="G907" s="825" t="s">
        <v>262</v>
      </c>
      <c r="H907" s="1413">
        <v>88161</v>
      </c>
      <c r="I907" s="200" t="s">
        <v>351</v>
      </c>
      <c r="J907" s="168"/>
      <c r="K907" s="168">
        <v>1</v>
      </c>
      <c r="L907" s="861"/>
      <c r="M907" s="858">
        <f>K907+L907</f>
        <v>1</v>
      </c>
      <c r="N907" s="836" t="s">
        <v>892</v>
      </c>
      <c r="O907" s="1196">
        <v>23190</v>
      </c>
      <c r="P907" s="1218">
        <f ca="1">YEARFRAC(TODAY(),O907)</f>
        <v>54.261111111111113</v>
      </c>
      <c r="Q907" s="1148">
        <v>33300</v>
      </c>
      <c r="R907" s="874"/>
      <c r="S907" s="875"/>
      <c r="T907" s="875"/>
      <c r="U907" s="875"/>
      <c r="V907" s="875"/>
      <c r="W907" s="875"/>
      <c r="X907" s="1026">
        <f>(Q907+R907+S907+T907+U907+V907+W907)*M907</f>
        <v>33300</v>
      </c>
      <c r="Y907" s="1512">
        <f>(T907+U907)*M907/(X907-M907*(T907+U907))</f>
        <v>0</v>
      </c>
      <c r="Z907" s="1741">
        <f>M907*(1+Y907)</f>
        <v>1</v>
      </c>
      <c r="AA907" s="1749">
        <f>SUM(AD907:AS907)</f>
        <v>0.5</v>
      </c>
      <c r="AB907" s="1810">
        <f t="shared" ref="AB907" si="543">100*AA907/Z907</f>
        <v>50</v>
      </c>
      <c r="AC907" s="876"/>
      <c r="AD907" s="1525">
        <f t="shared" ref="AD907:AS907" si="544">SUMIF($AV$6:$BS$6,AD$5,$AV907:$BS907)</f>
        <v>0</v>
      </c>
      <c r="AE907" s="1525">
        <f t="shared" si="544"/>
        <v>0</v>
      </c>
      <c r="AF907" s="1525">
        <f t="shared" si="544"/>
        <v>0</v>
      </c>
      <c r="AG907" s="1525">
        <f t="shared" si="544"/>
        <v>0</v>
      </c>
      <c r="AH907" s="1525">
        <f t="shared" si="544"/>
        <v>0</v>
      </c>
      <c r="AI907" s="1525">
        <f t="shared" si="544"/>
        <v>0</v>
      </c>
      <c r="AJ907" s="1525">
        <f t="shared" si="544"/>
        <v>0</v>
      </c>
      <c r="AK907" s="1525">
        <f t="shared" si="544"/>
        <v>0</v>
      </c>
      <c r="AL907" s="1525">
        <f t="shared" si="544"/>
        <v>0</v>
      </c>
      <c r="AM907" s="1525">
        <f t="shared" si="544"/>
        <v>0.5</v>
      </c>
      <c r="AN907" s="1525">
        <f t="shared" si="544"/>
        <v>0</v>
      </c>
      <c r="AO907" s="1525">
        <f t="shared" si="544"/>
        <v>0</v>
      </c>
      <c r="AP907" s="1525">
        <f t="shared" si="544"/>
        <v>0</v>
      </c>
      <c r="AQ907" s="1525">
        <f t="shared" si="544"/>
        <v>0</v>
      </c>
      <c r="AR907" s="1525">
        <f t="shared" si="544"/>
        <v>0</v>
      </c>
      <c r="AS907" s="1525">
        <f t="shared" si="544"/>
        <v>0</v>
      </c>
      <c r="AU907" s="1525"/>
      <c r="AV907" s="1291"/>
      <c r="AW907" s="1292"/>
      <c r="AX907" s="1292"/>
      <c r="AY907" s="1292"/>
      <c r="AZ907" s="1292"/>
      <c r="BA907" s="1292"/>
      <c r="BB907" s="1292"/>
      <c r="BC907" s="1292"/>
      <c r="BD907" s="1292"/>
      <c r="BE907" s="1292"/>
      <c r="BF907" s="1292"/>
      <c r="BG907" s="1292"/>
      <c r="BH907" s="1292"/>
      <c r="BI907" s="1292"/>
      <c r="BJ907" s="1292"/>
      <c r="BK907" s="1292"/>
      <c r="BL907" s="1292"/>
      <c r="BM907" s="1292"/>
      <c r="BN907" s="1292"/>
      <c r="BO907" s="1292">
        <v>0.5</v>
      </c>
      <c r="BP907" s="1292"/>
      <c r="BQ907" s="1292"/>
      <c r="BR907" s="1292"/>
      <c r="BS907" s="1292"/>
      <c r="BT907" s="1670">
        <f t="shared" ref="BT907" si="545">SUM(AV907:BS907)</f>
        <v>0.5</v>
      </c>
      <c r="BW907" s="825" t="s">
        <v>262</v>
      </c>
    </row>
    <row r="908" spans="2:75" ht="12.75" customHeight="1" x14ac:dyDescent="0.2">
      <c r="B908" s="175"/>
      <c r="C908" s="219"/>
      <c r="E908" s="12"/>
      <c r="F908" s="24"/>
      <c r="G908" s="821"/>
      <c r="H908" s="1413"/>
      <c r="I908" s="200"/>
      <c r="J908" s="174"/>
      <c r="K908" s="174"/>
      <c r="L908" s="858"/>
      <c r="M908" s="858"/>
      <c r="N908" s="857"/>
      <c r="O908" s="1196"/>
      <c r="P908" s="1218"/>
      <c r="Q908" s="1148"/>
      <c r="R908" s="874"/>
      <c r="S908" s="875"/>
      <c r="T908" s="875"/>
      <c r="U908" s="875"/>
      <c r="V908" s="875"/>
      <c r="W908" s="875"/>
      <c r="X908" s="1026"/>
      <c r="Y908" s="1335"/>
      <c r="Z908" s="1335"/>
      <c r="AA908" s="1775"/>
      <c r="AB908" s="1814"/>
      <c r="AC908" s="876"/>
      <c r="AD908" s="1525"/>
      <c r="AE908" s="1525"/>
      <c r="AF908" s="1525"/>
      <c r="AG908" s="1525"/>
      <c r="AH908" s="1525"/>
      <c r="AI908" s="1525"/>
      <c r="AJ908" s="1525"/>
      <c r="AK908" s="1525"/>
      <c r="AL908" s="1525"/>
      <c r="AM908" s="1525"/>
      <c r="AN908" s="1525"/>
      <c r="AO908" s="1525"/>
      <c r="AP908" s="1525"/>
      <c r="AQ908" s="1525"/>
      <c r="AR908" s="1525"/>
      <c r="AS908" s="1525"/>
      <c r="AU908" s="1525"/>
      <c r="AV908" s="1291"/>
      <c r="AW908" s="1292"/>
      <c r="AX908" s="1292"/>
      <c r="AY908" s="1292"/>
      <c r="AZ908" s="1292"/>
      <c r="BA908" s="1292"/>
      <c r="BB908" s="1292"/>
      <c r="BC908" s="1292"/>
      <c r="BD908" s="1292"/>
      <c r="BE908" s="1292"/>
      <c r="BF908" s="1292"/>
      <c r="BG908" s="1292"/>
      <c r="BH908" s="1292"/>
      <c r="BI908" s="1292"/>
      <c r="BJ908" s="1292"/>
      <c r="BK908" s="1292"/>
      <c r="BL908" s="1292"/>
      <c r="BM908" s="1292"/>
      <c r="BN908" s="1292"/>
      <c r="BO908" s="1292"/>
      <c r="BP908" s="1292"/>
      <c r="BQ908" s="1292"/>
      <c r="BR908" s="1292"/>
      <c r="BS908" s="1292"/>
      <c r="BT908" s="1670"/>
      <c r="BW908" s="821"/>
    </row>
    <row r="909" spans="2:75" s="164" customFormat="1" ht="12.75" customHeight="1" x14ac:dyDescent="0.15">
      <c r="B909" s="175"/>
      <c r="C909" s="219" t="s">
        <v>1120</v>
      </c>
      <c r="F909" s="4" t="s">
        <v>1239</v>
      </c>
      <c r="G909" s="825"/>
      <c r="H909" s="1415" t="s">
        <v>1508</v>
      </c>
      <c r="I909" s="197"/>
      <c r="J909" s="174"/>
      <c r="K909" s="892">
        <f>SUM(K894:K907)</f>
        <v>1</v>
      </c>
      <c r="L909" s="1351">
        <f>SUM(L894:L907)</f>
        <v>9.3330000000000002</v>
      </c>
      <c r="M909" s="892">
        <f>SUM(M894:M907)</f>
        <v>10.333</v>
      </c>
      <c r="N909" s="836"/>
      <c r="O909" s="1200"/>
      <c r="P909" s="550"/>
      <c r="Q909" s="1153"/>
      <c r="R909" s="877"/>
      <c r="S909" s="875"/>
      <c r="T909" s="875"/>
      <c r="U909" s="875"/>
      <c r="V909" s="875"/>
      <c r="W909" s="875"/>
      <c r="X909" s="1026"/>
      <c r="Y909" s="1335"/>
      <c r="Z909" s="1335"/>
      <c r="AA909" s="1775"/>
      <c r="AB909" s="1814"/>
      <c r="AC909" s="876"/>
      <c r="AD909" s="1295"/>
      <c r="AE909" s="1525"/>
      <c r="AF909" s="1525"/>
      <c r="AG909" s="1525"/>
      <c r="AH909" s="1525"/>
      <c r="AI909" s="1525"/>
      <c r="AJ909" s="1525"/>
      <c r="AK909" s="1525"/>
      <c r="AL909" s="1525"/>
      <c r="AM909" s="1525"/>
      <c r="AN909" s="1525"/>
      <c r="AO909" s="1525"/>
      <c r="AP909" s="1525"/>
      <c r="AQ909" s="1525"/>
      <c r="AR909" s="1525"/>
      <c r="AS909" s="1525"/>
      <c r="AU909" s="1525"/>
      <c r="AV909" s="1295"/>
      <c r="AW909" s="1525"/>
      <c r="AX909" s="1525"/>
      <c r="AY909" s="1525"/>
      <c r="AZ909" s="1525"/>
      <c r="BA909" s="1525"/>
      <c r="BB909" s="1525"/>
      <c r="BC909" s="1525"/>
      <c r="BD909" s="1525"/>
      <c r="BE909" s="1525"/>
      <c r="BF909" s="1525"/>
      <c r="BG909" s="1525"/>
      <c r="BH909" s="1525"/>
      <c r="BI909" s="1525"/>
      <c r="BJ909" s="1525"/>
      <c r="BK909" s="1525"/>
      <c r="BL909" s="1525"/>
      <c r="BM909" s="1525"/>
      <c r="BN909" s="1525"/>
      <c r="BO909" s="1525"/>
      <c r="BP909" s="1525"/>
      <c r="BQ909" s="1525"/>
      <c r="BR909" s="1525"/>
      <c r="BS909" s="1525"/>
      <c r="BT909" s="1670"/>
      <c r="BV909"/>
      <c r="BW909" s="825"/>
    </row>
    <row r="910" spans="2:75" s="164" customFormat="1" ht="12.75" customHeight="1" x14ac:dyDescent="0.15">
      <c r="B910" s="175"/>
      <c r="F910" s="24"/>
      <c r="G910" s="821"/>
      <c r="H910" s="1413" t="s">
        <v>1508</v>
      </c>
      <c r="I910" s="200"/>
      <c r="J910" s="189"/>
      <c r="K910" s="189"/>
      <c r="L910" s="858"/>
      <c r="M910" s="858"/>
      <c r="N910" s="857"/>
      <c r="O910" s="1200"/>
      <c r="P910" s="550"/>
      <c r="Q910" s="1148"/>
      <c r="R910" s="874"/>
      <c r="S910" s="875"/>
      <c r="T910" s="875"/>
      <c r="U910" s="875"/>
      <c r="V910" s="875"/>
      <c r="W910" s="875"/>
      <c r="X910" s="1026"/>
      <c r="Y910" s="1754"/>
      <c r="Z910" s="1755"/>
      <c r="AA910" s="1775"/>
      <c r="AB910" s="1814"/>
      <c r="AC910" s="876"/>
      <c r="AD910" s="1295"/>
      <c r="AE910" s="1525"/>
      <c r="AF910" s="1525"/>
      <c r="AG910" s="1525"/>
      <c r="AH910" s="1525"/>
      <c r="AI910" s="1525"/>
      <c r="AJ910" s="1525"/>
      <c r="AK910" s="1525"/>
      <c r="AL910" s="1525"/>
      <c r="AM910" s="1525"/>
      <c r="AN910" s="1525"/>
      <c r="AO910" s="1525"/>
      <c r="AP910" s="1525"/>
      <c r="AQ910" s="1525"/>
      <c r="AR910" s="1525"/>
      <c r="AS910" s="1525"/>
      <c r="AU910" s="1525"/>
      <c r="AV910" s="1295"/>
      <c r="AW910" s="1525"/>
      <c r="AX910" s="1525"/>
      <c r="AY910" s="1525"/>
      <c r="AZ910" s="1525"/>
      <c r="BA910" s="1525"/>
      <c r="BB910" s="1525"/>
      <c r="BC910" s="1525"/>
      <c r="BD910" s="1525"/>
      <c r="BE910" s="1525"/>
      <c r="BF910" s="1525"/>
      <c r="BG910" s="1525"/>
      <c r="BH910" s="1525"/>
      <c r="BI910" s="1525"/>
      <c r="BJ910" s="1525"/>
      <c r="BK910" s="1525"/>
      <c r="BL910" s="1525"/>
      <c r="BM910" s="1525"/>
      <c r="BN910" s="1525"/>
      <c r="BO910" s="1525"/>
      <c r="BP910" s="1525"/>
      <c r="BQ910" s="1525"/>
      <c r="BR910" s="1525"/>
      <c r="BS910" s="1525"/>
      <c r="BT910" s="1670"/>
      <c r="BV910"/>
      <c r="BW910" s="821"/>
    </row>
    <row r="911" spans="2:75" x14ac:dyDescent="0.15">
      <c r="X911" s="1709"/>
      <c r="Y911" s="210"/>
      <c r="Z911" s="210"/>
      <c r="AA911" s="1763"/>
      <c r="AB911" s="1760"/>
      <c r="AC911" s="210"/>
      <c r="AD911" s="553"/>
      <c r="AE911" s="553"/>
      <c r="AF911" s="553"/>
      <c r="AG911" s="553"/>
      <c r="AH911" s="553"/>
      <c r="AI911" s="553"/>
      <c r="AJ911" s="553"/>
      <c r="AK911" s="553"/>
      <c r="AL911" s="553"/>
      <c r="AM911" s="553"/>
      <c r="AN911" s="553"/>
      <c r="AO911" s="553"/>
      <c r="AP911" s="553"/>
      <c r="AQ911" s="553"/>
      <c r="AR911" s="553"/>
      <c r="AS911" s="553"/>
      <c r="AV911" s="1292"/>
      <c r="AX911" s="1292"/>
      <c r="BT911" s="1671"/>
    </row>
    <row r="912" spans="2:75" x14ac:dyDescent="0.15">
      <c r="X912" s="1709"/>
      <c r="Y912" s="210"/>
      <c r="Z912" s="210"/>
      <c r="AA912" s="1763"/>
      <c r="AB912" s="1760"/>
      <c r="AC912" s="210"/>
      <c r="AD912" s="553"/>
      <c r="AE912" s="553"/>
      <c r="AF912" s="553"/>
      <c r="AG912" s="553"/>
      <c r="AH912" s="553"/>
      <c r="AI912" s="553"/>
      <c r="AJ912" s="553"/>
      <c r="AK912" s="553"/>
      <c r="AL912" s="553"/>
      <c r="AM912" s="553"/>
      <c r="AN912" s="553"/>
      <c r="AO912" s="553"/>
      <c r="AP912" s="553"/>
      <c r="AQ912" s="553"/>
      <c r="AR912" s="553"/>
      <c r="AS912" s="553"/>
      <c r="AV912" s="1292"/>
      <c r="AX912" s="1292"/>
      <c r="BT912" s="1671"/>
    </row>
    <row r="913" spans="1:75" s="164" customFormat="1" ht="12.75" customHeight="1" x14ac:dyDescent="0.15">
      <c r="B913" s="175"/>
      <c r="C913" s="658" t="s">
        <v>344</v>
      </c>
      <c r="D913" s="659" t="s">
        <v>346</v>
      </c>
      <c r="E913" s="1860" t="s">
        <v>209</v>
      </c>
      <c r="F913" s="1668" t="s">
        <v>2101</v>
      </c>
      <c r="G913" s="953">
        <f>COUNTA(G855:G912)</f>
        <v>32</v>
      </c>
      <c r="H913" s="1428" t="s">
        <v>1508</v>
      </c>
      <c r="I913" s="637"/>
      <c r="J913" s="638"/>
      <c r="K913" s="639">
        <f>K857+K872+K891+K909</f>
        <v>1</v>
      </c>
      <c r="L913" s="953">
        <f>L857+L872+L891+L909</f>
        <v>26.165999999999997</v>
      </c>
      <c r="M913" s="953">
        <f>M857+M872+M891+M909</f>
        <v>27.165999999999997</v>
      </c>
      <c r="N913" s="955"/>
      <c r="O913" s="955"/>
      <c r="P913" s="1301"/>
      <c r="Q913" s="1168"/>
      <c r="R913" s="1046"/>
      <c r="S913" s="1047"/>
      <c r="T913" s="1047"/>
      <c r="U913" s="1047"/>
      <c r="V913" s="1047"/>
      <c r="W913" s="1047"/>
      <c r="X913" s="1279">
        <f>SUM(X855:X910)</f>
        <v>984891</v>
      </c>
      <c r="Y913" s="1334"/>
      <c r="Z913" s="1653">
        <f>SUM(Z855:Z910)</f>
        <v>28.718978407725412</v>
      </c>
      <c r="AA913" s="1821">
        <f>SUM(AA855:AA910)</f>
        <v>16.73</v>
      </c>
      <c r="AB913" s="1813">
        <f t="shared" ref="AB913" si="546">100*AA913/Z913</f>
        <v>58.254161281376312</v>
      </c>
      <c r="AC913" s="1721"/>
      <c r="AD913" s="1291"/>
      <c r="AE913" s="1292"/>
      <c r="AF913" s="1525"/>
      <c r="AG913" s="1525"/>
      <c r="AH913" s="1525"/>
      <c r="AI913" s="1525"/>
      <c r="AJ913" s="1525"/>
      <c r="AK913" s="1525"/>
      <c r="AL913" s="1525"/>
      <c r="AM913" s="1525"/>
      <c r="AN913" s="1525"/>
      <c r="AO913" s="1525"/>
      <c r="AP913" s="1525"/>
      <c r="AQ913" s="1525"/>
      <c r="AR913" s="1525"/>
      <c r="AS913" s="1525"/>
      <c r="AU913" s="1525"/>
      <c r="AV913" s="1295"/>
      <c r="AW913" s="1525"/>
      <c r="AX913" s="1525"/>
      <c r="AY913" s="1525"/>
      <c r="AZ913" s="1525"/>
      <c r="BA913" s="1525"/>
      <c r="BB913" s="1525"/>
      <c r="BC913" s="1525"/>
      <c r="BD913" s="1525"/>
      <c r="BE913" s="1525"/>
      <c r="BF913" s="1525"/>
      <c r="BG913" s="1525"/>
      <c r="BH913" s="1525"/>
      <c r="BI913" s="1525"/>
      <c r="BJ913" s="1525"/>
      <c r="BK913" s="1525"/>
      <c r="BL913" s="1525"/>
      <c r="BM913" s="1525"/>
      <c r="BN913" s="1525"/>
      <c r="BO913" s="1525"/>
      <c r="BP913" s="1525"/>
      <c r="BQ913" s="1525"/>
      <c r="BR913" s="1525"/>
      <c r="BS913" s="1525"/>
      <c r="BT913" s="1670"/>
      <c r="BV913"/>
      <c r="BW913" s="954"/>
    </row>
    <row r="914" spans="1:75" s="164" customFormat="1" ht="12.75" customHeight="1" x14ac:dyDescent="0.15">
      <c r="B914" s="175"/>
      <c r="C914" s="732" t="s">
        <v>136</v>
      </c>
      <c r="D914" s="732"/>
      <c r="E914" s="618" t="s">
        <v>209</v>
      </c>
      <c r="F914" s="640" t="s">
        <v>893</v>
      </c>
      <c r="G914" s="867"/>
      <c r="H914" s="1422" t="s">
        <v>1508</v>
      </c>
      <c r="I914" s="641"/>
      <c r="J914" s="642"/>
      <c r="K914" s="642"/>
      <c r="L914" s="866"/>
      <c r="M914" s="866"/>
      <c r="N914" s="926"/>
      <c r="O914" s="926"/>
      <c r="P914" s="1223"/>
      <c r="Q914" s="1158"/>
      <c r="R914" s="1027"/>
      <c r="S914" s="1028"/>
      <c r="T914" s="1028"/>
      <c r="U914" s="1028"/>
      <c r="V914" s="1028"/>
      <c r="W914" s="1028"/>
      <c r="X914" s="1697">
        <v>86700</v>
      </c>
      <c r="Y914" s="1052"/>
      <c r="Z914" s="1052"/>
      <c r="AA914" s="1749"/>
      <c r="AB914" s="1812"/>
      <c r="AC914" s="876"/>
      <c r="AD914" s="1291"/>
      <c r="AE914" s="1292"/>
      <c r="AF914" s="1525"/>
      <c r="AG914" s="1525"/>
      <c r="AH914" s="1525"/>
      <c r="AI914" s="1525"/>
      <c r="AJ914" s="1525"/>
      <c r="AK914" s="1525"/>
      <c r="AL914" s="1525"/>
      <c r="AM914" s="1525"/>
      <c r="AN914" s="1525"/>
      <c r="AO914" s="1525"/>
      <c r="AP914" s="1525"/>
      <c r="AQ914" s="1525"/>
      <c r="AR914" s="1525"/>
      <c r="AS914" s="1525"/>
      <c r="AU914" s="1525"/>
      <c r="AV914" s="1295"/>
      <c r="AW914" s="1525"/>
      <c r="AX914" s="1525"/>
      <c r="AY914" s="1525"/>
      <c r="AZ914" s="1525"/>
      <c r="BA914" s="1525"/>
      <c r="BB914" s="1525"/>
      <c r="BC914" s="1525"/>
      <c r="BD914" s="1525"/>
      <c r="BE914" s="1525"/>
      <c r="BF914" s="1525"/>
      <c r="BG914" s="1525"/>
      <c r="BH914" s="1525"/>
      <c r="BI914" s="1525"/>
      <c r="BJ914" s="1525"/>
      <c r="BK914" s="1525"/>
      <c r="BL914" s="1525"/>
      <c r="BM914" s="1525"/>
      <c r="BN914" s="1525"/>
      <c r="BO914" s="1525"/>
      <c r="BP914" s="1525"/>
      <c r="BQ914" s="1525"/>
      <c r="BR914" s="1525"/>
      <c r="BS914" s="1525"/>
      <c r="BT914" s="1670"/>
      <c r="BV914"/>
      <c r="BW914" s="867"/>
    </row>
    <row r="915" spans="1:75" s="164" customFormat="1" ht="12.75" customHeight="1" x14ac:dyDescent="0.15">
      <c r="B915" s="175"/>
      <c r="C915" s="423"/>
      <c r="D915" s="423"/>
      <c r="E915" s="424"/>
      <c r="F915" s="424" t="s">
        <v>525</v>
      </c>
      <c r="G915" s="937"/>
      <c r="H915" s="1423" t="s">
        <v>1508</v>
      </c>
      <c r="I915" s="426"/>
      <c r="J915" s="425"/>
      <c r="K915" s="425"/>
      <c r="L915" s="866"/>
      <c r="M915" s="866"/>
      <c r="N915" s="956"/>
      <c r="O915" s="956"/>
      <c r="P915" s="1237"/>
      <c r="Q915" s="1170"/>
      <c r="R915" s="1051"/>
      <c r="S915" s="1052"/>
      <c r="T915" s="1052"/>
      <c r="U915" s="1052"/>
      <c r="V915" s="1052"/>
      <c r="W915" s="1052"/>
      <c r="X915" s="1711"/>
      <c r="Y915" s="1513"/>
      <c r="Z915" s="1743"/>
      <c r="AA915" s="1749"/>
      <c r="AB915" s="1812"/>
      <c r="AC915" s="876"/>
      <c r="AD915" s="1295"/>
      <c r="AE915" s="1525"/>
      <c r="AF915" s="1525"/>
      <c r="AG915" s="1525"/>
      <c r="AH915" s="1525"/>
      <c r="AI915" s="1525"/>
      <c r="AJ915" s="1525"/>
      <c r="AK915" s="1525"/>
      <c r="AL915" s="1525"/>
      <c r="AM915" s="1525"/>
      <c r="AN915" s="1525"/>
      <c r="AO915" s="1525"/>
      <c r="AP915" s="1525"/>
      <c r="AQ915" s="1525"/>
      <c r="AR915" s="1525"/>
      <c r="AS915" s="1525"/>
      <c r="AU915" s="1525"/>
      <c r="AV915" s="1295"/>
      <c r="AW915" s="1525"/>
      <c r="AX915" s="1525"/>
      <c r="AY915" s="1525"/>
      <c r="AZ915" s="1525"/>
      <c r="BA915" s="1525"/>
      <c r="BB915" s="1525"/>
      <c r="BC915" s="1525"/>
      <c r="BD915" s="1525"/>
      <c r="BE915" s="1525"/>
      <c r="BF915" s="1525"/>
      <c r="BG915" s="1525"/>
      <c r="BH915" s="1525"/>
      <c r="BI915" s="1525"/>
      <c r="BJ915" s="1525"/>
      <c r="BK915" s="1525"/>
      <c r="BL915" s="1525"/>
      <c r="BM915" s="1525"/>
      <c r="BN915" s="1525"/>
      <c r="BO915" s="1525"/>
      <c r="BP915" s="1525"/>
      <c r="BQ915" s="1525"/>
      <c r="BR915" s="1525"/>
      <c r="BS915" s="1525"/>
      <c r="BT915" s="1670"/>
      <c r="BV915"/>
      <c r="BW915" s="937"/>
    </row>
    <row r="916" spans="1:75" s="6" customFormat="1" ht="12.75" customHeight="1" x14ac:dyDescent="0.2">
      <c r="A916" s="164"/>
      <c r="B916" s="175"/>
      <c r="C916" s="227"/>
      <c r="D916" s="227"/>
      <c r="E916" s="431"/>
      <c r="F916" s="35"/>
      <c r="G916" s="904"/>
      <c r="H916" s="1429" t="s">
        <v>1508</v>
      </c>
      <c r="I916" s="204"/>
      <c r="J916" s="245"/>
      <c r="K916" s="203"/>
      <c r="L916" s="957"/>
      <c r="M916" s="957"/>
      <c r="N916" s="905"/>
      <c r="O916" s="1205"/>
      <c r="P916" s="1238"/>
      <c r="Q916" s="1171"/>
      <c r="R916" s="1053"/>
      <c r="S916" s="1054"/>
      <c r="T916" s="1054"/>
      <c r="U916" s="1054"/>
      <c r="V916" s="1054"/>
      <c r="W916" s="1054"/>
      <c r="X916" s="1712"/>
      <c r="Y916" s="1822"/>
      <c r="Z916" s="1823"/>
      <c r="AA916" s="1775"/>
      <c r="AB916" s="1815"/>
      <c r="AC916" s="876"/>
      <c r="AD916" s="1529"/>
      <c r="AE916" s="1530"/>
      <c r="AF916" s="1530"/>
      <c r="AG916" s="1530"/>
      <c r="AH916" s="1530"/>
      <c r="AI916" s="1530"/>
      <c r="AJ916" s="1530"/>
      <c r="AK916" s="1530"/>
      <c r="AL916" s="1530"/>
      <c r="AM916" s="1530"/>
      <c r="AN916" s="1530"/>
      <c r="AO916" s="1530"/>
      <c r="AP916" s="1530"/>
      <c r="AQ916" s="1530"/>
      <c r="AR916" s="1530"/>
      <c r="AS916" s="1530"/>
      <c r="AU916" s="1525"/>
      <c r="AV916" s="1529"/>
      <c r="AW916" s="1530"/>
      <c r="AX916" s="1530"/>
      <c r="AY916" s="1530"/>
      <c r="AZ916" s="1530"/>
      <c r="BA916" s="1530"/>
      <c r="BB916" s="1530"/>
      <c r="BC916" s="1530"/>
      <c r="BD916" s="1530"/>
      <c r="BE916" s="1530"/>
      <c r="BF916" s="1530"/>
      <c r="BG916" s="1530"/>
      <c r="BH916" s="1530"/>
      <c r="BI916" s="1530"/>
      <c r="BJ916" s="1530"/>
      <c r="BK916" s="1530"/>
      <c r="BL916" s="1530"/>
      <c r="BM916" s="1530"/>
      <c r="BN916" s="1530"/>
      <c r="BO916" s="1530"/>
      <c r="BP916" s="1530"/>
      <c r="BQ916" s="1530"/>
      <c r="BR916" s="1530"/>
      <c r="BS916" s="1530"/>
      <c r="BT916" s="1674"/>
      <c r="BV916"/>
      <c r="BW916" s="904"/>
    </row>
    <row r="917" spans="1:75" s="6" customFormat="1" ht="12.75" customHeight="1" x14ac:dyDescent="0.2">
      <c r="A917" s="164"/>
      <c r="B917" s="175"/>
      <c r="C917" s="227"/>
      <c r="D917" s="227"/>
      <c r="E917" s="431"/>
      <c r="F917" s="35" t="s">
        <v>1518</v>
      </c>
      <c r="G917" s="825"/>
      <c r="H917" s="1429" t="s">
        <v>1508</v>
      </c>
      <c r="I917" s="204"/>
      <c r="J917" s="245"/>
      <c r="K917" s="203"/>
      <c r="L917" s="957"/>
      <c r="M917" s="957"/>
      <c r="N917" s="836"/>
      <c r="O917" s="1197"/>
      <c r="P917" s="1239"/>
      <c r="Q917" s="1148"/>
      <c r="R917" s="874"/>
      <c r="S917" s="1055"/>
      <c r="T917" s="1055"/>
      <c r="U917" s="1055"/>
      <c r="V917" s="1055"/>
      <c r="W917" s="1055"/>
      <c r="X917" s="1026"/>
      <c r="Y917" s="1822"/>
      <c r="Z917" s="1823"/>
      <c r="AA917" s="1775"/>
      <c r="AB917" s="1815"/>
      <c r="AC917" s="876"/>
      <c r="AD917" s="1529"/>
      <c r="AE917" s="1530"/>
      <c r="AF917" s="1530"/>
      <c r="AG917" s="1530"/>
      <c r="AH917" s="1530"/>
      <c r="AI917" s="1530"/>
      <c r="AJ917" s="1530"/>
      <c r="AK917" s="1530"/>
      <c r="AL917" s="1530"/>
      <c r="AM917" s="1530"/>
      <c r="AN917" s="1530"/>
      <c r="AO917" s="1530"/>
      <c r="AP917" s="1530"/>
      <c r="AQ917" s="1530"/>
      <c r="AR917" s="1530"/>
      <c r="AS917" s="1530"/>
      <c r="AU917" s="1525"/>
      <c r="AV917" s="1529"/>
      <c r="AW917" s="1530"/>
      <c r="AX917" s="1530"/>
      <c r="AY917" s="1530"/>
      <c r="AZ917" s="1530"/>
      <c r="BA917" s="1530"/>
      <c r="BB917" s="1530"/>
      <c r="BC917" s="1530"/>
      <c r="BD917" s="1530"/>
      <c r="BE917" s="1530"/>
      <c r="BF917" s="1530"/>
      <c r="BG917" s="1530"/>
      <c r="BH917" s="1530"/>
      <c r="BI917" s="1530"/>
      <c r="BJ917" s="1530"/>
      <c r="BK917" s="1530"/>
      <c r="BL917" s="1530"/>
      <c r="BM917" s="1530"/>
      <c r="BN917" s="1530"/>
      <c r="BO917" s="1530"/>
      <c r="BP917" s="1530"/>
      <c r="BQ917" s="1530"/>
      <c r="BR917" s="1530"/>
      <c r="BS917" s="1530"/>
      <c r="BT917" s="1674"/>
      <c r="BV917"/>
      <c r="BW917" s="825"/>
    </row>
    <row r="918" spans="1:75" s="6" customFormat="1" ht="12.75" customHeight="1" x14ac:dyDescent="0.2">
      <c r="A918" s="164"/>
      <c r="B918" s="175"/>
      <c r="C918" s="227"/>
      <c r="D918" s="227"/>
      <c r="E918" s="431"/>
      <c r="F918" s="751" t="s">
        <v>1522</v>
      </c>
      <c r="G918" s="825"/>
      <c r="H918" s="1429" t="s">
        <v>1508</v>
      </c>
      <c r="I918" s="204"/>
      <c r="J918" s="245"/>
      <c r="K918" s="203"/>
      <c r="L918" s="957"/>
      <c r="M918" s="957"/>
      <c r="N918" s="836"/>
      <c r="O918" s="1197"/>
      <c r="P918" s="1239"/>
      <c r="Q918" s="1148"/>
      <c r="R918" s="874"/>
      <c r="S918" s="1055"/>
      <c r="T918" s="1055"/>
      <c r="U918" s="1055"/>
      <c r="V918" s="1055"/>
      <c r="W918" s="1055"/>
      <c r="X918" s="1026"/>
      <c r="Y918" s="1822"/>
      <c r="Z918" s="1823"/>
      <c r="AA918" s="1775"/>
      <c r="AB918" s="1815"/>
      <c r="AC918" s="876"/>
      <c r="AD918" s="1529"/>
      <c r="AE918" s="1530"/>
      <c r="AF918" s="1530"/>
      <c r="AG918" s="1530"/>
      <c r="AH918" s="1530"/>
      <c r="AI918" s="1530"/>
      <c r="AJ918" s="1530"/>
      <c r="AK918" s="1530"/>
      <c r="AL918" s="1530"/>
      <c r="AM918" s="1530"/>
      <c r="AN918" s="1530"/>
      <c r="AO918" s="1530"/>
      <c r="AP918" s="1530"/>
      <c r="AQ918" s="1530"/>
      <c r="AR918" s="1530"/>
      <c r="AS918" s="1530"/>
      <c r="AU918" s="1525"/>
      <c r="AV918" s="1529"/>
      <c r="AW918" s="1530"/>
      <c r="AX918" s="1530"/>
      <c r="AY918" s="1530"/>
      <c r="AZ918" s="1530"/>
      <c r="BA918" s="1530"/>
      <c r="BB918" s="1530"/>
      <c r="BC918" s="1530"/>
      <c r="BD918" s="1530"/>
      <c r="BE918" s="1530"/>
      <c r="BF918" s="1530"/>
      <c r="BG918" s="1530"/>
      <c r="BH918" s="1530"/>
      <c r="BI918" s="1530"/>
      <c r="BJ918" s="1530"/>
      <c r="BK918" s="1530"/>
      <c r="BL918" s="1530"/>
      <c r="BM918" s="1530"/>
      <c r="BN918" s="1530"/>
      <c r="BO918" s="1530"/>
      <c r="BP918" s="1530"/>
      <c r="BQ918" s="1530"/>
      <c r="BR918" s="1530"/>
      <c r="BS918" s="1530"/>
      <c r="BT918" s="1674"/>
      <c r="BV918"/>
      <c r="BW918" s="825"/>
    </row>
    <row r="919" spans="1:75" s="6" customFormat="1" ht="12.75" customHeight="1" x14ac:dyDescent="0.2">
      <c r="A919" s="164"/>
      <c r="B919" s="175"/>
      <c r="C919" s="227"/>
      <c r="D919" s="227"/>
      <c r="E919" s="431"/>
      <c r="F919" s="751"/>
      <c r="G919" s="825"/>
      <c r="H919" s="1429" t="s">
        <v>1508</v>
      </c>
      <c r="I919" s="204"/>
      <c r="J919" s="245"/>
      <c r="K919" s="203"/>
      <c r="L919" s="957"/>
      <c r="M919" s="957"/>
      <c r="N919" s="836"/>
      <c r="O919" s="1197"/>
      <c r="P919" s="1239"/>
      <c r="Q919" s="1148"/>
      <c r="R919" s="874"/>
      <c r="S919" s="1055"/>
      <c r="T919" s="1055"/>
      <c r="U919" s="1055"/>
      <c r="V919" s="1055"/>
      <c r="W919" s="1055"/>
      <c r="X919" s="1026"/>
      <c r="Y919" s="1822"/>
      <c r="Z919" s="1823"/>
      <c r="AA919" s="1775"/>
      <c r="AB919" s="1815"/>
      <c r="AC919" s="876"/>
      <c r="AD919" s="1529"/>
      <c r="AE919" s="1530"/>
      <c r="AF919" s="1530"/>
      <c r="AG919" s="1530"/>
      <c r="AH919" s="1530"/>
      <c r="AI919" s="1530"/>
      <c r="AJ919" s="1530"/>
      <c r="AK919" s="1530"/>
      <c r="AL919" s="1530"/>
      <c r="AM919" s="1530"/>
      <c r="AN919" s="1530"/>
      <c r="AO919" s="1530"/>
      <c r="AP919" s="1530"/>
      <c r="AQ919" s="1530"/>
      <c r="AR919" s="1530"/>
      <c r="AS919" s="1530"/>
      <c r="AU919" s="1525"/>
      <c r="AV919" s="1529"/>
      <c r="AW919" s="1530"/>
      <c r="AX919" s="1530"/>
      <c r="AY919" s="1530"/>
      <c r="AZ919" s="1530"/>
      <c r="BA919" s="1530"/>
      <c r="BB919" s="1530"/>
      <c r="BC919" s="1530"/>
      <c r="BD919" s="1530"/>
      <c r="BE919" s="1530"/>
      <c r="BF919" s="1530"/>
      <c r="BG919" s="1530"/>
      <c r="BH919" s="1530"/>
      <c r="BI919" s="1530"/>
      <c r="BJ919" s="1530"/>
      <c r="BK919" s="1530"/>
      <c r="BL919" s="1530"/>
      <c r="BM919" s="1530"/>
      <c r="BN919" s="1530"/>
      <c r="BO919" s="1530"/>
      <c r="BP919" s="1530"/>
      <c r="BQ919" s="1530"/>
      <c r="BR919" s="1530"/>
      <c r="BS919" s="1530"/>
      <c r="BT919" s="1674"/>
      <c r="BV919"/>
      <c r="BW919" s="825"/>
    </row>
    <row r="920" spans="1:75" s="6" customFormat="1" ht="12.75" customHeight="1" x14ac:dyDescent="0.2">
      <c r="A920" s="164"/>
      <c r="B920" s="175">
        <f t="shared" si="531"/>
        <v>1</v>
      </c>
      <c r="C920" s="227">
        <v>5</v>
      </c>
      <c r="D920" s="227"/>
      <c r="E920" s="431" t="s">
        <v>1519</v>
      </c>
      <c r="F920" s="1124" t="s">
        <v>166</v>
      </c>
      <c r="G920" s="862" t="s">
        <v>813</v>
      </c>
      <c r="H920" s="1430">
        <v>102708</v>
      </c>
      <c r="I920" s="212" t="s">
        <v>351</v>
      </c>
      <c r="J920" s="245"/>
      <c r="K920" s="203"/>
      <c r="L920" s="1126">
        <v>1</v>
      </c>
      <c r="M920" s="1126">
        <v>1</v>
      </c>
      <c r="N920" s="836"/>
      <c r="O920" s="1197"/>
      <c r="P920" s="1239"/>
      <c r="Q920" s="1148">
        <v>46750</v>
      </c>
      <c r="R920" s="874">
        <f>Q920*0.1</f>
        <v>4675</v>
      </c>
      <c r="S920" s="1141">
        <v>3000</v>
      </c>
      <c r="T920" s="1055"/>
      <c r="U920" s="1055"/>
      <c r="V920" s="1055"/>
      <c r="W920" s="1055"/>
      <c r="X920" s="1026">
        <f t="shared" ref="X920:X936" si="547">(Q920+R920+S920+T920+U920+V920+W920)*M920</f>
        <v>54425</v>
      </c>
      <c r="Y920" s="1512">
        <f t="shared" ref="Y920:Y936" si="548">(T920+U920)*M920/(X920-M920*(T920+U920))</f>
        <v>0</v>
      </c>
      <c r="Z920" s="1741">
        <f t="shared" ref="Z920:Z936" si="549">M920*(1+Y920)</f>
        <v>1</v>
      </c>
      <c r="AA920" s="1749">
        <f t="shared" ref="AA920:AA936" si="550">SUM(AD920:AS920)</f>
        <v>1</v>
      </c>
      <c r="AB920" s="1810">
        <f t="shared" ref="AB920:AB936" si="551">100*AA920/Z920</f>
        <v>100</v>
      </c>
      <c r="AC920" s="876"/>
      <c r="AD920" s="1525">
        <f t="shared" ref="AD920:AS929" si="552">SUMIF($AV$6:$BS$6,AD$5,$AV920:$BS920)</f>
        <v>0.3</v>
      </c>
      <c r="AE920" s="1525">
        <f t="shared" si="552"/>
        <v>0</v>
      </c>
      <c r="AF920" s="1525">
        <f t="shared" si="552"/>
        <v>0</v>
      </c>
      <c r="AG920" s="1525">
        <f t="shared" si="552"/>
        <v>0</v>
      </c>
      <c r="AH920" s="1525">
        <f t="shared" si="552"/>
        <v>0</v>
      </c>
      <c r="AI920" s="1525">
        <f t="shared" si="552"/>
        <v>0.7</v>
      </c>
      <c r="AJ920" s="1525">
        <f t="shared" si="552"/>
        <v>0</v>
      </c>
      <c r="AK920" s="1525">
        <f t="shared" si="552"/>
        <v>0</v>
      </c>
      <c r="AL920" s="1525">
        <f t="shared" si="552"/>
        <v>0</v>
      </c>
      <c r="AM920" s="1525">
        <f t="shared" si="552"/>
        <v>0</v>
      </c>
      <c r="AN920" s="1525">
        <f t="shared" si="552"/>
        <v>0</v>
      </c>
      <c r="AO920" s="1525">
        <f t="shared" si="552"/>
        <v>0</v>
      </c>
      <c r="AP920" s="1525">
        <f t="shared" si="552"/>
        <v>0</v>
      </c>
      <c r="AQ920" s="1525">
        <f t="shared" si="552"/>
        <v>0</v>
      </c>
      <c r="AR920" s="1525">
        <f t="shared" si="552"/>
        <v>0</v>
      </c>
      <c r="AS920" s="1525">
        <f t="shared" si="552"/>
        <v>0</v>
      </c>
      <c r="AU920" s="1525"/>
      <c r="AV920" s="1529"/>
      <c r="AW920" s="1530"/>
      <c r="AX920" s="1530"/>
      <c r="AY920" s="1530"/>
      <c r="AZ920" s="1530"/>
      <c r="BA920" s="1530"/>
      <c r="BB920" s="1530"/>
      <c r="BC920" s="1530"/>
      <c r="BD920" s="1530"/>
      <c r="BE920" s="1530"/>
      <c r="BF920" s="1530"/>
      <c r="BG920" s="1530"/>
      <c r="BH920" s="1530"/>
      <c r="BI920" s="1530"/>
      <c r="BJ920" s="1530"/>
      <c r="BK920" s="1530">
        <v>0.3</v>
      </c>
      <c r="BL920" s="1530"/>
      <c r="BM920" s="1530">
        <v>0.7</v>
      </c>
      <c r="BN920" s="1530"/>
      <c r="BO920" s="1530"/>
      <c r="BP920" s="1530"/>
      <c r="BQ920" s="1530"/>
      <c r="BR920" s="1530"/>
      <c r="BS920" s="1530"/>
      <c r="BT920" s="1670">
        <f t="shared" ref="BT920:BT936" si="553">SUM(AV920:BS920)</f>
        <v>1</v>
      </c>
      <c r="BV920"/>
      <c r="BW920" s="862" t="s">
        <v>813</v>
      </c>
    </row>
    <row r="921" spans="1:75" s="6" customFormat="1" ht="12.75" customHeight="1" x14ac:dyDescent="0.2">
      <c r="A921" s="164"/>
      <c r="B921" s="175">
        <f t="shared" si="531"/>
        <v>2</v>
      </c>
      <c r="C921" s="227">
        <v>7</v>
      </c>
      <c r="D921" s="227"/>
      <c r="E921" s="431" t="s">
        <v>1519</v>
      </c>
      <c r="F921" s="24" t="s">
        <v>1334</v>
      </c>
      <c r="G921" s="856" t="s">
        <v>1300</v>
      </c>
      <c r="H921" s="1413">
        <v>7420</v>
      </c>
      <c r="I921" s="200" t="s">
        <v>351</v>
      </c>
      <c r="J921" s="189"/>
      <c r="K921" s="189"/>
      <c r="L921" s="858">
        <v>1</v>
      </c>
      <c r="M921" s="858">
        <f t="shared" ref="M921:M927" si="554">K921+L921</f>
        <v>1</v>
      </c>
      <c r="N921" s="857" t="s">
        <v>892</v>
      </c>
      <c r="O921" s="1196">
        <v>17745</v>
      </c>
      <c r="P921" s="1218">
        <f t="shared" ref="P921:P936" ca="1" si="555">YEARFRAC(TODAY(),O921)</f>
        <v>69.172222222222217</v>
      </c>
      <c r="Q921" s="1148">
        <v>23500</v>
      </c>
      <c r="R921" s="874"/>
      <c r="S921" s="875">
        <v>7000</v>
      </c>
      <c r="T921" s="1044"/>
      <c r="U921" s="1044"/>
      <c r="V921" s="1044"/>
      <c r="W921" s="875"/>
      <c r="X921" s="1026">
        <f t="shared" si="547"/>
        <v>30500</v>
      </c>
      <c r="Y921" s="1512">
        <f t="shared" si="548"/>
        <v>0</v>
      </c>
      <c r="Z921" s="1741">
        <f t="shared" si="549"/>
        <v>1</v>
      </c>
      <c r="AA921" s="1749">
        <f t="shared" si="550"/>
        <v>1</v>
      </c>
      <c r="AB921" s="1810">
        <f t="shared" si="551"/>
        <v>100</v>
      </c>
      <c r="AC921" s="876"/>
      <c r="AD921" s="1525">
        <f t="shared" si="552"/>
        <v>0</v>
      </c>
      <c r="AE921" s="1525">
        <f t="shared" si="552"/>
        <v>0</v>
      </c>
      <c r="AF921" s="1525">
        <f t="shared" si="552"/>
        <v>0</v>
      </c>
      <c r="AG921" s="1525">
        <f t="shared" si="552"/>
        <v>0</v>
      </c>
      <c r="AH921" s="1525">
        <f t="shared" si="552"/>
        <v>0</v>
      </c>
      <c r="AI921" s="1525">
        <f t="shared" si="552"/>
        <v>1</v>
      </c>
      <c r="AJ921" s="1525">
        <f t="shared" si="552"/>
        <v>0</v>
      </c>
      <c r="AK921" s="1525">
        <f t="shared" si="552"/>
        <v>0</v>
      </c>
      <c r="AL921" s="1525">
        <f t="shared" si="552"/>
        <v>0</v>
      </c>
      <c r="AM921" s="1525">
        <f t="shared" si="552"/>
        <v>0</v>
      </c>
      <c r="AN921" s="1525">
        <f t="shared" si="552"/>
        <v>0</v>
      </c>
      <c r="AO921" s="1525">
        <f t="shared" si="552"/>
        <v>0</v>
      </c>
      <c r="AP921" s="1525">
        <f t="shared" si="552"/>
        <v>0</v>
      </c>
      <c r="AQ921" s="1525">
        <f t="shared" si="552"/>
        <v>0</v>
      </c>
      <c r="AR921" s="1525">
        <f t="shared" si="552"/>
        <v>0</v>
      </c>
      <c r="AS921" s="1525">
        <f t="shared" si="552"/>
        <v>0</v>
      </c>
      <c r="AU921" s="1525"/>
      <c r="AV921" s="1529"/>
      <c r="AW921" s="1530"/>
      <c r="AX921" s="1530"/>
      <c r="AY921" s="1530"/>
      <c r="AZ921" s="1530"/>
      <c r="BA921" s="1530"/>
      <c r="BB921" s="1530"/>
      <c r="BC921" s="1530"/>
      <c r="BD921" s="1530"/>
      <c r="BE921" s="1530"/>
      <c r="BF921" s="1530"/>
      <c r="BG921" s="1530"/>
      <c r="BH921" s="1530"/>
      <c r="BI921" s="1530"/>
      <c r="BJ921" s="1530"/>
      <c r="BK921" s="1530"/>
      <c r="BL921" s="1530"/>
      <c r="BM921" s="1530">
        <v>1</v>
      </c>
      <c r="BN921" s="1530"/>
      <c r="BO921" s="1530"/>
      <c r="BP921" s="1530"/>
      <c r="BQ921" s="1530"/>
      <c r="BR921" s="1530"/>
      <c r="BS921" s="1530"/>
      <c r="BT921" s="1670">
        <f t="shared" si="553"/>
        <v>1</v>
      </c>
      <c r="BV921"/>
      <c r="BW921" s="856" t="s">
        <v>1300</v>
      </c>
    </row>
    <row r="922" spans="1:75" s="65" customFormat="1" ht="12.75" customHeight="1" x14ac:dyDescent="0.2">
      <c r="A922" s="164"/>
      <c r="B922" s="175">
        <f t="shared" si="531"/>
        <v>3</v>
      </c>
      <c r="C922" s="227">
        <v>7</v>
      </c>
      <c r="D922" s="227"/>
      <c r="E922" s="431" t="s">
        <v>1519</v>
      </c>
      <c r="F922" s="30" t="s">
        <v>1334</v>
      </c>
      <c r="G922" s="876" t="s">
        <v>961</v>
      </c>
      <c r="H922" s="1413">
        <v>4130</v>
      </c>
      <c r="I922" s="200" t="s">
        <v>351</v>
      </c>
      <c r="J922" s="189"/>
      <c r="K922" s="189"/>
      <c r="L922" s="858">
        <v>1</v>
      </c>
      <c r="M922" s="858">
        <f t="shared" si="554"/>
        <v>1</v>
      </c>
      <c r="N922" s="831" t="s">
        <v>1326</v>
      </c>
      <c r="O922" s="1196">
        <v>18681</v>
      </c>
      <c r="P922" s="1218">
        <f t="shared" ca="1" si="555"/>
        <v>66.611111111111114</v>
      </c>
      <c r="Q922" s="1148">
        <v>31100</v>
      </c>
      <c r="R922" s="874">
        <f t="shared" ref="R922:R929" si="556">Q922*0.1</f>
        <v>3110</v>
      </c>
      <c r="S922" s="875">
        <v>3000</v>
      </c>
      <c r="T922" s="1044"/>
      <c r="U922" s="1044"/>
      <c r="V922" s="1044"/>
      <c r="W922" s="1044"/>
      <c r="X922" s="1026">
        <f t="shared" si="547"/>
        <v>37210</v>
      </c>
      <c r="Y922" s="1512">
        <f t="shared" si="548"/>
        <v>0</v>
      </c>
      <c r="Z922" s="1741">
        <f t="shared" si="549"/>
        <v>1</v>
      </c>
      <c r="AA922" s="1749">
        <f t="shared" si="550"/>
        <v>1</v>
      </c>
      <c r="AB922" s="1810">
        <f t="shared" si="551"/>
        <v>100</v>
      </c>
      <c r="AC922" s="876"/>
      <c r="AD922" s="1525">
        <f t="shared" si="552"/>
        <v>0</v>
      </c>
      <c r="AE922" s="1525">
        <f t="shared" si="552"/>
        <v>0</v>
      </c>
      <c r="AF922" s="1525">
        <f t="shared" si="552"/>
        <v>0</v>
      </c>
      <c r="AG922" s="1525">
        <f t="shared" si="552"/>
        <v>0</v>
      </c>
      <c r="AH922" s="1525">
        <f t="shared" si="552"/>
        <v>0</v>
      </c>
      <c r="AI922" s="1525">
        <f t="shared" si="552"/>
        <v>0.9</v>
      </c>
      <c r="AJ922" s="1525">
        <f t="shared" si="552"/>
        <v>0</v>
      </c>
      <c r="AK922" s="1525">
        <f t="shared" si="552"/>
        <v>0</v>
      </c>
      <c r="AL922" s="1525">
        <f t="shared" si="552"/>
        <v>0</v>
      </c>
      <c r="AM922" s="1525">
        <f t="shared" si="552"/>
        <v>0</v>
      </c>
      <c r="AN922" s="1525">
        <f t="shared" si="552"/>
        <v>0</v>
      </c>
      <c r="AO922" s="1525">
        <f t="shared" si="552"/>
        <v>0</v>
      </c>
      <c r="AP922" s="1525">
        <f t="shared" si="552"/>
        <v>0.1</v>
      </c>
      <c r="AQ922" s="1525">
        <f t="shared" si="552"/>
        <v>0</v>
      </c>
      <c r="AR922" s="1525">
        <f t="shared" si="552"/>
        <v>0</v>
      </c>
      <c r="AS922" s="1525">
        <f t="shared" si="552"/>
        <v>0</v>
      </c>
      <c r="AU922" s="1525"/>
      <c r="AV922" s="1529"/>
      <c r="AW922" s="1530"/>
      <c r="AX922" s="1530">
        <v>0.1</v>
      </c>
      <c r="AY922" s="1530"/>
      <c r="AZ922" s="1530"/>
      <c r="BA922" s="1530"/>
      <c r="BB922" s="1530"/>
      <c r="BC922" s="1530"/>
      <c r="BD922" s="1530"/>
      <c r="BE922" s="1530"/>
      <c r="BF922" s="1530"/>
      <c r="BG922" s="1530"/>
      <c r="BH922" s="1530"/>
      <c r="BI922" s="1530"/>
      <c r="BJ922" s="1530"/>
      <c r="BK922" s="1530"/>
      <c r="BL922" s="1530"/>
      <c r="BM922" s="1530">
        <v>0.9</v>
      </c>
      <c r="BN922" s="1530"/>
      <c r="BO922" s="1530"/>
      <c r="BP922" s="1530"/>
      <c r="BQ922" s="1530"/>
      <c r="BR922" s="1530"/>
      <c r="BS922" s="1530"/>
      <c r="BT922" s="1670">
        <f t="shared" si="553"/>
        <v>1</v>
      </c>
      <c r="BV922"/>
      <c r="BW922" s="876" t="s">
        <v>961</v>
      </c>
    </row>
    <row r="923" spans="1:75" s="6" customFormat="1" ht="12.75" customHeight="1" x14ac:dyDescent="0.2">
      <c r="A923" s="164"/>
      <c r="B923" s="175">
        <f t="shared" si="531"/>
        <v>4</v>
      </c>
      <c r="C923" s="219">
        <v>8</v>
      </c>
      <c r="D923" s="164"/>
      <c r="E923" s="431" t="s">
        <v>1519</v>
      </c>
      <c r="F923" s="1" t="s">
        <v>353</v>
      </c>
      <c r="G923" s="856" t="s">
        <v>1301</v>
      </c>
      <c r="H923" s="1413">
        <v>10881</v>
      </c>
      <c r="I923" s="200" t="s">
        <v>351</v>
      </c>
      <c r="J923" s="168"/>
      <c r="K923" s="168"/>
      <c r="L923" s="841">
        <v>1</v>
      </c>
      <c r="M923" s="858">
        <f t="shared" si="554"/>
        <v>1</v>
      </c>
      <c r="N923" s="857" t="s">
        <v>1326</v>
      </c>
      <c r="O923" s="1196">
        <v>19433</v>
      </c>
      <c r="P923" s="1218">
        <f t="shared" ca="1" si="555"/>
        <v>64.547222222222217</v>
      </c>
      <c r="Q923" s="1148">
        <v>25150</v>
      </c>
      <c r="R923" s="874">
        <f t="shared" si="556"/>
        <v>2515</v>
      </c>
      <c r="S923" s="875"/>
      <c r="T923" s="1044"/>
      <c r="U923" s="1044"/>
      <c r="V923" s="1044"/>
      <c r="W923" s="875"/>
      <c r="X923" s="1026">
        <f t="shared" si="547"/>
        <v>27665</v>
      </c>
      <c r="Y923" s="1512">
        <f t="shared" si="548"/>
        <v>0</v>
      </c>
      <c r="Z923" s="1741">
        <f t="shared" si="549"/>
        <v>1</v>
      </c>
      <c r="AA923" s="1749">
        <f t="shared" si="550"/>
        <v>1</v>
      </c>
      <c r="AB923" s="1810">
        <f t="shared" si="551"/>
        <v>100</v>
      </c>
      <c r="AC923" s="876"/>
      <c r="AD923" s="1525">
        <f t="shared" si="552"/>
        <v>0</v>
      </c>
      <c r="AE923" s="1525">
        <f t="shared" si="552"/>
        <v>0</v>
      </c>
      <c r="AF923" s="1525">
        <f t="shared" si="552"/>
        <v>0</v>
      </c>
      <c r="AG923" s="1525">
        <f t="shared" si="552"/>
        <v>0</v>
      </c>
      <c r="AH923" s="1525">
        <f t="shared" si="552"/>
        <v>0</v>
      </c>
      <c r="AI923" s="1525">
        <f t="shared" si="552"/>
        <v>1</v>
      </c>
      <c r="AJ923" s="1525">
        <f t="shared" si="552"/>
        <v>0</v>
      </c>
      <c r="AK923" s="1525">
        <f t="shared" si="552"/>
        <v>0</v>
      </c>
      <c r="AL923" s="1525">
        <f t="shared" si="552"/>
        <v>0</v>
      </c>
      <c r="AM923" s="1525">
        <f t="shared" si="552"/>
        <v>0</v>
      </c>
      <c r="AN923" s="1525">
        <f t="shared" si="552"/>
        <v>0</v>
      </c>
      <c r="AO923" s="1525">
        <f t="shared" si="552"/>
        <v>0</v>
      </c>
      <c r="AP923" s="1525">
        <f t="shared" si="552"/>
        <v>0</v>
      </c>
      <c r="AQ923" s="1525">
        <f t="shared" si="552"/>
        <v>0</v>
      </c>
      <c r="AR923" s="1525">
        <f t="shared" si="552"/>
        <v>0</v>
      </c>
      <c r="AS923" s="1525">
        <f t="shared" si="552"/>
        <v>0</v>
      </c>
      <c r="AU923" s="1525"/>
      <c r="AV923" s="1529"/>
      <c r="AW923" s="1530"/>
      <c r="AX923" s="1530"/>
      <c r="AY923" s="1530"/>
      <c r="AZ923" s="1530"/>
      <c r="BA923" s="1530"/>
      <c r="BB923" s="1530"/>
      <c r="BC923" s="1530"/>
      <c r="BD923" s="1530"/>
      <c r="BE923" s="1530"/>
      <c r="BF923" s="1530"/>
      <c r="BG923" s="1530"/>
      <c r="BH923" s="1530"/>
      <c r="BI923" s="1530"/>
      <c r="BJ923" s="1530"/>
      <c r="BK923" s="1530"/>
      <c r="BL923" s="1530"/>
      <c r="BM923" s="1530">
        <v>1</v>
      </c>
      <c r="BN923" s="1530"/>
      <c r="BO923" s="1530"/>
      <c r="BP923" s="1530"/>
      <c r="BQ923" s="1530"/>
      <c r="BR923" s="1530"/>
      <c r="BS923" s="1530"/>
      <c r="BT923" s="1670">
        <f t="shared" si="553"/>
        <v>1</v>
      </c>
      <c r="BV923"/>
      <c r="BW923" s="856" t="s">
        <v>1301</v>
      </c>
    </row>
    <row r="924" spans="1:75" s="6" customFormat="1" ht="12.75" customHeight="1" x14ac:dyDescent="0.2">
      <c r="A924" s="164"/>
      <c r="B924" s="175">
        <f t="shared" si="531"/>
        <v>5</v>
      </c>
      <c r="C924" s="219">
        <v>8</v>
      </c>
      <c r="D924" s="164"/>
      <c r="E924" s="431" t="s">
        <v>1519</v>
      </c>
      <c r="F924" s="1" t="s">
        <v>353</v>
      </c>
      <c r="G924" s="856" t="s">
        <v>1302</v>
      </c>
      <c r="H924" s="1413">
        <v>13884</v>
      </c>
      <c r="I924" s="200" t="s">
        <v>351</v>
      </c>
      <c r="J924" s="168"/>
      <c r="K924" s="168"/>
      <c r="L924" s="841">
        <v>1</v>
      </c>
      <c r="M924" s="858">
        <f t="shared" si="554"/>
        <v>1</v>
      </c>
      <c r="N924" s="857" t="s">
        <v>1326</v>
      </c>
      <c r="O924" s="1196">
        <v>19410</v>
      </c>
      <c r="P924" s="1218">
        <f t="shared" ca="1" si="555"/>
        <v>64.61666666666666</v>
      </c>
      <c r="Q924" s="1148">
        <v>29250</v>
      </c>
      <c r="R924" s="874">
        <f t="shared" si="556"/>
        <v>2925</v>
      </c>
      <c r="S924" s="875">
        <v>3000</v>
      </c>
      <c r="T924" s="875"/>
      <c r="U924" s="875"/>
      <c r="V924" s="875"/>
      <c r="W924" s="875"/>
      <c r="X924" s="1026">
        <f t="shared" si="547"/>
        <v>35175</v>
      </c>
      <c r="Y924" s="1512">
        <f t="shared" si="548"/>
        <v>0</v>
      </c>
      <c r="Z924" s="1741">
        <f t="shared" si="549"/>
        <v>1</v>
      </c>
      <c r="AA924" s="1749">
        <f t="shared" si="550"/>
        <v>1</v>
      </c>
      <c r="AB924" s="1810">
        <f t="shared" si="551"/>
        <v>100</v>
      </c>
      <c r="AC924" s="876"/>
      <c r="AD924" s="1525">
        <f t="shared" si="552"/>
        <v>0</v>
      </c>
      <c r="AE924" s="1525">
        <f t="shared" si="552"/>
        <v>0</v>
      </c>
      <c r="AF924" s="1525">
        <f t="shared" si="552"/>
        <v>0</v>
      </c>
      <c r="AG924" s="1525">
        <f t="shared" si="552"/>
        <v>0</v>
      </c>
      <c r="AH924" s="1525">
        <f t="shared" si="552"/>
        <v>0</v>
      </c>
      <c r="AI924" s="1525">
        <f t="shared" si="552"/>
        <v>1</v>
      </c>
      <c r="AJ924" s="1525">
        <f t="shared" si="552"/>
        <v>0</v>
      </c>
      <c r="AK924" s="1525">
        <f t="shared" si="552"/>
        <v>0</v>
      </c>
      <c r="AL924" s="1525">
        <f t="shared" si="552"/>
        <v>0</v>
      </c>
      <c r="AM924" s="1525">
        <f t="shared" si="552"/>
        <v>0</v>
      </c>
      <c r="AN924" s="1525">
        <f t="shared" si="552"/>
        <v>0</v>
      </c>
      <c r="AO924" s="1525">
        <f t="shared" si="552"/>
        <v>0</v>
      </c>
      <c r="AP924" s="1525">
        <f t="shared" si="552"/>
        <v>0</v>
      </c>
      <c r="AQ924" s="1525">
        <f t="shared" si="552"/>
        <v>0</v>
      </c>
      <c r="AR924" s="1525">
        <f t="shared" si="552"/>
        <v>0</v>
      </c>
      <c r="AS924" s="1525">
        <f t="shared" si="552"/>
        <v>0</v>
      </c>
      <c r="AU924" s="1525"/>
      <c r="AV924" s="1529"/>
      <c r="AW924" s="1530"/>
      <c r="AX924" s="1530"/>
      <c r="AY924" s="1530"/>
      <c r="AZ924" s="1530"/>
      <c r="BA924" s="1530"/>
      <c r="BB924" s="1530"/>
      <c r="BC924" s="1530"/>
      <c r="BD924" s="1530"/>
      <c r="BE924" s="1530"/>
      <c r="BF924" s="1530"/>
      <c r="BG924" s="1530"/>
      <c r="BH924" s="1530"/>
      <c r="BI924" s="1530"/>
      <c r="BJ924" s="1530"/>
      <c r="BK924" s="1530"/>
      <c r="BL924" s="1530"/>
      <c r="BM924" s="1530">
        <v>1</v>
      </c>
      <c r="BN924" s="1530"/>
      <c r="BO924" s="1530"/>
      <c r="BP924" s="1530"/>
      <c r="BQ924" s="1530"/>
      <c r="BR924" s="1530"/>
      <c r="BS924" s="1530"/>
      <c r="BT924" s="1670">
        <f t="shared" si="553"/>
        <v>1</v>
      </c>
      <c r="BV924"/>
      <c r="BW924" s="856" t="s">
        <v>1302</v>
      </c>
    </row>
    <row r="925" spans="1:75" s="65" customFormat="1" ht="12.75" customHeight="1" x14ac:dyDescent="0.2">
      <c r="A925" s="164"/>
      <c r="B925" s="175">
        <f t="shared" si="531"/>
        <v>6</v>
      </c>
      <c r="C925" s="219">
        <v>8</v>
      </c>
      <c r="D925" s="164"/>
      <c r="E925" s="431" t="s">
        <v>1519</v>
      </c>
      <c r="F925" s="1" t="s">
        <v>353</v>
      </c>
      <c r="G925" s="844" t="s">
        <v>691</v>
      </c>
      <c r="H925" s="1413">
        <v>211873</v>
      </c>
      <c r="I925" s="200" t="s">
        <v>351</v>
      </c>
      <c r="J925" s="189"/>
      <c r="K925" s="189"/>
      <c r="L925" s="858">
        <v>1</v>
      </c>
      <c r="M925" s="858">
        <f t="shared" si="554"/>
        <v>1</v>
      </c>
      <c r="N925" s="831" t="s">
        <v>1326</v>
      </c>
      <c r="O925" s="1196">
        <v>28393</v>
      </c>
      <c r="P925" s="1218">
        <f t="shared" ca="1" si="555"/>
        <v>40.019444444444446</v>
      </c>
      <c r="Q925" s="1148">
        <v>37400</v>
      </c>
      <c r="R925" s="874">
        <f t="shared" si="556"/>
        <v>3740</v>
      </c>
      <c r="S925" s="875"/>
      <c r="T925" s="875"/>
      <c r="U925" s="875"/>
      <c r="V925" s="875"/>
      <c r="W925" s="1044"/>
      <c r="X925" s="1026">
        <f t="shared" si="547"/>
        <v>41140</v>
      </c>
      <c r="Y925" s="1512">
        <f t="shared" si="548"/>
        <v>0</v>
      </c>
      <c r="Z925" s="1741">
        <f t="shared" si="549"/>
        <v>1</v>
      </c>
      <c r="AA925" s="1749">
        <f t="shared" si="550"/>
        <v>1</v>
      </c>
      <c r="AB925" s="1810">
        <f t="shared" si="551"/>
        <v>100</v>
      </c>
      <c r="AC925" s="876"/>
      <c r="AD925" s="1525">
        <f t="shared" si="552"/>
        <v>0</v>
      </c>
      <c r="AE925" s="1525">
        <f t="shared" si="552"/>
        <v>0</v>
      </c>
      <c r="AF925" s="1525">
        <f t="shared" si="552"/>
        <v>0</v>
      </c>
      <c r="AG925" s="1525">
        <f t="shared" si="552"/>
        <v>0</v>
      </c>
      <c r="AH925" s="1525">
        <f t="shared" si="552"/>
        <v>0</v>
      </c>
      <c r="AI925" s="1525">
        <f t="shared" si="552"/>
        <v>1</v>
      </c>
      <c r="AJ925" s="1525">
        <f t="shared" si="552"/>
        <v>0</v>
      </c>
      <c r="AK925" s="1525">
        <f t="shared" si="552"/>
        <v>0</v>
      </c>
      <c r="AL925" s="1525">
        <f t="shared" si="552"/>
        <v>0</v>
      </c>
      <c r="AM925" s="1525">
        <f t="shared" si="552"/>
        <v>0</v>
      </c>
      <c r="AN925" s="1525">
        <f t="shared" si="552"/>
        <v>0</v>
      </c>
      <c r="AO925" s="1525">
        <f t="shared" si="552"/>
        <v>0</v>
      </c>
      <c r="AP925" s="1525">
        <f t="shared" si="552"/>
        <v>0</v>
      </c>
      <c r="AQ925" s="1525">
        <f t="shared" si="552"/>
        <v>0</v>
      </c>
      <c r="AR925" s="1525">
        <f t="shared" si="552"/>
        <v>0</v>
      </c>
      <c r="AS925" s="1525">
        <f t="shared" si="552"/>
        <v>0</v>
      </c>
      <c r="AU925" s="1525"/>
      <c r="AV925" s="1529"/>
      <c r="AW925" s="1530"/>
      <c r="AX925" s="1530"/>
      <c r="AY925" s="1530"/>
      <c r="AZ925" s="1530"/>
      <c r="BA925" s="1530"/>
      <c r="BB925" s="1530"/>
      <c r="BC925" s="1530"/>
      <c r="BD925" s="1530"/>
      <c r="BE925" s="1530"/>
      <c r="BF925" s="1530"/>
      <c r="BG925" s="1530"/>
      <c r="BH925" s="1530"/>
      <c r="BI925" s="1530"/>
      <c r="BJ925" s="1530"/>
      <c r="BK925" s="1530"/>
      <c r="BL925" s="1530"/>
      <c r="BM925" s="1530">
        <v>1</v>
      </c>
      <c r="BN925" s="1530"/>
      <c r="BO925" s="1530"/>
      <c r="BP925" s="1530"/>
      <c r="BQ925" s="1530"/>
      <c r="BR925" s="1530"/>
      <c r="BS925" s="1530"/>
      <c r="BT925" s="1670">
        <f t="shared" si="553"/>
        <v>1</v>
      </c>
      <c r="BV925"/>
      <c r="BW925" s="844" t="s">
        <v>691</v>
      </c>
    </row>
    <row r="926" spans="1:75" s="65" customFormat="1" ht="12.75" customHeight="1" x14ac:dyDescent="0.2">
      <c r="A926" s="164"/>
      <c r="B926" s="175">
        <f t="shared" si="531"/>
        <v>7</v>
      </c>
      <c r="C926" s="219">
        <v>9</v>
      </c>
      <c r="D926" s="164"/>
      <c r="E926" s="431" t="s">
        <v>1519</v>
      </c>
      <c r="F926" s="24" t="s">
        <v>1396</v>
      </c>
      <c r="G926" s="913" t="s">
        <v>895</v>
      </c>
      <c r="H926" s="1413">
        <v>100720</v>
      </c>
      <c r="I926" s="200" t="s">
        <v>351</v>
      </c>
      <c r="J926" s="189"/>
      <c r="K926" s="189"/>
      <c r="L926" s="858">
        <v>1</v>
      </c>
      <c r="M926" s="858">
        <f t="shared" si="554"/>
        <v>1</v>
      </c>
      <c r="N926" s="831" t="s">
        <v>1326</v>
      </c>
      <c r="O926" s="1196">
        <v>30773</v>
      </c>
      <c r="P926" s="1218">
        <f t="shared" ca="1" si="555"/>
        <v>33.50277777777778</v>
      </c>
      <c r="Q926" s="1148">
        <v>33800</v>
      </c>
      <c r="R926" s="874">
        <f t="shared" si="556"/>
        <v>3380</v>
      </c>
      <c r="S926" s="875"/>
      <c r="T926" s="875">
        <v>3000</v>
      </c>
      <c r="U926" s="875"/>
      <c r="V926" s="875"/>
      <c r="W926" s="1044"/>
      <c r="X926" s="1026">
        <f t="shared" si="547"/>
        <v>40180</v>
      </c>
      <c r="Y926" s="1512">
        <f t="shared" si="548"/>
        <v>8.0688542227003765E-2</v>
      </c>
      <c r="Z926" s="1741">
        <f t="shared" si="549"/>
        <v>1.0806885422270038</v>
      </c>
      <c r="AA926" s="1749">
        <f t="shared" si="550"/>
        <v>1</v>
      </c>
      <c r="AB926" s="1810">
        <f t="shared" si="551"/>
        <v>92.533598805375803</v>
      </c>
      <c r="AC926" s="876"/>
      <c r="AD926" s="1525">
        <f t="shared" si="552"/>
        <v>0.6</v>
      </c>
      <c r="AE926" s="1525">
        <f t="shared" si="552"/>
        <v>0</v>
      </c>
      <c r="AF926" s="1525">
        <f t="shared" si="552"/>
        <v>0</v>
      </c>
      <c r="AG926" s="1525">
        <f t="shared" si="552"/>
        <v>0</v>
      </c>
      <c r="AH926" s="1525">
        <f t="shared" si="552"/>
        <v>0</v>
      </c>
      <c r="AI926" s="1525">
        <f t="shared" si="552"/>
        <v>0.4</v>
      </c>
      <c r="AJ926" s="1525">
        <f t="shared" si="552"/>
        <v>0</v>
      </c>
      <c r="AK926" s="1525">
        <f t="shared" si="552"/>
        <v>0</v>
      </c>
      <c r="AL926" s="1525">
        <f t="shared" si="552"/>
        <v>0</v>
      </c>
      <c r="AM926" s="1525">
        <f t="shared" si="552"/>
        <v>0</v>
      </c>
      <c r="AN926" s="1525">
        <f t="shared" si="552"/>
        <v>0</v>
      </c>
      <c r="AO926" s="1525">
        <f t="shared" si="552"/>
        <v>0</v>
      </c>
      <c r="AP926" s="1525">
        <f t="shared" si="552"/>
        <v>0</v>
      </c>
      <c r="AQ926" s="1525">
        <f t="shared" si="552"/>
        <v>0</v>
      </c>
      <c r="AR926" s="1525">
        <f t="shared" si="552"/>
        <v>0</v>
      </c>
      <c r="AS926" s="1525">
        <f t="shared" si="552"/>
        <v>0</v>
      </c>
      <c r="AU926" s="1525"/>
      <c r="AV926" s="1529"/>
      <c r="AW926" s="1530"/>
      <c r="AX926" s="1530"/>
      <c r="AY926" s="1530"/>
      <c r="AZ926" s="1530"/>
      <c r="BA926" s="1530"/>
      <c r="BB926" s="1530"/>
      <c r="BC926" s="1530"/>
      <c r="BD926" s="1530"/>
      <c r="BE926" s="1530"/>
      <c r="BF926" s="1530"/>
      <c r="BG926" s="1530"/>
      <c r="BH926" s="1530"/>
      <c r="BI926" s="1530"/>
      <c r="BJ926" s="1530">
        <v>0.6</v>
      </c>
      <c r="BK926" s="1530"/>
      <c r="BL926" s="1530"/>
      <c r="BM926" s="1530">
        <v>0.4</v>
      </c>
      <c r="BN926" s="1530"/>
      <c r="BO926" s="1530"/>
      <c r="BP926" s="1530"/>
      <c r="BQ926" s="1530"/>
      <c r="BR926" s="1530"/>
      <c r="BS926" s="1530"/>
      <c r="BT926" s="1670">
        <f t="shared" si="553"/>
        <v>1</v>
      </c>
      <c r="BV926"/>
      <c r="BW926" s="913" t="s">
        <v>895</v>
      </c>
    </row>
    <row r="927" spans="1:75" s="65" customFormat="1" ht="12.75" customHeight="1" x14ac:dyDescent="0.2">
      <c r="A927" s="164"/>
      <c r="B927" s="175">
        <f t="shared" si="531"/>
        <v>8</v>
      </c>
      <c r="C927" s="219">
        <v>9</v>
      </c>
      <c r="D927" s="164"/>
      <c r="E927" s="431" t="s">
        <v>1519</v>
      </c>
      <c r="F927" s="4" t="s">
        <v>1396</v>
      </c>
      <c r="G927" s="913" t="s">
        <v>896</v>
      </c>
      <c r="H927" s="1412">
        <v>104149</v>
      </c>
      <c r="I927" s="197" t="s">
        <v>351</v>
      </c>
      <c r="J927" s="174"/>
      <c r="K927" s="174"/>
      <c r="L927" s="861">
        <v>1</v>
      </c>
      <c r="M927" s="861">
        <f t="shared" si="554"/>
        <v>1</v>
      </c>
      <c r="N927" s="836" t="s">
        <v>1326</v>
      </c>
      <c r="O927" s="1196">
        <v>30862</v>
      </c>
      <c r="P927" s="1218">
        <f t="shared" ca="1" si="555"/>
        <v>33.258333333333333</v>
      </c>
      <c r="Q927" s="1148">
        <v>29900</v>
      </c>
      <c r="R927" s="874">
        <f t="shared" si="556"/>
        <v>2990</v>
      </c>
      <c r="S927" s="875"/>
      <c r="T927" s="875">
        <v>4000</v>
      </c>
      <c r="U927" s="875"/>
      <c r="V927" s="875"/>
      <c r="W927" s="1044"/>
      <c r="X927" s="1026">
        <f t="shared" si="547"/>
        <v>36890</v>
      </c>
      <c r="Y927" s="1512">
        <f t="shared" si="548"/>
        <v>0.12161751292186075</v>
      </c>
      <c r="Z927" s="1741">
        <f t="shared" si="549"/>
        <v>1.1216175129218608</v>
      </c>
      <c r="AA927" s="1749">
        <f t="shared" si="550"/>
        <v>0.89999999999999991</v>
      </c>
      <c r="AB927" s="1810">
        <f t="shared" si="551"/>
        <v>80.241257793439942</v>
      </c>
      <c r="AC927" s="876"/>
      <c r="AD927" s="1525">
        <f t="shared" si="552"/>
        <v>0.3</v>
      </c>
      <c r="AE927" s="1525">
        <f t="shared" si="552"/>
        <v>0</v>
      </c>
      <c r="AF927" s="1525">
        <f t="shared" si="552"/>
        <v>0</v>
      </c>
      <c r="AG927" s="1525">
        <f t="shared" si="552"/>
        <v>0</v>
      </c>
      <c r="AH927" s="1525">
        <f t="shared" si="552"/>
        <v>0</v>
      </c>
      <c r="AI927" s="1525">
        <f t="shared" si="552"/>
        <v>0.3</v>
      </c>
      <c r="AJ927" s="1525">
        <f t="shared" si="552"/>
        <v>0</v>
      </c>
      <c r="AK927" s="1525">
        <f t="shared" si="552"/>
        <v>0</v>
      </c>
      <c r="AL927" s="1525">
        <f t="shared" si="552"/>
        <v>0.3</v>
      </c>
      <c r="AM927" s="1525">
        <f t="shared" si="552"/>
        <v>0</v>
      </c>
      <c r="AN927" s="1525">
        <f t="shared" si="552"/>
        <v>0</v>
      </c>
      <c r="AO927" s="1525">
        <f t="shared" si="552"/>
        <v>0</v>
      </c>
      <c r="AP927" s="1525">
        <f t="shared" si="552"/>
        <v>0</v>
      </c>
      <c r="AQ927" s="1525">
        <f t="shared" si="552"/>
        <v>0</v>
      </c>
      <c r="AR927" s="1525">
        <f t="shared" si="552"/>
        <v>0</v>
      </c>
      <c r="AS927" s="1525">
        <f t="shared" si="552"/>
        <v>0</v>
      </c>
      <c r="AU927" s="1525"/>
      <c r="AV927" s="1529"/>
      <c r="AW927" s="1530"/>
      <c r="AX927" s="1530"/>
      <c r="AY927" s="1530"/>
      <c r="AZ927" s="1530"/>
      <c r="BA927" s="1530">
        <v>0.3</v>
      </c>
      <c r="BB927" s="1530"/>
      <c r="BC927" s="1530"/>
      <c r="BD927" s="1530"/>
      <c r="BE927" s="1530"/>
      <c r="BF927" s="1530"/>
      <c r="BG927" s="1530"/>
      <c r="BH927" s="1530"/>
      <c r="BI927" s="1530"/>
      <c r="BJ927" s="1530">
        <v>0.3</v>
      </c>
      <c r="BK927" s="1530"/>
      <c r="BL927" s="1530"/>
      <c r="BM927" s="1530">
        <v>0.3</v>
      </c>
      <c r="BN927" s="1530"/>
      <c r="BO927" s="1530"/>
      <c r="BP927" s="1530"/>
      <c r="BQ927" s="1530"/>
      <c r="BR927" s="1530"/>
      <c r="BS927" s="1530"/>
      <c r="BT927" s="1670">
        <f t="shared" si="553"/>
        <v>0.89999999999999991</v>
      </c>
      <c r="BV927"/>
      <c r="BW927" s="913" t="s">
        <v>896</v>
      </c>
    </row>
    <row r="928" spans="1:75" s="65" customFormat="1" ht="12.75" customHeight="1" x14ac:dyDescent="0.2">
      <c r="A928" s="164"/>
      <c r="B928" s="175">
        <f t="shared" si="531"/>
        <v>9</v>
      </c>
      <c r="C928" s="219">
        <v>2</v>
      </c>
      <c r="D928" s="164"/>
      <c r="E928" s="431" t="s">
        <v>1519</v>
      </c>
      <c r="F928" s="1" t="s">
        <v>1372</v>
      </c>
      <c r="G928" s="856" t="s">
        <v>1944</v>
      </c>
      <c r="H928" s="1413">
        <v>7460</v>
      </c>
      <c r="I928" s="200" t="s">
        <v>351</v>
      </c>
      <c r="J928" s="168"/>
      <c r="K928" s="189"/>
      <c r="L928" s="858">
        <v>0.5</v>
      </c>
      <c r="M928" s="858">
        <v>0.5</v>
      </c>
      <c r="N928" s="857" t="s">
        <v>1326</v>
      </c>
      <c r="O928" s="1196">
        <v>13302</v>
      </c>
      <c r="P928" s="1218">
        <f t="shared" ca="1" si="555"/>
        <v>81.336111111111109</v>
      </c>
      <c r="Q928" s="1148">
        <v>31100</v>
      </c>
      <c r="R928" s="874">
        <f t="shared" si="556"/>
        <v>3110</v>
      </c>
      <c r="S928" s="875">
        <v>7000</v>
      </c>
      <c r="T928" s="875"/>
      <c r="U928" s="875"/>
      <c r="V928" s="875"/>
      <c r="W928" s="875"/>
      <c r="X928" s="1026">
        <f t="shared" si="547"/>
        <v>20605</v>
      </c>
      <c r="Y928" s="1512">
        <f t="shared" si="548"/>
        <v>0</v>
      </c>
      <c r="Z928" s="1741">
        <f t="shared" si="549"/>
        <v>0.5</v>
      </c>
      <c r="AA928" s="1749">
        <f t="shared" si="550"/>
        <v>0.5</v>
      </c>
      <c r="AB928" s="1810">
        <f t="shared" si="551"/>
        <v>100</v>
      </c>
      <c r="AC928" s="876"/>
      <c r="AD928" s="1525">
        <f t="shared" si="552"/>
        <v>0</v>
      </c>
      <c r="AE928" s="1525">
        <f t="shared" si="552"/>
        <v>0</v>
      </c>
      <c r="AF928" s="1525">
        <f t="shared" si="552"/>
        <v>0</v>
      </c>
      <c r="AG928" s="1525">
        <f t="shared" si="552"/>
        <v>0</v>
      </c>
      <c r="AH928" s="1525">
        <f t="shared" si="552"/>
        <v>0</v>
      </c>
      <c r="AI928" s="1525">
        <f t="shared" si="552"/>
        <v>0.5</v>
      </c>
      <c r="AJ928" s="1525">
        <f t="shared" si="552"/>
        <v>0</v>
      </c>
      <c r="AK928" s="1525">
        <f t="shared" si="552"/>
        <v>0</v>
      </c>
      <c r="AL928" s="1525">
        <f t="shared" si="552"/>
        <v>0</v>
      </c>
      <c r="AM928" s="1525">
        <f t="shared" si="552"/>
        <v>0</v>
      </c>
      <c r="AN928" s="1525">
        <f t="shared" si="552"/>
        <v>0</v>
      </c>
      <c r="AO928" s="1525">
        <f t="shared" si="552"/>
        <v>0</v>
      </c>
      <c r="AP928" s="1525">
        <f t="shared" si="552"/>
        <v>0</v>
      </c>
      <c r="AQ928" s="1525">
        <f t="shared" si="552"/>
        <v>0</v>
      </c>
      <c r="AR928" s="1525">
        <f t="shared" si="552"/>
        <v>0</v>
      </c>
      <c r="AS928" s="1525">
        <f t="shared" si="552"/>
        <v>0</v>
      </c>
      <c r="AU928" s="1525"/>
      <c r="AV928" s="1529"/>
      <c r="AW928" s="1530"/>
      <c r="AX928" s="1530"/>
      <c r="AY928" s="1530"/>
      <c r="AZ928" s="1530"/>
      <c r="BA928" s="1530"/>
      <c r="BB928" s="1530"/>
      <c r="BC928" s="1530"/>
      <c r="BD928" s="1530"/>
      <c r="BE928" s="1530"/>
      <c r="BF928" s="1530"/>
      <c r="BG928" s="1530"/>
      <c r="BH928" s="1530"/>
      <c r="BI928" s="1530"/>
      <c r="BJ928" s="1530"/>
      <c r="BK928" s="1530"/>
      <c r="BL928" s="1530"/>
      <c r="BM928" s="1530">
        <v>0.5</v>
      </c>
      <c r="BN928" s="1530"/>
      <c r="BO928" s="1530"/>
      <c r="BP928" s="1530"/>
      <c r="BQ928" s="1530"/>
      <c r="BR928" s="1530"/>
      <c r="BS928" s="1530"/>
      <c r="BT928" s="1670">
        <f t="shared" si="553"/>
        <v>0.5</v>
      </c>
      <c r="BV928"/>
      <c r="BW928" s="856" t="s">
        <v>1944</v>
      </c>
    </row>
    <row r="929" spans="1:75" s="65" customFormat="1" ht="12.75" customHeight="1" x14ac:dyDescent="0.2">
      <c r="A929" s="164"/>
      <c r="B929" s="175">
        <f t="shared" ref="B929:B936" si="557">B928+1</f>
        <v>10</v>
      </c>
      <c r="C929" s="219">
        <v>2</v>
      </c>
      <c r="D929" s="164"/>
      <c r="E929" s="431" t="s">
        <v>1519</v>
      </c>
      <c r="F929" s="30" t="s">
        <v>516</v>
      </c>
      <c r="G929" s="856" t="s">
        <v>1299</v>
      </c>
      <c r="H929" s="1413">
        <v>7453</v>
      </c>
      <c r="I929" s="200" t="s">
        <v>351</v>
      </c>
      <c r="J929" s="189"/>
      <c r="K929" s="189"/>
      <c r="L929" s="858">
        <v>1</v>
      </c>
      <c r="M929" s="858">
        <f t="shared" ref="M929:M935" si="558">K929+L929</f>
        <v>1</v>
      </c>
      <c r="N929" s="855" t="s">
        <v>1326</v>
      </c>
      <c r="O929" s="1196">
        <v>14826</v>
      </c>
      <c r="P929" s="1218">
        <f t="shared" ca="1" si="555"/>
        <v>77.163888888888891</v>
      </c>
      <c r="Q929" s="1148">
        <v>49650</v>
      </c>
      <c r="R929" s="874">
        <f t="shared" si="556"/>
        <v>4965</v>
      </c>
      <c r="S929" s="875">
        <v>3000</v>
      </c>
      <c r="T929" s="859">
        <v>25200</v>
      </c>
      <c r="U929" s="859"/>
      <c r="V929" s="859"/>
      <c r="W929" s="875"/>
      <c r="X929" s="1026">
        <f t="shared" si="547"/>
        <v>82815</v>
      </c>
      <c r="Y929" s="1512">
        <f t="shared" si="548"/>
        <v>0.43738609737047646</v>
      </c>
      <c r="Z929" s="1741">
        <f t="shared" si="549"/>
        <v>1.4373860973704764</v>
      </c>
      <c r="AA929" s="1749">
        <f t="shared" si="550"/>
        <v>1</v>
      </c>
      <c r="AB929" s="1810">
        <f t="shared" si="551"/>
        <v>69.570729940228219</v>
      </c>
      <c r="AC929" s="876"/>
      <c r="AD929" s="1525">
        <f t="shared" si="552"/>
        <v>0.6</v>
      </c>
      <c r="AE929" s="1525">
        <f t="shared" si="552"/>
        <v>0</v>
      </c>
      <c r="AF929" s="1525">
        <f t="shared" si="552"/>
        <v>0</v>
      </c>
      <c r="AG929" s="1525">
        <f t="shared" si="552"/>
        <v>0</v>
      </c>
      <c r="AH929" s="1525">
        <f t="shared" si="552"/>
        <v>0</v>
      </c>
      <c r="AI929" s="1525">
        <f t="shared" si="552"/>
        <v>0.4</v>
      </c>
      <c r="AJ929" s="1525">
        <f t="shared" si="552"/>
        <v>0</v>
      </c>
      <c r="AK929" s="1525">
        <f t="shared" si="552"/>
        <v>0</v>
      </c>
      <c r="AL929" s="1525">
        <f t="shared" si="552"/>
        <v>0</v>
      </c>
      <c r="AM929" s="1525">
        <f t="shared" si="552"/>
        <v>0</v>
      </c>
      <c r="AN929" s="1525">
        <f t="shared" si="552"/>
        <v>0</v>
      </c>
      <c r="AO929" s="1525">
        <f t="shared" si="552"/>
        <v>0</v>
      </c>
      <c r="AP929" s="1525">
        <f t="shared" si="552"/>
        <v>0</v>
      </c>
      <c r="AQ929" s="1525">
        <f t="shared" si="552"/>
        <v>0</v>
      </c>
      <c r="AR929" s="1525">
        <f t="shared" si="552"/>
        <v>0</v>
      </c>
      <c r="AS929" s="1525">
        <f t="shared" si="552"/>
        <v>0</v>
      </c>
      <c r="AU929" s="1525"/>
      <c r="AV929" s="1529"/>
      <c r="AW929" s="1530"/>
      <c r="AX929" s="1530"/>
      <c r="AY929" s="1530"/>
      <c r="AZ929" s="1530"/>
      <c r="BA929" s="1530"/>
      <c r="BB929" s="1530"/>
      <c r="BC929" s="1530"/>
      <c r="BD929" s="1530"/>
      <c r="BE929" s="1530"/>
      <c r="BF929" s="1530"/>
      <c r="BG929" s="1530"/>
      <c r="BH929" s="1530"/>
      <c r="BI929" s="1530"/>
      <c r="BJ929" s="1530">
        <v>0.6</v>
      </c>
      <c r="BK929" s="1530"/>
      <c r="BL929" s="1530"/>
      <c r="BM929" s="1530">
        <v>0.4</v>
      </c>
      <c r="BN929" s="1530"/>
      <c r="BO929" s="1530"/>
      <c r="BP929" s="1530"/>
      <c r="BQ929" s="1530"/>
      <c r="BR929" s="1530"/>
      <c r="BS929" s="1530"/>
      <c r="BT929" s="1670">
        <f t="shared" si="553"/>
        <v>1</v>
      </c>
      <c r="BV929"/>
      <c r="BW929" s="856" t="s">
        <v>1299</v>
      </c>
    </row>
    <row r="930" spans="1:75" s="6" customFormat="1" ht="12.75" customHeight="1" x14ac:dyDescent="0.2">
      <c r="A930" s="164"/>
      <c r="B930" s="175">
        <f t="shared" si="557"/>
        <v>11</v>
      </c>
      <c r="C930" s="219">
        <v>2</v>
      </c>
      <c r="D930" s="164"/>
      <c r="E930" s="431" t="s">
        <v>1519</v>
      </c>
      <c r="F930" s="30" t="s">
        <v>516</v>
      </c>
      <c r="G930" s="856" t="s">
        <v>1943</v>
      </c>
      <c r="H930" s="1413">
        <v>7400</v>
      </c>
      <c r="I930" s="200" t="s">
        <v>351</v>
      </c>
      <c r="J930" s="168"/>
      <c r="K930" s="168"/>
      <c r="L930" s="841">
        <v>0.5</v>
      </c>
      <c r="M930" s="858">
        <f t="shared" si="558"/>
        <v>0.5</v>
      </c>
      <c r="N930" s="857" t="s">
        <v>892</v>
      </c>
      <c r="O930" s="1196">
        <v>11534</v>
      </c>
      <c r="P930" s="1218">
        <f t="shared" ca="1" si="555"/>
        <v>86.172222222222217</v>
      </c>
      <c r="Q930" s="1148">
        <v>19000</v>
      </c>
      <c r="R930" s="874"/>
      <c r="S930" s="875">
        <v>3000</v>
      </c>
      <c r="T930" s="1044"/>
      <c r="U930" s="1044"/>
      <c r="V930" s="1044"/>
      <c r="W930" s="875"/>
      <c r="X930" s="1026">
        <f t="shared" si="547"/>
        <v>11000</v>
      </c>
      <c r="Y930" s="1512">
        <f t="shared" si="548"/>
        <v>0</v>
      </c>
      <c r="Z930" s="1741">
        <f t="shared" si="549"/>
        <v>0.5</v>
      </c>
      <c r="AA930" s="1749">
        <f t="shared" si="550"/>
        <v>0.5</v>
      </c>
      <c r="AB930" s="1810">
        <f t="shared" si="551"/>
        <v>100</v>
      </c>
      <c r="AC930" s="876"/>
      <c r="AD930" s="1525">
        <f t="shared" ref="AD930:AS936" si="559">SUMIF($AV$6:$BS$6,AD$5,$AV930:$BS930)</f>
        <v>0</v>
      </c>
      <c r="AE930" s="1525">
        <f t="shared" si="559"/>
        <v>0</v>
      </c>
      <c r="AF930" s="1525">
        <f t="shared" si="559"/>
        <v>0</v>
      </c>
      <c r="AG930" s="1525">
        <f t="shared" si="559"/>
        <v>0</v>
      </c>
      <c r="AH930" s="1525">
        <f t="shared" si="559"/>
        <v>0</v>
      </c>
      <c r="AI930" s="1525">
        <f t="shared" si="559"/>
        <v>0.5</v>
      </c>
      <c r="AJ930" s="1525">
        <f t="shared" si="559"/>
        <v>0</v>
      </c>
      <c r="AK930" s="1525">
        <f t="shared" si="559"/>
        <v>0</v>
      </c>
      <c r="AL930" s="1525">
        <f t="shared" si="559"/>
        <v>0</v>
      </c>
      <c r="AM930" s="1525">
        <f t="shared" si="559"/>
        <v>0</v>
      </c>
      <c r="AN930" s="1525">
        <f t="shared" si="559"/>
        <v>0</v>
      </c>
      <c r="AO930" s="1525">
        <f t="shared" si="559"/>
        <v>0</v>
      </c>
      <c r="AP930" s="1525">
        <f t="shared" si="559"/>
        <v>0</v>
      </c>
      <c r="AQ930" s="1525">
        <f t="shared" si="559"/>
        <v>0</v>
      </c>
      <c r="AR930" s="1525">
        <f t="shared" si="559"/>
        <v>0</v>
      </c>
      <c r="AS930" s="1525">
        <f t="shared" si="559"/>
        <v>0</v>
      </c>
      <c r="AU930" s="1525"/>
      <c r="AV930" s="1529"/>
      <c r="AW930" s="1530"/>
      <c r="AX930" s="1530"/>
      <c r="AY930" s="1530"/>
      <c r="AZ930" s="1530"/>
      <c r="BA930" s="1530"/>
      <c r="BB930" s="1530"/>
      <c r="BC930" s="1530"/>
      <c r="BD930" s="1530"/>
      <c r="BE930" s="1530"/>
      <c r="BF930" s="1530"/>
      <c r="BG930" s="1530"/>
      <c r="BH930" s="1530"/>
      <c r="BI930" s="1530"/>
      <c r="BJ930" s="1530"/>
      <c r="BK930" s="1530"/>
      <c r="BL930" s="1530"/>
      <c r="BM930" s="1530">
        <v>0.5</v>
      </c>
      <c r="BN930" s="1530"/>
      <c r="BO930" s="1530"/>
      <c r="BP930" s="1530"/>
      <c r="BQ930" s="1530"/>
      <c r="BR930" s="1530"/>
      <c r="BS930" s="1530"/>
      <c r="BT930" s="1670">
        <f t="shared" si="553"/>
        <v>0.5</v>
      </c>
      <c r="BV930"/>
      <c r="BW930" s="856" t="s">
        <v>1943</v>
      </c>
    </row>
    <row r="931" spans="1:75" s="65" customFormat="1" ht="12.75" customHeight="1" x14ac:dyDescent="0.2">
      <c r="A931" s="164"/>
      <c r="B931" s="175">
        <f t="shared" si="557"/>
        <v>12</v>
      </c>
      <c r="C931" s="219">
        <v>11</v>
      </c>
      <c r="D931" s="164"/>
      <c r="E931" s="431" t="s">
        <v>1519</v>
      </c>
      <c r="F931" s="4" t="s">
        <v>558</v>
      </c>
      <c r="G931" s="913" t="s">
        <v>1767</v>
      </c>
      <c r="H931" s="1412">
        <v>124768</v>
      </c>
      <c r="I931" s="197" t="s">
        <v>351</v>
      </c>
      <c r="J931" s="173"/>
      <c r="K931" s="174"/>
      <c r="L931" s="861">
        <v>1</v>
      </c>
      <c r="M931" s="858">
        <f t="shared" si="558"/>
        <v>1</v>
      </c>
      <c r="N931" s="836" t="s">
        <v>1326</v>
      </c>
      <c r="O931" s="1196">
        <v>32925</v>
      </c>
      <c r="P931" s="1218">
        <f t="shared" ca="1" si="555"/>
        <v>27.613888888888887</v>
      </c>
      <c r="Q931" s="1148">
        <v>27050</v>
      </c>
      <c r="R931" s="874">
        <f>Q931*0.1</f>
        <v>2705</v>
      </c>
      <c r="S931" s="875"/>
      <c r="T931" s="875"/>
      <c r="U931" s="875">
        <v>3000</v>
      </c>
      <c r="V931" s="875"/>
      <c r="W931" s="1044"/>
      <c r="X931" s="1026">
        <f t="shared" si="547"/>
        <v>32755</v>
      </c>
      <c r="Y931" s="1512">
        <f t="shared" si="548"/>
        <v>0.1008233910267182</v>
      </c>
      <c r="Z931" s="1741">
        <f t="shared" si="549"/>
        <v>1.1008233910267182</v>
      </c>
      <c r="AA931" s="1749">
        <f t="shared" si="550"/>
        <v>1</v>
      </c>
      <c r="AB931" s="1810">
        <f t="shared" si="551"/>
        <v>90.84109296290643</v>
      </c>
      <c r="AC931" s="876"/>
      <c r="AD931" s="1525">
        <f t="shared" si="559"/>
        <v>0.4</v>
      </c>
      <c r="AE931" s="1525">
        <f t="shared" si="559"/>
        <v>0</v>
      </c>
      <c r="AF931" s="1525">
        <f t="shared" si="559"/>
        <v>0</v>
      </c>
      <c r="AG931" s="1525">
        <f t="shared" si="559"/>
        <v>0</v>
      </c>
      <c r="AH931" s="1525">
        <f t="shared" si="559"/>
        <v>0</v>
      </c>
      <c r="AI931" s="1525">
        <f t="shared" si="559"/>
        <v>0.6</v>
      </c>
      <c r="AJ931" s="1525">
        <f t="shared" si="559"/>
        <v>0</v>
      </c>
      <c r="AK931" s="1525">
        <f t="shared" si="559"/>
        <v>0</v>
      </c>
      <c r="AL931" s="1525">
        <f t="shared" si="559"/>
        <v>0</v>
      </c>
      <c r="AM931" s="1525">
        <f t="shared" si="559"/>
        <v>0</v>
      </c>
      <c r="AN931" s="1525">
        <f t="shared" si="559"/>
        <v>0</v>
      </c>
      <c r="AO931" s="1525">
        <f t="shared" si="559"/>
        <v>0</v>
      </c>
      <c r="AP931" s="1525">
        <f t="shared" si="559"/>
        <v>0</v>
      </c>
      <c r="AQ931" s="1525">
        <f t="shared" si="559"/>
        <v>0</v>
      </c>
      <c r="AR931" s="1525">
        <f t="shared" si="559"/>
        <v>0</v>
      </c>
      <c r="AS931" s="1525">
        <f t="shared" si="559"/>
        <v>0</v>
      </c>
      <c r="AU931" s="1525"/>
      <c r="AV931" s="1529"/>
      <c r="AW931" s="1530"/>
      <c r="AX931" s="1530"/>
      <c r="AY931" s="1530"/>
      <c r="AZ931" s="1530"/>
      <c r="BA931" s="1530"/>
      <c r="BB931" s="1530"/>
      <c r="BC931" s="1530"/>
      <c r="BD931" s="1530"/>
      <c r="BE931" s="1530"/>
      <c r="BF931" s="1530"/>
      <c r="BG931" s="1530"/>
      <c r="BH931" s="1530"/>
      <c r="BI931" s="1530">
        <v>0.4</v>
      </c>
      <c r="BJ931" s="1530"/>
      <c r="BK931" s="1530"/>
      <c r="BL931" s="1530"/>
      <c r="BM931" s="1530">
        <v>0.6</v>
      </c>
      <c r="BN931" s="1530"/>
      <c r="BO931" s="1530"/>
      <c r="BP931" s="1530"/>
      <c r="BQ931" s="1530"/>
      <c r="BR931" s="1530"/>
      <c r="BS931" s="1530"/>
      <c r="BT931" s="1670">
        <f t="shared" si="553"/>
        <v>1</v>
      </c>
      <c r="BV931"/>
      <c r="BW931" s="913" t="s">
        <v>1767</v>
      </c>
    </row>
    <row r="932" spans="1:75" s="6" customFormat="1" ht="12.75" customHeight="1" x14ac:dyDescent="0.2">
      <c r="A932" s="164"/>
      <c r="B932" s="175">
        <f t="shared" si="557"/>
        <v>13</v>
      </c>
      <c r="C932" s="219">
        <v>24</v>
      </c>
      <c r="D932" s="164"/>
      <c r="E932" s="431" t="s">
        <v>1519</v>
      </c>
      <c r="F932" s="24" t="s">
        <v>721</v>
      </c>
      <c r="G932" s="856" t="s">
        <v>523</v>
      </c>
      <c r="H932" s="1413">
        <v>91904</v>
      </c>
      <c r="I932" s="200" t="s">
        <v>583</v>
      </c>
      <c r="J932" s="189"/>
      <c r="K932" s="189"/>
      <c r="L932" s="858">
        <v>1</v>
      </c>
      <c r="M932" s="858">
        <f t="shared" si="558"/>
        <v>1</v>
      </c>
      <c r="N932" s="855" t="s">
        <v>1326</v>
      </c>
      <c r="O932" s="1196">
        <v>22494</v>
      </c>
      <c r="P932" s="1218">
        <f t="shared" ca="1" si="555"/>
        <v>56.169444444444444</v>
      </c>
      <c r="Q932" s="1148">
        <v>24800</v>
      </c>
      <c r="R932" s="874">
        <f>Q932*0.1</f>
        <v>2480</v>
      </c>
      <c r="S932" s="875"/>
      <c r="T932" s="875"/>
      <c r="U932" s="1044"/>
      <c r="V932" s="1044"/>
      <c r="W932" s="875"/>
      <c r="X932" s="1026">
        <f t="shared" si="547"/>
        <v>27280</v>
      </c>
      <c r="Y932" s="1512">
        <f t="shared" si="548"/>
        <v>0</v>
      </c>
      <c r="Z932" s="1741">
        <f t="shared" si="549"/>
        <v>1</v>
      </c>
      <c r="AA932" s="1749">
        <f t="shared" si="550"/>
        <v>1</v>
      </c>
      <c r="AB932" s="1810">
        <f t="shared" si="551"/>
        <v>100</v>
      </c>
      <c r="AC932" s="876"/>
      <c r="AD932" s="1525">
        <f t="shared" si="559"/>
        <v>0</v>
      </c>
      <c r="AE932" s="1525">
        <f t="shared" si="559"/>
        <v>0</v>
      </c>
      <c r="AF932" s="1525">
        <f t="shared" si="559"/>
        <v>0</v>
      </c>
      <c r="AG932" s="1525">
        <f t="shared" si="559"/>
        <v>0</v>
      </c>
      <c r="AH932" s="1525">
        <f t="shared" si="559"/>
        <v>0</v>
      </c>
      <c r="AI932" s="1525">
        <f t="shared" si="559"/>
        <v>1</v>
      </c>
      <c r="AJ932" s="1525">
        <f t="shared" si="559"/>
        <v>0</v>
      </c>
      <c r="AK932" s="1525">
        <f t="shared" si="559"/>
        <v>0</v>
      </c>
      <c r="AL932" s="1525">
        <f t="shared" si="559"/>
        <v>0</v>
      </c>
      <c r="AM932" s="1525">
        <f t="shared" si="559"/>
        <v>0</v>
      </c>
      <c r="AN932" s="1525">
        <f t="shared" si="559"/>
        <v>0</v>
      </c>
      <c r="AO932" s="1525">
        <f t="shared" si="559"/>
        <v>0</v>
      </c>
      <c r="AP932" s="1525">
        <f t="shared" si="559"/>
        <v>0</v>
      </c>
      <c r="AQ932" s="1525">
        <f t="shared" si="559"/>
        <v>0</v>
      </c>
      <c r="AR932" s="1525">
        <f t="shared" si="559"/>
        <v>0</v>
      </c>
      <c r="AS932" s="1525">
        <f t="shared" si="559"/>
        <v>0</v>
      </c>
      <c r="AU932" s="1525"/>
      <c r="AV932" s="1529"/>
      <c r="AW932" s="1530"/>
      <c r="AX932" s="1530"/>
      <c r="AY932" s="1530"/>
      <c r="AZ932" s="1530"/>
      <c r="BA932" s="1530"/>
      <c r="BB932" s="1530"/>
      <c r="BC932" s="1530"/>
      <c r="BD932" s="1530"/>
      <c r="BE932" s="1530"/>
      <c r="BF932" s="1530"/>
      <c r="BG932" s="1530"/>
      <c r="BH932" s="1530"/>
      <c r="BI932" s="1530"/>
      <c r="BJ932" s="1530"/>
      <c r="BK932" s="1530"/>
      <c r="BL932" s="1530"/>
      <c r="BM932" s="1530">
        <v>1</v>
      </c>
      <c r="BN932" s="1530"/>
      <c r="BO932" s="1530"/>
      <c r="BP932" s="1530"/>
      <c r="BQ932" s="1530"/>
      <c r="BR932" s="1530"/>
      <c r="BS932" s="1530"/>
      <c r="BT932" s="1670">
        <f t="shared" si="553"/>
        <v>1</v>
      </c>
      <c r="BV932"/>
      <c r="BW932" s="856" t="s">
        <v>523</v>
      </c>
    </row>
    <row r="933" spans="1:75" s="65" customFormat="1" ht="12.75" customHeight="1" x14ac:dyDescent="0.2">
      <c r="A933" s="164"/>
      <c r="B933" s="175">
        <f t="shared" si="557"/>
        <v>14</v>
      </c>
      <c r="C933" s="219">
        <v>12</v>
      </c>
      <c r="D933" s="164"/>
      <c r="E933" s="431" t="s">
        <v>1519</v>
      </c>
      <c r="F933" s="58" t="s">
        <v>1235</v>
      </c>
      <c r="G933" s="876" t="s">
        <v>463</v>
      </c>
      <c r="H933" s="1412">
        <v>7477</v>
      </c>
      <c r="I933" s="197" t="s">
        <v>583</v>
      </c>
      <c r="J933" s="174"/>
      <c r="K933" s="174"/>
      <c r="L933" s="861">
        <v>1</v>
      </c>
      <c r="M933" s="861">
        <f t="shared" si="558"/>
        <v>1</v>
      </c>
      <c r="N933" s="833" t="s">
        <v>1326</v>
      </c>
      <c r="O933" s="1196">
        <v>14846</v>
      </c>
      <c r="P933" s="1218">
        <f t="shared" ca="1" si="555"/>
        <v>77.108333333333334</v>
      </c>
      <c r="Q933" s="1148">
        <v>28600</v>
      </c>
      <c r="R933" s="874">
        <f>Q933*0.1</f>
        <v>2860</v>
      </c>
      <c r="S933" s="876"/>
      <c r="T933" s="876"/>
      <c r="U933" s="876">
        <v>3000</v>
      </c>
      <c r="V933" s="876"/>
      <c r="W933" s="1044"/>
      <c r="X933" s="1026">
        <f t="shared" si="547"/>
        <v>34460</v>
      </c>
      <c r="Y933" s="1512">
        <f t="shared" si="548"/>
        <v>9.5359186268277177E-2</v>
      </c>
      <c r="Z933" s="1741">
        <f t="shared" si="549"/>
        <v>1.0953591862682772</v>
      </c>
      <c r="AA933" s="1749">
        <f t="shared" si="550"/>
        <v>1</v>
      </c>
      <c r="AB933" s="1810">
        <f t="shared" si="551"/>
        <v>91.294254207777129</v>
      </c>
      <c r="AC933" s="876"/>
      <c r="AD933" s="1525">
        <f t="shared" si="559"/>
        <v>0</v>
      </c>
      <c r="AE933" s="1525">
        <f t="shared" si="559"/>
        <v>0</v>
      </c>
      <c r="AF933" s="1525">
        <f t="shared" si="559"/>
        <v>0</v>
      </c>
      <c r="AG933" s="1525">
        <f t="shared" si="559"/>
        <v>0</v>
      </c>
      <c r="AH933" s="1525">
        <f t="shared" si="559"/>
        <v>0</v>
      </c>
      <c r="AI933" s="1525">
        <f t="shared" si="559"/>
        <v>1</v>
      </c>
      <c r="AJ933" s="1525">
        <f t="shared" si="559"/>
        <v>0</v>
      </c>
      <c r="AK933" s="1525">
        <f t="shared" si="559"/>
        <v>0</v>
      </c>
      <c r="AL933" s="1525">
        <f t="shared" si="559"/>
        <v>0</v>
      </c>
      <c r="AM933" s="1525">
        <f t="shared" si="559"/>
        <v>0</v>
      </c>
      <c r="AN933" s="1525">
        <f t="shared" si="559"/>
        <v>0</v>
      </c>
      <c r="AO933" s="1525">
        <f t="shared" si="559"/>
        <v>0</v>
      </c>
      <c r="AP933" s="1525">
        <f t="shared" si="559"/>
        <v>0</v>
      </c>
      <c r="AQ933" s="1525">
        <f t="shared" si="559"/>
        <v>0</v>
      </c>
      <c r="AR933" s="1525">
        <f t="shared" si="559"/>
        <v>0</v>
      </c>
      <c r="AS933" s="1525">
        <f t="shared" si="559"/>
        <v>0</v>
      </c>
      <c r="AU933" s="1525"/>
      <c r="AV933" s="1529"/>
      <c r="AW933" s="1530"/>
      <c r="AX933" s="1530"/>
      <c r="AY933" s="1530"/>
      <c r="AZ933" s="1530"/>
      <c r="BA933" s="1530"/>
      <c r="BB933" s="1530"/>
      <c r="BC933" s="1530"/>
      <c r="BD933" s="1530"/>
      <c r="BE933" s="1530"/>
      <c r="BF933" s="1530"/>
      <c r="BG933" s="1530"/>
      <c r="BH933" s="1530"/>
      <c r="BI933" s="1530"/>
      <c r="BJ933" s="1530"/>
      <c r="BK933" s="1530"/>
      <c r="BL933" s="1530"/>
      <c r="BM933" s="1530">
        <v>1</v>
      </c>
      <c r="BN933" s="1530"/>
      <c r="BO933" s="1530"/>
      <c r="BP933" s="1530"/>
      <c r="BQ933" s="1530"/>
      <c r="BR933" s="1530"/>
      <c r="BS933" s="1530"/>
      <c r="BT933" s="1670">
        <f t="shared" si="553"/>
        <v>1</v>
      </c>
      <c r="BV933"/>
      <c r="BW933" s="876" t="s">
        <v>463</v>
      </c>
    </row>
    <row r="934" spans="1:75" s="65" customFormat="1" ht="12.75" customHeight="1" x14ac:dyDescent="0.2">
      <c r="A934" s="164"/>
      <c r="B934" s="175">
        <f t="shared" si="557"/>
        <v>15</v>
      </c>
      <c r="C934" s="219">
        <v>13</v>
      </c>
      <c r="D934" s="164"/>
      <c r="E934" s="431" t="s">
        <v>1519</v>
      </c>
      <c r="F934" s="4" t="s">
        <v>792</v>
      </c>
      <c r="G934" s="913" t="s">
        <v>1303</v>
      </c>
      <c r="H934" s="1413">
        <v>200663</v>
      </c>
      <c r="I934" s="197" t="s">
        <v>583</v>
      </c>
      <c r="J934" s="174"/>
      <c r="K934" s="174"/>
      <c r="L934" s="861">
        <v>0.5</v>
      </c>
      <c r="M934" s="858">
        <f t="shared" si="558"/>
        <v>0.5</v>
      </c>
      <c r="N934" s="836" t="s">
        <v>892</v>
      </c>
      <c r="O934" s="1196">
        <v>18171</v>
      </c>
      <c r="P934" s="1218">
        <f t="shared" ca="1" si="555"/>
        <v>68.00555555555556</v>
      </c>
      <c r="Q934" s="1148">
        <v>24500</v>
      </c>
      <c r="R934" s="874"/>
      <c r="S934" s="875"/>
      <c r="T934" s="875">
        <v>6000</v>
      </c>
      <c r="U934" s="1044"/>
      <c r="V934" s="1044"/>
      <c r="W934" s="875"/>
      <c r="X934" s="1026">
        <f t="shared" si="547"/>
        <v>15250</v>
      </c>
      <c r="Y934" s="1512">
        <f t="shared" si="548"/>
        <v>0.24489795918367346</v>
      </c>
      <c r="Z934" s="1741">
        <f t="shared" si="549"/>
        <v>0.62244897959183676</v>
      </c>
      <c r="AA934" s="1749">
        <f t="shared" si="550"/>
        <v>0.5</v>
      </c>
      <c r="AB934" s="1810">
        <f t="shared" si="551"/>
        <v>80.327868852459019</v>
      </c>
      <c r="AC934" s="876"/>
      <c r="AD934" s="1525">
        <f t="shared" si="559"/>
        <v>0.1</v>
      </c>
      <c r="AE934" s="1525">
        <f t="shared" si="559"/>
        <v>0</v>
      </c>
      <c r="AF934" s="1525">
        <f t="shared" si="559"/>
        <v>0</v>
      </c>
      <c r="AG934" s="1525">
        <f t="shared" si="559"/>
        <v>0</v>
      </c>
      <c r="AH934" s="1525">
        <f t="shared" si="559"/>
        <v>0</v>
      </c>
      <c r="AI934" s="1525">
        <f t="shared" si="559"/>
        <v>0.4</v>
      </c>
      <c r="AJ934" s="1525">
        <f t="shared" si="559"/>
        <v>0</v>
      </c>
      <c r="AK934" s="1525">
        <f t="shared" si="559"/>
        <v>0</v>
      </c>
      <c r="AL934" s="1525">
        <f t="shared" si="559"/>
        <v>0</v>
      </c>
      <c r="AM934" s="1525">
        <f t="shared" si="559"/>
        <v>0</v>
      </c>
      <c r="AN934" s="1525">
        <f t="shared" si="559"/>
        <v>0</v>
      </c>
      <c r="AO934" s="1525">
        <f t="shared" si="559"/>
        <v>0</v>
      </c>
      <c r="AP934" s="1525">
        <f t="shared" si="559"/>
        <v>0</v>
      </c>
      <c r="AQ934" s="1525">
        <f t="shared" si="559"/>
        <v>0</v>
      </c>
      <c r="AR934" s="1525">
        <f t="shared" si="559"/>
        <v>0</v>
      </c>
      <c r="AS934" s="1525">
        <f t="shared" si="559"/>
        <v>0</v>
      </c>
      <c r="AU934" s="1525"/>
      <c r="AV934" s="1529"/>
      <c r="AW934" s="1530"/>
      <c r="AX934" s="1530"/>
      <c r="AY934" s="1530"/>
      <c r="AZ934" s="1530"/>
      <c r="BA934" s="1530"/>
      <c r="BB934" s="1530"/>
      <c r="BC934" s="1530"/>
      <c r="BD934" s="1530"/>
      <c r="BE934" s="1530"/>
      <c r="BF934" s="1530"/>
      <c r="BG934" s="1530"/>
      <c r="BH934" s="1530"/>
      <c r="BI934" s="1530"/>
      <c r="BJ934" s="1530">
        <v>0.1</v>
      </c>
      <c r="BK934" s="1530"/>
      <c r="BL934" s="1530"/>
      <c r="BM934" s="1530">
        <v>0.4</v>
      </c>
      <c r="BN934" s="1530"/>
      <c r="BO934" s="1530"/>
      <c r="BP934" s="1530"/>
      <c r="BQ934" s="1530"/>
      <c r="BR934" s="1530"/>
      <c r="BS934" s="1530"/>
      <c r="BT934" s="1670">
        <f t="shared" si="553"/>
        <v>0.5</v>
      </c>
      <c r="BV934"/>
      <c r="BW934" s="913" t="s">
        <v>1303</v>
      </c>
    </row>
    <row r="935" spans="1:75" s="65" customFormat="1" ht="12.75" customHeight="1" x14ac:dyDescent="0.2">
      <c r="A935" s="164"/>
      <c r="B935" s="175">
        <f t="shared" si="557"/>
        <v>16</v>
      </c>
      <c r="C935" s="219">
        <v>14</v>
      </c>
      <c r="D935" s="164"/>
      <c r="E935" s="431" t="s">
        <v>1519</v>
      </c>
      <c r="F935" s="4" t="s">
        <v>626</v>
      </c>
      <c r="G935" s="913" t="s">
        <v>1803</v>
      </c>
      <c r="H935" s="1413">
        <v>160724</v>
      </c>
      <c r="I935" s="197" t="s">
        <v>583</v>
      </c>
      <c r="J935" s="174"/>
      <c r="K935" s="174"/>
      <c r="L935" s="861">
        <v>0.5</v>
      </c>
      <c r="M935" s="858">
        <f t="shared" si="558"/>
        <v>0.5</v>
      </c>
      <c r="N935" s="836" t="s">
        <v>892</v>
      </c>
      <c r="O935" s="1196">
        <v>34268</v>
      </c>
      <c r="P935" s="1218">
        <f t="shared" ca="1" si="555"/>
        <v>23.933333333333334</v>
      </c>
      <c r="Q935" s="1148">
        <v>20000</v>
      </c>
      <c r="R935" s="874"/>
      <c r="S935" s="875"/>
      <c r="T935" s="875"/>
      <c r="U935" s="1044"/>
      <c r="V935" s="1044"/>
      <c r="W935" s="875"/>
      <c r="X935" s="1026">
        <f t="shared" si="547"/>
        <v>10000</v>
      </c>
      <c r="Y935" s="1512">
        <f t="shared" si="548"/>
        <v>0</v>
      </c>
      <c r="Z935" s="1741">
        <f t="shared" si="549"/>
        <v>0.5</v>
      </c>
      <c r="AA935" s="1749">
        <f t="shared" si="550"/>
        <v>0.5</v>
      </c>
      <c r="AB935" s="1810">
        <f t="shared" si="551"/>
        <v>100</v>
      </c>
      <c r="AC935" s="876"/>
      <c r="AD935" s="1525">
        <f t="shared" si="559"/>
        <v>0</v>
      </c>
      <c r="AE935" s="1525">
        <f t="shared" si="559"/>
        <v>0</v>
      </c>
      <c r="AF935" s="1525">
        <f t="shared" si="559"/>
        <v>0</v>
      </c>
      <c r="AG935" s="1525">
        <f t="shared" si="559"/>
        <v>0</v>
      </c>
      <c r="AH935" s="1525">
        <f t="shared" si="559"/>
        <v>0</v>
      </c>
      <c r="AI935" s="1525">
        <f t="shared" si="559"/>
        <v>0.5</v>
      </c>
      <c r="AJ935" s="1525">
        <f t="shared" si="559"/>
        <v>0</v>
      </c>
      <c r="AK935" s="1525">
        <f t="shared" si="559"/>
        <v>0</v>
      </c>
      <c r="AL935" s="1525">
        <f t="shared" si="559"/>
        <v>0</v>
      </c>
      <c r="AM935" s="1525">
        <f t="shared" si="559"/>
        <v>0</v>
      </c>
      <c r="AN935" s="1525">
        <f t="shared" si="559"/>
        <v>0</v>
      </c>
      <c r="AO935" s="1525">
        <f t="shared" si="559"/>
        <v>0</v>
      </c>
      <c r="AP935" s="1525">
        <f t="shared" si="559"/>
        <v>0</v>
      </c>
      <c r="AQ935" s="1525">
        <f t="shared" si="559"/>
        <v>0</v>
      </c>
      <c r="AR935" s="1525">
        <f t="shared" si="559"/>
        <v>0</v>
      </c>
      <c r="AS935" s="1525">
        <f t="shared" si="559"/>
        <v>0</v>
      </c>
      <c r="AU935" s="1525"/>
      <c r="AV935" s="1529"/>
      <c r="AW935" s="1530"/>
      <c r="AX935" s="1530"/>
      <c r="AY935" s="1530"/>
      <c r="AZ935" s="1530"/>
      <c r="BA935" s="1530"/>
      <c r="BB935" s="1530"/>
      <c r="BC935" s="1530"/>
      <c r="BD935" s="1530"/>
      <c r="BE935" s="1530"/>
      <c r="BF935" s="1530"/>
      <c r="BG935" s="1530"/>
      <c r="BH935" s="1530"/>
      <c r="BI935" s="1530"/>
      <c r="BJ935" s="1530"/>
      <c r="BK935" s="1530"/>
      <c r="BL935" s="1530"/>
      <c r="BM935" s="1530">
        <v>0.5</v>
      </c>
      <c r="BN935" s="1530"/>
      <c r="BO935" s="1530"/>
      <c r="BP935" s="1530"/>
      <c r="BQ935" s="1530"/>
      <c r="BR935" s="1530"/>
      <c r="BS935" s="1530"/>
      <c r="BT935" s="1670">
        <f t="shared" si="553"/>
        <v>0.5</v>
      </c>
      <c r="BV935"/>
      <c r="BW935" s="913" t="s">
        <v>1803</v>
      </c>
    </row>
    <row r="936" spans="1:75" s="65" customFormat="1" ht="12.75" customHeight="1" x14ac:dyDescent="0.2">
      <c r="A936" s="164"/>
      <c r="B936" s="175">
        <f t="shared" si="557"/>
        <v>17</v>
      </c>
      <c r="C936" s="219">
        <v>14</v>
      </c>
      <c r="D936" s="164"/>
      <c r="E936" s="431" t="s">
        <v>1519</v>
      </c>
      <c r="F936" s="4" t="s">
        <v>626</v>
      </c>
      <c r="G936" s="913" t="s">
        <v>1945</v>
      </c>
      <c r="H936" s="1412">
        <v>27976</v>
      </c>
      <c r="I936" s="197" t="s">
        <v>583</v>
      </c>
      <c r="J936" s="174"/>
      <c r="K936" s="174"/>
      <c r="L936" s="861">
        <v>0.5</v>
      </c>
      <c r="M936" s="861">
        <v>0.5</v>
      </c>
      <c r="N936" s="836" t="s">
        <v>892</v>
      </c>
      <c r="O936" s="1196">
        <v>23013</v>
      </c>
      <c r="P936" s="1218">
        <f t="shared" ca="1" si="555"/>
        <v>54.75</v>
      </c>
      <c r="Q936" s="1148">
        <v>21500</v>
      </c>
      <c r="R936" s="874"/>
      <c r="S936" s="876"/>
      <c r="T936" s="876">
        <v>2800</v>
      </c>
      <c r="U936" s="1045">
        <v>4000</v>
      </c>
      <c r="V936" s="1045"/>
      <c r="W936" s="876"/>
      <c r="X936" s="1026">
        <f t="shared" si="547"/>
        <v>14150</v>
      </c>
      <c r="Y936" s="1512">
        <f t="shared" si="548"/>
        <v>0.31627906976744186</v>
      </c>
      <c r="Z936" s="1741">
        <f t="shared" si="549"/>
        <v>0.6581395348837209</v>
      </c>
      <c r="AA936" s="1749">
        <f t="shared" si="550"/>
        <v>0.5</v>
      </c>
      <c r="AB936" s="1810">
        <f t="shared" si="551"/>
        <v>75.971731448763251</v>
      </c>
      <c r="AC936" s="876"/>
      <c r="AD936" s="1525">
        <f t="shared" si="559"/>
        <v>0</v>
      </c>
      <c r="AE936" s="1525">
        <f t="shared" si="559"/>
        <v>0</v>
      </c>
      <c r="AF936" s="1525">
        <f t="shared" si="559"/>
        <v>0</v>
      </c>
      <c r="AG936" s="1525">
        <f t="shared" si="559"/>
        <v>0</v>
      </c>
      <c r="AH936" s="1525">
        <f t="shared" si="559"/>
        <v>0</v>
      </c>
      <c r="AI936" s="1525">
        <f t="shared" si="559"/>
        <v>0.5</v>
      </c>
      <c r="AJ936" s="1525">
        <f t="shared" si="559"/>
        <v>0</v>
      </c>
      <c r="AK936" s="1525">
        <f t="shared" si="559"/>
        <v>0</v>
      </c>
      <c r="AL936" s="1525">
        <f t="shared" si="559"/>
        <v>0</v>
      </c>
      <c r="AM936" s="1525">
        <f t="shared" si="559"/>
        <v>0</v>
      </c>
      <c r="AN936" s="1525">
        <f t="shared" si="559"/>
        <v>0</v>
      </c>
      <c r="AO936" s="1525">
        <f t="shared" si="559"/>
        <v>0</v>
      </c>
      <c r="AP936" s="1525">
        <f t="shared" si="559"/>
        <v>0</v>
      </c>
      <c r="AQ936" s="1525">
        <f t="shared" si="559"/>
        <v>0</v>
      </c>
      <c r="AR936" s="1525">
        <f t="shared" si="559"/>
        <v>0</v>
      </c>
      <c r="AS936" s="1525">
        <f t="shared" si="559"/>
        <v>0</v>
      </c>
      <c r="AU936" s="1525"/>
      <c r="AV936" s="1529"/>
      <c r="AW936" s="1530"/>
      <c r="AX936" s="1530"/>
      <c r="AY936" s="1530"/>
      <c r="AZ936" s="1530"/>
      <c r="BA936" s="1530"/>
      <c r="BB936" s="1530"/>
      <c r="BC936" s="1530"/>
      <c r="BD936" s="1530"/>
      <c r="BE936" s="1530"/>
      <c r="BF936" s="1530"/>
      <c r="BG936" s="1530"/>
      <c r="BH936" s="1530"/>
      <c r="BI936" s="1530"/>
      <c r="BJ936" s="1530"/>
      <c r="BK936" s="1530"/>
      <c r="BL936" s="1530"/>
      <c r="BM936" s="1530">
        <v>0.5</v>
      </c>
      <c r="BN936" s="1530"/>
      <c r="BO936" s="1530"/>
      <c r="BP936" s="1530"/>
      <c r="BQ936" s="1530"/>
      <c r="BR936" s="1530"/>
      <c r="BS936" s="1530"/>
      <c r="BT936" s="1670">
        <f t="shared" si="553"/>
        <v>0.5</v>
      </c>
      <c r="BV936"/>
      <c r="BW936" s="913" t="s">
        <v>1945</v>
      </c>
    </row>
    <row r="937" spans="1:75" s="6" customFormat="1" ht="12.75" customHeight="1" x14ac:dyDescent="0.15">
      <c r="A937" s="164"/>
      <c r="B937" s="175"/>
      <c r="C937" s="219" t="s">
        <v>1120</v>
      </c>
      <c r="D937" s="164"/>
      <c r="E937" s="164"/>
      <c r="F937" s="4" t="s">
        <v>1520</v>
      </c>
      <c r="G937" s="913"/>
      <c r="H937" s="1424" t="s">
        <v>1508</v>
      </c>
      <c r="I937" s="197"/>
      <c r="J937" s="174"/>
      <c r="K937" s="174">
        <f>SUM(K938:K938)</f>
        <v>0</v>
      </c>
      <c r="L937" s="841">
        <f>SUM(L920:L936)</f>
        <v>14.5</v>
      </c>
      <c r="M937" s="841">
        <f>SUM(M920:M936)</f>
        <v>14.5</v>
      </c>
      <c r="N937" s="836"/>
      <c r="O937" s="1200"/>
      <c r="P937" s="1240"/>
      <c r="Q937" s="1161">
        <f>SUM(Q921:Q936)</f>
        <v>456300</v>
      </c>
      <c r="R937" s="877"/>
      <c r="S937" s="877"/>
      <c r="T937" s="877"/>
      <c r="U937" s="877"/>
      <c r="V937" s="877"/>
      <c r="W937" s="877"/>
      <c r="X937" s="1713">
        <f>SUM(X920:X936)</f>
        <v>551500</v>
      </c>
      <c r="Y937" s="1335"/>
      <c r="Z937" s="1335"/>
      <c r="AA937" s="1749"/>
      <c r="AB937" s="1815"/>
      <c r="AC937" s="884"/>
      <c r="AD937" s="1295"/>
      <c r="AE937" s="1525"/>
      <c r="AF937" s="1525"/>
      <c r="AG937" s="1525"/>
      <c r="AH937" s="1525"/>
      <c r="AI937" s="1525"/>
      <c r="AJ937" s="1525"/>
      <c r="AK937" s="1525"/>
      <c r="AL937" s="1525"/>
      <c r="AM937" s="1525"/>
      <c r="AN937" s="1525"/>
      <c r="AO937" s="1525"/>
      <c r="AP937" s="1525"/>
      <c r="AQ937" s="1525"/>
      <c r="AR937" s="1525"/>
      <c r="AS937" s="1525"/>
      <c r="AU937" s="1525"/>
      <c r="AV937" s="1529"/>
      <c r="AW937" s="1530"/>
      <c r="AX937" s="1530"/>
      <c r="AY937" s="1530"/>
      <c r="AZ937" s="1530"/>
      <c r="BA937" s="1530"/>
      <c r="BB937" s="1530"/>
      <c r="BC937" s="1530"/>
      <c r="BD937" s="1530"/>
      <c r="BE937" s="1530"/>
      <c r="BF937" s="1530"/>
      <c r="BG937" s="1530"/>
      <c r="BH937" s="1530"/>
      <c r="BI937" s="1530"/>
      <c r="BJ937" s="1530"/>
      <c r="BK937" s="1530"/>
      <c r="BL937" s="1530"/>
      <c r="BM937" s="1530"/>
      <c r="BN937" s="1530"/>
      <c r="BO937" s="1530"/>
      <c r="BP937" s="1530"/>
      <c r="BQ937" s="1530"/>
      <c r="BR937" s="1530"/>
      <c r="BS937" s="1530"/>
      <c r="BT937" s="1674"/>
      <c r="BV937"/>
      <c r="BW937" s="913"/>
    </row>
    <row r="938" spans="1:75" s="6" customFormat="1" ht="12.75" customHeight="1" x14ac:dyDescent="0.15">
      <c r="A938" s="164"/>
      <c r="B938" s="175"/>
      <c r="C938" s="164"/>
      <c r="D938" s="164"/>
      <c r="E938" s="164"/>
      <c r="F938" s="4"/>
      <c r="G938" s="913"/>
      <c r="H938" s="1424" t="s">
        <v>1508</v>
      </c>
      <c r="I938" s="197"/>
      <c r="J938" s="174"/>
      <c r="K938" s="174"/>
      <c r="L938" s="841"/>
      <c r="M938" s="841"/>
      <c r="N938" s="836"/>
      <c r="O938" s="1200"/>
      <c r="P938" s="1240"/>
      <c r="Q938" s="1151"/>
      <c r="R938" s="875"/>
      <c r="S938" s="875"/>
      <c r="T938" s="875"/>
      <c r="U938" s="875"/>
      <c r="V938" s="875"/>
      <c r="W938" s="875"/>
      <c r="X938" s="1026"/>
      <c r="Y938" s="1754"/>
      <c r="Z938" s="1755"/>
      <c r="AA938" s="1775"/>
      <c r="AB938" s="1815"/>
      <c r="AC938" s="876"/>
      <c r="AD938" s="1295"/>
      <c r="AE938" s="1525"/>
      <c r="AF938" s="1525"/>
      <c r="AG938" s="1525"/>
      <c r="AH938" s="1525"/>
      <c r="AI938" s="1525"/>
      <c r="AJ938" s="1525"/>
      <c r="AK938" s="1525"/>
      <c r="AL938" s="1525"/>
      <c r="AM938" s="1525"/>
      <c r="AN938" s="1525"/>
      <c r="AO938" s="1525"/>
      <c r="AP938" s="1525"/>
      <c r="AQ938" s="1525"/>
      <c r="AR938" s="1525"/>
      <c r="AS938" s="1525"/>
      <c r="AU938" s="1525"/>
      <c r="AV938" s="1529"/>
      <c r="AW938" s="1530"/>
      <c r="AX938" s="1530"/>
      <c r="AY938" s="1530"/>
      <c r="AZ938" s="1530"/>
      <c r="BA938" s="1530"/>
      <c r="BB938" s="1530"/>
      <c r="BC938" s="1530"/>
      <c r="BD938" s="1530"/>
      <c r="BE938" s="1530"/>
      <c r="BF938" s="1530"/>
      <c r="BG938" s="1530"/>
      <c r="BH938" s="1530"/>
      <c r="BI938" s="1530"/>
      <c r="BJ938" s="1530"/>
      <c r="BK938" s="1530"/>
      <c r="BL938" s="1530"/>
      <c r="BM938" s="1530"/>
      <c r="BN938" s="1530"/>
      <c r="BO938" s="1530"/>
      <c r="BP938" s="1530"/>
      <c r="BQ938" s="1530"/>
      <c r="BR938" s="1530"/>
      <c r="BS938" s="1530"/>
      <c r="BT938" s="1674"/>
      <c r="BV938"/>
      <c r="BW938" s="913"/>
    </row>
    <row r="939" spans="1:75" s="6" customFormat="1" ht="12.75" customHeight="1" x14ac:dyDescent="0.15">
      <c r="A939" s="164"/>
      <c r="B939" s="175"/>
      <c r="C939" s="164"/>
      <c r="D939" s="164"/>
      <c r="E939" s="164"/>
      <c r="F939" s="746" t="s">
        <v>436</v>
      </c>
      <c r="G939" s="876"/>
      <c r="H939" s="1424" t="s">
        <v>1508</v>
      </c>
      <c r="I939" s="197"/>
      <c r="J939" s="174"/>
      <c r="K939" s="174"/>
      <c r="L939" s="841"/>
      <c r="M939" s="841"/>
      <c r="N939" s="799"/>
      <c r="O939" s="1200"/>
      <c r="P939" s="1240"/>
      <c r="Q939" s="1148"/>
      <c r="R939" s="874"/>
      <c r="S939" s="875"/>
      <c r="T939" s="875"/>
      <c r="U939" s="875"/>
      <c r="V939" s="875"/>
      <c r="W939" s="875"/>
      <c r="X939" s="1026"/>
      <c r="Y939" s="1754"/>
      <c r="Z939" s="1755"/>
      <c r="AA939" s="1775"/>
      <c r="AB939" s="1815"/>
      <c r="AC939" s="876"/>
      <c r="AD939" s="1295"/>
      <c r="AE939" s="1525"/>
      <c r="AF939" s="1525"/>
      <c r="AG939" s="1525"/>
      <c r="AH939" s="1525"/>
      <c r="AI939" s="1525"/>
      <c r="AJ939" s="1525"/>
      <c r="AK939" s="1525"/>
      <c r="AL939" s="1525"/>
      <c r="AM939" s="1525"/>
      <c r="AN939" s="1525"/>
      <c r="AO939" s="1525"/>
      <c r="AP939" s="1525"/>
      <c r="AQ939" s="1525"/>
      <c r="AR939" s="1525"/>
      <c r="AS939" s="1525"/>
      <c r="AU939" s="1525"/>
      <c r="AV939" s="1529"/>
      <c r="AW939" s="1530"/>
      <c r="AX939" s="1530"/>
      <c r="AY939" s="1530"/>
      <c r="AZ939" s="1530"/>
      <c r="BA939" s="1530"/>
      <c r="BB939" s="1530"/>
      <c r="BC939" s="1530"/>
      <c r="BD939" s="1530"/>
      <c r="BE939" s="1530"/>
      <c r="BF939" s="1530"/>
      <c r="BG939" s="1530"/>
      <c r="BH939" s="1530"/>
      <c r="BI939" s="1530"/>
      <c r="BJ939" s="1530"/>
      <c r="BK939" s="1530"/>
      <c r="BL939" s="1530"/>
      <c r="BM939" s="1530"/>
      <c r="BN939" s="1530"/>
      <c r="BO939" s="1530"/>
      <c r="BP939" s="1530"/>
      <c r="BQ939" s="1530"/>
      <c r="BR939" s="1530"/>
      <c r="BS939" s="1530"/>
      <c r="BT939" s="1674"/>
      <c r="BV939"/>
      <c r="BW939" s="876"/>
    </row>
    <row r="940" spans="1:75" s="65" customFormat="1" ht="12.75" customHeight="1" x14ac:dyDescent="0.2">
      <c r="A940" s="164"/>
      <c r="B940" s="175">
        <f>B939+1</f>
        <v>1</v>
      </c>
      <c r="C940" s="219">
        <v>9</v>
      </c>
      <c r="D940" s="164"/>
      <c r="E940" s="164" t="s">
        <v>1519</v>
      </c>
      <c r="F940" s="26" t="s">
        <v>1396</v>
      </c>
      <c r="G940" s="894" t="s">
        <v>464</v>
      </c>
      <c r="H940" s="1414">
        <v>263165</v>
      </c>
      <c r="I940" s="196" t="s">
        <v>351</v>
      </c>
      <c r="J940" s="195"/>
      <c r="K940" s="195">
        <v>1</v>
      </c>
      <c r="L940" s="873"/>
      <c r="M940" s="873">
        <f>K940+L940</f>
        <v>1</v>
      </c>
      <c r="N940" s="958" t="s">
        <v>1573</v>
      </c>
      <c r="O940" s="1211">
        <v>30968</v>
      </c>
      <c r="P940" s="1218">
        <f ca="1">YEARFRAC(TODAY(),O940)</f>
        <v>32.969444444444441</v>
      </c>
      <c r="Q940" s="1071">
        <v>33800</v>
      </c>
      <c r="R940" s="890">
        <f>Q940*0.1</f>
        <v>3380</v>
      </c>
      <c r="S940" s="891"/>
      <c r="T940" s="1050"/>
      <c r="U940" s="1050"/>
      <c r="V940" s="1050"/>
      <c r="W940" s="1050"/>
      <c r="X940" s="1026">
        <f>(Q940+R940+S940+T940+U940+V940+W940)*M940</f>
        <v>37180</v>
      </c>
      <c r="Y940" s="1512">
        <f>(T940+U940)*M940/(X940-M940*(T940+U940))</f>
        <v>0</v>
      </c>
      <c r="Z940" s="1741">
        <f>M940*(1+Y940)</f>
        <v>1</v>
      </c>
      <c r="AA940" s="1749">
        <f>SUM(AD940:AS940)</f>
        <v>1</v>
      </c>
      <c r="AB940" s="1810">
        <f t="shared" ref="AB940" si="560">100*AA940/Z940</f>
        <v>100</v>
      </c>
      <c r="AC940" s="876"/>
      <c r="AD940" s="1525">
        <f t="shared" ref="AD940:AS940" si="561">SUMIF($AV$6:$BS$6,AD$5,$AV940:$BS940)</f>
        <v>0.5</v>
      </c>
      <c r="AE940" s="1525">
        <f t="shared" si="561"/>
        <v>0</v>
      </c>
      <c r="AF940" s="1525">
        <f t="shared" si="561"/>
        <v>0</v>
      </c>
      <c r="AG940" s="1525">
        <f t="shared" si="561"/>
        <v>0</v>
      </c>
      <c r="AH940" s="1525">
        <f t="shared" si="561"/>
        <v>0</v>
      </c>
      <c r="AI940" s="1525">
        <f t="shared" si="561"/>
        <v>0.5</v>
      </c>
      <c r="AJ940" s="1525">
        <f t="shared" si="561"/>
        <v>0</v>
      </c>
      <c r="AK940" s="1525">
        <f t="shared" si="561"/>
        <v>0</v>
      </c>
      <c r="AL940" s="1525">
        <f t="shared" si="561"/>
        <v>0</v>
      </c>
      <c r="AM940" s="1525">
        <f t="shared" si="561"/>
        <v>0</v>
      </c>
      <c r="AN940" s="1525">
        <f t="shared" si="561"/>
        <v>0</v>
      </c>
      <c r="AO940" s="1525">
        <f t="shared" si="561"/>
        <v>0</v>
      </c>
      <c r="AP940" s="1525">
        <f t="shared" si="561"/>
        <v>0</v>
      </c>
      <c r="AQ940" s="1525">
        <f t="shared" si="561"/>
        <v>0</v>
      </c>
      <c r="AR940" s="1525">
        <f t="shared" si="561"/>
        <v>0</v>
      </c>
      <c r="AS940" s="1525">
        <f t="shared" si="561"/>
        <v>0</v>
      </c>
      <c r="AU940" s="1525"/>
      <c r="AV940" s="1529"/>
      <c r="AW940" s="1530"/>
      <c r="AX940" s="1530"/>
      <c r="AY940" s="1530"/>
      <c r="AZ940" s="1530"/>
      <c r="BA940" s="1530"/>
      <c r="BB940" s="1530"/>
      <c r="BC940" s="1530"/>
      <c r="BD940" s="1530"/>
      <c r="BE940" s="1530"/>
      <c r="BF940" s="1530"/>
      <c r="BG940" s="1530"/>
      <c r="BH940" s="1530"/>
      <c r="BI940" s="1530">
        <v>0.5</v>
      </c>
      <c r="BJ940" s="1530"/>
      <c r="BK940" s="1530"/>
      <c r="BL940" s="1530"/>
      <c r="BM940" s="1530">
        <v>0.5</v>
      </c>
      <c r="BN940" s="1530"/>
      <c r="BO940" s="1530"/>
      <c r="BP940" s="1530"/>
      <c r="BQ940" s="1530"/>
      <c r="BR940" s="1530"/>
      <c r="BS940" s="1530"/>
      <c r="BT940" s="1670">
        <f t="shared" ref="BT940" si="562">SUM(AV940:BS940)</f>
        <v>1</v>
      </c>
      <c r="BV940"/>
      <c r="BW940" s="894" t="s">
        <v>464</v>
      </c>
    </row>
    <row r="941" spans="1:75" s="6" customFormat="1" ht="12.75" customHeight="1" x14ac:dyDescent="0.15">
      <c r="A941" s="164"/>
      <c r="B941" s="175"/>
      <c r="C941" s="164"/>
      <c r="D941" s="164"/>
      <c r="E941" s="164"/>
      <c r="F941" s="4"/>
      <c r="G941" s="913"/>
      <c r="H941" s="1424" t="s">
        <v>1508</v>
      </c>
      <c r="I941" s="197"/>
      <c r="J941" s="174"/>
      <c r="K941" s="174"/>
      <c r="L941" s="841"/>
      <c r="M941" s="841"/>
      <c r="N941" s="836"/>
      <c r="O941" s="1200"/>
      <c r="P941" s="1240"/>
      <c r="Q941" s="1151"/>
      <c r="R941" s="875"/>
      <c r="S941" s="875"/>
      <c r="T941" s="875"/>
      <c r="U941" s="875"/>
      <c r="V941" s="875"/>
      <c r="W941" s="875"/>
      <c r="X941" s="1026"/>
      <c r="Y941" s="1513"/>
      <c r="Z941" s="1743"/>
      <c r="AA941" s="1749"/>
      <c r="AB941" s="1815"/>
      <c r="AC941" s="876"/>
      <c r="AD941" s="1295"/>
      <c r="AE941" s="1525"/>
      <c r="AF941" s="1525"/>
      <c r="AG941" s="1525"/>
      <c r="AH941" s="1525"/>
      <c r="AI941" s="1525"/>
      <c r="AJ941" s="1525"/>
      <c r="AK941" s="1525"/>
      <c r="AL941" s="1525"/>
      <c r="AM941" s="1525"/>
      <c r="AN941" s="1525"/>
      <c r="AO941" s="1525"/>
      <c r="AP941" s="1525"/>
      <c r="AQ941" s="1525"/>
      <c r="AR941" s="1525"/>
      <c r="AS941" s="1525"/>
      <c r="AU941" s="1525"/>
      <c r="AV941" s="1529"/>
      <c r="AW941" s="1530"/>
      <c r="AX941" s="1530"/>
      <c r="AY941" s="1530"/>
      <c r="AZ941" s="1530"/>
      <c r="BA941" s="1530"/>
      <c r="BB941" s="1530"/>
      <c r="BC941" s="1530"/>
      <c r="BD941" s="1530"/>
      <c r="BE941" s="1530"/>
      <c r="BF941" s="1530"/>
      <c r="BG941" s="1530"/>
      <c r="BH941" s="1530"/>
      <c r="BI941" s="1530"/>
      <c r="BJ941" s="1530"/>
      <c r="BK941" s="1530"/>
      <c r="BL941" s="1530"/>
      <c r="BM941" s="1530"/>
      <c r="BN941" s="1530"/>
      <c r="BO941" s="1530"/>
      <c r="BP941" s="1530"/>
      <c r="BQ941" s="1530"/>
      <c r="BR941" s="1530"/>
      <c r="BS941" s="1530"/>
      <c r="BT941" s="1674"/>
      <c r="BV941"/>
      <c r="BW941" s="913"/>
    </row>
    <row r="942" spans="1:75" s="6" customFormat="1" ht="12.75" customHeight="1" x14ac:dyDescent="0.15">
      <c r="A942" s="164"/>
      <c r="B942" s="175"/>
      <c r="C942" s="1861" t="s">
        <v>344</v>
      </c>
      <c r="D942" s="1862"/>
      <c r="E942" s="1862" t="s">
        <v>1519</v>
      </c>
      <c r="F942" s="1863" t="s">
        <v>1521</v>
      </c>
      <c r="G942" s="1864">
        <f>COUNTA(G920:G941)</f>
        <v>18</v>
      </c>
      <c r="H942" s="1865" t="s">
        <v>1508</v>
      </c>
      <c r="I942" s="1866"/>
      <c r="J942" s="1867"/>
      <c r="K942" s="1868">
        <f>K937+K940</f>
        <v>1</v>
      </c>
      <c r="L942" s="1869">
        <f>L937+L940</f>
        <v>14.5</v>
      </c>
      <c r="M942" s="1869">
        <f>M937+M940</f>
        <v>15.5</v>
      </c>
      <c r="N942" s="1870"/>
      <c r="O942" s="1870"/>
      <c r="P942" s="1871"/>
      <c r="Q942" s="1872"/>
      <c r="R942" s="1873"/>
      <c r="S942" s="1873"/>
      <c r="T942" s="1873"/>
      <c r="U942" s="1873"/>
      <c r="V942" s="1873"/>
      <c r="W942" s="1873"/>
      <c r="X942" s="1874">
        <f>X937+X940</f>
        <v>588680</v>
      </c>
      <c r="Y942" s="1875"/>
      <c r="Z942" s="1876">
        <f>SUM(Z920:Z941)</f>
        <v>16.616463244289896</v>
      </c>
      <c r="AA942" s="1877">
        <f>SUM(AA920:AA941)</f>
        <v>15.4</v>
      </c>
      <c r="AB942" s="1813">
        <f t="shared" ref="AB942:AB944" si="563">100*AA942/Z942</f>
        <v>92.679168687067488</v>
      </c>
      <c r="AC942" s="1783"/>
      <c r="AD942" s="1291"/>
      <c r="AE942" s="1292"/>
      <c r="AF942" s="1525"/>
      <c r="AG942" s="1525"/>
      <c r="AH942" s="1525"/>
      <c r="AI942" s="1525"/>
      <c r="AJ942" s="1525"/>
      <c r="AK942" s="1525"/>
      <c r="AL942" s="1525"/>
      <c r="AM942" s="1525"/>
      <c r="AN942" s="1525"/>
      <c r="AO942" s="1525"/>
      <c r="AP942" s="1525"/>
      <c r="AQ942" s="1525"/>
      <c r="AR942" s="1525"/>
      <c r="AS942" s="1525"/>
      <c r="AU942" s="1525"/>
      <c r="AV942" s="1529"/>
      <c r="AW942" s="1530"/>
      <c r="AX942" s="1530"/>
      <c r="AY942" s="1530"/>
      <c r="AZ942" s="1530"/>
      <c r="BA942" s="1530"/>
      <c r="BB942" s="1530"/>
      <c r="BC942" s="1530"/>
      <c r="BD942" s="1530"/>
      <c r="BE942" s="1530"/>
      <c r="BF942" s="1530"/>
      <c r="BG942" s="1530"/>
      <c r="BH942" s="1530"/>
      <c r="BI942" s="1530"/>
      <c r="BJ942" s="1530"/>
      <c r="BK942" s="1530"/>
      <c r="BL942" s="1530"/>
      <c r="BM942" s="1530"/>
      <c r="BN942" s="1530"/>
      <c r="BO942" s="1530"/>
      <c r="BP942" s="1530"/>
      <c r="BQ942" s="1530"/>
      <c r="BR942" s="1530"/>
      <c r="BS942" s="1530"/>
      <c r="BT942" s="1674"/>
      <c r="BV942"/>
      <c r="BW942" s="959"/>
    </row>
    <row r="943" spans="1:75" s="6" customFormat="1" ht="12.75" customHeight="1" thickBot="1" x14ac:dyDescent="0.2">
      <c r="A943" s="164"/>
      <c r="B943" s="175"/>
      <c r="C943" s="227" t="s">
        <v>136</v>
      </c>
      <c r="D943" s="227"/>
      <c r="E943" s="431"/>
      <c r="F943" s="775" t="s">
        <v>893</v>
      </c>
      <c r="G943" s="961"/>
      <c r="H943" s="1431" t="s">
        <v>1508</v>
      </c>
      <c r="I943" s="776"/>
      <c r="J943" s="777"/>
      <c r="K943" s="778"/>
      <c r="L943" s="960"/>
      <c r="M943" s="960"/>
      <c r="N943" s="962"/>
      <c r="O943" s="962"/>
      <c r="P943" s="1241"/>
      <c r="Q943" s="1172"/>
      <c r="R943" s="1056"/>
      <c r="S943" s="1057"/>
      <c r="T943" s="1057"/>
      <c r="U943" s="1057"/>
      <c r="V943" s="1057"/>
      <c r="W943" s="1057"/>
      <c r="X943" s="1714">
        <v>39200</v>
      </c>
      <c r="Y943" s="1057"/>
      <c r="Z943" s="1057"/>
      <c r="AA943" s="1749"/>
      <c r="AB943" s="1824"/>
      <c r="AC943" s="876"/>
      <c r="AD943" s="1529"/>
      <c r="AE943" s="1530"/>
      <c r="AF943" s="1530"/>
      <c r="AG943" s="1530"/>
      <c r="AH943" s="1530"/>
      <c r="AI943" s="1530"/>
      <c r="AJ943" s="1530"/>
      <c r="AK943" s="1530"/>
      <c r="AL943" s="1530"/>
      <c r="AM943" s="1530"/>
      <c r="AN943" s="1530"/>
      <c r="AO943" s="1530"/>
      <c r="AP943" s="1530"/>
      <c r="AQ943" s="1530"/>
      <c r="AR943" s="1530"/>
      <c r="AS943" s="1530"/>
      <c r="AU943" s="1525"/>
      <c r="AV943" s="1529"/>
      <c r="AW943" s="1530"/>
      <c r="AX943" s="1530"/>
      <c r="AY943" s="1530"/>
      <c r="AZ943" s="1530"/>
      <c r="BA943" s="1530"/>
      <c r="BB943" s="1530"/>
      <c r="BC943" s="1530"/>
      <c r="BD943" s="1530"/>
      <c r="BE943" s="1530"/>
      <c r="BF943" s="1530"/>
      <c r="BG943" s="1530"/>
      <c r="BH943" s="1530"/>
      <c r="BI943" s="1530"/>
      <c r="BJ943" s="1530"/>
      <c r="BK943" s="1530"/>
      <c r="BL943" s="1530"/>
      <c r="BM943" s="1530"/>
      <c r="BN943" s="1530"/>
      <c r="BO943" s="1530"/>
      <c r="BP943" s="1530"/>
      <c r="BQ943" s="1530"/>
      <c r="BR943" s="1530"/>
      <c r="BS943" s="1530"/>
      <c r="BT943" s="1674"/>
      <c r="BV943"/>
      <c r="BW943" s="961"/>
    </row>
    <row r="944" spans="1:75" s="164" customFormat="1" ht="13.5" customHeight="1" thickBot="1" x14ac:dyDescent="0.2">
      <c r="B944" s="175"/>
      <c r="C944" s="338" t="s">
        <v>139</v>
      </c>
      <c r="D944" s="682" t="s">
        <v>346</v>
      </c>
      <c r="E944" s="683" t="s">
        <v>1600</v>
      </c>
      <c r="F944" s="753" t="s">
        <v>1446</v>
      </c>
      <c r="G944" s="963">
        <f>SUMIF(C758:C943,"S",G758:G943)+COUNTA(G754:G754)</f>
        <v>96</v>
      </c>
      <c r="H944" s="1432" t="s">
        <v>1508</v>
      </c>
      <c r="I944" s="564"/>
      <c r="J944" s="565"/>
      <c r="K944" s="687">
        <f>K849+K913+K942</f>
        <v>6.5</v>
      </c>
      <c r="L944" s="963">
        <f>L754+L849+L913+L942</f>
        <v>74.040999999999997</v>
      </c>
      <c r="M944" s="963">
        <f>M754+M849+M913+M942</f>
        <v>80.540999999999997</v>
      </c>
      <c r="N944" s="965"/>
      <c r="O944" s="965"/>
      <c r="P944" s="1242"/>
      <c r="Q944" s="1173"/>
      <c r="R944" s="1059"/>
      <c r="S944" s="990"/>
      <c r="T944" s="990"/>
      <c r="U944" s="990"/>
      <c r="V944" s="990"/>
      <c r="W944" s="990"/>
      <c r="X944" s="1280">
        <f>X754+X849+X913+X942</f>
        <v>3250159</v>
      </c>
      <c r="Y944" s="1280">
        <f t="shared" ref="Y944:AA944" si="564">Y754+Y849+Y913+Y942</f>
        <v>0</v>
      </c>
      <c r="Z944" s="1826">
        <f t="shared" si="564"/>
        <v>89.946739105512108</v>
      </c>
      <c r="AA944" s="1825">
        <f t="shared" si="564"/>
        <v>67.400000000000006</v>
      </c>
      <c r="AB944" s="1813">
        <f t="shared" si="563"/>
        <v>74.933233456008196</v>
      </c>
      <c r="AC944" s="1721"/>
      <c r="AD944" s="1291"/>
      <c r="AE944" s="1292"/>
      <c r="AF944" s="1525"/>
      <c r="AG944" s="1525"/>
      <c r="AH944" s="1525"/>
      <c r="AI944" s="1525"/>
      <c r="AJ944" s="1525"/>
      <c r="AK944" s="1525"/>
      <c r="AL944" s="1525"/>
      <c r="AM944" s="1525"/>
      <c r="AN944" s="1525"/>
      <c r="AO944" s="1525"/>
      <c r="AP944" s="1525"/>
      <c r="AQ944" s="1525"/>
      <c r="AR944" s="1525"/>
      <c r="AS944" s="1525"/>
      <c r="AU944" s="1525"/>
      <c r="AV944" s="1295"/>
      <c r="AW944" s="1525"/>
      <c r="AX944" s="1525"/>
      <c r="AY944" s="1525"/>
      <c r="AZ944" s="1525"/>
      <c r="BA944" s="1525"/>
      <c r="BB944" s="1525"/>
      <c r="BC944" s="1525"/>
      <c r="BD944" s="1525"/>
      <c r="BE944" s="1525"/>
      <c r="BF944" s="1525"/>
      <c r="BG944" s="1525"/>
      <c r="BH944" s="1525"/>
      <c r="BI944" s="1525"/>
      <c r="BJ944" s="1525"/>
      <c r="BK944" s="1525"/>
      <c r="BL944" s="1525"/>
      <c r="BM944" s="1525"/>
      <c r="BN944" s="1525"/>
      <c r="BO944" s="1525"/>
      <c r="BP944" s="1525"/>
      <c r="BQ944" s="1525"/>
      <c r="BR944" s="1525"/>
      <c r="BS944" s="1525"/>
      <c r="BT944" s="1670"/>
      <c r="BV944"/>
      <c r="BW944" s="964"/>
    </row>
    <row r="945" spans="2:75" s="164" customFormat="1" ht="13.5" customHeight="1" thickBot="1" x14ac:dyDescent="0.2">
      <c r="B945" s="175"/>
      <c r="C945" s="742" t="s">
        <v>1132</v>
      </c>
      <c r="D945" s="742"/>
      <c r="E945" s="743" t="s">
        <v>1483</v>
      </c>
      <c r="F945" s="509" t="s">
        <v>893</v>
      </c>
      <c r="G945" s="966"/>
      <c r="H945" s="1415" t="s">
        <v>1508</v>
      </c>
      <c r="I945" s="566"/>
      <c r="J945" s="567"/>
      <c r="K945" s="567"/>
      <c r="L945" s="892"/>
      <c r="M945" s="892"/>
      <c r="N945" s="967"/>
      <c r="O945" s="967"/>
      <c r="P945" s="1243"/>
      <c r="Q945" s="1174"/>
      <c r="R945" s="1061"/>
      <c r="S945" s="1062"/>
      <c r="T945" s="1062"/>
      <c r="U945" s="1062"/>
      <c r="V945" s="1062"/>
      <c r="W945" s="1062"/>
      <c r="X945" s="1715">
        <f>X850+X914+X943</f>
        <v>199900</v>
      </c>
      <c r="Y945" s="1062"/>
      <c r="Z945" s="1062"/>
      <c r="AA945" s="1775"/>
      <c r="AB945" s="1812"/>
      <c r="AC945" s="1055"/>
      <c r="AD945" s="1295"/>
      <c r="AE945" s="1525"/>
      <c r="AF945" s="1525"/>
      <c r="AG945" s="1525"/>
      <c r="AH945" s="1525"/>
      <c r="AI945" s="1525"/>
      <c r="AJ945" s="1525"/>
      <c r="AK945" s="1525"/>
      <c r="AL945" s="1525"/>
      <c r="AM945" s="1525"/>
      <c r="AN945" s="1525"/>
      <c r="AO945" s="1525"/>
      <c r="AP945" s="1525"/>
      <c r="AQ945" s="1525"/>
      <c r="AR945" s="1525"/>
      <c r="AS945" s="1525"/>
      <c r="AU945" s="1525"/>
      <c r="AV945" s="1295"/>
      <c r="AW945" s="1525"/>
      <c r="AX945" s="1525"/>
      <c r="AY945" s="1525"/>
      <c r="AZ945" s="1525"/>
      <c r="BA945" s="1525"/>
      <c r="BB945" s="1525"/>
      <c r="BC945" s="1525"/>
      <c r="BD945" s="1525"/>
      <c r="BE945" s="1525"/>
      <c r="BF945" s="1525"/>
      <c r="BG945" s="1525"/>
      <c r="BH945" s="1525"/>
      <c r="BI945" s="1525"/>
      <c r="BJ945" s="1525"/>
      <c r="BK945" s="1525"/>
      <c r="BL945" s="1525"/>
      <c r="BM945" s="1525"/>
      <c r="BN945" s="1525"/>
      <c r="BO945" s="1525"/>
      <c r="BP945" s="1525"/>
      <c r="BQ945" s="1525"/>
      <c r="BR945" s="1525"/>
      <c r="BS945" s="1525"/>
      <c r="BT945" s="1670"/>
      <c r="BV945"/>
      <c r="BW945" s="966"/>
    </row>
    <row r="946" spans="2:75" s="164" customFormat="1" ht="13.5" customHeight="1" thickBot="1" x14ac:dyDescent="0.2">
      <c r="B946" s="175"/>
      <c r="C946" s="645" t="s">
        <v>793</v>
      </c>
      <c r="D946" s="645"/>
      <c r="E946" s="749" t="s">
        <v>1483</v>
      </c>
      <c r="F946" s="517" t="s">
        <v>525</v>
      </c>
      <c r="G946" s="867"/>
      <c r="H946" s="1422" t="s">
        <v>1508</v>
      </c>
      <c r="I946" s="562"/>
      <c r="J946" s="563"/>
      <c r="K946" s="563"/>
      <c r="L946" s="851"/>
      <c r="M946" s="866"/>
      <c r="N946" s="867"/>
      <c r="O946" s="867"/>
      <c r="P946" s="1244"/>
      <c r="Q946" s="1175"/>
      <c r="R946" s="1056"/>
      <c r="S946" s="1058"/>
      <c r="T946" s="1058"/>
      <c r="U946" s="1058"/>
      <c r="V946" s="1058"/>
      <c r="W946" s="1063"/>
      <c r="X946" s="1716">
        <f>X851+X915</f>
        <v>0</v>
      </c>
      <c r="Y946" s="1040"/>
      <c r="Z946" s="1040"/>
      <c r="AA946" s="1775"/>
      <c r="AB946" s="1812"/>
      <c r="AC946" s="1055"/>
      <c r="AD946" s="1295"/>
      <c r="AE946" s="1525"/>
      <c r="AF946" s="1525"/>
      <c r="AG946" s="1525"/>
      <c r="AH946" s="1525"/>
      <c r="AI946" s="1525"/>
      <c r="AJ946" s="1525"/>
      <c r="AK946" s="1525"/>
      <c r="AL946" s="1525"/>
      <c r="AM946" s="1525"/>
      <c r="AN946" s="1525"/>
      <c r="AO946" s="1525"/>
      <c r="AP946" s="1525"/>
      <c r="AQ946" s="1525"/>
      <c r="AR946" s="1525"/>
      <c r="AS946" s="1525"/>
      <c r="AU946" s="1525"/>
      <c r="AV946" s="1295"/>
      <c r="AW946" s="1525"/>
      <c r="AX946" s="1525"/>
      <c r="AY946" s="1525"/>
      <c r="AZ946" s="1525"/>
      <c r="BA946" s="1525"/>
      <c r="BB946" s="1525"/>
      <c r="BC946" s="1525"/>
      <c r="BD946" s="1525"/>
      <c r="BE946" s="1525"/>
      <c r="BF946" s="1525"/>
      <c r="BG946" s="1525"/>
      <c r="BH946" s="1525"/>
      <c r="BI946" s="1525"/>
      <c r="BJ946" s="1525"/>
      <c r="BK946" s="1525"/>
      <c r="BL946" s="1525"/>
      <c r="BM946" s="1525"/>
      <c r="BN946" s="1525"/>
      <c r="BO946" s="1525"/>
      <c r="BP946" s="1525"/>
      <c r="BQ946" s="1525"/>
      <c r="BR946" s="1525"/>
      <c r="BS946" s="1525"/>
      <c r="BT946" s="1670"/>
      <c r="BV946"/>
      <c r="BW946" s="867"/>
    </row>
    <row r="947" spans="2:75" s="164" customFormat="1" ht="15" customHeight="1" x14ac:dyDescent="0.2">
      <c r="B947" s="175"/>
      <c r="F947" s="22"/>
      <c r="G947" s="821"/>
      <c r="H947" s="1411" t="s">
        <v>1508</v>
      </c>
      <c r="I947" s="197"/>
      <c r="J947" s="174"/>
      <c r="K947" s="174"/>
      <c r="L947" s="843"/>
      <c r="M947" s="843"/>
      <c r="N947" s="857"/>
      <c r="O947" s="1200"/>
      <c r="P947" s="550"/>
      <c r="Q947" s="1148"/>
      <c r="R947" s="874"/>
      <c r="S947" s="875"/>
      <c r="T947" s="875"/>
      <c r="U947" s="875"/>
      <c r="V947" s="875"/>
      <c r="W947" s="875"/>
      <c r="X947" s="1026"/>
      <c r="Y947" s="1757"/>
      <c r="Z947" s="1756"/>
      <c r="AA947" s="1775"/>
      <c r="AB947" s="1814"/>
      <c r="AC947" s="876"/>
      <c r="AD947" s="1295"/>
      <c r="AE947" s="1525"/>
      <c r="AF947" s="1525"/>
      <c r="AG947" s="1525"/>
      <c r="AH947" s="1525"/>
      <c r="AI947" s="1525"/>
      <c r="AJ947" s="1525"/>
      <c r="AK947" s="1525"/>
      <c r="AL947" s="1525"/>
      <c r="AM947" s="1525"/>
      <c r="AN947" s="1525"/>
      <c r="AO947" s="1525"/>
      <c r="AP947" s="1525"/>
      <c r="AQ947" s="1525"/>
      <c r="AR947" s="1525"/>
      <c r="AS947" s="1525"/>
      <c r="AU947" s="1525"/>
      <c r="AV947" s="1295"/>
      <c r="AW947" s="1525"/>
      <c r="AX947" s="1525"/>
      <c r="AY947" s="1525"/>
      <c r="AZ947" s="1525"/>
      <c r="BA947" s="1525"/>
      <c r="BB947" s="1525"/>
      <c r="BC947" s="1525"/>
      <c r="BD947" s="1525"/>
      <c r="BE947" s="1525"/>
      <c r="BF947" s="1525"/>
      <c r="BG947" s="1525"/>
      <c r="BH947" s="1525"/>
      <c r="BI947" s="1525"/>
      <c r="BJ947" s="1525"/>
      <c r="BK947" s="1525"/>
      <c r="BL947" s="1525"/>
      <c r="BM947" s="1525"/>
      <c r="BN947" s="1525"/>
      <c r="BO947" s="1525"/>
      <c r="BP947" s="1525"/>
      <c r="BQ947" s="1525"/>
      <c r="BR947" s="1525"/>
      <c r="BS947" s="1525"/>
      <c r="BT947" s="1670"/>
      <c r="BV947"/>
      <c r="BW947" s="821"/>
    </row>
    <row r="948" spans="2:75" s="164" customFormat="1" ht="12.75" customHeight="1" x14ac:dyDescent="0.15">
      <c r="B948" s="175"/>
      <c r="F948" s="46"/>
      <c r="G948" s="855"/>
      <c r="H948" s="1424" t="s">
        <v>1508</v>
      </c>
      <c r="I948" s="250"/>
      <c r="J948" s="295"/>
      <c r="K948" s="295"/>
      <c r="L948" s="841"/>
      <c r="M948" s="841"/>
      <c r="N948" s="948"/>
      <c r="O948" s="1200"/>
      <c r="P948" s="550"/>
      <c r="Q948" s="1148"/>
      <c r="R948" s="874"/>
      <c r="S948" s="875"/>
      <c r="T948" s="875"/>
      <c r="U948" s="875"/>
      <c r="V948" s="875"/>
      <c r="W948" s="875"/>
      <c r="X948" s="1026"/>
      <c r="Y948" s="1757"/>
      <c r="Z948" s="1756"/>
      <c r="AA948" s="1775"/>
      <c r="AB948" s="1814"/>
      <c r="AC948" s="876"/>
      <c r="AD948" s="1295"/>
      <c r="AE948" s="1525"/>
      <c r="AF948" s="1525"/>
      <c r="AG948" s="1525"/>
      <c r="AH948" s="1525"/>
      <c r="AI948" s="1525"/>
      <c r="AJ948" s="1525"/>
      <c r="AK948" s="1525"/>
      <c r="AL948" s="1525"/>
      <c r="AM948" s="1525"/>
      <c r="AN948" s="1525"/>
      <c r="AO948" s="1525"/>
      <c r="AP948" s="1525"/>
      <c r="AQ948" s="1525"/>
      <c r="AR948" s="1525"/>
      <c r="AS948" s="1525"/>
      <c r="AU948" s="1525"/>
      <c r="AV948" s="1295"/>
      <c r="AW948" s="1525"/>
      <c r="AX948" s="1525"/>
      <c r="AY948" s="1525"/>
      <c r="AZ948" s="1525"/>
      <c r="BA948" s="1525"/>
      <c r="BB948" s="1525"/>
      <c r="BC948" s="1525"/>
      <c r="BD948" s="1525"/>
      <c r="BE948" s="1525"/>
      <c r="BF948" s="1525"/>
      <c r="BG948" s="1525"/>
      <c r="BH948" s="1525"/>
      <c r="BI948" s="1525"/>
      <c r="BJ948" s="1525"/>
      <c r="BK948" s="1525"/>
      <c r="BL948" s="1525"/>
      <c r="BM948" s="1525"/>
      <c r="BN948" s="1525"/>
      <c r="BO948" s="1525"/>
      <c r="BP948" s="1525"/>
      <c r="BQ948" s="1525"/>
      <c r="BR948" s="1525"/>
      <c r="BS948" s="1525"/>
      <c r="BT948" s="1670"/>
      <c r="BV948"/>
      <c r="BW948" s="855"/>
    </row>
    <row r="949" spans="2:75" s="164" customFormat="1" ht="12.75" customHeight="1" x14ac:dyDescent="0.15">
      <c r="B949" s="175"/>
      <c r="E949" s="164" t="s">
        <v>1102</v>
      </c>
      <c r="F949" s="76" t="s">
        <v>265</v>
      </c>
      <c r="G949" s="836"/>
      <c r="H949" s="1412" t="s">
        <v>1508</v>
      </c>
      <c r="I949" s="266"/>
      <c r="J949" s="305"/>
      <c r="K949" s="305"/>
      <c r="L949" s="861"/>
      <c r="M949" s="861"/>
      <c r="N949" s="948"/>
      <c r="O949" s="1200"/>
      <c r="P949" s="550"/>
      <c r="Q949" s="1148"/>
      <c r="R949" s="874"/>
      <c r="S949" s="875"/>
      <c r="T949" s="875"/>
      <c r="U949" s="875"/>
      <c r="V949" s="875"/>
      <c r="W949" s="875"/>
      <c r="X949" s="1026"/>
      <c r="Y949" s="1757"/>
      <c r="Z949" s="1756"/>
      <c r="AA949" s="1775"/>
      <c r="AB949" s="1814"/>
      <c r="AC949" s="876"/>
      <c r="AD949" s="1295"/>
      <c r="AE949" s="1525"/>
      <c r="AF949" s="1525"/>
      <c r="AG949" s="1525"/>
      <c r="AH949" s="1525"/>
      <c r="AI949" s="1525"/>
      <c r="AJ949" s="1525"/>
      <c r="AK949" s="1525"/>
      <c r="AL949" s="1525"/>
      <c r="AM949" s="1525"/>
      <c r="AN949" s="1525"/>
      <c r="AO949" s="1525"/>
      <c r="AP949" s="1525"/>
      <c r="AQ949" s="1525"/>
      <c r="AR949" s="1525"/>
      <c r="AS949" s="1525"/>
      <c r="AU949" s="1525"/>
      <c r="AV949" s="1295"/>
      <c r="AW949" s="1525"/>
      <c r="AX949" s="1525"/>
      <c r="AY949" s="1525"/>
      <c r="AZ949" s="1525"/>
      <c r="BA949" s="1525"/>
      <c r="BB949" s="1525"/>
      <c r="BC949" s="1525"/>
      <c r="BD949" s="1525"/>
      <c r="BE949" s="1525"/>
      <c r="BF949" s="1525"/>
      <c r="BG949" s="1525"/>
      <c r="BH949" s="1525"/>
      <c r="BI949" s="1525"/>
      <c r="BJ949" s="1525"/>
      <c r="BK949" s="1525"/>
      <c r="BL949" s="1525"/>
      <c r="BM949" s="1525"/>
      <c r="BN949" s="1525"/>
      <c r="BO949" s="1525"/>
      <c r="BP949" s="1525"/>
      <c r="BQ949" s="1525"/>
      <c r="BR949" s="1525"/>
      <c r="BS949" s="1525"/>
      <c r="BT949" s="1670"/>
      <c r="BV949"/>
      <c r="BW949" s="836"/>
    </row>
    <row r="950" spans="2:75" s="164" customFormat="1" ht="12.75" customHeight="1" x14ac:dyDescent="0.15">
      <c r="B950" s="175"/>
      <c r="F950" s="76" t="s">
        <v>266</v>
      </c>
      <c r="G950" s="825"/>
      <c r="H950" s="1412" t="s">
        <v>1508</v>
      </c>
      <c r="I950" s="267"/>
      <c r="J950" s="306"/>
      <c r="K950" s="306"/>
      <c r="L950" s="861"/>
      <c r="M950" s="861"/>
      <c r="N950" s="832"/>
      <c r="O950" s="1200"/>
      <c r="P950" s="550"/>
      <c r="Q950" s="1148"/>
      <c r="R950" s="874"/>
      <c r="S950" s="875"/>
      <c r="T950" s="875"/>
      <c r="U950" s="875"/>
      <c r="V950" s="875"/>
      <c r="W950" s="875"/>
      <c r="X950" s="1026"/>
      <c r="Y950" s="1757"/>
      <c r="Z950" s="1756"/>
      <c r="AA950" s="1775"/>
      <c r="AB950" s="1814"/>
      <c r="AC950" s="876"/>
      <c r="AD950" s="1295"/>
      <c r="AE950" s="1525"/>
      <c r="AF950" s="1525"/>
      <c r="AG950" s="1525"/>
      <c r="AH950" s="1525"/>
      <c r="AI950" s="1525"/>
      <c r="AJ950" s="1525"/>
      <c r="AK950" s="1525"/>
      <c r="AL950" s="1525"/>
      <c r="AM950" s="1525"/>
      <c r="AN950" s="1525"/>
      <c r="AO950" s="1525"/>
      <c r="AP950" s="1525"/>
      <c r="AQ950" s="1525"/>
      <c r="AR950" s="1525"/>
      <c r="AS950" s="1525"/>
      <c r="AU950" s="1525"/>
      <c r="AV950" s="1295"/>
      <c r="AW950" s="1525"/>
      <c r="AX950" s="1525"/>
      <c r="AY950" s="1525"/>
      <c r="AZ950" s="1525"/>
      <c r="BA950" s="1525"/>
      <c r="BB950" s="1525"/>
      <c r="BC950" s="1525"/>
      <c r="BD950" s="1525"/>
      <c r="BE950" s="1525"/>
      <c r="BF950" s="1525"/>
      <c r="BG950" s="1525"/>
      <c r="BH950" s="1525"/>
      <c r="BI950" s="1525"/>
      <c r="BJ950" s="1525"/>
      <c r="BK950" s="1525"/>
      <c r="BL950" s="1525"/>
      <c r="BM950" s="1525"/>
      <c r="BN950" s="1525"/>
      <c r="BO950" s="1525"/>
      <c r="BP950" s="1525"/>
      <c r="BQ950" s="1525"/>
      <c r="BR950" s="1525"/>
      <c r="BS950" s="1525"/>
      <c r="BT950" s="1670"/>
      <c r="BV950"/>
      <c r="BW950" s="825"/>
    </row>
    <row r="951" spans="2:75" s="164" customFormat="1" ht="12.75" customHeight="1" x14ac:dyDescent="0.15">
      <c r="B951" s="175"/>
      <c r="F951" s="28"/>
      <c r="G951" s="834"/>
      <c r="H951" s="1417" t="s">
        <v>1508</v>
      </c>
      <c r="I951" s="241"/>
      <c r="J951" s="292"/>
      <c r="K951" s="292"/>
      <c r="L951" s="893"/>
      <c r="M951" s="893"/>
      <c r="N951" s="832"/>
      <c r="O951" s="1200"/>
      <c r="P951" s="550"/>
      <c r="Q951" s="1148"/>
      <c r="R951" s="874"/>
      <c r="S951" s="875"/>
      <c r="T951" s="875"/>
      <c r="U951" s="875"/>
      <c r="V951" s="875"/>
      <c r="W951" s="875"/>
      <c r="X951" s="1026"/>
      <c r="Y951" s="1757"/>
      <c r="Z951" s="1756"/>
      <c r="AA951" s="1775"/>
      <c r="AB951" s="1814"/>
      <c r="AC951" s="876"/>
      <c r="AD951" s="1295"/>
      <c r="AE951" s="1525"/>
      <c r="AF951" s="1525"/>
      <c r="AG951" s="1525"/>
      <c r="AH951" s="1525"/>
      <c r="AI951" s="1525"/>
      <c r="AJ951" s="1525"/>
      <c r="AK951" s="1525"/>
      <c r="AL951" s="1525"/>
      <c r="AM951" s="1525"/>
      <c r="AN951" s="1525"/>
      <c r="AO951" s="1525"/>
      <c r="AP951" s="1525"/>
      <c r="AQ951" s="1525"/>
      <c r="AR951" s="1525"/>
      <c r="AS951" s="1525"/>
      <c r="AU951" s="1525"/>
      <c r="AV951" s="1295"/>
      <c r="AW951" s="1525"/>
      <c r="AX951" s="1525"/>
      <c r="AY951" s="1525"/>
      <c r="AZ951" s="1525"/>
      <c r="BA951" s="1525"/>
      <c r="BB951" s="1525"/>
      <c r="BC951" s="1525"/>
      <c r="BD951" s="1525"/>
      <c r="BE951" s="1525"/>
      <c r="BF951" s="1525"/>
      <c r="BG951" s="1525"/>
      <c r="BH951" s="1525"/>
      <c r="BI951" s="1525"/>
      <c r="BJ951" s="1525"/>
      <c r="BK951" s="1525"/>
      <c r="BL951" s="1525"/>
      <c r="BM951" s="1525"/>
      <c r="BN951" s="1525"/>
      <c r="BO951" s="1525"/>
      <c r="BP951" s="1525"/>
      <c r="BQ951" s="1525"/>
      <c r="BR951" s="1525"/>
      <c r="BS951" s="1525"/>
      <c r="BT951" s="1670"/>
      <c r="BV951"/>
      <c r="BW951" s="834"/>
    </row>
    <row r="952" spans="2:75" ht="12.75" customHeight="1" x14ac:dyDescent="0.2">
      <c r="B952" s="175">
        <f>B950+1</f>
        <v>1</v>
      </c>
      <c r="C952" s="164">
        <v>28</v>
      </c>
      <c r="E952" s="164" t="s">
        <v>1102</v>
      </c>
      <c r="F952" s="28" t="s">
        <v>195</v>
      </c>
      <c r="G952" s="834" t="s">
        <v>752</v>
      </c>
      <c r="H952" s="1417">
        <v>114593</v>
      </c>
      <c r="I952" s="241" t="s">
        <v>583</v>
      </c>
      <c r="J952" s="292"/>
      <c r="K952" s="292"/>
      <c r="L952" s="893">
        <v>1</v>
      </c>
      <c r="M952" s="893">
        <v>1</v>
      </c>
      <c r="N952" s="832" t="s">
        <v>892</v>
      </c>
      <c r="O952" s="1196">
        <v>21323</v>
      </c>
      <c r="P952" s="1218">
        <f ca="1">YEARFRAC(TODAY(),O952)</f>
        <v>59.37222222222222</v>
      </c>
      <c r="Q952" s="1148">
        <v>55000</v>
      </c>
      <c r="R952" s="874"/>
      <c r="S952" s="875"/>
      <c r="T952" s="875">
        <v>29100</v>
      </c>
      <c r="U952" s="875"/>
      <c r="V952" s="875"/>
      <c r="W952" s="875"/>
      <c r="X952" s="1026">
        <f>(Q952+R952+S952+T952+U952+V952+W952)*M952</f>
        <v>84100</v>
      </c>
      <c r="Y952" s="1512">
        <f>(T952+U952)*M952/(X952-M952*(T952+U952))</f>
        <v>0.52909090909090906</v>
      </c>
      <c r="Z952" s="1741">
        <f>M952*(1+Y952)</f>
        <v>1.5290909090909091</v>
      </c>
      <c r="AA952" s="1749">
        <f>SUM(AD952:AS952)</f>
        <v>1</v>
      </c>
      <c r="AB952" s="1810">
        <f t="shared" ref="AB952" si="565">100*AA952/Z952</f>
        <v>65.398335315101065</v>
      </c>
      <c r="AC952" s="876"/>
      <c r="AD952" s="1525">
        <f t="shared" ref="AD952:AS952" si="566">SUMIF($AV$6:$BS$6,AD$5,$AV952:$BS952)</f>
        <v>0.8</v>
      </c>
      <c r="AE952" s="1525">
        <f t="shared" si="566"/>
        <v>0</v>
      </c>
      <c r="AF952" s="1525">
        <f t="shared" si="566"/>
        <v>0</v>
      </c>
      <c r="AG952" s="1525">
        <f t="shared" si="566"/>
        <v>0</v>
      </c>
      <c r="AH952" s="1525">
        <f t="shared" si="566"/>
        <v>0</v>
      </c>
      <c r="AI952" s="1525">
        <f t="shared" si="566"/>
        <v>0</v>
      </c>
      <c r="AJ952" s="1525">
        <f t="shared" si="566"/>
        <v>0</v>
      </c>
      <c r="AK952" s="1525">
        <f t="shared" si="566"/>
        <v>0</v>
      </c>
      <c r="AL952" s="1525">
        <f t="shared" si="566"/>
        <v>0.2</v>
      </c>
      <c r="AM952" s="1525">
        <f t="shared" si="566"/>
        <v>0</v>
      </c>
      <c r="AN952" s="1525">
        <f t="shared" si="566"/>
        <v>0</v>
      </c>
      <c r="AO952" s="1525">
        <f t="shared" si="566"/>
        <v>0</v>
      </c>
      <c r="AP952" s="1525">
        <f t="shared" si="566"/>
        <v>0</v>
      </c>
      <c r="AQ952" s="1525">
        <f t="shared" si="566"/>
        <v>0</v>
      </c>
      <c r="AR952" s="1525">
        <f t="shared" si="566"/>
        <v>0</v>
      </c>
      <c r="AS952" s="1525">
        <f t="shared" si="566"/>
        <v>0</v>
      </c>
      <c r="AU952" s="1525"/>
      <c r="AV952" s="1291"/>
      <c r="AW952" s="1292"/>
      <c r="AX952" s="1292"/>
      <c r="AY952" s="1292"/>
      <c r="AZ952" s="1292"/>
      <c r="BA952" s="1292">
        <v>0.2</v>
      </c>
      <c r="BB952" s="1292"/>
      <c r="BC952" s="1292"/>
      <c r="BD952" s="1292"/>
      <c r="BE952" s="1292"/>
      <c r="BF952" s="1292"/>
      <c r="BG952" s="1292"/>
      <c r="BH952" s="1292"/>
      <c r="BI952" s="1292"/>
      <c r="BJ952" s="1532">
        <v>0.8</v>
      </c>
      <c r="BK952" s="1532"/>
      <c r="BL952" s="1292"/>
      <c r="BM952" s="1292"/>
      <c r="BN952" s="1292"/>
      <c r="BO952" s="1292"/>
      <c r="BP952" s="1292"/>
      <c r="BQ952" s="1292"/>
      <c r="BR952" s="1292"/>
      <c r="BS952" s="1292"/>
      <c r="BT952" s="1670">
        <f t="shared" ref="BT952" si="567">SUM(AV952:BS952)</f>
        <v>1</v>
      </c>
      <c r="BW952" s="834" t="s">
        <v>752</v>
      </c>
    </row>
    <row r="953" spans="2:75" s="164" customFormat="1" ht="12.75" customHeight="1" x14ac:dyDescent="0.15">
      <c r="B953" s="175"/>
      <c r="F953" s="4"/>
      <c r="G953" s="825"/>
      <c r="H953" s="1412" t="s">
        <v>1508</v>
      </c>
      <c r="I953" s="197"/>
      <c r="J953" s="174"/>
      <c r="K953" s="174"/>
      <c r="L953" s="861"/>
      <c r="M953" s="861"/>
      <c r="N953" s="836"/>
      <c r="O953" s="1200"/>
      <c r="P953" s="550"/>
      <c r="Q953" s="1148"/>
      <c r="R953" s="874"/>
      <c r="S953" s="875"/>
      <c r="T953" s="875"/>
      <c r="U953" s="875"/>
      <c r="V953" s="875"/>
      <c r="W953" s="875"/>
      <c r="X953" s="1026"/>
      <c r="Y953" s="1757"/>
      <c r="Z953" s="1756"/>
      <c r="AA953" s="1775"/>
      <c r="AB953" s="1814"/>
      <c r="AC953" s="876"/>
      <c r="AD953" s="1295"/>
      <c r="AE953" s="1525"/>
      <c r="AF953" s="1525"/>
      <c r="AG953" s="1525"/>
      <c r="AH953" s="1525"/>
      <c r="AI953" s="1525"/>
      <c r="AJ953" s="1525"/>
      <c r="AK953" s="1525"/>
      <c r="AL953" s="1525"/>
      <c r="AM953" s="1525"/>
      <c r="AN953" s="1525"/>
      <c r="AO953" s="1525"/>
      <c r="AP953" s="1525"/>
      <c r="AQ953" s="1525"/>
      <c r="AR953" s="1525"/>
      <c r="AS953" s="1525"/>
      <c r="AU953" s="1525"/>
      <c r="AV953" s="1295"/>
      <c r="AW953" s="1525"/>
      <c r="AX953" s="1525"/>
      <c r="AY953" s="1525"/>
      <c r="AZ953" s="1525"/>
      <c r="BA953" s="1525"/>
      <c r="BB953" s="1525"/>
      <c r="BC953" s="1525"/>
      <c r="BD953" s="1525"/>
      <c r="BE953" s="1525"/>
      <c r="BF953" s="1525"/>
      <c r="BG953" s="1525"/>
      <c r="BH953" s="1525"/>
      <c r="BI953" s="1525"/>
      <c r="BJ953" s="1525"/>
      <c r="BK953" s="1525"/>
      <c r="BL953" s="1525"/>
      <c r="BM953" s="1525"/>
      <c r="BN953" s="1525"/>
      <c r="BO953" s="1525"/>
      <c r="BP953" s="1525"/>
      <c r="BQ953" s="1525"/>
      <c r="BR953" s="1525"/>
      <c r="BS953" s="1525"/>
      <c r="BT953" s="1670"/>
      <c r="BV953"/>
      <c r="BW953" s="825"/>
    </row>
    <row r="954" spans="2:75" s="164" customFormat="1" ht="12.75" customHeight="1" x14ac:dyDescent="0.15">
      <c r="B954" s="175"/>
      <c r="E954" s="164" t="s">
        <v>1102</v>
      </c>
      <c r="F954" s="10" t="s">
        <v>597</v>
      </c>
      <c r="G954" s="825"/>
      <c r="H954" s="1412" t="s">
        <v>1508</v>
      </c>
      <c r="I954" s="197"/>
      <c r="J954" s="174"/>
      <c r="K954" s="174"/>
      <c r="L954" s="861"/>
      <c r="M954" s="861"/>
      <c r="N954" s="836"/>
      <c r="O954" s="1200"/>
      <c r="P954" s="550"/>
      <c r="Q954" s="1148"/>
      <c r="R954" s="874"/>
      <c r="S954" s="875"/>
      <c r="T954" s="875"/>
      <c r="U954" s="875"/>
      <c r="V954" s="875"/>
      <c r="W954" s="875"/>
      <c r="X954" s="1026"/>
      <c r="Y954" s="1757"/>
      <c r="Z954" s="1756"/>
      <c r="AA954" s="1775"/>
      <c r="AB954" s="1814"/>
      <c r="AC954" s="876"/>
      <c r="AD954" s="1295"/>
      <c r="AE954" s="1525"/>
      <c r="AF954" s="1525"/>
      <c r="AG954" s="1525"/>
      <c r="AH954" s="1525"/>
      <c r="AI954" s="1525"/>
      <c r="AJ954" s="1525"/>
      <c r="AK954" s="1525"/>
      <c r="AL954" s="1525"/>
      <c r="AM954" s="1525"/>
      <c r="AN954" s="1525"/>
      <c r="AO954" s="1525"/>
      <c r="AP954" s="1525"/>
      <c r="AQ954" s="1525"/>
      <c r="AR954" s="1525"/>
      <c r="AS954" s="1525"/>
      <c r="AU954" s="1525"/>
      <c r="AV954" s="1295"/>
      <c r="AW954" s="1525"/>
      <c r="AX954" s="1525"/>
      <c r="AY954" s="1525"/>
      <c r="AZ954" s="1525"/>
      <c r="BA954" s="1525"/>
      <c r="BB954" s="1525"/>
      <c r="BC954" s="1525"/>
      <c r="BD954" s="1525"/>
      <c r="BE954" s="1525"/>
      <c r="BF954" s="1525"/>
      <c r="BG954" s="1525"/>
      <c r="BH954" s="1525"/>
      <c r="BI954" s="1525"/>
      <c r="BJ954" s="1525"/>
      <c r="BK954" s="1525"/>
      <c r="BL954" s="1525"/>
      <c r="BM954" s="1525"/>
      <c r="BN954" s="1525"/>
      <c r="BO954" s="1525"/>
      <c r="BP954" s="1525"/>
      <c r="BQ954" s="1525"/>
      <c r="BR954" s="1525"/>
      <c r="BS954" s="1525"/>
      <c r="BT954" s="1670"/>
      <c r="BV954"/>
      <c r="BW954" s="825"/>
    </row>
    <row r="955" spans="2:75" s="164" customFormat="1" ht="12.75" customHeight="1" x14ac:dyDescent="0.15">
      <c r="B955" s="175"/>
      <c r="F955" s="4" t="s">
        <v>1375</v>
      </c>
      <c r="G955" s="825"/>
      <c r="H955" s="1412" t="s">
        <v>1508</v>
      </c>
      <c r="I955" s="197"/>
      <c r="J955" s="174"/>
      <c r="K955" s="174"/>
      <c r="L955" s="861"/>
      <c r="M955" s="861"/>
      <c r="N955" s="836"/>
      <c r="O955" s="1200"/>
      <c r="P955" s="550"/>
      <c r="Q955" s="1148"/>
      <c r="R955" s="874"/>
      <c r="S955" s="875"/>
      <c r="T955" s="875"/>
      <c r="U955" s="875"/>
      <c r="V955" s="875"/>
      <c r="W955" s="875"/>
      <c r="X955" s="1026"/>
      <c r="Y955" s="1757"/>
      <c r="Z955" s="1756"/>
      <c r="AA955" s="1775"/>
      <c r="AB955" s="1814"/>
      <c r="AC955" s="876"/>
      <c r="AD955" s="1295"/>
      <c r="AE955" s="1525"/>
      <c r="AF955" s="1525"/>
      <c r="AG955" s="1525"/>
      <c r="AH955" s="1525"/>
      <c r="AI955" s="1525"/>
      <c r="AJ955" s="1525"/>
      <c r="AK955" s="1525"/>
      <c r="AL955" s="1525"/>
      <c r="AM955" s="1525"/>
      <c r="AN955" s="1525"/>
      <c r="AO955" s="1525"/>
      <c r="AP955" s="1525"/>
      <c r="AQ955" s="1525"/>
      <c r="AR955" s="1525"/>
      <c r="AS955" s="1525"/>
      <c r="AU955" s="1525"/>
      <c r="AV955" s="1295"/>
      <c r="AW955" s="1525"/>
      <c r="AX955" s="1525"/>
      <c r="AY955" s="1525"/>
      <c r="AZ955" s="1525"/>
      <c r="BA955" s="1525"/>
      <c r="BB955" s="1525"/>
      <c r="BC955" s="1525"/>
      <c r="BD955" s="1525"/>
      <c r="BE955" s="1525"/>
      <c r="BF955" s="1525"/>
      <c r="BG955" s="1525"/>
      <c r="BH955" s="1525"/>
      <c r="BI955" s="1525"/>
      <c r="BJ955" s="1525"/>
      <c r="BK955" s="1525"/>
      <c r="BL955" s="1525"/>
      <c r="BM955" s="1525"/>
      <c r="BN955" s="1525"/>
      <c r="BO955" s="1525"/>
      <c r="BP955" s="1525"/>
      <c r="BQ955" s="1525"/>
      <c r="BR955" s="1525"/>
      <c r="BS955" s="1525"/>
      <c r="BT955" s="1670"/>
      <c r="BV955"/>
      <c r="BW955" s="825"/>
    </row>
    <row r="956" spans="2:75" s="164" customFormat="1" ht="12.75" customHeight="1" x14ac:dyDescent="0.15">
      <c r="B956" s="175"/>
      <c r="F956" s="4"/>
      <c r="G956" s="825"/>
      <c r="H956" s="1412" t="s">
        <v>1508</v>
      </c>
      <c r="I956" s="197"/>
      <c r="J956" s="174"/>
      <c r="K956" s="174"/>
      <c r="L956" s="861"/>
      <c r="M956" s="861"/>
      <c r="N956" s="836"/>
      <c r="O956" s="1200"/>
      <c r="P956" s="550"/>
      <c r="Q956" s="1148"/>
      <c r="R956" s="874"/>
      <c r="S956" s="875"/>
      <c r="T956" s="875"/>
      <c r="U956" s="875"/>
      <c r="V956" s="875"/>
      <c r="W956" s="875"/>
      <c r="X956" s="1026"/>
      <c r="Y956" s="1757"/>
      <c r="Z956" s="1756"/>
      <c r="AA956" s="1775"/>
      <c r="AB956" s="1814"/>
      <c r="AC956" s="876"/>
      <c r="AD956" s="1295"/>
      <c r="AE956" s="1525"/>
      <c r="AF956" s="1525"/>
      <c r="AG956" s="1525"/>
      <c r="AH956" s="1525"/>
      <c r="AI956" s="1525"/>
      <c r="AJ956" s="1525"/>
      <c r="AK956" s="1525"/>
      <c r="AL956" s="1525"/>
      <c r="AM956" s="1525"/>
      <c r="AN956" s="1525"/>
      <c r="AO956" s="1525"/>
      <c r="AP956" s="1525"/>
      <c r="AQ956" s="1525"/>
      <c r="AR956" s="1525"/>
      <c r="AS956" s="1525"/>
      <c r="AU956" s="1525"/>
      <c r="AV956" s="1295"/>
      <c r="AW956" s="1525"/>
      <c r="AX956" s="1525"/>
      <c r="AY956" s="1525"/>
      <c r="AZ956" s="1525"/>
      <c r="BA956" s="1525"/>
      <c r="BB956" s="1525"/>
      <c r="BC956" s="1525"/>
      <c r="BD956" s="1525"/>
      <c r="BE956" s="1525"/>
      <c r="BF956" s="1525"/>
      <c r="BG956" s="1525"/>
      <c r="BH956" s="1525"/>
      <c r="BI956" s="1525"/>
      <c r="BJ956" s="1525"/>
      <c r="BK956" s="1525"/>
      <c r="BL956" s="1525"/>
      <c r="BM956" s="1525"/>
      <c r="BN956" s="1525"/>
      <c r="BO956" s="1525"/>
      <c r="BP956" s="1525"/>
      <c r="BQ956" s="1525"/>
      <c r="BR956" s="1525"/>
      <c r="BS956" s="1525"/>
      <c r="BT956" s="1670"/>
      <c r="BV956"/>
      <c r="BW956" s="825"/>
    </row>
    <row r="957" spans="2:75" s="164" customFormat="1" ht="15" customHeight="1" x14ac:dyDescent="0.15">
      <c r="B957" s="175"/>
      <c r="F957" s="11" t="s">
        <v>956</v>
      </c>
      <c r="G957" s="855"/>
      <c r="H957" s="1424" t="s">
        <v>1508</v>
      </c>
      <c r="I957" s="264"/>
      <c r="J957" s="304"/>
      <c r="K957" s="304"/>
      <c r="L957" s="841"/>
      <c r="M957" s="841"/>
      <c r="N957" s="948"/>
      <c r="O957" s="1200"/>
      <c r="P957" s="550"/>
      <c r="Q957" s="1148"/>
      <c r="R957" s="874"/>
      <c r="S957" s="875"/>
      <c r="T957" s="875"/>
      <c r="U957" s="875"/>
      <c r="V957" s="875"/>
      <c r="W957" s="875"/>
      <c r="X957" s="1026"/>
      <c r="Y957" s="1757"/>
      <c r="Z957" s="1756"/>
      <c r="AA957" s="1775"/>
      <c r="AB957" s="1814"/>
      <c r="AC957" s="876"/>
      <c r="AD957" s="1295"/>
      <c r="AE957" s="1525"/>
      <c r="AF957" s="1525"/>
      <c r="AG957" s="1525"/>
      <c r="AH957" s="1525"/>
      <c r="AI957" s="1525"/>
      <c r="AJ957" s="1525"/>
      <c r="AK957" s="1525"/>
      <c r="AL957" s="1525"/>
      <c r="AM957" s="1525"/>
      <c r="AN957" s="1525"/>
      <c r="AO957" s="1525"/>
      <c r="AP957" s="1525"/>
      <c r="AQ957" s="1525"/>
      <c r="AR957" s="1525"/>
      <c r="AS957" s="1525"/>
      <c r="AU957" s="1525"/>
      <c r="AV957" s="1295"/>
      <c r="AW957" s="1525"/>
      <c r="AX957" s="1525"/>
      <c r="AY957" s="1525"/>
      <c r="AZ957" s="1525"/>
      <c r="BA957" s="1525"/>
      <c r="BB957" s="1525"/>
      <c r="BC957" s="1525"/>
      <c r="BD957" s="1525"/>
      <c r="BE957" s="1525"/>
      <c r="BF957" s="1525"/>
      <c r="BG957" s="1525"/>
      <c r="BH957" s="1525"/>
      <c r="BI957" s="1525"/>
      <c r="BJ957" s="1525"/>
      <c r="BK957" s="1525"/>
      <c r="BL957" s="1525"/>
      <c r="BM957" s="1525"/>
      <c r="BN957" s="1525"/>
      <c r="BO957" s="1525"/>
      <c r="BP957" s="1525"/>
      <c r="BQ957" s="1525"/>
      <c r="BR957" s="1525"/>
      <c r="BS957" s="1525"/>
      <c r="BT957" s="1670"/>
      <c r="BV957"/>
      <c r="BW957" s="855"/>
    </row>
    <row r="958" spans="2:75" ht="12.75" customHeight="1" x14ac:dyDescent="0.2">
      <c r="B958" s="175">
        <f>B957+1</f>
        <v>1</v>
      </c>
      <c r="C958" s="282">
        <v>5</v>
      </c>
      <c r="D958" s="464"/>
      <c r="E958" s="474" t="s">
        <v>1561</v>
      </c>
      <c r="F958" s="651" t="s">
        <v>166</v>
      </c>
      <c r="G958" s="876" t="s">
        <v>957</v>
      </c>
      <c r="H958" s="1413">
        <v>67130</v>
      </c>
      <c r="I958" s="621" t="s">
        <v>351</v>
      </c>
      <c r="J958" s="569"/>
      <c r="K958" s="569"/>
      <c r="L958" s="841">
        <v>1</v>
      </c>
      <c r="M958" s="858">
        <f t="shared" ref="M958:M967" si="568">K958+L958</f>
        <v>1</v>
      </c>
      <c r="N958" s="832" t="s">
        <v>892</v>
      </c>
      <c r="O958" s="1196">
        <v>22291</v>
      </c>
      <c r="P958" s="1218">
        <f t="shared" ref="P958:P967" ca="1" si="569">YEARFRAC(TODAY(),O958)</f>
        <v>56.727777777777774</v>
      </c>
      <c r="Q958" s="1148">
        <v>46750</v>
      </c>
      <c r="R958" s="874"/>
      <c r="S958" s="875">
        <v>7000</v>
      </c>
      <c r="T958" s="875">
        <v>10000</v>
      </c>
      <c r="U958" s="875"/>
      <c r="V958" s="875"/>
      <c r="W958" s="875"/>
      <c r="X958" s="1026">
        <f t="shared" ref="X958:X967" si="570">(Q958+R958+S958+T958+U958+V958+W958)*M958</f>
        <v>63750</v>
      </c>
      <c r="Y958" s="1512">
        <f t="shared" ref="Y958:Y967" si="571">(T958+U958)*M958/(X958-M958*(T958+U958))</f>
        <v>0.18604651162790697</v>
      </c>
      <c r="Z958" s="1741">
        <f t="shared" ref="Z958:Z967" si="572">M958*(1+Y958)</f>
        <v>1.1860465116279069</v>
      </c>
      <c r="AA958" s="1749">
        <f t="shared" ref="AA958:AA967" si="573">SUM(AD958:AS958)</f>
        <v>1</v>
      </c>
      <c r="AB958" s="1810">
        <f t="shared" ref="AB958:AB967" si="574">100*AA958/Z958</f>
        <v>84.313725490196092</v>
      </c>
      <c r="AC958" s="876"/>
      <c r="AD958" s="1525">
        <f t="shared" ref="AD958:AS967" si="575">SUMIF($AV$6:$BS$6,AD$5,$AV958:$BS958)</f>
        <v>0</v>
      </c>
      <c r="AE958" s="1525">
        <f t="shared" si="575"/>
        <v>0</v>
      </c>
      <c r="AF958" s="1525">
        <f t="shared" si="575"/>
        <v>0</v>
      </c>
      <c r="AG958" s="1525">
        <f t="shared" si="575"/>
        <v>0</v>
      </c>
      <c r="AH958" s="1525">
        <f t="shared" si="575"/>
        <v>0</v>
      </c>
      <c r="AI958" s="1525">
        <f t="shared" si="575"/>
        <v>0</v>
      </c>
      <c r="AJ958" s="1525">
        <f t="shared" si="575"/>
        <v>0</v>
      </c>
      <c r="AK958" s="1525">
        <f t="shared" si="575"/>
        <v>0</v>
      </c>
      <c r="AL958" s="1525">
        <f t="shared" si="575"/>
        <v>1</v>
      </c>
      <c r="AM958" s="1525">
        <f t="shared" si="575"/>
        <v>0</v>
      </c>
      <c r="AN958" s="1525">
        <f t="shared" si="575"/>
        <v>0</v>
      </c>
      <c r="AO958" s="1525">
        <f t="shared" si="575"/>
        <v>0</v>
      </c>
      <c r="AP958" s="1525">
        <f t="shared" si="575"/>
        <v>0</v>
      </c>
      <c r="AQ958" s="1525">
        <f t="shared" si="575"/>
        <v>0</v>
      </c>
      <c r="AR958" s="1525">
        <f t="shared" si="575"/>
        <v>0</v>
      </c>
      <c r="AS958" s="1525">
        <f t="shared" si="575"/>
        <v>0</v>
      </c>
      <c r="AU958" s="1525"/>
      <c r="AV958" s="1291"/>
      <c r="AW958" s="1292"/>
      <c r="AX958" s="1292"/>
      <c r="AY958" s="1292"/>
      <c r="AZ958" s="1292"/>
      <c r="BA958" s="1292">
        <v>1</v>
      </c>
      <c r="BB958" s="1292"/>
      <c r="BC958" s="1292"/>
      <c r="BD958" s="1292"/>
      <c r="BE958" s="1292"/>
      <c r="BF958" s="1292"/>
      <c r="BG958" s="1292"/>
      <c r="BH958" s="1292"/>
      <c r="BI958" s="1292"/>
      <c r="BJ958" s="1292"/>
      <c r="BK958" s="1292"/>
      <c r="BL958" s="1292"/>
      <c r="BM958" s="1292"/>
      <c r="BN958" s="1292"/>
      <c r="BO958" s="1292"/>
      <c r="BP958" s="1292"/>
      <c r="BQ958" s="1292"/>
      <c r="BR958" s="1292"/>
      <c r="BS958" s="1292"/>
      <c r="BT958" s="1670">
        <f t="shared" ref="BT958:BT967" si="576">SUM(AV958:BS958)</f>
        <v>1</v>
      </c>
      <c r="BW958" s="876" t="s">
        <v>957</v>
      </c>
    </row>
    <row r="959" spans="2:75" ht="12.75" customHeight="1" x14ac:dyDescent="0.2">
      <c r="B959" s="175">
        <f>B958+1</f>
        <v>2</v>
      </c>
      <c r="C959" s="219">
        <v>7</v>
      </c>
      <c r="E959" s="12" t="s">
        <v>1561</v>
      </c>
      <c r="F959" s="30" t="s">
        <v>1334</v>
      </c>
      <c r="G959" s="876" t="s">
        <v>1825</v>
      </c>
      <c r="H959" s="1413">
        <v>101807</v>
      </c>
      <c r="I959" s="200" t="s">
        <v>351</v>
      </c>
      <c r="J959" s="290"/>
      <c r="K959" s="290"/>
      <c r="L959" s="841">
        <v>1</v>
      </c>
      <c r="M959" s="858">
        <f t="shared" si="568"/>
        <v>1</v>
      </c>
      <c r="N959" s="832" t="s">
        <v>892</v>
      </c>
      <c r="O959" s="1196">
        <v>16753</v>
      </c>
      <c r="P959" s="1218">
        <f t="shared" ca="1" si="569"/>
        <v>71.888888888888886</v>
      </c>
      <c r="Q959" s="1148">
        <v>39550</v>
      </c>
      <c r="R959" s="874"/>
      <c r="S959" s="875">
        <v>3000</v>
      </c>
      <c r="T959" s="875">
        <v>4500</v>
      </c>
      <c r="U959" s="875"/>
      <c r="V959" s="875"/>
      <c r="W959" s="875"/>
      <c r="X959" s="1026">
        <f t="shared" si="570"/>
        <v>47050</v>
      </c>
      <c r="Y959" s="1512">
        <f t="shared" si="571"/>
        <v>0.10575793184488837</v>
      </c>
      <c r="Z959" s="1741">
        <f t="shared" si="572"/>
        <v>1.1057579318448885</v>
      </c>
      <c r="AA959" s="1749">
        <f t="shared" si="573"/>
        <v>1</v>
      </c>
      <c r="AB959" s="1810">
        <f t="shared" si="574"/>
        <v>90.435706695005308</v>
      </c>
      <c r="AC959" s="876"/>
      <c r="AD959" s="1525">
        <f t="shared" si="575"/>
        <v>0</v>
      </c>
      <c r="AE959" s="1525">
        <f t="shared" si="575"/>
        <v>0</v>
      </c>
      <c r="AF959" s="1525">
        <f t="shared" si="575"/>
        <v>0</v>
      </c>
      <c r="AG959" s="1525">
        <f t="shared" si="575"/>
        <v>0</v>
      </c>
      <c r="AH959" s="1525">
        <f t="shared" si="575"/>
        <v>0</v>
      </c>
      <c r="AI959" s="1525">
        <f t="shared" si="575"/>
        <v>0</v>
      </c>
      <c r="AJ959" s="1525">
        <f t="shared" si="575"/>
        <v>0</v>
      </c>
      <c r="AK959" s="1525">
        <f t="shared" si="575"/>
        <v>0</v>
      </c>
      <c r="AL959" s="1525">
        <f t="shared" si="575"/>
        <v>1</v>
      </c>
      <c r="AM959" s="1525">
        <f t="shared" si="575"/>
        <v>0</v>
      </c>
      <c r="AN959" s="1525">
        <f t="shared" si="575"/>
        <v>0</v>
      </c>
      <c r="AO959" s="1525">
        <f t="shared" si="575"/>
        <v>0</v>
      </c>
      <c r="AP959" s="1525">
        <f t="shared" si="575"/>
        <v>0</v>
      </c>
      <c r="AQ959" s="1525">
        <f t="shared" si="575"/>
        <v>0</v>
      </c>
      <c r="AR959" s="1525">
        <f t="shared" si="575"/>
        <v>0</v>
      </c>
      <c r="AS959" s="1525">
        <f t="shared" si="575"/>
        <v>0</v>
      </c>
      <c r="AU959" s="1525"/>
      <c r="AV959" s="1291"/>
      <c r="AW959" s="1292"/>
      <c r="AX959" s="1292"/>
      <c r="AY959" s="1292"/>
      <c r="AZ959" s="1292"/>
      <c r="BA959" s="1292">
        <v>1</v>
      </c>
      <c r="BB959" s="1292"/>
      <c r="BC959" s="1292"/>
      <c r="BD959" s="1292"/>
      <c r="BE959" s="1292"/>
      <c r="BF959" s="1292"/>
      <c r="BG959" s="1292"/>
      <c r="BH959" s="1292"/>
      <c r="BI959" s="1292"/>
      <c r="BJ959" s="1292"/>
      <c r="BK959" s="1292"/>
      <c r="BL959" s="1292"/>
      <c r="BM959" s="1292"/>
      <c r="BN959" s="1292"/>
      <c r="BO959" s="1292"/>
      <c r="BP959" s="1292"/>
      <c r="BQ959" s="1292"/>
      <c r="BR959" s="1292"/>
      <c r="BS959" s="1292"/>
      <c r="BT959" s="1670">
        <f t="shared" si="576"/>
        <v>1</v>
      </c>
      <c r="BW959" s="876" t="s">
        <v>1825</v>
      </c>
    </row>
    <row r="960" spans="2:75" ht="12.75" customHeight="1" x14ac:dyDescent="0.2">
      <c r="B960">
        <f t="shared" ref="B960:B1018" si="577">B959+1</f>
        <v>3</v>
      </c>
      <c r="C960" s="220">
        <v>8</v>
      </c>
      <c r="D960" s="170"/>
      <c r="E960" s="447" t="s">
        <v>1561</v>
      </c>
      <c r="F960" s="58" t="s">
        <v>353</v>
      </c>
      <c r="G960" s="876" t="s">
        <v>958</v>
      </c>
      <c r="H960" s="1412">
        <v>76384</v>
      </c>
      <c r="I960" s="197" t="s">
        <v>351</v>
      </c>
      <c r="J960" s="292"/>
      <c r="K960" s="292"/>
      <c r="L960" s="893">
        <v>1</v>
      </c>
      <c r="M960" s="861">
        <f t="shared" si="568"/>
        <v>1</v>
      </c>
      <c r="N960" s="832" t="s">
        <v>892</v>
      </c>
      <c r="O960" s="1196">
        <v>27385</v>
      </c>
      <c r="P960" s="1262">
        <f t="shared" ca="1" si="569"/>
        <v>42.777777777777779</v>
      </c>
      <c r="Q960" s="1148">
        <v>29250</v>
      </c>
      <c r="R960" s="874"/>
      <c r="S960" s="876">
        <v>3000</v>
      </c>
      <c r="T960" s="876"/>
      <c r="U960" s="876"/>
      <c r="V960" s="876"/>
      <c r="W960" s="876"/>
      <c r="X960" s="1026">
        <f t="shared" si="570"/>
        <v>32250</v>
      </c>
      <c r="Y960" s="1512">
        <f t="shared" si="571"/>
        <v>0</v>
      </c>
      <c r="Z960" s="1741">
        <f t="shared" si="572"/>
        <v>1</v>
      </c>
      <c r="AA960" s="1749">
        <f t="shared" si="573"/>
        <v>1</v>
      </c>
      <c r="AB960" s="1810">
        <f t="shared" si="574"/>
        <v>100</v>
      </c>
      <c r="AC960" s="876"/>
      <c r="AD960" s="1525">
        <f t="shared" si="575"/>
        <v>0</v>
      </c>
      <c r="AE960" s="1525">
        <f t="shared" si="575"/>
        <v>0</v>
      </c>
      <c r="AF960" s="1525">
        <f t="shared" si="575"/>
        <v>0</v>
      </c>
      <c r="AG960" s="1525">
        <f t="shared" si="575"/>
        <v>0</v>
      </c>
      <c r="AH960" s="1525">
        <f t="shared" si="575"/>
        <v>0</v>
      </c>
      <c r="AI960" s="1525">
        <f t="shared" si="575"/>
        <v>0</v>
      </c>
      <c r="AJ960" s="1525">
        <f t="shared" si="575"/>
        <v>0</v>
      </c>
      <c r="AK960" s="1525">
        <f t="shared" si="575"/>
        <v>0</v>
      </c>
      <c r="AL960" s="1525">
        <f t="shared" si="575"/>
        <v>1</v>
      </c>
      <c r="AM960" s="1525">
        <f t="shared" si="575"/>
        <v>0</v>
      </c>
      <c r="AN960" s="1525">
        <f t="shared" si="575"/>
        <v>0</v>
      </c>
      <c r="AO960" s="1525">
        <f t="shared" si="575"/>
        <v>0</v>
      </c>
      <c r="AP960" s="1525">
        <f t="shared" si="575"/>
        <v>0</v>
      </c>
      <c r="AQ960" s="1525">
        <f t="shared" si="575"/>
        <v>0</v>
      </c>
      <c r="AR960" s="1525">
        <f t="shared" si="575"/>
        <v>0</v>
      </c>
      <c r="AS960" s="1525">
        <f t="shared" si="575"/>
        <v>0</v>
      </c>
      <c r="AU960" s="1525"/>
      <c r="AV960" s="1291"/>
      <c r="AW960" s="1292"/>
      <c r="AX960" s="1292"/>
      <c r="AY960" s="1292"/>
      <c r="AZ960" s="1292"/>
      <c r="BA960" s="1292">
        <v>1</v>
      </c>
      <c r="BB960" s="1292"/>
      <c r="BC960" s="1292"/>
      <c r="BD960" s="1292"/>
      <c r="BE960" s="1292"/>
      <c r="BF960" s="1292"/>
      <c r="BG960" s="1292"/>
      <c r="BH960" s="1292"/>
      <c r="BI960" s="1292"/>
      <c r="BJ960" s="1292"/>
      <c r="BK960" s="1292"/>
      <c r="BL960" s="1292"/>
      <c r="BM960" s="1292"/>
      <c r="BN960" s="1292"/>
      <c r="BO960" s="1292"/>
      <c r="BP960" s="1292"/>
      <c r="BQ960" s="1292"/>
      <c r="BR960" s="1292"/>
      <c r="BS960" s="1292"/>
      <c r="BT960" s="1670">
        <f t="shared" si="576"/>
        <v>1</v>
      </c>
      <c r="BW960" s="876" t="s">
        <v>958</v>
      </c>
    </row>
    <row r="961" spans="2:75" ht="12.75" customHeight="1" x14ac:dyDescent="0.2">
      <c r="B961" s="175">
        <f t="shared" si="577"/>
        <v>4</v>
      </c>
      <c r="C961" s="219">
        <v>8</v>
      </c>
      <c r="E961" s="12" t="s">
        <v>1561</v>
      </c>
      <c r="F961" s="17" t="s">
        <v>353</v>
      </c>
      <c r="G961" s="876" t="s">
        <v>271</v>
      </c>
      <c r="H961" s="1413">
        <v>113207</v>
      </c>
      <c r="I961" s="200" t="s">
        <v>351</v>
      </c>
      <c r="J961" s="290"/>
      <c r="K961" s="290"/>
      <c r="L961" s="841">
        <v>1</v>
      </c>
      <c r="M961" s="858">
        <f t="shared" si="568"/>
        <v>1</v>
      </c>
      <c r="N961" s="832" t="s">
        <v>892</v>
      </c>
      <c r="O961" s="1196">
        <v>27866</v>
      </c>
      <c r="P961" s="1218">
        <f t="shared" ca="1" si="569"/>
        <v>41.461111111111109</v>
      </c>
      <c r="Q961" s="1148">
        <v>37400</v>
      </c>
      <c r="R961" s="874"/>
      <c r="S961" s="875">
        <v>3000</v>
      </c>
      <c r="T961" s="877">
        <v>3000</v>
      </c>
      <c r="U961" s="877"/>
      <c r="V961" s="877"/>
      <c r="W961" s="875"/>
      <c r="X961" s="1026">
        <f t="shared" si="570"/>
        <v>43400</v>
      </c>
      <c r="Y961" s="1512">
        <f t="shared" si="571"/>
        <v>7.4257425742574254E-2</v>
      </c>
      <c r="Z961" s="1741">
        <f t="shared" si="572"/>
        <v>1.0742574257425743</v>
      </c>
      <c r="AA961" s="1749">
        <f t="shared" si="573"/>
        <v>1</v>
      </c>
      <c r="AB961" s="1810">
        <f t="shared" si="574"/>
        <v>93.087557603686633</v>
      </c>
      <c r="AC961" s="876"/>
      <c r="AD961" s="1525">
        <f t="shared" si="575"/>
        <v>0</v>
      </c>
      <c r="AE961" s="1525">
        <f t="shared" si="575"/>
        <v>0</v>
      </c>
      <c r="AF961" s="1525">
        <f t="shared" si="575"/>
        <v>0</v>
      </c>
      <c r="AG961" s="1525">
        <f t="shared" si="575"/>
        <v>0</v>
      </c>
      <c r="AH961" s="1525">
        <f t="shared" si="575"/>
        <v>0</v>
      </c>
      <c r="AI961" s="1525">
        <f t="shared" si="575"/>
        <v>0</v>
      </c>
      <c r="AJ961" s="1525">
        <f t="shared" si="575"/>
        <v>0</v>
      </c>
      <c r="AK961" s="1525">
        <f t="shared" si="575"/>
        <v>0</v>
      </c>
      <c r="AL961" s="1525">
        <f t="shared" si="575"/>
        <v>1</v>
      </c>
      <c r="AM961" s="1525">
        <f t="shared" si="575"/>
        <v>0</v>
      </c>
      <c r="AN961" s="1525">
        <f t="shared" si="575"/>
        <v>0</v>
      </c>
      <c r="AO961" s="1525">
        <f t="shared" si="575"/>
        <v>0</v>
      </c>
      <c r="AP961" s="1525">
        <f t="shared" si="575"/>
        <v>0</v>
      </c>
      <c r="AQ961" s="1525">
        <f t="shared" si="575"/>
        <v>0</v>
      </c>
      <c r="AR961" s="1525">
        <f t="shared" si="575"/>
        <v>0</v>
      </c>
      <c r="AS961" s="1525">
        <f t="shared" si="575"/>
        <v>0</v>
      </c>
      <c r="AU961" s="1525"/>
      <c r="AV961" s="1291"/>
      <c r="AW961" s="1292"/>
      <c r="AX961" s="1292"/>
      <c r="AY961" s="1292"/>
      <c r="AZ961" s="1292"/>
      <c r="BA961" s="1292">
        <v>1</v>
      </c>
      <c r="BB961" s="1292"/>
      <c r="BC961" s="1292"/>
      <c r="BD961" s="1292"/>
      <c r="BE961" s="1292"/>
      <c r="BF961" s="1292"/>
      <c r="BG961" s="1292"/>
      <c r="BH961" s="1292"/>
      <c r="BI961" s="1292"/>
      <c r="BJ961" s="1292"/>
      <c r="BK961" s="1292"/>
      <c r="BL961" s="1292"/>
      <c r="BM961" s="1292"/>
      <c r="BN961" s="1292"/>
      <c r="BO961" s="1292"/>
      <c r="BP961" s="1292"/>
      <c r="BQ961" s="1292"/>
      <c r="BR961" s="1292"/>
      <c r="BS961" s="1292"/>
      <c r="BT961" s="1670">
        <f t="shared" si="576"/>
        <v>1</v>
      </c>
      <c r="BW961" s="876" t="s">
        <v>271</v>
      </c>
    </row>
    <row r="962" spans="2:75" ht="12.75" customHeight="1" x14ac:dyDescent="0.2">
      <c r="B962">
        <f t="shared" si="577"/>
        <v>5</v>
      </c>
      <c r="C962" s="219">
        <v>8</v>
      </c>
      <c r="E962" s="12" t="s">
        <v>1561</v>
      </c>
      <c r="F962" s="17" t="s">
        <v>353</v>
      </c>
      <c r="G962" s="876" t="s">
        <v>272</v>
      </c>
      <c r="H962" s="1413">
        <v>114439</v>
      </c>
      <c r="I962" s="200" t="s">
        <v>351</v>
      </c>
      <c r="J962" s="290"/>
      <c r="K962" s="290"/>
      <c r="L962" s="841">
        <v>1</v>
      </c>
      <c r="M962" s="858">
        <f t="shared" si="568"/>
        <v>1</v>
      </c>
      <c r="N962" s="832" t="s">
        <v>892</v>
      </c>
      <c r="O962" s="1196">
        <v>27738</v>
      </c>
      <c r="P962" s="1218">
        <f t="shared" ca="1" si="569"/>
        <v>41.81111111111111</v>
      </c>
      <c r="Q962" s="1148">
        <v>41450</v>
      </c>
      <c r="R962" s="874"/>
      <c r="S962" s="875"/>
      <c r="T962" s="877"/>
      <c r="U962" s="877"/>
      <c r="V962" s="877"/>
      <c r="W962" s="875"/>
      <c r="X962" s="1026">
        <f t="shared" si="570"/>
        <v>41450</v>
      </c>
      <c r="Y962" s="1512">
        <f t="shared" si="571"/>
        <v>0</v>
      </c>
      <c r="Z962" s="1741">
        <f t="shared" si="572"/>
        <v>1</v>
      </c>
      <c r="AA962" s="1749">
        <f t="shared" si="573"/>
        <v>1</v>
      </c>
      <c r="AB962" s="1810">
        <f t="shared" si="574"/>
        <v>100</v>
      </c>
      <c r="AC962" s="876"/>
      <c r="AD962" s="1525">
        <f t="shared" si="575"/>
        <v>0</v>
      </c>
      <c r="AE962" s="1525">
        <f t="shared" si="575"/>
        <v>0</v>
      </c>
      <c r="AF962" s="1525">
        <f t="shared" si="575"/>
        <v>0</v>
      </c>
      <c r="AG962" s="1525">
        <f t="shared" si="575"/>
        <v>0</v>
      </c>
      <c r="AH962" s="1525">
        <f t="shared" si="575"/>
        <v>0</v>
      </c>
      <c r="AI962" s="1525">
        <f t="shared" si="575"/>
        <v>0</v>
      </c>
      <c r="AJ962" s="1525">
        <f t="shared" si="575"/>
        <v>0</v>
      </c>
      <c r="AK962" s="1525">
        <f t="shared" si="575"/>
        <v>0</v>
      </c>
      <c r="AL962" s="1525">
        <f t="shared" si="575"/>
        <v>1</v>
      </c>
      <c r="AM962" s="1525">
        <f t="shared" si="575"/>
        <v>0</v>
      </c>
      <c r="AN962" s="1525">
        <f t="shared" si="575"/>
        <v>0</v>
      </c>
      <c r="AO962" s="1525">
        <f t="shared" si="575"/>
        <v>0</v>
      </c>
      <c r="AP962" s="1525">
        <f t="shared" si="575"/>
        <v>0</v>
      </c>
      <c r="AQ962" s="1525">
        <f t="shared" si="575"/>
        <v>0</v>
      </c>
      <c r="AR962" s="1525">
        <f t="shared" si="575"/>
        <v>0</v>
      </c>
      <c r="AS962" s="1525">
        <f t="shared" si="575"/>
        <v>0</v>
      </c>
      <c r="AU962" s="1525"/>
      <c r="AV962" s="1291"/>
      <c r="AW962" s="1292"/>
      <c r="AX962" s="1292"/>
      <c r="AY962" s="1292"/>
      <c r="AZ962" s="1292"/>
      <c r="BA962" s="1292">
        <v>1</v>
      </c>
      <c r="BB962" s="1292"/>
      <c r="BC962" s="1292"/>
      <c r="BD962" s="1292"/>
      <c r="BE962" s="1292"/>
      <c r="BF962" s="1292"/>
      <c r="BG962" s="1292"/>
      <c r="BH962" s="1292"/>
      <c r="BI962" s="1292"/>
      <c r="BJ962" s="1292"/>
      <c r="BK962" s="1292"/>
      <c r="BL962" s="1292"/>
      <c r="BM962" s="1292"/>
      <c r="BN962" s="1292"/>
      <c r="BO962" s="1292"/>
      <c r="BP962" s="1292"/>
      <c r="BQ962" s="1292"/>
      <c r="BR962" s="1292"/>
      <c r="BS962" s="1292"/>
      <c r="BT962" s="1670">
        <f t="shared" si="576"/>
        <v>1</v>
      </c>
      <c r="BW962" s="876" t="s">
        <v>272</v>
      </c>
    </row>
    <row r="963" spans="2:75" ht="12.75" customHeight="1" x14ac:dyDescent="0.2">
      <c r="B963" s="175">
        <f t="shared" si="577"/>
        <v>6</v>
      </c>
      <c r="C963" s="219">
        <v>2</v>
      </c>
      <c r="E963" s="12" t="s">
        <v>1561</v>
      </c>
      <c r="F963" s="17" t="s">
        <v>231</v>
      </c>
      <c r="G963" s="876" t="s">
        <v>1910</v>
      </c>
      <c r="H963" s="1413">
        <v>7491</v>
      </c>
      <c r="I963" s="200" t="s">
        <v>351</v>
      </c>
      <c r="J963" s="292"/>
      <c r="K963" s="292"/>
      <c r="L963" s="893">
        <v>0.3</v>
      </c>
      <c r="M963" s="858">
        <f t="shared" si="568"/>
        <v>0.3</v>
      </c>
      <c r="N963" s="832" t="s">
        <v>892</v>
      </c>
      <c r="O963" s="1196">
        <v>13476</v>
      </c>
      <c r="P963" s="1218">
        <f t="shared" ca="1" si="569"/>
        <v>80.861111111111114</v>
      </c>
      <c r="Q963" s="1148">
        <v>26000</v>
      </c>
      <c r="R963" s="874"/>
      <c r="S963" s="875">
        <v>3000</v>
      </c>
      <c r="T963" s="875"/>
      <c r="U963" s="875"/>
      <c r="V963" s="875"/>
      <c r="W963" s="875"/>
      <c r="X963" s="1026">
        <f t="shared" si="570"/>
        <v>8700</v>
      </c>
      <c r="Y963" s="1512">
        <f t="shared" si="571"/>
        <v>0</v>
      </c>
      <c r="Z963" s="1741">
        <f t="shared" si="572"/>
        <v>0.3</v>
      </c>
      <c r="AA963" s="1749">
        <f t="shared" si="573"/>
        <v>0.3</v>
      </c>
      <c r="AB963" s="1810">
        <f t="shared" si="574"/>
        <v>100</v>
      </c>
      <c r="AC963" s="876"/>
      <c r="AD963" s="1525">
        <f t="shared" si="575"/>
        <v>0</v>
      </c>
      <c r="AE963" s="1525">
        <f t="shared" si="575"/>
        <v>0</v>
      </c>
      <c r="AF963" s="1525">
        <f t="shared" si="575"/>
        <v>0</v>
      </c>
      <c r="AG963" s="1525">
        <f t="shared" si="575"/>
        <v>0</v>
      </c>
      <c r="AH963" s="1525">
        <f t="shared" si="575"/>
        <v>0</v>
      </c>
      <c r="AI963" s="1525">
        <f t="shared" si="575"/>
        <v>0</v>
      </c>
      <c r="AJ963" s="1525">
        <f t="shared" si="575"/>
        <v>0</v>
      </c>
      <c r="AK963" s="1525">
        <f t="shared" si="575"/>
        <v>0</v>
      </c>
      <c r="AL963" s="1525">
        <f t="shared" si="575"/>
        <v>0.3</v>
      </c>
      <c r="AM963" s="1525">
        <f t="shared" si="575"/>
        <v>0</v>
      </c>
      <c r="AN963" s="1525">
        <f t="shared" si="575"/>
        <v>0</v>
      </c>
      <c r="AO963" s="1525">
        <f t="shared" si="575"/>
        <v>0</v>
      </c>
      <c r="AP963" s="1525">
        <f t="shared" si="575"/>
        <v>0</v>
      </c>
      <c r="AQ963" s="1525">
        <f t="shared" si="575"/>
        <v>0</v>
      </c>
      <c r="AR963" s="1525">
        <f t="shared" si="575"/>
        <v>0</v>
      </c>
      <c r="AS963" s="1525">
        <f t="shared" si="575"/>
        <v>0</v>
      </c>
      <c r="AU963" s="1525"/>
      <c r="AV963" s="1291"/>
      <c r="AW963" s="1292"/>
      <c r="AX963" s="1292"/>
      <c r="AY963" s="1292"/>
      <c r="AZ963" s="1292"/>
      <c r="BA963" s="1292">
        <v>0.3</v>
      </c>
      <c r="BB963" s="1292"/>
      <c r="BC963" s="1292"/>
      <c r="BD963" s="1292"/>
      <c r="BE963" s="1292"/>
      <c r="BF963" s="1292"/>
      <c r="BG963" s="1292"/>
      <c r="BH963" s="1292"/>
      <c r="BI963" s="1292"/>
      <c r="BJ963" s="1292"/>
      <c r="BK963" s="1292"/>
      <c r="BL963" s="1292"/>
      <c r="BM963" s="1292"/>
      <c r="BN963" s="1292"/>
      <c r="BO963" s="1292"/>
      <c r="BP963" s="1292"/>
      <c r="BQ963" s="1292"/>
      <c r="BR963" s="1292"/>
      <c r="BS963" s="1292"/>
      <c r="BT963" s="1670">
        <f t="shared" si="576"/>
        <v>0.3</v>
      </c>
      <c r="BW963" s="876" t="s">
        <v>1910</v>
      </c>
    </row>
    <row r="964" spans="2:75" ht="12.75" customHeight="1" x14ac:dyDescent="0.2">
      <c r="B964">
        <f t="shared" si="577"/>
        <v>7</v>
      </c>
      <c r="C964" s="219">
        <v>9</v>
      </c>
      <c r="E964" s="12" t="s">
        <v>1561</v>
      </c>
      <c r="F964" s="58" t="s">
        <v>1396</v>
      </c>
      <c r="G964" s="876" t="s">
        <v>959</v>
      </c>
      <c r="H964" s="1413">
        <v>223101</v>
      </c>
      <c r="I964" s="200" t="s">
        <v>351</v>
      </c>
      <c r="J964" s="292"/>
      <c r="K964" s="292"/>
      <c r="L964" s="893">
        <v>0.1</v>
      </c>
      <c r="M964" s="858">
        <f t="shared" si="568"/>
        <v>0.1</v>
      </c>
      <c r="N964" s="832" t="s">
        <v>892</v>
      </c>
      <c r="O964" s="1196">
        <v>29032</v>
      </c>
      <c r="P964" s="1218">
        <f t="shared" ca="1" si="569"/>
        <v>38.266666666666666</v>
      </c>
      <c r="Q964" s="1148">
        <v>22200</v>
      </c>
      <c r="R964" s="874"/>
      <c r="S964" s="875">
        <v>3000</v>
      </c>
      <c r="T964" s="875"/>
      <c r="U964" s="875"/>
      <c r="V964" s="875"/>
      <c r="W964" s="875"/>
      <c r="X964" s="1026">
        <f t="shared" si="570"/>
        <v>2520</v>
      </c>
      <c r="Y964" s="1512">
        <f t="shared" si="571"/>
        <v>0</v>
      </c>
      <c r="Z964" s="1741">
        <f t="shared" si="572"/>
        <v>0.1</v>
      </c>
      <c r="AA964" s="1749">
        <f t="shared" si="573"/>
        <v>0.1</v>
      </c>
      <c r="AB964" s="1810">
        <f t="shared" si="574"/>
        <v>100</v>
      </c>
      <c r="AC964" s="876"/>
      <c r="AD964" s="1525">
        <f t="shared" si="575"/>
        <v>0</v>
      </c>
      <c r="AE964" s="1525">
        <f t="shared" si="575"/>
        <v>0</v>
      </c>
      <c r="AF964" s="1525">
        <f t="shared" si="575"/>
        <v>0</v>
      </c>
      <c r="AG964" s="1525">
        <f t="shared" si="575"/>
        <v>0</v>
      </c>
      <c r="AH964" s="1525">
        <f t="shared" si="575"/>
        <v>0</v>
      </c>
      <c r="AI964" s="1525">
        <f t="shared" si="575"/>
        <v>0</v>
      </c>
      <c r="AJ964" s="1525">
        <f t="shared" si="575"/>
        <v>0</v>
      </c>
      <c r="AK964" s="1525">
        <f t="shared" si="575"/>
        <v>0</v>
      </c>
      <c r="AL964" s="1525">
        <f t="shared" si="575"/>
        <v>0.1</v>
      </c>
      <c r="AM964" s="1525">
        <f t="shared" si="575"/>
        <v>0</v>
      </c>
      <c r="AN964" s="1525">
        <f t="shared" si="575"/>
        <v>0</v>
      </c>
      <c r="AO964" s="1525">
        <f t="shared" si="575"/>
        <v>0</v>
      </c>
      <c r="AP964" s="1525">
        <f t="shared" si="575"/>
        <v>0</v>
      </c>
      <c r="AQ964" s="1525">
        <f t="shared" si="575"/>
        <v>0</v>
      </c>
      <c r="AR964" s="1525">
        <f t="shared" si="575"/>
        <v>0</v>
      </c>
      <c r="AS964" s="1525">
        <f t="shared" si="575"/>
        <v>0</v>
      </c>
      <c r="AU964" s="1525"/>
      <c r="AV964" s="1291"/>
      <c r="AW964" s="1292"/>
      <c r="AX964" s="1292"/>
      <c r="AY964" s="1292"/>
      <c r="AZ964" s="1292"/>
      <c r="BA964" s="1292">
        <v>0.1</v>
      </c>
      <c r="BB964" s="1292"/>
      <c r="BC964" s="1292"/>
      <c r="BD964" s="1292"/>
      <c r="BE964" s="1292"/>
      <c r="BF964" s="1292"/>
      <c r="BG964" s="1292"/>
      <c r="BH964" s="1292"/>
      <c r="BI964" s="1292"/>
      <c r="BJ964" s="1292"/>
      <c r="BK964" s="1292"/>
      <c r="BL964" s="1292"/>
      <c r="BM964" s="1292"/>
      <c r="BN964" s="1292"/>
      <c r="BO964" s="1292"/>
      <c r="BP964" s="1292"/>
      <c r="BQ964" s="1292"/>
      <c r="BR964" s="1292"/>
      <c r="BS964" s="1292"/>
      <c r="BT964" s="1670">
        <f t="shared" si="576"/>
        <v>0.1</v>
      </c>
      <c r="BW964" s="876" t="s">
        <v>959</v>
      </c>
    </row>
    <row r="965" spans="2:75" s="164" customFormat="1" ht="12.75" customHeight="1" x14ac:dyDescent="0.2">
      <c r="B965" s="175">
        <f t="shared" si="577"/>
        <v>8</v>
      </c>
      <c r="C965" s="219">
        <v>13</v>
      </c>
      <c r="E965" s="12" t="s">
        <v>1561</v>
      </c>
      <c r="F965" s="4" t="s">
        <v>792</v>
      </c>
      <c r="G965" s="876" t="s">
        <v>1912</v>
      </c>
      <c r="H965" s="1413">
        <v>254246</v>
      </c>
      <c r="I965" s="241" t="s">
        <v>583</v>
      </c>
      <c r="J965" s="292"/>
      <c r="K965" s="292"/>
      <c r="L965" s="893">
        <v>0.2</v>
      </c>
      <c r="M965" s="858">
        <f t="shared" si="568"/>
        <v>0.2</v>
      </c>
      <c r="N965" s="968" t="s">
        <v>892</v>
      </c>
      <c r="O965" s="1196">
        <v>20016</v>
      </c>
      <c r="P965" s="1218">
        <f t="shared" ca="1" si="569"/>
        <v>62.952777777777776</v>
      </c>
      <c r="Q965" s="1148">
        <v>14000</v>
      </c>
      <c r="R965" s="874"/>
      <c r="S965" s="875"/>
      <c r="T965" s="877"/>
      <c r="U965" s="877"/>
      <c r="V965" s="877"/>
      <c r="W965" s="875"/>
      <c r="X965" s="1026">
        <f t="shared" si="570"/>
        <v>2800</v>
      </c>
      <c r="Y965" s="1512">
        <f t="shared" si="571"/>
        <v>0</v>
      </c>
      <c r="Z965" s="1741">
        <f t="shared" si="572"/>
        <v>0.2</v>
      </c>
      <c r="AA965" s="1749">
        <f t="shared" si="573"/>
        <v>0.2</v>
      </c>
      <c r="AB965" s="1810">
        <f t="shared" si="574"/>
        <v>100</v>
      </c>
      <c r="AC965" s="876"/>
      <c r="AD965" s="1525">
        <f t="shared" si="575"/>
        <v>0</v>
      </c>
      <c r="AE965" s="1525">
        <f t="shared" si="575"/>
        <v>0</v>
      </c>
      <c r="AF965" s="1525">
        <f t="shared" si="575"/>
        <v>0</v>
      </c>
      <c r="AG965" s="1525">
        <f t="shared" si="575"/>
        <v>0</v>
      </c>
      <c r="AH965" s="1525">
        <f t="shared" si="575"/>
        <v>0</v>
      </c>
      <c r="AI965" s="1525">
        <f t="shared" si="575"/>
        <v>0</v>
      </c>
      <c r="AJ965" s="1525">
        <f t="shared" si="575"/>
        <v>0</v>
      </c>
      <c r="AK965" s="1525">
        <f t="shared" si="575"/>
        <v>0</v>
      </c>
      <c r="AL965" s="1525">
        <f t="shared" si="575"/>
        <v>0.2</v>
      </c>
      <c r="AM965" s="1525">
        <f t="shared" si="575"/>
        <v>0</v>
      </c>
      <c r="AN965" s="1525">
        <f t="shared" si="575"/>
        <v>0</v>
      </c>
      <c r="AO965" s="1525">
        <f t="shared" si="575"/>
        <v>0</v>
      </c>
      <c r="AP965" s="1525">
        <f t="shared" si="575"/>
        <v>0</v>
      </c>
      <c r="AQ965" s="1525">
        <f t="shared" si="575"/>
        <v>0</v>
      </c>
      <c r="AR965" s="1525">
        <f t="shared" si="575"/>
        <v>0</v>
      </c>
      <c r="AS965" s="1525">
        <f t="shared" si="575"/>
        <v>0</v>
      </c>
      <c r="AU965" s="1525"/>
      <c r="AV965" s="1295"/>
      <c r="AW965" s="1525"/>
      <c r="AX965" s="1525"/>
      <c r="AY965" s="1525"/>
      <c r="AZ965" s="1525"/>
      <c r="BA965" s="1525">
        <v>0.2</v>
      </c>
      <c r="BB965" s="1525"/>
      <c r="BC965" s="1525"/>
      <c r="BD965" s="1525"/>
      <c r="BE965" s="1525"/>
      <c r="BF965" s="1525"/>
      <c r="BG965" s="1525"/>
      <c r="BH965" s="1525"/>
      <c r="BI965" s="1525"/>
      <c r="BJ965" s="1525"/>
      <c r="BK965" s="1525"/>
      <c r="BL965" s="1525"/>
      <c r="BM965" s="1525"/>
      <c r="BN965" s="1525"/>
      <c r="BO965" s="1525"/>
      <c r="BP965" s="1525"/>
      <c r="BQ965" s="1525"/>
      <c r="BR965" s="1525"/>
      <c r="BS965" s="1525"/>
      <c r="BT965" s="1670">
        <f t="shared" si="576"/>
        <v>0.2</v>
      </c>
      <c r="BV965"/>
      <c r="BW965" s="876" t="s">
        <v>1912</v>
      </c>
    </row>
    <row r="966" spans="2:75" ht="12.75" customHeight="1" x14ac:dyDescent="0.2">
      <c r="B966">
        <f t="shared" si="577"/>
        <v>9</v>
      </c>
      <c r="C966" s="219">
        <v>14</v>
      </c>
      <c r="E966" s="12" t="s">
        <v>1561</v>
      </c>
      <c r="F966" s="58" t="s">
        <v>626</v>
      </c>
      <c r="G966" s="834" t="s">
        <v>1906</v>
      </c>
      <c r="H966" s="1413">
        <v>6899</v>
      </c>
      <c r="I966" s="241" t="s">
        <v>583</v>
      </c>
      <c r="J966" s="292"/>
      <c r="K966" s="292"/>
      <c r="L966" s="893">
        <v>0.5</v>
      </c>
      <c r="M966" s="858">
        <f t="shared" si="568"/>
        <v>0.5</v>
      </c>
      <c r="N966" s="832" t="s">
        <v>892</v>
      </c>
      <c r="O966" s="1196">
        <v>19235</v>
      </c>
      <c r="P966" s="1218">
        <f t="shared" ca="1" si="569"/>
        <v>65.091666666666669</v>
      </c>
      <c r="Q966" s="1148">
        <v>19600</v>
      </c>
      <c r="R966" s="874"/>
      <c r="S966" s="875"/>
      <c r="T966" s="877">
        <v>5000</v>
      </c>
      <c r="U966" s="877"/>
      <c r="V966" s="877"/>
      <c r="W966" s="875"/>
      <c r="X966" s="1026">
        <f t="shared" si="570"/>
        <v>12300</v>
      </c>
      <c r="Y966" s="1512">
        <f t="shared" si="571"/>
        <v>0.25510204081632654</v>
      </c>
      <c r="Z966" s="1741">
        <f t="shared" si="572"/>
        <v>0.62755102040816324</v>
      </c>
      <c r="AA966" s="1749">
        <f t="shared" si="573"/>
        <v>0.25</v>
      </c>
      <c r="AB966" s="1810">
        <f t="shared" si="574"/>
        <v>39.837398373983739</v>
      </c>
      <c r="AC966" s="876"/>
      <c r="AD966" s="1525">
        <f t="shared" si="575"/>
        <v>0</v>
      </c>
      <c r="AE966" s="1525">
        <f t="shared" si="575"/>
        <v>0</v>
      </c>
      <c r="AF966" s="1525">
        <f t="shared" si="575"/>
        <v>0</v>
      </c>
      <c r="AG966" s="1525">
        <f t="shared" si="575"/>
        <v>0</v>
      </c>
      <c r="AH966" s="1525">
        <f t="shared" si="575"/>
        <v>0</v>
      </c>
      <c r="AI966" s="1525">
        <f t="shared" si="575"/>
        <v>0</v>
      </c>
      <c r="AJ966" s="1525">
        <f t="shared" si="575"/>
        <v>0</v>
      </c>
      <c r="AK966" s="1525">
        <f t="shared" si="575"/>
        <v>0</v>
      </c>
      <c r="AL966" s="1525">
        <f t="shared" si="575"/>
        <v>0.25</v>
      </c>
      <c r="AM966" s="1525">
        <f t="shared" si="575"/>
        <v>0</v>
      </c>
      <c r="AN966" s="1525">
        <f t="shared" si="575"/>
        <v>0</v>
      </c>
      <c r="AO966" s="1525">
        <f t="shared" si="575"/>
        <v>0</v>
      </c>
      <c r="AP966" s="1525">
        <f t="shared" si="575"/>
        <v>0</v>
      </c>
      <c r="AQ966" s="1525">
        <f t="shared" si="575"/>
        <v>0</v>
      </c>
      <c r="AR966" s="1525">
        <f t="shared" si="575"/>
        <v>0</v>
      </c>
      <c r="AS966" s="1525">
        <f t="shared" si="575"/>
        <v>0</v>
      </c>
      <c r="AU966" s="1525"/>
      <c r="AV966" s="1291"/>
      <c r="AW966" s="1292"/>
      <c r="AX966" s="1292"/>
      <c r="AY966" s="1292"/>
      <c r="AZ966" s="1292"/>
      <c r="BA966" s="1292">
        <v>0.25</v>
      </c>
      <c r="BB966" s="1292"/>
      <c r="BC966" s="1292"/>
      <c r="BD966" s="1292"/>
      <c r="BE966" s="1292"/>
      <c r="BF966" s="1292"/>
      <c r="BG966" s="1292"/>
      <c r="BH966" s="1292"/>
      <c r="BI966" s="1292"/>
      <c r="BJ966" s="1292"/>
      <c r="BK966" s="1292"/>
      <c r="BL966" s="1292"/>
      <c r="BM966" s="1292"/>
      <c r="BN966" s="1292"/>
      <c r="BO966" s="1292"/>
      <c r="BP966" s="1292"/>
      <c r="BQ966" s="1292"/>
      <c r="BR966" s="1292"/>
      <c r="BS966" s="1292"/>
      <c r="BT966" s="1670">
        <f t="shared" si="576"/>
        <v>0.25</v>
      </c>
      <c r="BW966" s="834" t="s">
        <v>1906</v>
      </c>
    </row>
    <row r="967" spans="2:75" ht="12.75" customHeight="1" x14ac:dyDescent="0.2">
      <c r="B967" s="175">
        <f t="shared" si="577"/>
        <v>10</v>
      </c>
      <c r="C967" s="1208">
        <v>14</v>
      </c>
      <c r="D967"/>
      <c r="E967" s="12" t="s">
        <v>1561</v>
      </c>
      <c r="F967" s="17" t="s">
        <v>626</v>
      </c>
      <c r="G967" s="876" t="s">
        <v>1904</v>
      </c>
      <c r="H967" s="1413">
        <v>244075</v>
      </c>
      <c r="I967" s="241" t="s">
        <v>583</v>
      </c>
      <c r="J967" s="292"/>
      <c r="K967" s="292"/>
      <c r="L967" s="893">
        <v>0.5</v>
      </c>
      <c r="M967" s="858">
        <f t="shared" si="568"/>
        <v>0.5</v>
      </c>
      <c r="N967" s="968" t="s">
        <v>892</v>
      </c>
      <c r="O967" s="1196">
        <v>17828</v>
      </c>
      <c r="P967" s="1218">
        <f t="shared" ca="1" si="569"/>
        <v>68.944444444444443</v>
      </c>
      <c r="Q967" s="1148">
        <v>19000</v>
      </c>
      <c r="R967" s="874"/>
      <c r="S967" s="875"/>
      <c r="T967" s="877">
        <v>5000</v>
      </c>
      <c r="U967" s="877"/>
      <c r="V967" s="877"/>
      <c r="W967" s="875"/>
      <c r="X967" s="1026">
        <f t="shared" si="570"/>
        <v>12000</v>
      </c>
      <c r="Y967" s="1512">
        <f t="shared" si="571"/>
        <v>0.26315789473684209</v>
      </c>
      <c r="Z967" s="1741">
        <f t="shared" si="572"/>
        <v>0.63157894736842102</v>
      </c>
      <c r="AA967" s="1749">
        <f t="shared" si="573"/>
        <v>0.3</v>
      </c>
      <c r="AB967" s="1810">
        <f t="shared" si="574"/>
        <v>47.5</v>
      </c>
      <c r="AC967" s="876"/>
      <c r="AD967" s="1525">
        <f t="shared" si="575"/>
        <v>0</v>
      </c>
      <c r="AE967" s="1525">
        <f t="shared" si="575"/>
        <v>0</v>
      </c>
      <c r="AF967" s="1525">
        <f t="shared" si="575"/>
        <v>0</v>
      </c>
      <c r="AG967" s="1525">
        <f t="shared" si="575"/>
        <v>0</v>
      </c>
      <c r="AH967" s="1525">
        <f t="shared" si="575"/>
        <v>0</v>
      </c>
      <c r="AI967" s="1525">
        <f t="shared" si="575"/>
        <v>0</v>
      </c>
      <c r="AJ967" s="1525">
        <f t="shared" si="575"/>
        <v>0</v>
      </c>
      <c r="AK967" s="1525">
        <f t="shared" si="575"/>
        <v>0</v>
      </c>
      <c r="AL967" s="1525">
        <f t="shared" si="575"/>
        <v>0.3</v>
      </c>
      <c r="AM967" s="1525">
        <f t="shared" si="575"/>
        <v>0</v>
      </c>
      <c r="AN967" s="1525">
        <f t="shared" si="575"/>
        <v>0</v>
      </c>
      <c r="AO967" s="1525">
        <f t="shared" si="575"/>
        <v>0</v>
      </c>
      <c r="AP967" s="1525">
        <f t="shared" si="575"/>
        <v>0</v>
      </c>
      <c r="AQ967" s="1525">
        <f t="shared" si="575"/>
        <v>0</v>
      </c>
      <c r="AR967" s="1525">
        <f t="shared" si="575"/>
        <v>0</v>
      </c>
      <c r="AS967" s="1525">
        <f t="shared" si="575"/>
        <v>0</v>
      </c>
      <c r="AU967" s="1525"/>
      <c r="AV967" s="1291"/>
      <c r="AW967" s="1292"/>
      <c r="AX967" s="1292"/>
      <c r="AY967" s="1292"/>
      <c r="AZ967" s="1292"/>
      <c r="BA967" s="1292">
        <v>0.3</v>
      </c>
      <c r="BB967" s="1292"/>
      <c r="BC967" s="1292"/>
      <c r="BD967" s="1292"/>
      <c r="BE967" s="1292"/>
      <c r="BF967" s="1292"/>
      <c r="BG967" s="1292"/>
      <c r="BH967" s="1292"/>
      <c r="BI967" s="1292"/>
      <c r="BJ967" s="1292"/>
      <c r="BK967" s="1292"/>
      <c r="BL967" s="1292"/>
      <c r="BM967" s="1292"/>
      <c r="BN967" s="1292"/>
      <c r="BO967" s="1292"/>
      <c r="BP967" s="1292"/>
      <c r="BQ967" s="1292"/>
      <c r="BR967" s="1292"/>
      <c r="BS967" s="1292"/>
      <c r="BT967" s="1670">
        <f t="shared" si="576"/>
        <v>0.3</v>
      </c>
      <c r="BW967" s="876" t="s">
        <v>1904</v>
      </c>
    </row>
    <row r="968" spans="2:75" ht="12.75" customHeight="1" x14ac:dyDescent="0.2">
      <c r="B968" s="175"/>
      <c r="C968" s="1641"/>
      <c r="D968"/>
      <c r="E968" s="12"/>
      <c r="F968" s="17"/>
      <c r="G968" s="876"/>
      <c r="H968" s="1413"/>
      <c r="I968" s="241"/>
      <c r="J968" s="292"/>
      <c r="K968" s="292"/>
      <c r="L968" s="893"/>
      <c r="M968" s="858"/>
      <c r="N968" s="968"/>
      <c r="O968" s="1196"/>
      <c r="P968" s="1218"/>
      <c r="Q968" s="1148"/>
      <c r="R968" s="874"/>
      <c r="S968" s="875"/>
      <c r="T968" s="877"/>
      <c r="U968" s="877"/>
      <c r="V968" s="877"/>
      <c r="W968" s="875"/>
      <c r="X968" s="1026"/>
      <c r="Y968" s="1754"/>
      <c r="Z968" s="1755"/>
      <c r="AA968" s="1775"/>
      <c r="AB968" s="1814"/>
      <c r="AC968" s="876"/>
      <c r="AD968" s="1525"/>
      <c r="AE968" s="1525"/>
      <c r="AF968" s="1525"/>
      <c r="AG968" s="1525"/>
      <c r="AH968" s="1525"/>
      <c r="AI968" s="1525"/>
      <c r="AJ968" s="1525"/>
      <c r="AK968" s="1525"/>
      <c r="AL968" s="1525"/>
      <c r="AM968" s="1525"/>
      <c r="AN968" s="1525"/>
      <c r="AO968" s="1525"/>
      <c r="AP968" s="1525"/>
      <c r="AQ968" s="1525"/>
      <c r="AR968" s="1525"/>
      <c r="AS968" s="1525"/>
      <c r="AU968" s="1525"/>
      <c r="AV968" s="1291"/>
      <c r="AW968" s="1292"/>
      <c r="AX968" s="1292"/>
      <c r="AY968" s="1292"/>
      <c r="AZ968" s="1292"/>
      <c r="BA968" s="1292"/>
      <c r="BB968" s="1292"/>
      <c r="BC968" s="1292"/>
      <c r="BD968" s="1292"/>
      <c r="BE968" s="1292"/>
      <c r="BF968" s="1292"/>
      <c r="BG968" s="1292"/>
      <c r="BH968" s="1292"/>
      <c r="BI968" s="1292"/>
      <c r="BJ968" s="1292"/>
      <c r="BK968" s="1292"/>
      <c r="BL968" s="1292"/>
      <c r="BM968" s="1292"/>
      <c r="BN968" s="1292"/>
      <c r="BO968" s="1292"/>
      <c r="BP968" s="1292"/>
      <c r="BQ968" s="1292"/>
      <c r="BR968" s="1292"/>
      <c r="BS968" s="1292"/>
      <c r="BT968" s="1670"/>
      <c r="BW968" s="876"/>
    </row>
    <row r="969" spans="2:75" s="164" customFormat="1" ht="12.75" customHeight="1" x14ac:dyDescent="0.15">
      <c r="B969" s="175"/>
      <c r="F969" s="750" t="s">
        <v>436</v>
      </c>
      <c r="G969" s="876"/>
      <c r="H969" s="1424" t="s">
        <v>1508</v>
      </c>
      <c r="I969" s="238"/>
      <c r="J969" s="290"/>
      <c r="K969" s="290"/>
      <c r="L969" s="841"/>
      <c r="M969" s="841"/>
      <c r="N969" s="832"/>
      <c r="O969" s="1200"/>
      <c r="P969" s="550"/>
      <c r="Q969" s="1148"/>
      <c r="R969" s="874"/>
      <c r="S969" s="875"/>
      <c r="T969" s="875"/>
      <c r="U969" s="875"/>
      <c r="V969" s="875"/>
      <c r="W969" s="875"/>
      <c r="X969" s="1026"/>
      <c r="Y969" s="1754"/>
      <c r="Z969" s="1755"/>
      <c r="AA969" s="1775"/>
      <c r="AB969" s="1814"/>
      <c r="AC969" s="876"/>
      <c r="AD969" s="1295"/>
      <c r="AE969" s="1525"/>
      <c r="AF969" s="1525"/>
      <c r="AG969" s="1525"/>
      <c r="AH969" s="1525"/>
      <c r="AI969" s="1525"/>
      <c r="AJ969" s="1525"/>
      <c r="AK969" s="1525"/>
      <c r="AL969" s="1525"/>
      <c r="AM969" s="1525"/>
      <c r="AN969" s="1525"/>
      <c r="AO969" s="1525"/>
      <c r="AP969" s="1525"/>
      <c r="AQ969" s="1525"/>
      <c r="AR969" s="1525"/>
      <c r="AS969" s="1525"/>
      <c r="AU969" s="1525"/>
      <c r="AV969" s="1295"/>
      <c r="AW969" s="1525"/>
      <c r="AX969" s="1525"/>
      <c r="AY969" s="1525"/>
      <c r="AZ969" s="1525"/>
      <c r="BA969" s="1525"/>
      <c r="BB969" s="1525"/>
      <c r="BC969" s="1525"/>
      <c r="BD969" s="1525"/>
      <c r="BE969" s="1525"/>
      <c r="BF969" s="1525"/>
      <c r="BG969" s="1525"/>
      <c r="BH969" s="1525"/>
      <c r="BI969" s="1525"/>
      <c r="BJ969" s="1525"/>
      <c r="BK969" s="1525"/>
      <c r="BL969" s="1525"/>
      <c r="BM969" s="1525"/>
      <c r="BN969" s="1525"/>
      <c r="BO969" s="1525"/>
      <c r="BP969" s="1525"/>
      <c r="BQ969" s="1525"/>
      <c r="BR969" s="1525"/>
      <c r="BS969" s="1525"/>
      <c r="BT969" s="1670"/>
      <c r="BV969"/>
      <c r="BW969" s="876"/>
    </row>
    <row r="970" spans="2:75" ht="12.75" customHeight="1" x14ac:dyDescent="0.2">
      <c r="B970">
        <f>B969+1</f>
        <v>1</v>
      </c>
      <c r="C970" s="220">
        <v>7</v>
      </c>
      <c r="D970" s="170"/>
      <c r="E970" s="447" t="s">
        <v>1561</v>
      </c>
      <c r="F970" s="30" t="s">
        <v>1334</v>
      </c>
      <c r="G970" s="876" t="s">
        <v>1905</v>
      </c>
      <c r="H970" s="1413">
        <v>993886</v>
      </c>
      <c r="I970" s="200" t="s">
        <v>351</v>
      </c>
      <c r="J970" s="290"/>
      <c r="K970" s="290">
        <v>0.33400000000000002</v>
      </c>
      <c r="L970" s="841"/>
      <c r="M970" s="858">
        <f>K970+L970</f>
        <v>0.33400000000000002</v>
      </c>
      <c r="N970" s="832" t="s">
        <v>892</v>
      </c>
      <c r="O970" s="1196">
        <v>12917</v>
      </c>
      <c r="P970" s="1262">
        <f ca="1">YEARFRAC(TODAY(),O970)</f>
        <v>82.386111111111106</v>
      </c>
      <c r="Q970" s="1148">
        <v>39550</v>
      </c>
      <c r="R970" s="874"/>
      <c r="S970" s="876">
        <v>3000</v>
      </c>
      <c r="T970" s="884"/>
      <c r="U970" s="884"/>
      <c r="V970" s="884"/>
      <c r="W970" s="876"/>
      <c r="X970" s="1026">
        <f>(Q970+R970+S970+T970+U970+V970+W970)*M970</f>
        <v>14211.7</v>
      </c>
      <c r="Y970" s="1512">
        <f>(T970+U970)*M970/(X970-M970*(T970+U970))</f>
        <v>0</v>
      </c>
      <c r="Z970" s="1741">
        <f>M970*(1+Y970)</f>
        <v>0.33400000000000002</v>
      </c>
      <c r="AA970" s="1749">
        <f>SUM(AD970:AS970)</f>
        <v>0.33</v>
      </c>
      <c r="AB970" s="1810">
        <f t="shared" ref="AB970:AB971" si="578">100*AA970/Z970</f>
        <v>98.802395209580837</v>
      </c>
      <c r="AC970" s="876"/>
      <c r="AD970" s="1525">
        <f t="shared" ref="AD970:AS971" si="579">SUMIF($AV$6:$BS$6,AD$5,$AV970:$BS970)</f>
        <v>0</v>
      </c>
      <c r="AE970" s="1525">
        <f t="shared" si="579"/>
        <v>0</v>
      </c>
      <c r="AF970" s="1525">
        <f t="shared" si="579"/>
        <v>0</v>
      </c>
      <c r="AG970" s="1525">
        <f t="shared" si="579"/>
        <v>0</v>
      </c>
      <c r="AH970" s="1525">
        <f t="shared" si="579"/>
        <v>0</v>
      </c>
      <c r="AI970" s="1525">
        <f t="shared" si="579"/>
        <v>0</v>
      </c>
      <c r="AJ970" s="1525">
        <f t="shared" si="579"/>
        <v>0</v>
      </c>
      <c r="AK970" s="1525">
        <f t="shared" si="579"/>
        <v>0</v>
      </c>
      <c r="AL970" s="1525">
        <f t="shared" si="579"/>
        <v>0.33</v>
      </c>
      <c r="AM970" s="1525">
        <f t="shared" si="579"/>
        <v>0</v>
      </c>
      <c r="AN970" s="1525">
        <f t="shared" si="579"/>
        <v>0</v>
      </c>
      <c r="AO970" s="1525">
        <f t="shared" si="579"/>
        <v>0</v>
      </c>
      <c r="AP970" s="1525">
        <f t="shared" si="579"/>
        <v>0</v>
      </c>
      <c r="AQ970" s="1525">
        <f t="shared" si="579"/>
        <v>0</v>
      </c>
      <c r="AR970" s="1525">
        <f t="shared" si="579"/>
        <v>0</v>
      </c>
      <c r="AS970" s="1525">
        <f t="shared" si="579"/>
        <v>0</v>
      </c>
      <c r="AU970" s="1525"/>
      <c r="AV970" s="1291"/>
      <c r="AW970" s="1292"/>
      <c r="AX970" s="1292"/>
      <c r="AY970" s="1292"/>
      <c r="AZ970" s="1292"/>
      <c r="BA970" s="1292">
        <v>0.33</v>
      </c>
      <c r="BB970" s="1292"/>
      <c r="BC970" s="1292"/>
      <c r="BD970" s="1292"/>
      <c r="BE970" s="1292"/>
      <c r="BF970" s="1292"/>
      <c r="BG970" s="1292"/>
      <c r="BH970" s="1292"/>
      <c r="BI970" s="1292"/>
      <c r="BJ970" s="1292"/>
      <c r="BK970" s="1292"/>
      <c r="BL970" s="1292"/>
      <c r="BM970" s="1292"/>
      <c r="BN970" s="1292"/>
      <c r="BO970" s="1292"/>
      <c r="BP970" s="1292"/>
      <c r="BQ970" s="1292"/>
      <c r="BR970" s="1292"/>
      <c r="BS970" s="1292"/>
      <c r="BT970" s="1670">
        <f t="shared" ref="BT970:BT971" si="580">SUM(AV970:BS970)</f>
        <v>0.33</v>
      </c>
      <c r="BW970" s="876" t="s">
        <v>1905</v>
      </c>
    </row>
    <row r="971" spans="2:75" ht="12.75" customHeight="1" x14ac:dyDescent="0.2">
      <c r="B971">
        <f>B970+1</f>
        <v>2</v>
      </c>
      <c r="C971" s="1329">
        <v>14</v>
      </c>
      <c r="D971"/>
      <c r="E971" s="12" t="s">
        <v>1561</v>
      </c>
      <c r="F971" s="17" t="s">
        <v>626</v>
      </c>
      <c r="G971" s="876" t="s">
        <v>1984</v>
      </c>
      <c r="H971" s="1412">
        <v>163797</v>
      </c>
      <c r="I971" s="1333" t="s">
        <v>583</v>
      </c>
      <c r="J971" s="290"/>
      <c r="K971" s="292">
        <v>0.5</v>
      </c>
      <c r="L971" s="893"/>
      <c r="M971" s="861">
        <v>0.5</v>
      </c>
      <c r="N971" s="832" t="s">
        <v>892</v>
      </c>
      <c r="O971" s="1194">
        <v>34014</v>
      </c>
      <c r="P971" s="1262">
        <f ca="1">YEARFRAC(TODAY(),O971)</f>
        <v>24.633333333333333</v>
      </c>
      <c r="Q971" s="1148">
        <v>30000</v>
      </c>
      <c r="R971" s="874"/>
      <c r="S971" s="875"/>
      <c r="T971" s="875"/>
      <c r="U971" s="875"/>
      <c r="V971" s="875"/>
      <c r="W971" s="875"/>
      <c r="X971" s="1026">
        <f>(Q971+R971+S971+T971+U971+V971+W971)*M971</f>
        <v>15000</v>
      </c>
      <c r="Y971" s="1512">
        <f>(T971+U971)*M971/(X971-M971*(T971+U971))</f>
        <v>0</v>
      </c>
      <c r="Z971" s="1741">
        <f>M971*(1+Y971)</f>
        <v>0.5</v>
      </c>
      <c r="AA971" s="1749">
        <f>SUM(AD971:AS971)</f>
        <v>0</v>
      </c>
      <c r="AB971" s="1810">
        <f t="shared" si="578"/>
        <v>0</v>
      </c>
      <c r="AC971" s="876"/>
      <c r="AD971" s="1525">
        <f t="shared" si="579"/>
        <v>0</v>
      </c>
      <c r="AE971" s="1525">
        <f t="shared" si="579"/>
        <v>0</v>
      </c>
      <c r="AF971" s="1525">
        <f t="shared" si="579"/>
        <v>0</v>
      </c>
      <c r="AG971" s="1525">
        <f t="shared" si="579"/>
        <v>0</v>
      </c>
      <c r="AH971" s="1525">
        <f t="shared" si="579"/>
        <v>0</v>
      </c>
      <c r="AI971" s="1525">
        <f t="shared" si="579"/>
        <v>0</v>
      </c>
      <c r="AJ971" s="1525">
        <f t="shared" si="579"/>
        <v>0</v>
      </c>
      <c r="AK971" s="1525">
        <f t="shared" si="579"/>
        <v>0</v>
      </c>
      <c r="AL971" s="1525">
        <f t="shared" si="579"/>
        <v>0</v>
      </c>
      <c r="AM971" s="1525">
        <f t="shared" si="579"/>
        <v>0</v>
      </c>
      <c r="AN971" s="1525">
        <f t="shared" si="579"/>
        <v>0</v>
      </c>
      <c r="AO971" s="1525">
        <f t="shared" si="579"/>
        <v>0</v>
      </c>
      <c r="AP971" s="1525">
        <f t="shared" si="579"/>
        <v>0</v>
      </c>
      <c r="AQ971" s="1525">
        <f t="shared" si="579"/>
        <v>0</v>
      </c>
      <c r="AR971" s="1525">
        <f t="shared" si="579"/>
        <v>0</v>
      </c>
      <c r="AS971" s="1525">
        <f t="shared" si="579"/>
        <v>0</v>
      </c>
      <c r="AU971" s="1525"/>
      <c r="AV971" s="1291"/>
      <c r="AW971" s="1292"/>
      <c r="AX971" s="1292"/>
      <c r="AY971" s="1292"/>
      <c r="AZ971" s="1292"/>
      <c r="BA971" s="1292"/>
      <c r="BB971" s="1292"/>
      <c r="BC971" s="1292"/>
      <c r="BD971" s="1292"/>
      <c r="BE971" s="1292"/>
      <c r="BF971" s="1292"/>
      <c r="BG971" s="1292"/>
      <c r="BH971" s="1292"/>
      <c r="BI971" s="1292"/>
      <c r="BJ971" s="1292"/>
      <c r="BK971" s="1292"/>
      <c r="BL971" s="1292"/>
      <c r="BM971" s="1292"/>
      <c r="BN971" s="1292"/>
      <c r="BO971" s="1292"/>
      <c r="BP971" s="1292"/>
      <c r="BQ971" s="1292"/>
      <c r="BR971" s="1292"/>
      <c r="BS971" s="1292"/>
      <c r="BT971" s="1670">
        <f t="shared" si="580"/>
        <v>0</v>
      </c>
      <c r="BW971" s="876" t="s">
        <v>1984</v>
      </c>
    </row>
    <row r="972" spans="2:75" ht="12.75" customHeight="1" x14ac:dyDescent="0.2">
      <c r="B972" s="175"/>
      <c r="C972" s="1641"/>
      <c r="D972"/>
      <c r="E972" s="12"/>
      <c r="F972" s="17"/>
      <c r="G972" s="876"/>
      <c r="H972" s="1413"/>
      <c r="I972" s="241"/>
      <c r="J972" s="292"/>
      <c r="K972" s="292"/>
      <c r="L972" s="893"/>
      <c r="M972" s="858"/>
      <c r="N972" s="968"/>
      <c r="O972" s="1196"/>
      <c r="P972" s="1218"/>
      <c r="Q972" s="1148"/>
      <c r="R972" s="874"/>
      <c r="S972" s="875"/>
      <c r="T972" s="877"/>
      <c r="U972" s="877"/>
      <c r="V972" s="877"/>
      <c r="W972" s="875"/>
      <c r="X972" s="1026"/>
      <c r="Y972" s="1512"/>
      <c r="Z972" s="1741"/>
      <c r="AA972" s="1749"/>
      <c r="AB972" s="1810"/>
      <c r="AC972" s="876"/>
      <c r="AD972" s="1525"/>
      <c r="AE972" s="1525"/>
      <c r="AF972" s="1525"/>
      <c r="AG972" s="1525"/>
      <c r="AH972" s="1525"/>
      <c r="AI972" s="1525"/>
      <c r="AJ972" s="1525"/>
      <c r="AK972" s="1525"/>
      <c r="AL972" s="1525"/>
      <c r="AM972" s="1525"/>
      <c r="AN972" s="1525"/>
      <c r="AO972" s="1525"/>
      <c r="AP972" s="1525"/>
      <c r="AQ972" s="1525"/>
      <c r="AR972" s="1525"/>
      <c r="AS972" s="1525"/>
      <c r="AU972" s="1525"/>
      <c r="AV972" s="1291"/>
      <c r="AW972" s="1292"/>
      <c r="AX972" s="1292"/>
      <c r="AY972" s="1292"/>
      <c r="AZ972" s="1292"/>
      <c r="BA972" s="1292"/>
      <c r="BB972" s="1292"/>
      <c r="BC972" s="1292"/>
      <c r="BD972" s="1292"/>
      <c r="BE972" s="1292"/>
      <c r="BF972" s="1292"/>
      <c r="BG972" s="1292"/>
      <c r="BH972" s="1292"/>
      <c r="BI972" s="1292"/>
      <c r="BJ972" s="1292"/>
      <c r="BK972" s="1292"/>
      <c r="BL972" s="1292"/>
      <c r="BM972" s="1292"/>
      <c r="BN972" s="1292"/>
      <c r="BO972" s="1292"/>
      <c r="BP972" s="1292"/>
      <c r="BQ972" s="1292"/>
      <c r="BR972" s="1292"/>
      <c r="BS972" s="1292"/>
      <c r="BT972" s="1670"/>
      <c r="BW972" s="876"/>
    </row>
    <row r="973" spans="2:75" ht="12.75" customHeight="1" x14ac:dyDescent="0.2">
      <c r="B973"/>
      <c r="C973" s="219"/>
      <c r="E973" s="12"/>
      <c r="F973" s="59"/>
      <c r="G973" s="891"/>
      <c r="H973" s="1414" t="s">
        <v>1508</v>
      </c>
      <c r="I973" s="273"/>
      <c r="J973" s="273"/>
      <c r="K973" s="307"/>
      <c r="L973" s="944"/>
      <c r="M973" s="873"/>
      <c r="N973" s="1091"/>
      <c r="O973" s="1196"/>
      <c r="P973" s="1218"/>
      <c r="Q973" s="1148"/>
      <c r="R973" s="874"/>
      <c r="S973" s="875"/>
      <c r="T973" s="877"/>
      <c r="U973" s="877"/>
      <c r="V973" s="877"/>
      <c r="W973" s="875"/>
      <c r="X973" s="1026"/>
      <c r="Y973" s="1512"/>
      <c r="Z973" s="1741"/>
      <c r="AA973" s="1749"/>
      <c r="AB973" s="1814"/>
      <c r="AC973" s="876"/>
      <c r="AD973" s="1295"/>
      <c r="AE973" s="1525"/>
      <c r="AF973" s="1525"/>
      <c r="AG973" s="1525"/>
      <c r="AH973" s="1525"/>
      <c r="AI973" s="1525"/>
      <c r="AJ973" s="1525"/>
      <c r="AK973" s="1525"/>
      <c r="AL973" s="1525"/>
      <c r="AM973" s="1525"/>
      <c r="AN973" s="1525"/>
      <c r="AO973" s="1525"/>
      <c r="AP973" s="1525"/>
      <c r="AQ973" s="1525"/>
      <c r="AR973" s="1525"/>
      <c r="AS973" s="1525"/>
      <c r="AU973" s="1525"/>
      <c r="AV973" s="1291"/>
      <c r="AW973" s="1292"/>
      <c r="AX973" s="1292"/>
      <c r="AY973" s="1292"/>
      <c r="AZ973" s="1292"/>
      <c r="BA973" s="1292"/>
      <c r="BB973" s="1292"/>
      <c r="BC973" s="1292"/>
      <c r="BD973" s="1292"/>
      <c r="BE973" s="1292"/>
      <c r="BF973" s="1292"/>
      <c r="BG973" s="1292"/>
      <c r="BH973" s="1292"/>
      <c r="BI973" s="1292"/>
      <c r="BJ973" s="1292"/>
      <c r="BK973" s="1292"/>
      <c r="BL973" s="1292"/>
      <c r="BM973" s="1292"/>
      <c r="BN973" s="1292"/>
      <c r="BO973" s="1292"/>
      <c r="BP973" s="1292"/>
      <c r="BQ973" s="1292"/>
      <c r="BR973" s="1292"/>
      <c r="BS973" s="1292"/>
      <c r="BT973" s="1670"/>
      <c r="BW973" s="891"/>
    </row>
    <row r="974" spans="2:75" s="164" customFormat="1" ht="12.75" customHeight="1" x14ac:dyDescent="0.15">
      <c r="B974" s="175"/>
      <c r="C974" s="219" t="s">
        <v>1120</v>
      </c>
      <c r="F974" s="17" t="s">
        <v>1125</v>
      </c>
      <c r="G974" s="876"/>
      <c r="H974" s="1420" t="s">
        <v>1508</v>
      </c>
      <c r="I974" s="238"/>
      <c r="J974" s="290"/>
      <c r="K974" s="902">
        <f>SUM(K958:K973)</f>
        <v>0.83400000000000007</v>
      </c>
      <c r="L974" s="902">
        <f>SUM(L958:L973)</f>
        <v>6.6</v>
      </c>
      <c r="M974" s="902">
        <f>SUM(M958:M973)</f>
        <v>7.4339999999999993</v>
      </c>
      <c r="N974" s="832"/>
      <c r="O974" s="1200"/>
      <c r="P974" s="550"/>
      <c r="Q974" s="1153"/>
      <c r="R974" s="877"/>
      <c r="S974" s="875"/>
      <c r="T974" s="875"/>
      <c r="U974" s="875"/>
      <c r="V974" s="875"/>
      <c r="W974" s="875"/>
      <c r="X974" s="1026"/>
      <c r="Y974" s="1335"/>
      <c r="Z974" s="1335"/>
      <c r="AA974" s="1749"/>
      <c r="AB974" s="1812"/>
      <c r="AC974" s="876"/>
      <c r="AD974" s="1295"/>
      <c r="AE974" s="1525"/>
      <c r="AF974" s="1525"/>
      <c r="AG974" s="1525"/>
      <c r="AH974" s="1525"/>
      <c r="AI974" s="1525"/>
      <c r="AJ974" s="1525"/>
      <c r="AK974" s="1525"/>
      <c r="AL974" s="1525"/>
      <c r="AM974" s="1525"/>
      <c r="AN974" s="1525"/>
      <c r="AO974" s="1525"/>
      <c r="AP974" s="1525"/>
      <c r="AQ974" s="1525"/>
      <c r="AR974" s="1525"/>
      <c r="AS974" s="1525"/>
      <c r="AU974" s="1525"/>
      <c r="AV974" s="1295"/>
      <c r="AW974" s="1525"/>
      <c r="AX974" s="1525"/>
      <c r="AY974" s="1525"/>
      <c r="AZ974" s="1525"/>
      <c r="BA974" s="1525"/>
      <c r="BB974" s="1525"/>
      <c r="BC974" s="1525"/>
      <c r="BD974" s="1525"/>
      <c r="BE974" s="1525"/>
      <c r="BF974" s="1525"/>
      <c r="BG974" s="1525"/>
      <c r="BH974" s="1525"/>
      <c r="BI974" s="1525"/>
      <c r="BJ974" s="1525"/>
      <c r="BK974" s="1525"/>
      <c r="BL974" s="1525"/>
      <c r="BM974" s="1525"/>
      <c r="BN974" s="1525"/>
      <c r="BO974" s="1525"/>
      <c r="BP974" s="1525"/>
      <c r="BQ974" s="1525"/>
      <c r="BR974" s="1525"/>
      <c r="BS974" s="1525"/>
      <c r="BT974" s="1670"/>
      <c r="BV974"/>
      <c r="BW974" s="876"/>
    </row>
    <row r="975" spans="2:75" s="164" customFormat="1" ht="12.75" customHeight="1" x14ac:dyDescent="0.15">
      <c r="B975"/>
      <c r="F975" s="17"/>
      <c r="G975" s="876"/>
      <c r="H975" s="1424" t="s">
        <v>1508</v>
      </c>
      <c r="I975" s="238"/>
      <c r="J975" s="290"/>
      <c r="K975" s="290"/>
      <c r="L975" s="841"/>
      <c r="M975" s="841"/>
      <c r="N975" s="832"/>
      <c r="O975" s="1200"/>
      <c r="P975" s="550"/>
      <c r="Q975" s="1148"/>
      <c r="R975" s="874"/>
      <c r="S975" s="875"/>
      <c r="T975" s="875"/>
      <c r="U975" s="875"/>
      <c r="V975" s="875"/>
      <c r="W975" s="875"/>
      <c r="X975" s="1026"/>
      <c r="Y975" s="1512"/>
      <c r="Z975" s="1741"/>
      <c r="AA975" s="1749"/>
      <c r="AB975" s="1812"/>
      <c r="AC975" s="876"/>
      <c r="AD975" s="1295"/>
      <c r="AE975" s="1525"/>
      <c r="AF975" s="1525"/>
      <c r="AG975" s="1525"/>
      <c r="AH975" s="1525"/>
      <c r="AI975" s="1525"/>
      <c r="AJ975" s="1525"/>
      <c r="AK975" s="1525"/>
      <c r="AL975" s="1525"/>
      <c r="AM975" s="1525"/>
      <c r="AN975" s="1525"/>
      <c r="AO975" s="1525"/>
      <c r="AP975" s="1525"/>
      <c r="AQ975" s="1525"/>
      <c r="AR975" s="1525"/>
      <c r="AS975" s="1525"/>
      <c r="AU975" s="1525"/>
      <c r="AV975" s="1295"/>
      <c r="AW975" s="1525"/>
      <c r="AX975" s="1525"/>
      <c r="AY975" s="1525"/>
      <c r="AZ975" s="1525"/>
      <c r="BA975" s="1525"/>
      <c r="BB975" s="1525"/>
      <c r="BC975" s="1525"/>
      <c r="BD975" s="1525"/>
      <c r="BE975" s="1525"/>
      <c r="BF975" s="1525"/>
      <c r="BG975" s="1525"/>
      <c r="BH975" s="1525"/>
      <c r="BI975" s="1525"/>
      <c r="BJ975" s="1525"/>
      <c r="BK975" s="1525"/>
      <c r="BL975" s="1525"/>
      <c r="BM975" s="1525"/>
      <c r="BN975" s="1525"/>
      <c r="BO975" s="1525"/>
      <c r="BP975" s="1525"/>
      <c r="BQ975" s="1525"/>
      <c r="BR975" s="1525"/>
      <c r="BS975" s="1525"/>
      <c r="BT975" s="1670"/>
      <c r="BV975"/>
      <c r="BW975" s="876"/>
    </row>
    <row r="976" spans="2:75" s="164" customFormat="1" ht="12.75" customHeight="1" x14ac:dyDescent="0.15">
      <c r="B976" s="175"/>
      <c r="F976" s="24" t="s">
        <v>1699</v>
      </c>
      <c r="G976" s="821"/>
      <c r="H976" s="1413" t="s">
        <v>1508</v>
      </c>
      <c r="I976" s="202"/>
      <c r="J976" s="215"/>
      <c r="K976" s="215"/>
      <c r="L976" s="858"/>
      <c r="M976" s="858"/>
      <c r="N976" s="857"/>
      <c r="O976" s="1200"/>
      <c r="P976" s="550"/>
      <c r="Q976" s="1148"/>
      <c r="R976" s="874"/>
      <c r="S976" s="875"/>
      <c r="T976" s="875"/>
      <c r="U976" s="875"/>
      <c r="V976" s="875"/>
      <c r="W976" s="875"/>
      <c r="X976" s="1026"/>
      <c r="Y976" s="1512"/>
      <c r="Z976" s="1741"/>
      <c r="AA976" s="1749"/>
      <c r="AB976" s="1812"/>
      <c r="AC976" s="876"/>
      <c r="AD976" s="1295"/>
      <c r="AE976" s="1525"/>
      <c r="AF976" s="1525"/>
      <c r="AG976" s="1525"/>
      <c r="AH976" s="1525"/>
      <c r="AI976" s="1525"/>
      <c r="AJ976" s="1525"/>
      <c r="AK976" s="1525"/>
      <c r="AL976" s="1525"/>
      <c r="AM976" s="1525"/>
      <c r="AN976" s="1525"/>
      <c r="AO976" s="1525"/>
      <c r="AP976" s="1525"/>
      <c r="AQ976" s="1525"/>
      <c r="AR976" s="1525"/>
      <c r="AS976" s="1525"/>
      <c r="AU976" s="1525"/>
      <c r="AV976" s="1295"/>
      <c r="AW976" s="1525"/>
      <c r="AX976" s="1525"/>
      <c r="AY976" s="1525"/>
      <c r="AZ976" s="1525"/>
      <c r="BA976" s="1525"/>
      <c r="BB976" s="1525"/>
      <c r="BC976" s="1525"/>
      <c r="BD976" s="1525"/>
      <c r="BE976" s="1525"/>
      <c r="BF976" s="1525"/>
      <c r="BG976" s="1525"/>
      <c r="BH976" s="1525"/>
      <c r="BI976" s="1525"/>
      <c r="BJ976" s="1525"/>
      <c r="BK976" s="1525"/>
      <c r="BL976" s="1525"/>
      <c r="BM976" s="1525"/>
      <c r="BN976" s="1525"/>
      <c r="BO976" s="1525"/>
      <c r="BP976" s="1525"/>
      <c r="BQ976" s="1525"/>
      <c r="BR976" s="1525"/>
      <c r="BS976" s="1525"/>
      <c r="BT976" s="1670"/>
      <c r="BV976"/>
      <c r="BW976" s="821"/>
    </row>
    <row r="977" spans="1:75" s="164" customFormat="1" ht="12.75" customHeight="1" x14ac:dyDescent="0.15">
      <c r="B977"/>
      <c r="F977" s="24"/>
      <c r="G977" s="821"/>
      <c r="H977" s="1413" t="s">
        <v>1508</v>
      </c>
      <c r="I977" s="200"/>
      <c r="J977" s="189"/>
      <c r="K977" s="189"/>
      <c r="L977" s="858"/>
      <c r="M977" s="858"/>
      <c r="N977" s="857"/>
      <c r="O977" s="1200"/>
      <c r="P977" s="550"/>
      <c r="Q977" s="1148"/>
      <c r="R977" s="874"/>
      <c r="S977" s="875"/>
      <c r="T977" s="875"/>
      <c r="U977" s="875"/>
      <c r="V977" s="875"/>
      <c r="W977" s="875"/>
      <c r="X977" s="1026"/>
      <c r="Y977" s="1512"/>
      <c r="Z977" s="1741"/>
      <c r="AA977" s="1749"/>
      <c r="AB977" s="1812"/>
      <c r="AC977" s="876"/>
      <c r="AD977" s="1295"/>
      <c r="AE977" s="1525"/>
      <c r="AF977" s="1525"/>
      <c r="AG977" s="1525"/>
      <c r="AH977" s="1525"/>
      <c r="AI977" s="1525"/>
      <c r="AJ977" s="1525"/>
      <c r="AK977" s="1525"/>
      <c r="AL977" s="1525"/>
      <c r="AM977" s="1525"/>
      <c r="AN977" s="1525"/>
      <c r="AO977" s="1525"/>
      <c r="AP977" s="1525"/>
      <c r="AQ977" s="1525"/>
      <c r="AR977" s="1525"/>
      <c r="AS977" s="1525"/>
      <c r="AU977" s="1525"/>
      <c r="AV977" s="1295"/>
      <c r="AW977" s="1525"/>
      <c r="AX977" s="1525"/>
      <c r="AY977" s="1525"/>
      <c r="AZ977" s="1525"/>
      <c r="BA977" s="1525"/>
      <c r="BB977" s="1525"/>
      <c r="BC977" s="1525"/>
      <c r="BD977" s="1525"/>
      <c r="BE977" s="1525"/>
      <c r="BF977" s="1525"/>
      <c r="BG977" s="1525"/>
      <c r="BH977" s="1525"/>
      <c r="BI977" s="1525"/>
      <c r="BJ977" s="1525"/>
      <c r="BK977" s="1525"/>
      <c r="BL977" s="1525"/>
      <c r="BM977" s="1525"/>
      <c r="BN977" s="1525"/>
      <c r="BO977" s="1525"/>
      <c r="BP977" s="1525"/>
      <c r="BQ977" s="1525"/>
      <c r="BR977" s="1525"/>
      <c r="BS977" s="1525"/>
      <c r="BT977" s="1670"/>
      <c r="BV977"/>
      <c r="BW977" s="821"/>
    </row>
    <row r="978" spans="1:75" ht="12.75" customHeight="1" x14ac:dyDescent="0.2">
      <c r="B978" s="175">
        <f t="shared" si="577"/>
        <v>1</v>
      </c>
      <c r="C978" s="282">
        <v>11</v>
      </c>
      <c r="D978" s="464"/>
      <c r="E978" s="474" t="s">
        <v>1561</v>
      </c>
      <c r="F978" s="24" t="s">
        <v>1804</v>
      </c>
      <c r="G978" s="799" t="s">
        <v>960</v>
      </c>
      <c r="H978" s="1413">
        <v>4215</v>
      </c>
      <c r="I978" s="621" t="s">
        <v>351</v>
      </c>
      <c r="J978" s="623"/>
      <c r="K978" s="623"/>
      <c r="L978" s="858">
        <v>1</v>
      </c>
      <c r="M978" s="858">
        <f>K978+L978</f>
        <v>1</v>
      </c>
      <c r="N978" s="857" t="s">
        <v>892</v>
      </c>
      <c r="O978" s="1196">
        <v>19238</v>
      </c>
      <c r="P978" s="1218">
        <f ca="1">YEARFRAC(TODAY(),O978)</f>
        <v>65.086111111111109</v>
      </c>
      <c r="Q978" s="1148">
        <v>41450</v>
      </c>
      <c r="R978" s="874"/>
      <c r="S978" s="875">
        <v>7000</v>
      </c>
      <c r="T978" s="885">
        <v>7000</v>
      </c>
      <c r="U978" s="885"/>
      <c r="V978" s="885"/>
      <c r="W978" s="1044"/>
      <c r="X978" s="1026">
        <f>(Q978+R978+S978+T978+U978+V978+W978)*M978</f>
        <v>55450</v>
      </c>
      <c r="Y978" s="1512">
        <f>(T978+U978)*M978/(X978-M978*(T978+U978))</f>
        <v>0.14447884416924664</v>
      </c>
      <c r="Z978" s="1741">
        <f>M978*(1+Y978)</f>
        <v>1.1444788441692466</v>
      </c>
      <c r="AA978" s="1749">
        <f>SUM(AD978:AS978)</f>
        <v>1.05</v>
      </c>
      <c r="AB978" s="1810">
        <f t="shared" ref="AB978:AB979" si="581">100*AA978/Z978</f>
        <v>91.744815148782692</v>
      </c>
      <c r="AC978" s="876"/>
      <c r="AD978" s="1525">
        <f t="shared" ref="AD978:AS980" si="582">SUMIF($AV$6:$BS$6,AD$5,$AV978:$BS978)</f>
        <v>0</v>
      </c>
      <c r="AE978" s="1525">
        <f t="shared" si="582"/>
        <v>0</v>
      </c>
      <c r="AF978" s="1525">
        <f t="shared" si="582"/>
        <v>0</v>
      </c>
      <c r="AG978" s="1525">
        <f t="shared" si="582"/>
        <v>0</v>
      </c>
      <c r="AH978" s="1525">
        <f t="shared" si="582"/>
        <v>0</v>
      </c>
      <c r="AI978" s="1525">
        <f t="shared" si="582"/>
        <v>0</v>
      </c>
      <c r="AJ978" s="1525">
        <f t="shared" si="582"/>
        <v>0</v>
      </c>
      <c r="AK978" s="1525">
        <f t="shared" si="582"/>
        <v>0</v>
      </c>
      <c r="AL978" s="1525">
        <f t="shared" si="582"/>
        <v>0</v>
      </c>
      <c r="AM978" s="1525">
        <f t="shared" si="582"/>
        <v>0</v>
      </c>
      <c r="AN978" s="1525">
        <f t="shared" si="582"/>
        <v>0</v>
      </c>
      <c r="AO978" s="1525">
        <f t="shared" si="582"/>
        <v>0</v>
      </c>
      <c r="AP978" s="1525">
        <f t="shared" si="582"/>
        <v>0.05</v>
      </c>
      <c r="AQ978" s="1525">
        <f t="shared" si="582"/>
        <v>0</v>
      </c>
      <c r="AR978" s="1525">
        <f t="shared" si="582"/>
        <v>0</v>
      </c>
      <c r="AS978" s="1525">
        <f t="shared" si="582"/>
        <v>1</v>
      </c>
      <c r="AU978" s="1525"/>
      <c r="AV978" s="1291"/>
      <c r="AW978" s="1292"/>
      <c r="AX978" s="1292">
        <v>0.05</v>
      </c>
      <c r="AY978" s="1292"/>
      <c r="AZ978" s="1292"/>
      <c r="BA978" s="1292"/>
      <c r="BB978" s="1292"/>
      <c r="BC978" s="1292"/>
      <c r="BD978" s="1292"/>
      <c r="BE978" s="1292"/>
      <c r="BF978" s="1292"/>
      <c r="BG978" s="1292"/>
      <c r="BH978" s="1292"/>
      <c r="BI978" s="1292"/>
      <c r="BJ978" s="1292"/>
      <c r="BK978" s="1292"/>
      <c r="BL978" s="1292"/>
      <c r="BM978" s="1292"/>
      <c r="BN978" s="1292"/>
      <c r="BO978" s="1292"/>
      <c r="BP978" s="1292"/>
      <c r="BQ978" s="1292">
        <v>1</v>
      </c>
      <c r="BR978" s="1292"/>
      <c r="BS978" s="1292"/>
      <c r="BT978" s="1670">
        <f t="shared" ref="BT978:BT980" si="583">SUM(AV978:BS978)</f>
        <v>1.05</v>
      </c>
      <c r="BW978" s="799" t="s">
        <v>960</v>
      </c>
    </row>
    <row r="979" spans="1:75" ht="12.75" customHeight="1" x14ac:dyDescent="0.2">
      <c r="B979">
        <f t="shared" si="577"/>
        <v>2</v>
      </c>
      <c r="C979" s="1208">
        <v>9</v>
      </c>
      <c r="D979"/>
      <c r="E979" s="12" t="s">
        <v>1561</v>
      </c>
      <c r="F979" s="24" t="s">
        <v>1396</v>
      </c>
      <c r="G979" s="970" t="s">
        <v>171</v>
      </c>
      <c r="H979" s="1433">
        <v>223224</v>
      </c>
      <c r="I979" s="200" t="s">
        <v>351</v>
      </c>
      <c r="J979"/>
      <c r="K979"/>
      <c r="L979" s="969">
        <v>1</v>
      </c>
      <c r="M979" s="969">
        <v>1</v>
      </c>
      <c r="N979" s="969" t="s">
        <v>892</v>
      </c>
      <c r="O979" s="1196">
        <v>28857</v>
      </c>
      <c r="P979" s="1218">
        <f ca="1">YEARFRAC(TODAY(),O979)</f>
        <v>38.75</v>
      </c>
      <c r="Q979" s="1148">
        <v>26050</v>
      </c>
      <c r="R979" s="874"/>
      <c r="S979" s="875"/>
      <c r="T979" s="1044"/>
      <c r="U979" s="1044"/>
      <c r="V979" s="1044"/>
      <c r="W979" s="1044"/>
      <c r="X979" s="1026">
        <f>(Q979+R979+S979+T979+U979+V979+W979)*M979</f>
        <v>26050</v>
      </c>
      <c r="Y979" s="1512">
        <f>(T979+U979)*M979/(X979-M979*(T979+U979))</f>
        <v>0</v>
      </c>
      <c r="Z979" s="1741">
        <f>M979*(1+Y979)</f>
        <v>1</v>
      </c>
      <c r="AA979" s="1749">
        <f>SUM(AD979:AS979)</f>
        <v>1</v>
      </c>
      <c r="AB979" s="1810">
        <f t="shared" si="581"/>
        <v>100</v>
      </c>
      <c r="AC979" s="876"/>
      <c r="AD979" s="1525">
        <f t="shared" si="582"/>
        <v>0</v>
      </c>
      <c r="AE979" s="1525">
        <f t="shared" si="582"/>
        <v>0</v>
      </c>
      <c r="AF979" s="1525">
        <f t="shared" si="582"/>
        <v>0</v>
      </c>
      <c r="AG979" s="1525">
        <f t="shared" si="582"/>
        <v>0</v>
      </c>
      <c r="AH979" s="1525">
        <f t="shared" si="582"/>
        <v>0</v>
      </c>
      <c r="AI979" s="1525">
        <f t="shared" si="582"/>
        <v>0</v>
      </c>
      <c r="AJ979" s="1525">
        <f t="shared" si="582"/>
        <v>0</v>
      </c>
      <c r="AK979" s="1525">
        <f t="shared" si="582"/>
        <v>0</v>
      </c>
      <c r="AL979" s="1525">
        <f t="shared" si="582"/>
        <v>0</v>
      </c>
      <c r="AM979" s="1525">
        <f t="shared" si="582"/>
        <v>0</v>
      </c>
      <c r="AN979" s="1525">
        <f t="shared" si="582"/>
        <v>0</v>
      </c>
      <c r="AO979" s="1525">
        <f t="shared" si="582"/>
        <v>0</v>
      </c>
      <c r="AP979" s="1525">
        <f t="shared" si="582"/>
        <v>0</v>
      </c>
      <c r="AQ979" s="1525">
        <f t="shared" si="582"/>
        <v>0</v>
      </c>
      <c r="AR979" s="1525">
        <f t="shared" si="582"/>
        <v>0</v>
      </c>
      <c r="AS979" s="1525">
        <f t="shared" si="582"/>
        <v>1</v>
      </c>
      <c r="AU979" s="1525"/>
      <c r="AV979" s="1291"/>
      <c r="AW979" s="1292"/>
      <c r="AX979" s="1292"/>
      <c r="AY979" s="1292"/>
      <c r="AZ979" s="1292"/>
      <c r="BA979" s="1292"/>
      <c r="BB979" s="1292"/>
      <c r="BC979" s="1292"/>
      <c r="BD979" s="1292"/>
      <c r="BE979" s="1292"/>
      <c r="BF979" s="1292"/>
      <c r="BG979" s="1292"/>
      <c r="BH979" s="1292"/>
      <c r="BI979" s="1292"/>
      <c r="BJ979" s="1292"/>
      <c r="BK979" s="1292"/>
      <c r="BL979" s="1292"/>
      <c r="BM979" s="1292"/>
      <c r="BN979" s="1292"/>
      <c r="BO979" s="1292"/>
      <c r="BP979" s="1292"/>
      <c r="BQ979" s="1292">
        <v>1</v>
      </c>
      <c r="BR979" s="1292"/>
      <c r="BS979" s="1292"/>
      <c r="BT979" s="1670">
        <f t="shared" si="583"/>
        <v>1</v>
      </c>
      <c r="BW979" s="970" t="s">
        <v>171</v>
      </c>
    </row>
    <row r="980" spans="1:75" s="1634" customFormat="1" ht="12.75" customHeight="1" x14ac:dyDescent="0.2">
      <c r="A980" s="1616"/>
      <c r="B980" s="1617">
        <f t="shared" si="577"/>
        <v>3</v>
      </c>
      <c r="C980" s="1615">
        <v>9</v>
      </c>
      <c r="D980" s="1616"/>
      <c r="E980" s="1618" t="s">
        <v>1561</v>
      </c>
      <c r="F980" s="1619" t="s">
        <v>1396</v>
      </c>
      <c r="G980" s="1620" t="s">
        <v>693</v>
      </c>
      <c r="H980" s="1621">
        <v>252539</v>
      </c>
      <c r="I980" s="1622" t="s">
        <v>351</v>
      </c>
      <c r="J980" s="1623"/>
      <c r="K980" s="1624"/>
      <c r="L980" s="1625">
        <v>1</v>
      </c>
      <c r="M980" s="1625">
        <f>K980+L980</f>
        <v>1</v>
      </c>
      <c r="N980" s="1626" t="s">
        <v>892</v>
      </c>
      <c r="O980" s="1627">
        <v>30114</v>
      </c>
      <c r="P980" s="1628">
        <f ca="1">YEARFRAC(TODAY(),O980)</f>
        <v>35.305555555555557</v>
      </c>
      <c r="Q980" s="1629">
        <v>18800</v>
      </c>
      <c r="R980" s="1630"/>
      <c r="S980" s="1631"/>
      <c r="T980" s="1632"/>
      <c r="U980" s="1632"/>
      <c r="V980" s="1632"/>
      <c r="W980" s="1632"/>
      <c r="X980" s="1717">
        <f>(Q980+R980+S980+T980+U980+V980+W980)*M980</f>
        <v>18800</v>
      </c>
      <c r="Y980" s="1633">
        <f>(T980+U980)*M980/(X980-M980*(T980+U980))</f>
        <v>0</v>
      </c>
      <c r="Z980" s="1746">
        <f>M980*(1+Y980)</f>
        <v>1</v>
      </c>
      <c r="AA980" s="1749">
        <f>SUM(AD980:AS980)</f>
        <v>1</v>
      </c>
      <c r="AB980" s="1818">
        <f>100*BT980/Z980</f>
        <v>100</v>
      </c>
      <c r="AC980" s="876"/>
      <c r="AD980" s="1613">
        <f t="shared" si="582"/>
        <v>0</v>
      </c>
      <c r="AE980" s="1613">
        <f t="shared" si="582"/>
        <v>0</v>
      </c>
      <c r="AF980" s="1613">
        <f t="shared" si="582"/>
        <v>0</v>
      </c>
      <c r="AG980" s="1613">
        <f t="shared" si="582"/>
        <v>0</v>
      </c>
      <c r="AH980" s="1613">
        <f t="shared" si="582"/>
        <v>0</v>
      </c>
      <c r="AI980" s="1613">
        <f t="shared" si="582"/>
        <v>0</v>
      </c>
      <c r="AJ980" s="1613">
        <f t="shared" si="582"/>
        <v>0</v>
      </c>
      <c r="AK980" s="1613">
        <f t="shared" si="582"/>
        <v>0</v>
      </c>
      <c r="AL980" s="1613">
        <f t="shared" si="582"/>
        <v>0</v>
      </c>
      <c r="AM980" s="1613">
        <f t="shared" si="582"/>
        <v>0</v>
      </c>
      <c r="AN980" s="1613">
        <f t="shared" si="582"/>
        <v>0</v>
      </c>
      <c r="AO980" s="1613">
        <f t="shared" si="582"/>
        <v>0</v>
      </c>
      <c r="AP980" s="1613">
        <f t="shared" si="582"/>
        <v>0</v>
      </c>
      <c r="AQ980" s="1613">
        <f t="shared" si="582"/>
        <v>0</v>
      </c>
      <c r="AR980" s="1613">
        <f t="shared" si="582"/>
        <v>0</v>
      </c>
      <c r="AS980" s="1613">
        <f t="shared" si="582"/>
        <v>1</v>
      </c>
      <c r="AU980" s="1613"/>
      <c r="AV980" s="1635"/>
      <c r="AW980" s="1613"/>
      <c r="AX980" s="1613"/>
      <c r="AY980" s="1613"/>
      <c r="AZ980" s="1613"/>
      <c r="BA980" s="1613"/>
      <c r="BB980" s="1613"/>
      <c r="BC980" s="1613"/>
      <c r="BD980" s="1613"/>
      <c r="BE980" s="1613"/>
      <c r="BF980" s="1613"/>
      <c r="BG980" s="1613"/>
      <c r="BH980" s="1613"/>
      <c r="BI980" s="1613"/>
      <c r="BJ980" s="1613"/>
      <c r="BK980" s="1613"/>
      <c r="BL980" s="1613"/>
      <c r="BM980" s="1613"/>
      <c r="BN980" s="1613">
        <v>0</v>
      </c>
      <c r="BO980" s="1613"/>
      <c r="BP980" s="1613"/>
      <c r="BQ980" s="1613">
        <v>1</v>
      </c>
      <c r="BR980" s="1613"/>
      <c r="BS980" s="1613"/>
      <c r="BT980" s="1670">
        <f t="shared" si="583"/>
        <v>1</v>
      </c>
      <c r="BV980" s="1614" t="s">
        <v>2071</v>
      </c>
      <c r="BW980" s="1620" t="s">
        <v>693</v>
      </c>
    </row>
    <row r="981" spans="1:75" s="164" customFormat="1" ht="12.75" customHeight="1" x14ac:dyDescent="0.15">
      <c r="B981"/>
      <c r="C981" s="219" t="s">
        <v>1120</v>
      </c>
      <c r="F981" s="4" t="s">
        <v>1459</v>
      </c>
      <c r="G981" s="876"/>
      <c r="H981" s="1425" t="s">
        <v>1508</v>
      </c>
      <c r="I981" s="197"/>
      <c r="J981" s="174"/>
      <c r="K981" s="1127">
        <v>0</v>
      </c>
      <c r="L981" s="1123">
        <f>SUM(L978:L980)</f>
        <v>3</v>
      </c>
      <c r="M981" s="1123">
        <f>SUM(M978:M980)</f>
        <v>3</v>
      </c>
      <c r="N981" s="799"/>
      <c r="O981" s="1200"/>
      <c r="P981" s="550"/>
      <c r="Q981" s="1153"/>
      <c r="R981" s="877"/>
      <c r="S981" s="875"/>
      <c r="T981" s="875"/>
      <c r="U981" s="875"/>
      <c r="V981" s="875"/>
      <c r="W981" s="875"/>
      <c r="X981" s="1026"/>
      <c r="Y981" s="1335"/>
      <c r="Z981" s="1335"/>
      <c r="AA981" s="1775"/>
      <c r="AB981" s="1814"/>
      <c r="AC981" s="876"/>
      <c r="AD981" s="1295"/>
      <c r="AE981" s="1525"/>
      <c r="AF981" s="1525"/>
      <c r="AG981" s="1525"/>
      <c r="AH981" s="1525"/>
      <c r="AI981" s="1525"/>
      <c r="AJ981" s="1525"/>
      <c r="AK981" s="1525"/>
      <c r="AL981" s="1525"/>
      <c r="AM981" s="1525"/>
      <c r="AN981" s="1525"/>
      <c r="AO981" s="1525"/>
      <c r="AP981" s="1525"/>
      <c r="AQ981" s="1525"/>
      <c r="AR981" s="1525"/>
      <c r="AS981" s="1525"/>
      <c r="AU981" s="1525"/>
      <c r="AV981" s="1295"/>
      <c r="AW981" s="1525"/>
      <c r="AX981" s="1525"/>
      <c r="AY981" s="1525"/>
      <c r="AZ981" s="1525"/>
      <c r="BA981" s="1525"/>
      <c r="BB981" s="1525"/>
      <c r="BC981" s="1525"/>
      <c r="BD981" s="1525"/>
      <c r="BE981" s="1525"/>
      <c r="BF981" s="1525"/>
      <c r="BG981" s="1525"/>
      <c r="BH981" s="1525"/>
      <c r="BI981" s="1525"/>
      <c r="BJ981" s="1525"/>
      <c r="BK981" s="1525"/>
      <c r="BL981" s="1525"/>
      <c r="BM981" s="1525"/>
      <c r="BN981" s="1525"/>
      <c r="BO981" s="1525"/>
      <c r="BP981" s="1525"/>
      <c r="BQ981" s="1525"/>
      <c r="BR981" s="1525"/>
      <c r="BS981" s="1525"/>
      <c r="BT981" s="1670"/>
      <c r="BV981"/>
      <c r="BW981" s="876"/>
    </row>
    <row r="982" spans="1:75" ht="12.75" customHeight="1" x14ac:dyDescent="0.2">
      <c r="B982" s="175"/>
      <c r="C982" s="219"/>
      <c r="E982" s="12"/>
      <c r="F982" s="17"/>
      <c r="G982" s="799"/>
      <c r="H982" s="1413" t="s">
        <v>1508</v>
      </c>
      <c r="I982" s="200"/>
      <c r="J982" s="290"/>
      <c r="K982" s="290"/>
      <c r="L982" s="861"/>
      <c r="M982" s="858"/>
      <c r="N982" s="832"/>
      <c r="O982" s="1193"/>
      <c r="P982" s="1218"/>
      <c r="Q982" s="1148"/>
      <c r="R982" s="874"/>
      <c r="S982" s="875"/>
      <c r="T982" s="877"/>
      <c r="U982" s="877"/>
      <c r="V982" s="877"/>
      <c r="W982" s="875"/>
      <c r="X982" s="1026"/>
      <c r="Y982" s="1754"/>
      <c r="Z982" s="1755"/>
      <c r="AA982" s="1775"/>
      <c r="AB982" s="1814"/>
      <c r="AC982" s="876"/>
      <c r="AD982" s="1295"/>
      <c r="AE982" s="1525"/>
      <c r="AF982" s="1525"/>
      <c r="AG982" s="1525"/>
      <c r="AH982" s="1525"/>
      <c r="AI982" s="1525"/>
      <c r="AJ982" s="1525"/>
      <c r="AK982" s="1525"/>
      <c r="AL982" s="1525"/>
      <c r="AM982" s="1525"/>
      <c r="AN982" s="1525"/>
      <c r="AO982" s="1525"/>
      <c r="AP982" s="1525"/>
      <c r="AQ982" s="1525"/>
      <c r="AR982" s="1525"/>
      <c r="AS982" s="1525"/>
      <c r="AU982" s="1525"/>
      <c r="AV982" s="1291"/>
      <c r="AW982" s="1292"/>
      <c r="AX982" s="1292"/>
      <c r="AY982" s="1292"/>
      <c r="AZ982" s="1292"/>
      <c r="BA982" s="1292"/>
      <c r="BB982" s="1292"/>
      <c r="BC982" s="1292"/>
      <c r="BD982" s="1292"/>
      <c r="BE982" s="1292"/>
      <c r="BF982" s="1292"/>
      <c r="BG982" s="1292"/>
      <c r="BH982" s="1292"/>
      <c r="BI982" s="1292"/>
      <c r="BJ982" s="1292"/>
      <c r="BK982" s="1292"/>
      <c r="BL982" s="1292"/>
      <c r="BM982" s="1292"/>
      <c r="BN982" s="1292"/>
      <c r="BO982" s="1292"/>
      <c r="BP982" s="1292"/>
      <c r="BQ982" s="1292"/>
      <c r="BR982" s="1292"/>
      <c r="BS982" s="1292"/>
      <c r="BT982" s="1670"/>
      <c r="BW982" s="799"/>
    </row>
    <row r="983" spans="1:75" ht="12.75" customHeight="1" x14ac:dyDescent="0.2">
      <c r="B983"/>
      <c r="C983" s="219"/>
      <c r="E983" s="12"/>
      <c r="F983" s="65" t="s">
        <v>1700</v>
      </c>
      <c r="G983" s="799"/>
      <c r="H983" s="1413" t="s">
        <v>1508</v>
      </c>
      <c r="I983" s="200"/>
      <c r="J983" s="290"/>
      <c r="K983" s="290"/>
      <c r="L983" s="861"/>
      <c r="M983" s="858"/>
      <c r="N983" s="832"/>
      <c r="O983" s="1193"/>
      <c r="P983" s="1218"/>
      <c r="Q983" s="1148"/>
      <c r="R983" s="874"/>
      <c r="S983" s="875"/>
      <c r="T983" s="877"/>
      <c r="U983" s="877"/>
      <c r="V983" s="877"/>
      <c r="W983" s="875"/>
      <c r="X983" s="1026"/>
      <c r="Y983" s="1754"/>
      <c r="Z983" s="1755"/>
      <c r="AA983" s="1775"/>
      <c r="AB983" s="1814"/>
      <c r="AC983" s="876"/>
      <c r="AD983" s="1295"/>
      <c r="AE983" s="1525"/>
      <c r="AF983" s="1525"/>
      <c r="AG983" s="1525"/>
      <c r="AH983" s="1525"/>
      <c r="AI983" s="1525"/>
      <c r="AJ983" s="1525"/>
      <c r="AK983" s="1525"/>
      <c r="AL983" s="1525"/>
      <c r="AM983" s="1525"/>
      <c r="AN983" s="1525"/>
      <c r="AO983" s="1525"/>
      <c r="AP983" s="1525"/>
      <c r="AQ983" s="1525"/>
      <c r="AR983" s="1525"/>
      <c r="AS983" s="1525"/>
      <c r="AU983" s="1525"/>
      <c r="AV983" s="1291"/>
      <c r="AW983" s="1292"/>
      <c r="AX983" s="1292"/>
      <c r="AY983" s="1292"/>
      <c r="AZ983" s="1292"/>
      <c r="BA983" s="1292"/>
      <c r="BB983" s="1292"/>
      <c r="BC983" s="1292"/>
      <c r="BD983" s="1292"/>
      <c r="BE983" s="1292"/>
      <c r="BF983" s="1292"/>
      <c r="BG983" s="1292"/>
      <c r="BH983" s="1292"/>
      <c r="BI983" s="1292"/>
      <c r="BJ983" s="1292"/>
      <c r="BK983" s="1292"/>
      <c r="BL983" s="1292"/>
      <c r="BM983" s="1292"/>
      <c r="BN983" s="1292"/>
      <c r="BO983" s="1292"/>
      <c r="BP983" s="1292"/>
      <c r="BQ983" s="1292"/>
      <c r="BR983" s="1292"/>
      <c r="BS983" s="1292"/>
      <c r="BT983" s="1670"/>
      <c r="BW983" s="799"/>
    </row>
    <row r="984" spans="1:75" ht="12.75" customHeight="1" x14ac:dyDescent="0.2">
      <c r="B984" s="175"/>
      <c r="C984" s="219"/>
      <c r="E984" s="12"/>
      <c r="F984" s="17"/>
      <c r="G984" s="799"/>
      <c r="H984" s="1413" t="s">
        <v>1508</v>
      </c>
      <c r="I984" s="200"/>
      <c r="J984" s="290"/>
      <c r="K984" s="290"/>
      <c r="L984" s="861"/>
      <c r="M984" s="858"/>
      <c r="N984" s="832"/>
      <c r="O984" s="1193"/>
      <c r="P984" s="1218"/>
      <c r="Q984" s="1148"/>
      <c r="R984" s="874"/>
      <c r="S984" s="875"/>
      <c r="T984" s="877"/>
      <c r="U984" s="877"/>
      <c r="V984" s="877"/>
      <c r="W984" s="875"/>
      <c r="X984" s="1026"/>
      <c r="Y984" s="1754"/>
      <c r="Z984" s="1755"/>
      <c r="AA984" s="1775"/>
      <c r="AB984" s="1814"/>
      <c r="AC984" s="876"/>
      <c r="AD984" s="1295"/>
      <c r="AE984" s="1525"/>
      <c r="AF984" s="1525"/>
      <c r="AG984" s="1525"/>
      <c r="AH984" s="1525"/>
      <c r="AI984" s="1525"/>
      <c r="AJ984" s="1525"/>
      <c r="AK984" s="1525"/>
      <c r="AL984" s="1525"/>
      <c r="AM984" s="1525"/>
      <c r="AN984" s="1525"/>
      <c r="AO984" s="1525"/>
      <c r="AP984" s="1525"/>
      <c r="AQ984" s="1525"/>
      <c r="AR984" s="1525"/>
      <c r="AS984" s="1525"/>
      <c r="AU984" s="1525"/>
      <c r="AV984" s="1291"/>
      <c r="AW984" s="1292"/>
      <c r="AX984" s="1292"/>
      <c r="AY984" s="1292"/>
      <c r="AZ984" s="1292"/>
      <c r="BA984" s="1292"/>
      <c r="BB984" s="1292"/>
      <c r="BC984" s="1292"/>
      <c r="BD984" s="1292"/>
      <c r="BE984" s="1292"/>
      <c r="BF984" s="1292"/>
      <c r="BG984" s="1292"/>
      <c r="BH984" s="1292"/>
      <c r="BI984" s="1292"/>
      <c r="BJ984" s="1292"/>
      <c r="BK984" s="1292"/>
      <c r="BL984" s="1292"/>
      <c r="BM984" s="1292"/>
      <c r="BN984" s="1292"/>
      <c r="BO984" s="1292"/>
      <c r="BP984" s="1292"/>
      <c r="BQ984" s="1292"/>
      <c r="BR984" s="1292"/>
      <c r="BS984" s="1292"/>
      <c r="BT984" s="1670"/>
      <c r="BW984" s="799"/>
    </row>
    <row r="985" spans="1:75" ht="12.75" customHeight="1" x14ac:dyDescent="0.2">
      <c r="B985">
        <f t="shared" si="577"/>
        <v>1</v>
      </c>
      <c r="C985" s="573">
        <v>5</v>
      </c>
      <c r="E985" s="472" t="s">
        <v>1561</v>
      </c>
      <c r="F985" s="647" t="s">
        <v>166</v>
      </c>
      <c r="G985" s="876" t="s">
        <v>570</v>
      </c>
      <c r="H985" s="1413">
        <v>40667</v>
      </c>
      <c r="I985" s="200" t="s">
        <v>351</v>
      </c>
      <c r="J985" s="290"/>
      <c r="K985" s="236"/>
      <c r="L985" s="841">
        <v>1</v>
      </c>
      <c r="M985" s="858">
        <f>K985+L985</f>
        <v>1</v>
      </c>
      <c r="N985" s="832" t="s">
        <v>892</v>
      </c>
      <c r="O985" s="1196">
        <v>22209</v>
      </c>
      <c r="P985" s="1218">
        <f t="shared" ref="P985:P998" ca="1" si="584">YEARFRAC(TODAY(),O985)</f>
        <v>56.95</v>
      </c>
      <c r="Q985" s="1148">
        <v>46750</v>
      </c>
      <c r="R985" s="874"/>
      <c r="S985" s="875">
        <v>3000</v>
      </c>
      <c r="T985" s="875">
        <v>7000</v>
      </c>
      <c r="U985" s="877"/>
      <c r="V985" s="877"/>
      <c r="W985" s="875"/>
      <c r="X985" s="1026">
        <f t="shared" ref="X985:X998" si="585">(Q985+R985+S985+T985+U985+V985+W985)*M985</f>
        <v>56750</v>
      </c>
      <c r="Y985" s="1512">
        <f t="shared" ref="Y985:Y998" si="586">(T985+U985)*M985/(X985-M985*(T985+U985))</f>
        <v>0.1407035175879397</v>
      </c>
      <c r="Z985" s="1741">
        <f t="shared" ref="Z985:Z998" si="587">M985*(1+Y985)</f>
        <v>1.1407035175879396</v>
      </c>
      <c r="AA985" s="1749">
        <f t="shared" ref="AA985:AA998" si="588">SUM(AD985:AS985)</f>
        <v>1</v>
      </c>
      <c r="AB985" s="1810">
        <f t="shared" ref="AB985:AB998" si="589">100*AA985/Z985</f>
        <v>87.665198237885463</v>
      </c>
      <c r="AC985" s="876"/>
      <c r="AD985" s="1525">
        <f t="shared" ref="AD985:AS998" si="590">SUMIF($AV$6:$BS$6,AD$5,$AV985:$BS985)</f>
        <v>0</v>
      </c>
      <c r="AE985" s="1525">
        <f t="shared" si="590"/>
        <v>0</v>
      </c>
      <c r="AF985" s="1525">
        <f t="shared" si="590"/>
        <v>0</v>
      </c>
      <c r="AG985" s="1525">
        <f t="shared" si="590"/>
        <v>0</v>
      </c>
      <c r="AH985" s="1525">
        <f t="shared" si="590"/>
        <v>1</v>
      </c>
      <c r="AI985" s="1525">
        <f t="shared" si="590"/>
        <v>0</v>
      </c>
      <c r="AJ985" s="1525">
        <f t="shared" si="590"/>
        <v>0</v>
      </c>
      <c r="AK985" s="1525">
        <f t="shared" si="590"/>
        <v>0</v>
      </c>
      <c r="AL985" s="1525">
        <f t="shared" si="590"/>
        <v>0</v>
      </c>
      <c r="AM985" s="1525">
        <f t="shared" si="590"/>
        <v>0</v>
      </c>
      <c r="AN985" s="1525">
        <f t="shared" si="590"/>
        <v>0</v>
      </c>
      <c r="AO985" s="1525">
        <f t="shared" si="590"/>
        <v>0</v>
      </c>
      <c r="AP985" s="1525">
        <f t="shared" si="590"/>
        <v>0</v>
      </c>
      <c r="AQ985" s="1525">
        <f t="shared" si="590"/>
        <v>0</v>
      </c>
      <c r="AR985" s="1525">
        <f t="shared" si="590"/>
        <v>0</v>
      </c>
      <c r="AS985" s="1525">
        <f t="shared" si="590"/>
        <v>0</v>
      </c>
      <c r="AU985" s="1525"/>
      <c r="AV985" s="1291"/>
      <c r="AW985" s="1292"/>
      <c r="AX985" s="1292"/>
      <c r="AY985" s="1292"/>
      <c r="AZ985" s="1292">
        <v>1</v>
      </c>
      <c r="BA985" s="1292"/>
      <c r="BB985" s="1292"/>
      <c r="BC985" s="1292"/>
      <c r="BD985" s="1292"/>
      <c r="BE985" s="1292"/>
      <c r="BF985" s="1292"/>
      <c r="BG985" s="1292"/>
      <c r="BH985" s="1292"/>
      <c r="BI985" s="1292"/>
      <c r="BJ985" s="1292"/>
      <c r="BK985" s="1292"/>
      <c r="BL985" s="1292"/>
      <c r="BM985" s="1292"/>
      <c r="BN985" s="1292"/>
      <c r="BO985" s="1292"/>
      <c r="BP985" s="1292"/>
      <c r="BQ985" s="1292"/>
      <c r="BR985" s="1292"/>
      <c r="BS985" s="1292"/>
      <c r="BT985" s="1670">
        <f t="shared" ref="BT985:BT998" si="591">SUM(AV985:BS985)</f>
        <v>1</v>
      </c>
      <c r="BW985" s="876" t="s">
        <v>570</v>
      </c>
    </row>
    <row r="986" spans="1:75" ht="12.75" customHeight="1" x14ac:dyDescent="0.2">
      <c r="B986" s="175">
        <f t="shared" si="577"/>
        <v>2</v>
      </c>
      <c r="C986" s="219">
        <v>7</v>
      </c>
      <c r="E986" s="472" t="s">
        <v>1561</v>
      </c>
      <c r="F986" s="30" t="s">
        <v>1334</v>
      </c>
      <c r="G986" s="844" t="s">
        <v>543</v>
      </c>
      <c r="H986" s="1413">
        <v>5171</v>
      </c>
      <c r="I986" s="200" t="s">
        <v>351</v>
      </c>
      <c r="J986" s="290"/>
      <c r="K986" s="290"/>
      <c r="L986" s="841">
        <v>1</v>
      </c>
      <c r="M986" s="858">
        <f>K986+L986</f>
        <v>1</v>
      </c>
      <c r="N986" s="832" t="s">
        <v>892</v>
      </c>
      <c r="O986" s="1196">
        <v>15100</v>
      </c>
      <c r="P986" s="1218">
        <f t="shared" ca="1" si="584"/>
        <v>76.411111111111111</v>
      </c>
      <c r="Q986" s="1148">
        <v>39550</v>
      </c>
      <c r="R986" s="874"/>
      <c r="S986" s="875">
        <v>3000</v>
      </c>
      <c r="T986" s="875"/>
      <c r="U986" s="877"/>
      <c r="V986" s="877"/>
      <c r="W986" s="875"/>
      <c r="X986" s="1026">
        <f t="shared" si="585"/>
        <v>42550</v>
      </c>
      <c r="Y986" s="1512">
        <f t="shared" si="586"/>
        <v>0</v>
      </c>
      <c r="Z986" s="1741">
        <f t="shared" si="587"/>
        <v>1</v>
      </c>
      <c r="AA986" s="1749">
        <f t="shared" si="588"/>
        <v>1</v>
      </c>
      <c r="AB986" s="1810">
        <f t="shared" si="589"/>
        <v>100</v>
      </c>
      <c r="AC986" s="876"/>
      <c r="AD986" s="1525">
        <f t="shared" si="590"/>
        <v>0</v>
      </c>
      <c r="AE986" s="1525">
        <f t="shared" si="590"/>
        <v>0</v>
      </c>
      <c r="AF986" s="1525">
        <f t="shared" si="590"/>
        <v>0</v>
      </c>
      <c r="AG986" s="1525">
        <f t="shared" si="590"/>
        <v>0</v>
      </c>
      <c r="AH986" s="1525">
        <f t="shared" si="590"/>
        <v>1</v>
      </c>
      <c r="AI986" s="1525">
        <f t="shared" si="590"/>
        <v>0</v>
      </c>
      <c r="AJ986" s="1525">
        <f t="shared" si="590"/>
        <v>0</v>
      </c>
      <c r="AK986" s="1525">
        <f t="shared" si="590"/>
        <v>0</v>
      </c>
      <c r="AL986" s="1525">
        <f t="shared" si="590"/>
        <v>0</v>
      </c>
      <c r="AM986" s="1525">
        <f t="shared" si="590"/>
        <v>0</v>
      </c>
      <c r="AN986" s="1525">
        <f t="shared" si="590"/>
        <v>0</v>
      </c>
      <c r="AO986" s="1525">
        <f t="shared" si="590"/>
        <v>0</v>
      </c>
      <c r="AP986" s="1525">
        <f t="shared" si="590"/>
        <v>0</v>
      </c>
      <c r="AQ986" s="1525">
        <f t="shared" si="590"/>
        <v>0</v>
      </c>
      <c r="AR986" s="1525">
        <f t="shared" si="590"/>
        <v>0</v>
      </c>
      <c r="AS986" s="1525">
        <f t="shared" si="590"/>
        <v>0</v>
      </c>
      <c r="AU986" s="1525"/>
      <c r="AV986" s="1291"/>
      <c r="AW986" s="1292"/>
      <c r="AX986" s="1292"/>
      <c r="AY986" s="1292"/>
      <c r="AZ986" s="1292">
        <v>1</v>
      </c>
      <c r="BA986" s="1292"/>
      <c r="BB986" s="1292"/>
      <c r="BC986" s="1292"/>
      <c r="BD986" s="1292"/>
      <c r="BE986" s="1292"/>
      <c r="BF986" s="1292"/>
      <c r="BG986" s="1292"/>
      <c r="BH986" s="1292"/>
      <c r="BI986" s="1292"/>
      <c r="BJ986" s="1292"/>
      <c r="BK986" s="1292"/>
      <c r="BL986" s="1292"/>
      <c r="BM986" s="1292"/>
      <c r="BN986" s="1292"/>
      <c r="BO986" s="1292"/>
      <c r="BP986" s="1292"/>
      <c r="BQ986" s="1292"/>
      <c r="BR986" s="1292"/>
      <c r="BS986" s="1292"/>
      <c r="BT986" s="1670">
        <f t="shared" si="591"/>
        <v>1</v>
      </c>
      <c r="BW986" s="844" t="s">
        <v>543</v>
      </c>
    </row>
    <row r="987" spans="1:75" ht="12.75" customHeight="1" x14ac:dyDescent="0.2">
      <c r="B987">
        <f t="shared" si="577"/>
        <v>3</v>
      </c>
      <c r="C987" s="219">
        <v>7</v>
      </c>
      <c r="E987" s="472" t="s">
        <v>1561</v>
      </c>
      <c r="F987" s="30" t="s">
        <v>1334</v>
      </c>
      <c r="G987" s="844" t="s">
        <v>1907</v>
      </c>
      <c r="H987" s="1413">
        <v>4050</v>
      </c>
      <c r="I987" s="200" t="s">
        <v>351</v>
      </c>
      <c r="J987" s="290"/>
      <c r="K987" s="290"/>
      <c r="L987" s="841">
        <v>1</v>
      </c>
      <c r="M987" s="858">
        <v>1</v>
      </c>
      <c r="N987" s="832" t="s">
        <v>892</v>
      </c>
      <c r="O987" s="1196">
        <v>16630</v>
      </c>
      <c r="P987" s="1218">
        <f t="shared" ca="1" si="584"/>
        <v>72.222222222222229</v>
      </c>
      <c r="Q987" s="1148">
        <v>39550</v>
      </c>
      <c r="R987" s="874"/>
      <c r="S987" s="875">
        <v>7000</v>
      </c>
      <c r="T987" s="877"/>
      <c r="U987" s="877"/>
      <c r="V987" s="877"/>
      <c r="W987" s="875"/>
      <c r="X987" s="1026">
        <f t="shared" si="585"/>
        <v>46550</v>
      </c>
      <c r="Y987" s="1512">
        <f t="shared" si="586"/>
        <v>0</v>
      </c>
      <c r="Z987" s="1741">
        <f t="shared" si="587"/>
        <v>1</v>
      </c>
      <c r="AA987" s="1749">
        <f t="shared" si="588"/>
        <v>1</v>
      </c>
      <c r="AB987" s="1810">
        <f t="shared" si="589"/>
        <v>100</v>
      </c>
      <c r="AC987" s="876"/>
      <c r="AD987" s="1525">
        <f t="shared" si="590"/>
        <v>0</v>
      </c>
      <c r="AE987" s="1525">
        <f t="shared" si="590"/>
        <v>0</v>
      </c>
      <c r="AF987" s="1525">
        <f t="shared" si="590"/>
        <v>0</v>
      </c>
      <c r="AG987" s="1525">
        <f t="shared" si="590"/>
        <v>0</v>
      </c>
      <c r="AH987" s="1525">
        <f t="shared" si="590"/>
        <v>1</v>
      </c>
      <c r="AI987" s="1525">
        <f t="shared" si="590"/>
        <v>0</v>
      </c>
      <c r="AJ987" s="1525">
        <f t="shared" si="590"/>
        <v>0</v>
      </c>
      <c r="AK987" s="1525">
        <f t="shared" si="590"/>
        <v>0</v>
      </c>
      <c r="AL987" s="1525">
        <f t="shared" si="590"/>
        <v>0</v>
      </c>
      <c r="AM987" s="1525">
        <f t="shared" si="590"/>
        <v>0</v>
      </c>
      <c r="AN987" s="1525">
        <f t="shared" si="590"/>
        <v>0</v>
      </c>
      <c r="AO987" s="1525">
        <f t="shared" si="590"/>
        <v>0</v>
      </c>
      <c r="AP987" s="1525">
        <f t="shared" si="590"/>
        <v>0</v>
      </c>
      <c r="AQ987" s="1525">
        <f t="shared" si="590"/>
        <v>0</v>
      </c>
      <c r="AR987" s="1525">
        <f t="shared" si="590"/>
        <v>0</v>
      </c>
      <c r="AS987" s="1525">
        <f t="shared" si="590"/>
        <v>0</v>
      </c>
      <c r="AU987" s="1525"/>
      <c r="AV987" s="1291"/>
      <c r="AW987" s="1292"/>
      <c r="AX987" s="1292"/>
      <c r="AY987" s="1292"/>
      <c r="AZ987" s="1292">
        <v>1</v>
      </c>
      <c r="BA987" s="1292"/>
      <c r="BB987" s="1292"/>
      <c r="BC987" s="1292"/>
      <c r="BD987" s="1292"/>
      <c r="BE987" s="1292"/>
      <c r="BF987" s="1292"/>
      <c r="BG987" s="1292"/>
      <c r="BH987" s="1292"/>
      <c r="BI987" s="1292"/>
      <c r="BJ987" s="1292"/>
      <c r="BK987" s="1292"/>
      <c r="BL987" s="1292"/>
      <c r="BM987" s="1292"/>
      <c r="BN987" s="1292"/>
      <c r="BO987" s="1292"/>
      <c r="BP987" s="1292"/>
      <c r="BQ987" s="1292"/>
      <c r="BR987" s="1292"/>
      <c r="BS987" s="1292"/>
      <c r="BT987" s="1670">
        <f t="shared" si="591"/>
        <v>1</v>
      </c>
      <c r="BW987" s="844" t="s">
        <v>1907</v>
      </c>
    </row>
    <row r="988" spans="1:75" ht="12.75" customHeight="1" x14ac:dyDescent="0.2">
      <c r="B988" s="175">
        <f t="shared" si="577"/>
        <v>4</v>
      </c>
      <c r="C988" s="219">
        <v>7</v>
      </c>
      <c r="E988" s="472" t="s">
        <v>1561</v>
      </c>
      <c r="F988" s="30" t="s">
        <v>1334</v>
      </c>
      <c r="G988" s="844" t="s">
        <v>1908</v>
      </c>
      <c r="H988" s="1413">
        <v>241110</v>
      </c>
      <c r="I988" s="200" t="s">
        <v>351</v>
      </c>
      <c r="J988" s="290"/>
      <c r="K988" s="290"/>
      <c r="L988" s="841">
        <v>1</v>
      </c>
      <c r="M988" s="858">
        <v>1</v>
      </c>
      <c r="N988" s="968" t="s">
        <v>892</v>
      </c>
      <c r="O988" s="1196">
        <v>20214</v>
      </c>
      <c r="P988" s="1218">
        <f t="shared" ca="1" si="584"/>
        <v>62.408333333333331</v>
      </c>
      <c r="Q988" s="1148">
        <v>35300</v>
      </c>
      <c r="R988" s="874"/>
      <c r="S988" s="875">
        <v>3000</v>
      </c>
      <c r="T988" s="877"/>
      <c r="U988" s="877"/>
      <c r="V988" s="877"/>
      <c r="W988" s="875"/>
      <c r="X988" s="1026">
        <f t="shared" si="585"/>
        <v>38300</v>
      </c>
      <c r="Y988" s="1512">
        <f t="shared" si="586"/>
        <v>0</v>
      </c>
      <c r="Z988" s="1741">
        <f t="shared" si="587"/>
        <v>1</v>
      </c>
      <c r="AA988" s="1749">
        <f t="shared" si="588"/>
        <v>1</v>
      </c>
      <c r="AB988" s="1810">
        <f t="shared" si="589"/>
        <v>100</v>
      </c>
      <c r="AC988" s="876"/>
      <c r="AD988" s="1525">
        <f t="shared" si="590"/>
        <v>0</v>
      </c>
      <c r="AE988" s="1525">
        <f t="shared" si="590"/>
        <v>0</v>
      </c>
      <c r="AF988" s="1525">
        <f t="shared" si="590"/>
        <v>0</v>
      </c>
      <c r="AG988" s="1525">
        <f t="shared" si="590"/>
        <v>0</v>
      </c>
      <c r="AH988" s="1525">
        <f t="shared" si="590"/>
        <v>1</v>
      </c>
      <c r="AI988" s="1525">
        <f t="shared" si="590"/>
        <v>0</v>
      </c>
      <c r="AJ988" s="1525">
        <f t="shared" si="590"/>
        <v>0</v>
      </c>
      <c r="AK988" s="1525">
        <f t="shared" si="590"/>
        <v>0</v>
      </c>
      <c r="AL988" s="1525">
        <f t="shared" si="590"/>
        <v>0</v>
      </c>
      <c r="AM988" s="1525">
        <f t="shared" si="590"/>
        <v>0</v>
      </c>
      <c r="AN988" s="1525">
        <f t="shared" si="590"/>
        <v>0</v>
      </c>
      <c r="AO988" s="1525">
        <f t="shared" si="590"/>
        <v>0</v>
      </c>
      <c r="AP988" s="1525">
        <f t="shared" si="590"/>
        <v>0</v>
      </c>
      <c r="AQ988" s="1525">
        <f t="shared" si="590"/>
        <v>0</v>
      </c>
      <c r="AR988" s="1525">
        <f t="shared" si="590"/>
        <v>0</v>
      </c>
      <c r="AS988" s="1525">
        <f t="shared" si="590"/>
        <v>0</v>
      </c>
      <c r="AU988" s="1525"/>
      <c r="AV988" s="1291"/>
      <c r="AW988" s="1292"/>
      <c r="AX988" s="1292"/>
      <c r="AY988" s="1292"/>
      <c r="AZ988" s="1292">
        <v>1</v>
      </c>
      <c r="BA988" s="1292"/>
      <c r="BB988" s="1292"/>
      <c r="BC988" s="1292"/>
      <c r="BD988" s="1292"/>
      <c r="BE988" s="1292"/>
      <c r="BF988" s="1292"/>
      <c r="BG988" s="1292"/>
      <c r="BH988" s="1292"/>
      <c r="BI988" s="1292"/>
      <c r="BJ988" s="1292"/>
      <c r="BK988" s="1292"/>
      <c r="BL988" s="1292"/>
      <c r="BM988" s="1292"/>
      <c r="BN988" s="1292"/>
      <c r="BO988" s="1292"/>
      <c r="BP988" s="1292"/>
      <c r="BQ988" s="1292"/>
      <c r="BR988" s="1292"/>
      <c r="BS988" s="1292"/>
      <c r="BT988" s="1670">
        <f t="shared" si="591"/>
        <v>1</v>
      </c>
      <c r="BW988" s="844" t="s">
        <v>1908</v>
      </c>
    </row>
    <row r="989" spans="1:75" ht="12.75" customHeight="1" x14ac:dyDescent="0.2">
      <c r="B989">
        <f t="shared" si="577"/>
        <v>5</v>
      </c>
      <c r="C989" s="219">
        <v>7</v>
      </c>
      <c r="E989" s="472" t="s">
        <v>1561</v>
      </c>
      <c r="F989" s="30" t="s">
        <v>1334</v>
      </c>
      <c r="G989" s="844" t="s">
        <v>1911</v>
      </c>
      <c r="H989" s="1413">
        <v>7518</v>
      </c>
      <c r="I989" s="200" t="s">
        <v>351</v>
      </c>
      <c r="J989" s="290"/>
      <c r="K989" s="290"/>
      <c r="L989" s="841">
        <v>0.1</v>
      </c>
      <c r="M989" s="858">
        <f>K989+L989</f>
        <v>0.1</v>
      </c>
      <c r="N989" s="832" t="s">
        <v>892</v>
      </c>
      <c r="O989" s="1196">
        <v>16948</v>
      </c>
      <c r="P989" s="1218">
        <f t="shared" ca="1" si="584"/>
        <v>71.349999999999994</v>
      </c>
      <c r="Q989" s="1148">
        <v>22600</v>
      </c>
      <c r="R989" s="874"/>
      <c r="S989" s="875">
        <v>7000</v>
      </c>
      <c r="T989" s="875"/>
      <c r="U989" s="877"/>
      <c r="V989" s="877"/>
      <c r="W989" s="875"/>
      <c r="X989" s="1026">
        <f t="shared" si="585"/>
        <v>2960</v>
      </c>
      <c r="Y989" s="1512">
        <f t="shared" si="586"/>
        <v>0</v>
      </c>
      <c r="Z989" s="1741">
        <f t="shared" si="587"/>
        <v>0.1</v>
      </c>
      <c r="AA989" s="1749">
        <f t="shared" si="588"/>
        <v>0.1</v>
      </c>
      <c r="AB989" s="1810">
        <f t="shared" si="589"/>
        <v>100</v>
      </c>
      <c r="AC989" s="876"/>
      <c r="AD989" s="1525">
        <f t="shared" si="590"/>
        <v>0</v>
      </c>
      <c r="AE989" s="1525">
        <f t="shared" si="590"/>
        <v>0</v>
      </c>
      <c r="AF989" s="1525">
        <f t="shared" si="590"/>
        <v>0</v>
      </c>
      <c r="AG989" s="1525">
        <f t="shared" si="590"/>
        <v>0</v>
      </c>
      <c r="AH989" s="1525">
        <f t="shared" si="590"/>
        <v>0.1</v>
      </c>
      <c r="AI989" s="1525">
        <f t="shared" si="590"/>
        <v>0</v>
      </c>
      <c r="AJ989" s="1525">
        <f t="shared" si="590"/>
        <v>0</v>
      </c>
      <c r="AK989" s="1525">
        <f t="shared" si="590"/>
        <v>0</v>
      </c>
      <c r="AL989" s="1525">
        <f t="shared" si="590"/>
        <v>0</v>
      </c>
      <c r="AM989" s="1525">
        <f t="shared" si="590"/>
        <v>0</v>
      </c>
      <c r="AN989" s="1525">
        <f t="shared" si="590"/>
        <v>0</v>
      </c>
      <c r="AO989" s="1525">
        <f t="shared" si="590"/>
        <v>0</v>
      </c>
      <c r="AP989" s="1525">
        <f t="shared" si="590"/>
        <v>0</v>
      </c>
      <c r="AQ989" s="1525">
        <f t="shared" si="590"/>
        <v>0</v>
      </c>
      <c r="AR989" s="1525">
        <f t="shared" si="590"/>
        <v>0</v>
      </c>
      <c r="AS989" s="1525">
        <f t="shared" si="590"/>
        <v>0</v>
      </c>
      <c r="AU989" s="1525"/>
      <c r="AV989" s="1291"/>
      <c r="AW989" s="1292"/>
      <c r="AX989" s="1292"/>
      <c r="AY989" s="1292"/>
      <c r="AZ989" s="1292">
        <v>0.1</v>
      </c>
      <c r="BA989" s="1292"/>
      <c r="BB989" s="1292"/>
      <c r="BC989" s="1292"/>
      <c r="BD989" s="1292"/>
      <c r="BE989" s="1292"/>
      <c r="BF989" s="1292"/>
      <c r="BG989" s="1292"/>
      <c r="BH989" s="1292"/>
      <c r="BI989" s="1292"/>
      <c r="BJ989" s="1292"/>
      <c r="BK989" s="1292"/>
      <c r="BL989" s="1292"/>
      <c r="BM989" s="1292"/>
      <c r="BN989" s="1292"/>
      <c r="BO989" s="1292"/>
      <c r="BP989" s="1292"/>
      <c r="BQ989" s="1292"/>
      <c r="BR989" s="1292"/>
      <c r="BS989" s="1292"/>
      <c r="BT989" s="1670">
        <f t="shared" si="591"/>
        <v>0.1</v>
      </c>
      <c r="BW989" s="844" t="s">
        <v>1911</v>
      </c>
    </row>
    <row r="990" spans="1:75" ht="12.75" customHeight="1" x14ac:dyDescent="0.2">
      <c r="B990" s="175">
        <f t="shared" si="577"/>
        <v>6</v>
      </c>
      <c r="C990" s="219">
        <v>8</v>
      </c>
      <c r="E990" s="472" t="s">
        <v>1561</v>
      </c>
      <c r="F990" s="58" t="s">
        <v>1073</v>
      </c>
      <c r="G990" s="876" t="s">
        <v>694</v>
      </c>
      <c r="H990" s="1413">
        <v>253544</v>
      </c>
      <c r="I990" s="200" t="s">
        <v>351</v>
      </c>
      <c r="J990" s="290"/>
      <c r="K990" s="290"/>
      <c r="L990" s="841">
        <v>1</v>
      </c>
      <c r="M990" s="858">
        <v>1</v>
      </c>
      <c r="N990" s="831" t="s">
        <v>892</v>
      </c>
      <c r="O990" s="1196">
        <v>30318</v>
      </c>
      <c r="P990" s="1218">
        <f t="shared" ca="1" si="584"/>
        <v>34.75</v>
      </c>
      <c r="Q990" s="1148">
        <v>33300</v>
      </c>
      <c r="R990" s="874"/>
      <c r="S990" s="875">
        <v>3000</v>
      </c>
      <c r="T990" s="877">
        <v>4000</v>
      </c>
      <c r="U990" s="877"/>
      <c r="V990" s="877"/>
      <c r="W990" s="875"/>
      <c r="X990" s="1026">
        <f t="shared" si="585"/>
        <v>40300</v>
      </c>
      <c r="Y990" s="1512">
        <f t="shared" si="586"/>
        <v>0.11019283746556474</v>
      </c>
      <c r="Z990" s="1741">
        <f t="shared" si="587"/>
        <v>1.1101928374655647</v>
      </c>
      <c r="AA990" s="1749">
        <f t="shared" si="588"/>
        <v>1</v>
      </c>
      <c r="AB990" s="1810">
        <f t="shared" si="589"/>
        <v>90.074441687344915</v>
      </c>
      <c r="AC990" s="876"/>
      <c r="AD990" s="1525">
        <f t="shared" si="590"/>
        <v>0</v>
      </c>
      <c r="AE990" s="1525">
        <f t="shared" si="590"/>
        <v>0</v>
      </c>
      <c r="AF990" s="1525">
        <f t="shared" si="590"/>
        <v>0</v>
      </c>
      <c r="AG990" s="1525">
        <f t="shared" si="590"/>
        <v>0</v>
      </c>
      <c r="AH990" s="1525">
        <f t="shared" si="590"/>
        <v>1</v>
      </c>
      <c r="AI990" s="1525">
        <f t="shared" si="590"/>
        <v>0</v>
      </c>
      <c r="AJ990" s="1525">
        <f t="shared" si="590"/>
        <v>0</v>
      </c>
      <c r="AK990" s="1525">
        <f t="shared" si="590"/>
        <v>0</v>
      </c>
      <c r="AL990" s="1525">
        <f t="shared" si="590"/>
        <v>0</v>
      </c>
      <c r="AM990" s="1525">
        <f t="shared" si="590"/>
        <v>0</v>
      </c>
      <c r="AN990" s="1525">
        <f t="shared" si="590"/>
        <v>0</v>
      </c>
      <c r="AO990" s="1525">
        <f t="shared" si="590"/>
        <v>0</v>
      </c>
      <c r="AP990" s="1525">
        <f t="shared" si="590"/>
        <v>0</v>
      </c>
      <c r="AQ990" s="1525">
        <f t="shared" si="590"/>
        <v>0</v>
      </c>
      <c r="AR990" s="1525">
        <f t="shared" si="590"/>
        <v>0</v>
      </c>
      <c r="AS990" s="1525">
        <f t="shared" si="590"/>
        <v>0</v>
      </c>
      <c r="AU990" s="1525"/>
      <c r="AV990" s="1291"/>
      <c r="AW990" s="1292"/>
      <c r="AX990" s="1292"/>
      <c r="AY990" s="1292"/>
      <c r="AZ990" s="1292">
        <v>1</v>
      </c>
      <c r="BA990" s="1292"/>
      <c r="BB990" s="1292"/>
      <c r="BC990" s="1292"/>
      <c r="BD990" s="1292"/>
      <c r="BE990" s="1292"/>
      <c r="BF990" s="1292"/>
      <c r="BG990" s="1292"/>
      <c r="BH990" s="1292"/>
      <c r="BI990" s="1292"/>
      <c r="BJ990" s="1292"/>
      <c r="BK990" s="1292"/>
      <c r="BL990" s="1292"/>
      <c r="BM990" s="1292"/>
      <c r="BN990" s="1292"/>
      <c r="BO990" s="1292"/>
      <c r="BP990" s="1292"/>
      <c r="BQ990" s="1292"/>
      <c r="BR990" s="1292"/>
      <c r="BS990" s="1292"/>
      <c r="BT990" s="1670">
        <f t="shared" si="591"/>
        <v>1</v>
      </c>
      <c r="BW990" s="876" t="s">
        <v>694</v>
      </c>
    </row>
    <row r="991" spans="1:75" ht="12.75" customHeight="1" x14ac:dyDescent="0.2">
      <c r="B991">
        <f t="shared" si="577"/>
        <v>7</v>
      </c>
      <c r="C991" s="219">
        <v>8</v>
      </c>
      <c r="E991" s="472" t="s">
        <v>1561</v>
      </c>
      <c r="F991" s="58" t="s">
        <v>353</v>
      </c>
      <c r="G991" s="844" t="s">
        <v>810</v>
      </c>
      <c r="H991" s="1413">
        <v>15983</v>
      </c>
      <c r="I991" s="200" t="s">
        <v>351</v>
      </c>
      <c r="J991" s="290"/>
      <c r="K991" s="290"/>
      <c r="L991" s="841">
        <v>1</v>
      </c>
      <c r="M991" s="858">
        <f>K991+L991</f>
        <v>1</v>
      </c>
      <c r="N991" s="832" t="s">
        <v>892</v>
      </c>
      <c r="O991" s="1196">
        <v>24837</v>
      </c>
      <c r="P991" s="1218">
        <f t="shared" ca="1" si="584"/>
        <v>49.755555555555553</v>
      </c>
      <c r="Q991" s="1148">
        <v>41450</v>
      </c>
      <c r="R991" s="874"/>
      <c r="S991" s="875">
        <v>3000</v>
      </c>
      <c r="T991" s="875"/>
      <c r="U991" s="877"/>
      <c r="V991" s="877"/>
      <c r="W991" s="875"/>
      <c r="X991" s="1026">
        <f t="shared" si="585"/>
        <v>44450</v>
      </c>
      <c r="Y991" s="1512">
        <f t="shared" si="586"/>
        <v>0</v>
      </c>
      <c r="Z991" s="1741">
        <f t="shared" si="587"/>
        <v>1</v>
      </c>
      <c r="AA991" s="1749">
        <f t="shared" si="588"/>
        <v>1</v>
      </c>
      <c r="AB991" s="1810">
        <f t="shared" si="589"/>
        <v>100</v>
      </c>
      <c r="AC991" s="876"/>
      <c r="AD991" s="1525">
        <f t="shared" si="590"/>
        <v>0</v>
      </c>
      <c r="AE991" s="1525">
        <f t="shared" si="590"/>
        <v>0</v>
      </c>
      <c r="AF991" s="1525">
        <f t="shared" si="590"/>
        <v>0</v>
      </c>
      <c r="AG991" s="1525">
        <f t="shared" si="590"/>
        <v>0</v>
      </c>
      <c r="AH991" s="1525">
        <f t="shared" si="590"/>
        <v>1</v>
      </c>
      <c r="AI991" s="1525">
        <f t="shared" si="590"/>
        <v>0</v>
      </c>
      <c r="AJ991" s="1525">
        <f t="shared" si="590"/>
        <v>0</v>
      </c>
      <c r="AK991" s="1525">
        <f t="shared" si="590"/>
        <v>0</v>
      </c>
      <c r="AL991" s="1525">
        <f t="shared" si="590"/>
        <v>0</v>
      </c>
      <c r="AM991" s="1525">
        <f t="shared" si="590"/>
        <v>0</v>
      </c>
      <c r="AN991" s="1525">
        <f t="shared" si="590"/>
        <v>0</v>
      </c>
      <c r="AO991" s="1525">
        <f t="shared" si="590"/>
        <v>0</v>
      </c>
      <c r="AP991" s="1525">
        <f t="shared" si="590"/>
        <v>0</v>
      </c>
      <c r="AQ991" s="1525">
        <f t="shared" si="590"/>
        <v>0</v>
      </c>
      <c r="AR991" s="1525">
        <f t="shared" si="590"/>
        <v>0</v>
      </c>
      <c r="AS991" s="1525">
        <f t="shared" si="590"/>
        <v>0</v>
      </c>
      <c r="AU991" s="1525"/>
      <c r="AV991" s="1291"/>
      <c r="AW991" s="1292"/>
      <c r="AX991" s="1292"/>
      <c r="AY991" s="1292"/>
      <c r="AZ991" s="1292">
        <v>1</v>
      </c>
      <c r="BA991" s="1292"/>
      <c r="BB991" s="1292"/>
      <c r="BC991" s="1292"/>
      <c r="BD991" s="1292"/>
      <c r="BE991" s="1292"/>
      <c r="BF991" s="1292"/>
      <c r="BG991" s="1292"/>
      <c r="BH991" s="1292"/>
      <c r="BI991" s="1292"/>
      <c r="BJ991" s="1292"/>
      <c r="BK991" s="1292"/>
      <c r="BL991" s="1292"/>
      <c r="BM991" s="1292"/>
      <c r="BN991" s="1292"/>
      <c r="BO991" s="1292"/>
      <c r="BP991" s="1292"/>
      <c r="BQ991" s="1292"/>
      <c r="BR991" s="1292"/>
      <c r="BS991" s="1292"/>
      <c r="BT991" s="1670">
        <f t="shared" si="591"/>
        <v>1</v>
      </c>
      <c r="BW991" s="844" t="s">
        <v>810</v>
      </c>
    </row>
    <row r="992" spans="1:75" ht="12.75" customHeight="1" x14ac:dyDescent="0.2">
      <c r="B992" s="175">
        <f t="shared" si="577"/>
        <v>8</v>
      </c>
      <c r="C992" s="219">
        <v>8</v>
      </c>
      <c r="E992" s="472" t="s">
        <v>1561</v>
      </c>
      <c r="F992" s="58" t="s">
        <v>353</v>
      </c>
      <c r="G992" s="876" t="s">
        <v>1696</v>
      </c>
      <c r="H992" s="1413">
        <v>112523</v>
      </c>
      <c r="I992" s="200" t="s">
        <v>351</v>
      </c>
      <c r="J992" s="290"/>
      <c r="K992" s="290"/>
      <c r="L992" s="841">
        <v>1</v>
      </c>
      <c r="M992" s="858">
        <v>1</v>
      </c>
      <c r="N992" s="831" t="s">
        <v>892</v>
      </c>
      <c r="O992" s="1196">
        <v>30395</v>
      </c>
      <c r="P992" s="1218">
        <f t="shared" ca="1" si="584"/>
        <v>34.533333333333331</v>
      </c>
      <c r="Q992" s="1148">
        <v>37400</v>
      </c>
      <c r="R992" s="874"/>
      <c r="S992" s="875">
        <v>3000</v>
      </c>
      <c r="T992" s="875"/>
      <c r="U992" s="877"/>
      <c r="V992" s="877"/>
      <c r="W992" s="875"/>
      <c r="X992" s="1026">
        <f t="shared" si="585"/>
        <v>40400</v>
      </c>
      <c r="Y992" s="1512">
        <f t="shared" si="586"/>
        <v>0</v>
      </c>
      <c r="Z992" s="1741">
        <f t="shared" si="587"/>
        <v>1</v>
      </c>
      <c r="AA992" s="1749">
        <f t="shared" si="588"/>
        <v>1</v>
      </c>
      <c r="AB992" s="1810">
        <f t="shared" si="589"/>
        <v>100</v>
      </c>
      <c r="AC992" s="876"/>
      <c r="AD992" s="1525">
        <f t="shared" si="590"/>
        <v>0</v>
      </c>
      <c r="AE992" s="1525">
        <f t="shared" si="590"/>
        <v>0</v>
      </c>
      <c r="AF992" s="1525">
        <f t="shared" si="590"/>
        <v>0</v>
      </c>
      <c r="AG992" s="1525">
        <f t="shared" si="590"/>
        <v>0</v>
      </c>
      <c r="AH992" s="1525">
        <f t="shared" si="590"/>
        <v>1</v>
      </c>
      <c r="AI992" s="1525">
        <f t="shared" si="590"/>
        <v>0</v>
      </c>
      <c r="AJ992" s="1525">
        <f t="shared" si="590"/>
        <v>0</v>
      </c>
      <c r="AK992" s="1525">
        <f t="shared" si="590"/>
        <v>0</v>
      </c>
      <c r="AL992" s="1525">
        <f t="shared" si="590"/>
        <v>0</v>
      </c>
      <c r="AM992" s="1525">
        <f t="shared" si="590"/>
        <v>0</v>
      </c>
      <c r="AN992" s="1525">
        <f t="shared" si="590"/>
        <v>0</v>
      </c>
      <c r="AO992" s="1525">
        <f t="shared" si="590"/>
        <v>0</v>
      </c>
      <c r="AP992" s="1525">
        <f t="shared" si="590"/>
        <v>0</v>
      </c>
      <c r="AQ992" s="1525">
        <f t="shared" si="590"/>
        <v>0</v>
      </c>
      <c r="AR992" s="1525">
        <f t="shared" si="590"/>
        <v>0</v>
      </c>
      <c r="AS992" s="1525">
        <f t="shared" si="590"/>
        <v>0</v>
      </c>
      <c r="AU992" s="1525"/>
      <c r="AV992" s="1291"/>
      <c r="AW992" s="1292"/>
      <c r="AX992" s="1292"/>
      <c r="AY992" s="1292"/>
      <c r="AZ992" s="1292">
        <v>1</v>
      </c>
      <c r="BA992" s="1292"/>
      <c r="BB992" s="1292"/>
      <c r="BC992" s="1292"/>
      <c r="BD992" s="1292"/>
      <c r="BE992" s="1292"/>
      <c r="BF992" s="1292"/>
      <c r="BG992" s="1292"/>
      <c r="BH992" s="1292"/>
      <c r="BI992" s="1292"/>
      <c r="BJ992" s="1292"/>
      <c r="BK992" s="1292"/>
      <c r="BL992" s="1292"/>
      <c r="BM992" s="1292"/>
      <c r="BN992" s="1292"/>
      <c r="BO992" s="1292"/>
      <c r="BP992" s="1292"/>
      <c r="BQ992" s="1292"/>
      <c r="BR992" s="1292"/>
      <c r="BS992" s="1292"/>
      <c r="BT992" s="1670">
        <f t="shared" si="591"/>
        <v>1</v>
      </c>
      <c r="BW992" s="876" t="s">
        <v>1696</v>
      </c>
    </row>
    <row r="993" spans="2:75" ht="12.75" customHeight="1" x14ac:dyDescent="0.2">
      <c r="B993">
        <f t="shared" si="577"/>
        <v>9</v>
      </c>
      <c r="C993" s="219">
        <v>9</v>
      </c>
      <c r="E993" s="472" t="s">
        <v>1561</v>
      </c>
      <c r="F993" s="4" t="s">
        <v>1396</v>
      </c>
      <c r="G993" s="844" t="s">
        <v>1633</v>
      </c>
      <c r="H993" s="1413">
        <v>111718</v>
      </c>
      <c r="I993" s="200" t="s">
        <v>351</v>
      </c>
      <c r="J993" s="290"/>
      <c r="K993" s="290"/>
      <c r="L993" s="841">
        <v>1</v>
      </c>
      <c r="M993" s="858">
        <v>1</v>
      </c>
      <c r="N993" s="832" t="s">
        <v>892</v>
      </c>
      <c r="O993" s="1196">
        <v>32248</v>
      </c>
      <c r="P993" s="1218">
        <f t="shared" ca="1" si="584"/>
        <v>29.463888888888889</v>
      </c>
      <c r="Q993" s="1148">
        <v>37650</v>
      </c>
      <c r="R993" s="874"/>
      <c r="S993" s="875"/>
      <c r="T993" s="875"/>
      <c r="U993" s="877"/>
      <c r="V993" s="877"/>
      <c r="W993" s="875"/>
      <c r="X993" s="1026">
        <f t="shared" si="585"/>
        <v>37650</v>
      </c>
      <c r="Y993" s="1512">
        <f t="shared" si="586"/>
        <v>0</v>
      </c>
      <c r="Z993" s="1741">
        <f t="shared" si="587"/>
        <v>1</v>
      </c>
      <c r="AA993" s="1749">
        <f t="shared" si="588"/>
        <v>1</v>
      </c>
      <c r="AB993" s="1810">
        <f t="shared" si="589"/>
        <v>100</v>
      </c>
      <c r="AC993" s="876"/>
      <c r="AD993" s="1525">
        <f t="shared" si="590"/>
        <v>0</v>
      </c>
      <c r="AE993" s="1525">
        <f t="shared" si="590"/>
        <v>0</v>
      </c>
      <c r="AF993" s="1525">
        <f t="shared" si="590"/>
        <v>0</v>
      </c>
      <c r="AG993" s="1525">
        <f t="shared" si="590"/>
        <v>0</v>
      </c>
      <c r="AH993" s="1525">
        <f t="shared" si="590"/>
        <v>1</v>
      </c>
      <c r="AI993" s="1525">
        <f t="shared" si="590"/>
        <v>0</v>
      </c>
      <c r="AJ993" s="1525">
        <f t="shared" si="590"/>
        <v>0</v>
      </c>
      <c r="AK993" s="1525">
        <f t="shared" si="590"/>
        <v>0</v>
      </c>
      <c r="AL993" s="1525">
        <f t="shared" si="590"/>
        <v>0</v>
      </c>
      <c r="AM993" s="1525">
        <f t="shared" si="590"/>
        <v>0</v>
      </c>
      <c r="AN993" s="1525">
        <f t="shared" si="590"/>
        <v>0</v>
      </c>
      <c r="AO993" s="1525">
        <f t="shared" si="590"/>
        <v>0</v>
      </c>
      <c r="AP993" s="1525">
        <f t="shared" si="590"/>
        <v>0</v>
      </c>
      <c r="AQ993" s="1525">
        <f t="shared" si="590"/>
        <v>0</v>
      </c>
      <c r="AR993" s="1525">
        <f t="shared" si="590"/>
        <v>0</v>
      </c>
      <c r="AS993" s="1525">
        <f t="shared" si="590"/>
        <v>0</v>
      </c>
      <c r="AU993" s="1525"/>
      <c r="AV993" s="1291"/>
      <c r="AW993" s="1292"/>
      <c r="AX993" s="1292"/>
      <c r="AY993" s="1292"/>
      <c r="AZ993" s="1292">
        <v>1</v>
      </c>
      <c r="BA993" s="1292"/>
      <c r="BB993" s="1292"/>
      <c r="BC993" s="1292"/>
      <c r="BD993" s="1292"/>
      <c r="BE993" s="1292"/>
      <c r="BF993" s="1292"/>
      <c r="BG993" s="1292"/>
      <c r="BH993" s="1292"/>
      <c r="BI993" s="1292"/>
      <c r="BJ993" s="1292"/>
      <c r="BK993" s="1292"/>
      <c r="BL993" s="1292"/>
      <c r="BM993" s="1292"/>
      <c r="BN993" s="1292"/>
      <c r="BO993" s="1292"/>
      <c r="BP993" s="1292"/>
      <c r="BQ993" s="1292"/>
      <c r="BR993" s="1292"/>
      <c r="BS993" s="1292"/>
      <c r="BT993" s="1670">
        <f t="shared" si="591"/>
        <v>1</v>
      </c>
      <c r="BW993" s="844" t="s">
        <v>1633</v>
      </c>
    </row>
    <row r="994" spans="2:75" ht="12.75" customHeight="1" x14ac:dyDescent="0.2">
      <c r="B994" s="175">
        <f t="shared" si="577"/>
        <v>10</v>
      </c>
      <c r="C994" s="219">
        <v>10</v>
      </c>
      <c r="E994" s="472" t="s">
        <v>1561</v>
      </c>
      <c r="F994" s="17" t="s">
        <v>558</v>
      </c>
      <c r="G994" s="844" t="s">
        <v>439</v>
      </c>
      <c r="H994" s="1413">
        <v>150856</v>
      </c>
      <c r="I994" s="200" t="s">
        <v>351</v>
      </c>
      <c r="J994" s="290"/>
      <c r="K994" s="290"/>
      <c r="L994" s="841">
        <v>0.5</v>
      </c>
      <c r="M994" s="858">
        <v>0.5</v>
      </c>
      <c r="N994" s="832" t="s">
        <v>892</v>
      </c>
      <c r="O994" s="1196">
        <v>28094</v>
      </c>
      <c r="P994" s="1218">
        <f t="shared" ca="1" si="584"/>
        <v>40.838888888888889</v>
      </c>
      <c r="Q994" s="1148">
        <v>30650</v>
      </c>
      <c r="R994" s="874"/>
      <c r="S994" s="875"/>
      <c r="T994" s="877"/>
      <c r="U994" s="877"/>
      <c r="V994" s="877"/>
      <c r="W994" s="875"/>
      <c r="X994" s="1026">
        <f t="shared" si="585"/>
        <v>15325</v>
      </c>
      <c r="Y994" s="1512">
        <f t="shared" si="586"/>
        <v>0</v>
      </c>
      <c r="Z994" s="1741">
        <f t="shared" si="587"/>
        <v>0.5</v>
      </c>
      <c r="AA994" s="1749">
        <f t="shared" si="588"/>
        <v>0.5</v>
      </c>
      <c r="AB994" s="1810">
        <f t="shared" si="589"/>
        <v>100</v>
      </c>
      <c r="AC994" s="876"/>
      <c r="AD994" s="1525">
        <f t="shared" si="590"/>
        <v>0</v>
      </c>
      <c r="AE994" s="1525">
        <f t="shared" si="590"/>
        <v>0</v>
      </c>
      <c r="AF994" s="1525">
        <f t="shared" si="590"/>
        <v>0</v>
      </c>
      <c r="AG994" s="1525">
        <f t="shared" si="590"/>
        <v>0</v>
      </c>
      <c r="AH994" s="1525">
        <f t="shared" si="590"/>
        <v>0.5</v>
      </c>
      <c r="AI994" s="1525">
        <f t="shared" si="590"/>
        <v>0</v>
      </c>
      <c r="AJ994" s="1525">
        <f t="shared" si="590"/>
        <v>0</v>
      </c>
      <c r="AK994" s="1525">
        <f t="shared" si="590"/>
        <v>0</v>
      </c>
      <c r="AL994" s="1525">
        <f t="shared" si="590"/>
        <v>0</v>
      </c>
      <c r="AM994" s="1525">
        <f t="shared" si="590"/>
        <v>0</v>
      </c>
      <c r="AN994" s="1525">
        <f t="shared" si="590"/>
        <v>0</v>
      </c>
      <c r="AO994" s="1525">
        <f t="shared" si="590"/>
        <v>0</v>
      </c>
      <c r="AP994" s="1525">
        <f t="shared" si="590"/>
        <v>0</v>
      </c>
      <c r="AQ994" s="1525">
        <f t="shared" si="590"/>
        <v>0</v>
      </c>
      <c r="AR994" s="1525">
        <f t="shared" si="590"/>
        <v>0</v>
      </c>
      <c r="AS994" s="1525">
        <f t="shared" si="590"/>
        <v>0</v>
      </c>
      <c r="AU994" s="1525"/>
      <c r="AV994" s="1291"/>
      <c r="AW994" s="1292"/>
      <c r="AX994" s="1292"/>
      <c r="AY994" s="1292"/>
      <c r="AZ994" s="1292">
        <v>0.5</v>
      </c>
      <c r="BA994" s="1292"/>
      <c r="BB994" s="1292"/>
      <c r="BC994" s="1292"/>
      <c r="BD994" s="1292"/>
      <c r="BE994" s="1292"/>
      <c r="BF994" s="1292"/>
      <c r="BG994" s="1292"/>
      <c r="BH994" s="1292"/>
      <c r="BI994" s="1292"/>
      <c r="BJ994" s="1292"/>
      <c r="BK994" s="1292"/>
      <c r="BL994" s="1292"/>
      <c r="BM994" s="1292"/>
      <c r="BN994" s="1292"/>
      <c r="BO994" s="1292"/>
      <c r="BP994" s="1292"/>
      <c r="BQ994" s="1292"/>
      <c r="BR994" s="1292"/>
      <c r="BS994" s="1292"/>
      <c r="BT994" s="1670">
        <f t="shared" si="591"/>
        <v>0.5</v>
      </c>
      <c r="BW994" s="844" t="s">
        <v>439</v>
      </c>
    </row>
    <row r="995" spans="2:75" ht="12.75" customHeight="1" x14ac:dyDescent="0.2">
      <c r="B995">
        <f t="shared" si="577"/>
        <v>11</v>
      </c>
      <c r="C995" s="219">
        <v>10</v>
      </c>
      <c r="E995" s="472" t="s">
        <v>1561</v>
      </c>
      <c r="F995" s="17" t="s">
        <v>558</v>
      </c>
      <c r="G995" s="844" t="s">
        <v>1310</v>
      </c>
      <c r="H995" s="1413">
        <v>114398</v>
      </c>
      <c r="I995" s="200" t="s">
        <v>351</v>
      </c>
      <c r="J995" s="290"/>
      <c r="K995" s="290"/>
      <c r="L995" s="841">
        <v>1</v>
      </c>
      <c r="M995" s="858">
        <v>1</v>
      </c>
      <c r="N995" s="832" t="s">
        <v>892</v>
      </c>
      <c r="O995" s="1196">
        <v>32599</v>
      </c>
      <c r="P995" s="1218">
        <f t="shared" ca="1" si="584"/>
        <v>28.502777777777776</v>
      </c>
      <c r="Q995" s="1148">
        <v>20200</v>
      </c>
      <c r="R995" s="874"/>
      <c r="S995" s="875"/>
      <c r="T995" s="877"/>
      <c r="U995" s="877"/>
      <c r="V995" s="877"/>
      <c r="W995" s="875"/>
      <c r="X995" s="1026">
        <f t="shared" si="585"/>
        <v>20200</v>
      </c>
      <c r="Y995" s="1512">
        <f t="shared" si="586"/>
        <v>0</v>
      </c>
      <c r="Z995" s="1741">
        <f t="shared" si="587"/>
        <v>1</v>
      </c>
      <c r="AA995" s="1749">
        <f t="shared" si="588"/>
        <v>1</v>
      </c>
      <c r="AB995" s="1810">
        <f t="shared" si="589"/>
        <v>100</v>
      </c>
      <c r="AC995" s="876"/>
      <c r="AD995" s="1525">
        <f t="shared" si="590"/>
        <v>0</v>
      </c>
      <c r="AE995" s="1525">
        <f t="shared" si="590"/>
        <v>0</v>
      </c>
      <c r="AF995" s="1525">
        <f t="shared" si="590"/>
        <v>0</v>
      </c>
      <c r="AG995" s="1525">
        <f t="shared" si="590"/>
        <v>0</v>
      </c>
      <c r="AH995" s="1525">
        <f t="shared" si="590"/>
        <v>1</v>
      </c>
      <c r="AI995" s="1525">
        <f t="shared" si="590"/>
        <v>0</v>
      </c>
      <c r="AJ995" s="1525">
        <f t="shared" si="590"/>
        <v>0</v>
      </c>
      <c r="AK995" s="1525">
        <f t="shared" si="590"/>
        <v>0</v>
      </c>
      <c r="AL995" s="1525">
        <f t="shared" si="590"/>
        <v>0</v>
      </c>
      <c r="AM995" s="1525">
        <f t="shared" si="590"/>
        <v>0</v>
      </c>
      <c r="AN995" s="1525">
        <f t="shared" si="590"/>
        <v>0</v>
      </c>
      <c r="AO995" s="1525">
        <f t="shared" si="590"/>
        <v>0</v>
      </c>
      <c r="AP995" s="1525">
        <f t="shared" si="590"/>
        <v>0</v>
      </c>
      <c r="AQ995" s="1525">
        <f t="shared" si="590"/>
        <v>0</v>
      </c>
      <c r="AR995" s="1525">
        <f t="shared" si="590"/>
        <v>0</v>
      </c>
      <c r="AS995" s="1525">
        <f t="shared" si="590"/>
        <v>0</v>
      </c>
      <c r="AU995" s="1525"/>
      <c r="AV995" s="1291"/>
      <c r="AW995" s="1292"/>
      <c r="AX995" s="1292"/>
      <c r="AY995" s="1292"/>
      <c r="AZ995" s="1292">
        <v>1</v>
      </c>
      <c r="BA995" s="1292"/>
      <c r="BB995" s="1292"/>
      <c r="BC995" s="1292"/>
      <c r="BD995" s="1292"/>
      <c r="BE995" s="1292"/>
      <c r="BF995" s="1292"/>
      <c r="BG995" s="1292"/>
      <c r="BH995" s="1292"/>
      <c r="BI995" s="1292"/>
      <c r="BJ995" s="1292"/>
      <c r="BK995" s="1292"/>
      <c r="BL995" s="1292"/>
      <c r="BM995" s="1292"/>
      <c r="BN995" s="1292"/>
      <c r="BO995" s="1292"/>
      <c r="BP995" s="1292"/>
      <c r="BQ995" s="1292"/>
      <c r="BR995" s="1292"/>
      <c r="BS995" s="1292"/>
      <c r="BT995" s="1670">
        <f t="shared" si="591"/>
        <v>1</v>
      </c>
      <c r="BW995" s="844" t="s">
        <v>1310</v>
      </c>
    </row>
    <row r="996" spans="2:75" ht="12.75" customHeight="1" x14ac:dyDescent="0.2">
      <c r="B996" s="175">
        <f t="shared" si="577"/>
        <v>12</v>
      </c>
      <c r="C996" s="219">
        <v>10</v>
      </c>
      <c r="E996" s="472" t="s">
        <v>1561</v>
      </c>
      <c r="F996" s="4" t="s">
        <v>558</v>
      </c>
      <c r="G996" s="844" t="s">
        <v>906</v>
      </c>
      <c r="H996" s="1412">
        <v>254342</v>
      </c>
      <c r="I996" s="197" t="s">
        <v>351</v>
      </c>
      <c r="J996" s="292"/>
      <c r="K996" s="292"/>
      <c r="L996" s="893">
        <v>1</v>
      </c>
      <c r="M996" s="861">
        <v>1</v>
      </c>
      <c r="N996" s="832" t="s">
        <v>892</v>
      </c>
      <c r="O996" s="1196">
        <v>30934</v>
      </c>
      <c r="P996" s="1218">
        <f t="shared" ca="1" si="584"/>
        <v>33.06388888888889</v>
      </c>
      <c r="Q996" s="1148">
        <v>23450</v>
      </c>
      <c r="R996" s="874"/>
      <c r="S996" s="876"/>
      <c r="T996" s="884"/>
      <c r="U996" s="884"/>
      <c r="V996" s="884"/>
      <c r="W996" s="876"/>
      <c r="X996" s="1026">
        <f t="shared" si="585"/>
        <v>23450</v>
      </c>
      <c r="Y996" s="1512">
        <f t="shared" si="586"/>
        <v>0</v>
      </c>
      <c r="Z996" s="1741">
        <f t="shared" si="587"/>
        <v>1</v>
      </c>
      <c r="AA996" s="1749">
        <f t="shared" si="588"/>
        <v>1</v>
      </c>
      <c r="AB996" s="1810">
        <f t="shared" si="589"/>
        <v>100</v>
      </c>
      <c r="AC996" s="876"/>
      <c r="AD996" s="1525">
        <f t="shared" si="590"/>
        <v>0</v>
      </c>
      <c r="AE996" s="1525">
        <f t="shared" si="590"/>
        <v>0</v>
      </c>
      <c r="AF996" s="1525">
        <f t="shared" si="590"/>
        <v>0</v>
      </c>
      <c r="AG996" s="1525">
        <f t="shared" si="590"/>
        <v>0</v>
      </c>
      <c r="AH996" s="1525">
        <f t="shared" si="590"/>
        <v>1</v>
      </c>
      <c r="AI996" s="1525">
        <f t="shared" si="590"/>
        <v>0</v>
      </c>
      <c r="AJ996" s="1525">
        <f t="shared" si="590"/>
        <v>0</v>
      </c>
      <c r="AK996" s="1525">
        <f t="shared" si="590"/>
        <v>0</v>
      </c>
      <c r="AL996" s="1525">
        <f t="shared" si="590"/>
        <v>0</v>
      </c>
      <c r="AM996" s="1525">
        <f t="shared" si="590"/>
        <v>0</v>
      </c>
      <c r="AN996" s="1525">
        <f t="shared" si="590"/>
        <v>0</v>
      </c>
      <c r="AO996" s="1525">
        <f t="shared" si="590"/>
        <v>0</v>
      </c>
      <c r="AP996" s="1525">
        <f t="shared" si="590"/>
        <v>0</v>
      </c>
      <c r="AQ996" s="1525">
        <f t="shared" si="590"/>
        <v>0</v>
      </c>
      <c r="AR996" s="1525">
        <f t="shared" si="590"/>
        <v>0</v>
      </c>
      <c r="AS996" s="1525">
        <f t="shared" si="590"/>
        <v>0</v>
      </c>
      <c r="AU996" s="1525"/>
      <c r="AV996" s="1291"/>
      <c r="AW996" s="1292"/>
      <c r="AX996" s="1292"/>
      <c r="AY996" s="1292"/>
      <c r="AZ996" s="1292">
        <v>1</v>
      </c>
      <c r="BA996" s="1292"/>
      <c r="BB996" s="1292"/>
      <c r="BC996" s="1292"/>
      <c r="BD996" s="1292"/>
      <c r="BE996" s="1292"/>
      <c r="BF996" s="1292"/>
      <c r="BG996" s="1292"/>
      <c r="BH996" s="1292"/>
      <c r="BI996" s="1292"/>
      <c r="BJ996" s="1292"/>
      <c r="BK996" s="1292"/>
      <c r="BL996" s="1292"/>
      <c r="BM996" s="1292"/>
      <c r="BN996" s="1292"/>
      <c r="BO996" s="1292"/>
      <c r="BP996" s="1292"/>
      <c r="BQ996" s="1292"/>
      <c r="BR996" s="1292"/>
      <c r="BS996" s="1292"/>
      <c r="BT996" s="1670">
        <f t="shared" si="591"/>
        <v>1</v>
      </c>
      <c r="BW996" s="844" t="s">
        <v>906</v>
      </c>
    </row>
    <row r="997" spans="2:75" ht="12.75" customHeight="1" x14ac:dyDescent="0.2">
      <c r="B997">
        <f t="shared" si="577"/>
        <v>13</v>
      </c>
      <c r="C997" s="219">
        <v>12</v>
      </c>
      <c r="E997" s="472" t="s">
        <v>1561</v>
      </c>
      <c r="F997" s="23" t="s">
        <v>1235</v>
      </c>
      <c r="G997" s="844" t="s">
        <v>1903</v>
      </c>
      <c r="H997" s="1412">
        <v>4672</v>
      </c>
      <c r="I997" s="272" t="s">
        <v>583</v>
      </c>
      <c r="J997" s="290"/>
      <c r="K997" s="220"/>
      <c r="L997" s="893">
        <v>1</v>
      </c>
      <c r="M997" s="861">
        <f>K997+L997</f>
        <v>1</v>
      </c>
      <c r="N997" s="832" t="s">
        <v>892</v>
      </c>
      <c r="O997" s="1196">
        <v>19646</v>
      </c>
      <c r="P997" s="1218">
        <f t="shared" ca="1" si="584"/>
        <v>63.966666666666669</v>
      </c>
      <c r="Q997" s="1148">
        <v>36800</v>
      </c>
      <c r="R997" s="874"/>
      <c r="S997" s="875"/>
      <c r="T997" s="877"/>
      <c r="U997" s="877"/>
      <c r="V997" s="877"/>
      <c r="W997" s="875"/>
      <c r="X997" s="1026">
        <f t="shared" si="585"/>
        <v>36800</v>
      </c>
      <c r="Y997" s="1512">
        <f t="shared" si="586"/>
        <v>0</v>
      </c>
      <c r="Z997" s="1741">
        <f t="shared" si="587"/>
        <v>1</v>
      </c>
      <c r="AA997" s="1749">
        <f t="shared" si="588"/>
        <v>1</v>
      </c>
      <c r="AB997" s="1810">
        <f t="shared" si="589"/>
        <v>100</v>
      </c>
      <c r="AC997" s="876"/>
      <c r="AD997" s="1525">
        <f t="shared" si="590"/>
        <v>0</v>
      </c>
      <c r="AE997" s="1525">
        <f t="shared" si="590"/>
        <v>0</v>
      </c>
      <c r="AF997" s="1525">
        <f t="shared" si="590"/>
        <v>0</v>
      </c>
      <c r="AG997" s="1525">
        <f t="shared" si="590"/>
        <v>0</v>
      </c>
      <c r="AH997" s="1525">
        <f t="shared" si="590"/>
        <v>1</v>
      </c>
      <c r="AI997" s="1525">
        <f t="shared" si="590"/>
        <v>0</v>
      </c>
      <c r="AJ997" s="1525">
        <f t="shared" si="590"/>
        <v>0</v>
      </c>
      <c r="AK997" s="1525">
        <f t="shared" si="590"/>
        <v>0</v>
      </c>
      <c r="AL997" s="1525">
        <f t="shared" si="590"/>
        <v>0</v>
      </c>
      <c r="AM997" s="1525">
        <f t="shared" si="590"/>
        <v>0</v>
      </c>
      <c r="AN997" s="1525">
        <f t="shared" si="590"/>
        <v>0</v>
      </c>
      <c r="AO997" s="1525">
        <f t="shared" si="590"/>
        <v>0</v>
      </c>
      <c r="AP997" s="1525">
        <f t="shared" si="590"/>
        <v>0</v>
      </c>
      <c r="AQ997" s="1525">
        <f t="shared" si="590"/>
        <v>0</v>
      </c>
      <c r="AR997" s="1525">
        <f t="shared" si="590"/>
        <v>0</v>
      </c>
      <c r="AS997" s="1525">
        <f t="shared" si="590"/>
        <v>0</v>
      </c>
      <c r="AU997" s="1525"/>
      <c r="AV997" s="1291"/>
      <c r="AW997" s="1292"/>
      <c r="AX997" s="1292"/>
      <c r="AY997" s="1292"/>
      <c r="AZ997" s="1292">
        <v>1</v>
      </c>
      <c r="BA997" s="1292"/>
      <c r="BB997" s="1292"/>
      <c r="BC997" s="1292"/>
      <c r="BD997" s="1292"/>
      <c r="BE997" s="1292"/>
      <c r="BF997" s="1292"/>
      <c r="BG997" s="1292"/>
      <c r="BH997" s="1292"/>
      <c r="BI997" s="1292"/>
      <c r="BJ997" s="1292"/>
      <c r="BK997" s="1292"/>
      <c r="BL997" s="1292"/>
      <c r="BM997" s="1292"/>
      <c r="BN997" s="1292"/>
      <c r="BO997" s="1292"/>
      <c r="BP997" s="1292"/>
      <c r="BQ997" s="1292"/>
      <c r="BR997" s="1292"/>
      <c r="BS997" s="1292"/>
      <c r="BT997" s="1670">
        <f t="shared" si="591"/>
        <v>1</v>
      </c>
      <c r="BW997" s="844" t="s">
        <v>1903</v>
      </c>
    </row>
    <row r="998" spans="2:75" ht="12.75" customHeight="1" x14ac:dyDescent="0.2">
      <c r="B998" s="175">
        <f t="shared" si="577"/>
        <v>14</v>
      </c>
      <c r="C998" s="219">
        <v>14</v>
      </c>
      <c r="E998" s="472" t="s">
        <v>1561</v>
      </c>
      <c r="F998" s="65" t="s">
        <v>1158</v>
      </c>
      <c r="G998" s="844" t="s">
        <v>1909</v>
      </c>
      <c r="H998" s="1412">
        <v>154371</v>
      </c>
      <c r="I998" s="272" t="s">
        <v>583</v>
      </c>
      <c r="J998" s="290"/>
      <c r="K998" s="185"/>
      <c r="L998" s="944">
        <v>1</v>
      </c>
      <c r="M998" s="873">
        <v>1</v>
      </c>
      <c r="N998" s="832" t="s">
        <v>892</v>
      </c>
      <c r="O998" s="1196">
        <v>33962</v>
      </c>
      <c r="P998" s="1218">
        <f t="shared" ca="1" si="584"/>
        <v>24.772222222222222</v>
      </c>
      <c r="Q998" s="1148">
        <v>24900</v>
      </c>
      <c r="R998" s="874"/>
      <c r="S998" s="875"/>
      <c r="T998" s="877"/>
      <c r="U998" s="877"/>
      <c r="V998" s="877"/>
      <c r="W998" s="875"/>
      <c r="X998" s="1026">
        <f t="shared" si="585"/>
        <v>24900</v>
      </c>
      <c r="Y998" s="1512">
        <f t="shared" si="586"/>
        <v>0</v>
      </c>
      <c r="Z998" s="1741">
        <f t="shared" si="587"/>
        <v>1</v>
      </c>
      <c r="AA998" s="1749">
        <f t="shared" si="588"/>
        <v>0</v>
      </c>
      <c r="AB998" s="1810">
        <f t="shared" si="589"/>
        <v>0</v>
      </c>
      <c r="AC998" s="876"/>
      <c r="AD998" s="1525">
        <f t="shared" si="590"/>
        <v>0</v>
      </c>
      <c r="AE998" s="1525">
        <f t="shared" si="590"/>
        <v>0</v>
      </c>
      <c r="AF998" s="1525">
        <f t="shared" si="590"/>
        <v>0</v>
      </c>
      <c r="AG998" s="1525">
        <f t="shared" si="590"/>
        <v>0</v>
      </c>
      <c r="AH998" s="1525">
        <f t="shared" si="590"/>
        <v>0</v>
      </c>
      <c r="AI998" s="1525">
        <f t="shared" si="590"/>
        <v>0</v>
      </c>
      <c r="AJ998" s="1525">
        <f t="shared" si="590"/>
        <v>0</v>
      </c>
      <c r="AK998" s="1525">
        <f t="shared" si="590"/>
        <v>0</v>
      </c>
      <c r="AL998" s="1525">
        <f t="shared" si="590"/>
        <v>0</v>
      </c>
      <c r="AM998" s="1525">
        <f t="shared" si="590"/>
        <v>0</v>
      </c>
      <c r="AN998" s="1525">
        <f t="shared" si="590"/>
        <v>0</v>
      </c>
      <c r="AO998" s="1525">
        <f t="shared" si="590"/>
        <v>0</v>
      </c>
      <c r="AP998" s="1525">
        <f t="shared" si="590"/>
        <v>0</v>
      </c>
      <c r="AQ998" s="1525">
        <f t="shared" si="590"/>
        <v>0</v>
      </c>
      <c r="AR998" s="1525">
        <f t="shared" si="590"/>
        <v>0</v>
      </c>
      <c r="AS998" s="1525">
        <f t="shared" si="590"/>
        <v>0</v>
      </c>
      <c r="AU998" s="1525"/>
      <c r="AV998" s="1291"/>
      <c r="AW998" s="1292"/>
      <c r="AX998" s="1292"/>
      <c r="AY998" s="1292"/>
      <c r="AZ998" s="1292"/>
      <c r="BA998" s="1292"/>
      <c r="BB998" s="1292"/>
      <c r="BC998" s="1292"/>
      <c r="BD998" s="1292"/>
      <c r="BE998" s="1292"/>
      <c r="BF998" s="1292"/>
      <c r="BG998" s="1292"/>
      <c r="BH998" s="1292"/>
      <c r="BI998" s="1292"/>
      <c r="BJ998" s="1292"/>
      <c r="BK998" s="1292"/>
      <c r="BL998" s="1292"/>
      <c r="BM998" s="1292"/>
      <c r="BN998" s="1292"/>
      <c r="BO998" s="1292"/>
      <c r="BP998" s="1292"/>
      <c r="BQ998" s="1292"/>
      <c r="BR998" s="1292"/>
      <c r="BS998" s="1292"/>
      <c r="BT998" s="1670">
        <f t="shared" si="591"/>
        <v>0</v>
      </c>
      <c r="BW998" s="1517" t="s">
        <v>1909</v>
      </c>
    </row>
    <row r="999" spans="2:75" ht="12.75" customHeight="1" x14ac:dyDescent="0.2">
      <c r="B999"/>
      <c r="C999" s="219"/>
      <c r="E999" s="472"/>
      <c r="F999" s="65"/>
      <c r="G999" s="844"/>
      <c r="H999" s="1416" t="s">
        <v>1508</v>
      </c>
      <c r="I999" s="272"/>
      <c r="J999" s="290"/>
      <c r="K999" s="1143"/>
      <c r="L999" s="1133">
        <f>SUM(L984:L998)</f>
        <v>12.6</v>
      </c>
      <c r="M999" s="1133">
        <f>SUM(M984:M998)</f>
        <v>12.6</v>
      </c>
      <c r="N999" s="832"/>
      <c r="O999" s="1193"/>
      <c r="P999" s="1218"/>
      <c r="Q999" s="1148"/>
      <c r="R999" s="874"/>
      <c r="S999" s="875"/>
      <c r="T999" s="877"/>
      <c r="U999" s="877"/>
      <c r="V999" s="877"/>
      <c r="W999" s="875"/>
      <c r="X999" s="1026"/>
      <c r="Y999" s="1754"/>
      <c r="Z999" s="1755"/>
      <c r="AA999" s="1775"/>
      <c r="AB999" s="1814"/>
      <c r="AC999" s="876"/>
      <c r="AD999" s="1295"/>
      <c r="AE999" s="1525"/>
      <c r="AF999" s="1525"/>
      <c r="AG999" s="1525"/>
      <c r="AH999" s="1525"/>
      <c r="AI999" s="1525"/>
      <c r="AJ999" s="1525"/>
      <c r="AK999" s="1525"/>
      <c r="AL999" s="1525"/>
      <c r="AM999" s="1525"/>
      <c r="AN999" s="1525"/>
      <c r="AO999" s="1525"/>
      <c r="AP999" s="1525"/>
      <c r="AQ999" s="1525"/>
      <c r="AR999" s="1525"/>
      <c r="AS999" s="1525"/>
      <c r="AU999" s="1525"/>
      <c r="AV999" s="1291"/>
      <c r="AW999" s="1292"/>
      <c r="AX999" s="1292"/>
      <c r="AY999" s="1292"/>
      <c r="AZ999" s="1292"/>
      <c r="BA999" s="1292"/>
      <c r="BB999" s="1292"/>
      <c r="BC999" s="1292"/>
      <c r="BD999" s="1292"/>
      <c r="BE999" s="1292"/>
      <c r="BF999" s="1292"/>
      <c r="BG999" s="1292"/>
      <c r="BH999" s="1292"/>
      <c r="BI999" s="1292"/>
      <c r="BJ999" s="1292"/>
      <c r="BK999" s="1292"/>
      <c r="BL999" s="1292"/>
      <c r="BM999" s="1292"/>
      <c r="BN999" s="1292"/>
      <c r="BO999" s="1292"/>
      <c r="BP999" s="1292"/>
      <c r="BQ999" s="1292"/>
      <c r="BR999" s="1292"/>
      <c r="BS999" s="1292"/>
      <c r="BT999" s="1670"/>
      <c r="BW999" s="844"/>
    </row>
    <row r="1000" spans="2:75" ht="12.75" customHeight="1" x14ac:dyDescent="0.2">
      <c r="B1000" s="175"/>
      <c r="C1000" s="219"/>
      <c r="E1000" s="472"/>
      <c r="F1000" s="58"/>
      <c r="G1000" s="844"/>
      <c r="H1000" s="1413" t="s">
        <v>1508</v>
      </c>
      <c r="I1000" s="200"/>
      <c r="J1000" s="290"/>
      <c r="K1000" s="290"/>
      <c r="L1000" s="841"/>
      <c r="M1000" s="858"/>
      <c r="N1000" s="832"/>
      <c r="O1000" s="1193"/>
      <c r="P1000" s="1218"/>
      <c r="Q1000" s="1148"/>
      <c r="R1000" s="874"/>
      <c r="S1000" s="875"/>
      <c r="T1000" s="877"/>
      <c r="U1000" s="877"/>
      <c r="V1000" s="877"/>
      <c r="W1000" s="875"/>
      <c r="X1000" s="1026"/>
      <c r="Y1000" s="1754"/>
      <c r="Z1000" s="1755"/>
      <c r="AA1000" s="1775"/>
      <c r="AB1000" s="1814"/>
      <c r="AC1000" s="876"/>
      <c r="AD1000" s="1295"/>
      <c r="AE1000" s="1525"/>
      <c r="AF1000" s="1525"/>
      <c r="AG1000" s="1525"/>
      <c r="AH1000" s="1525"/>
      <c r="AI1000" s="1525"/>
      <c r="AJ1000" s="1525"/>
      <c r="AK1000" s="1525"/>
      <c r="AL1000" s="1525"/>
      <c r="AM1000" s="1525"/>
      <c r="AN1000" s="1525"/>
      <c r="AO1000" s="1525"/>
      <c r="AP1000" s="1525"/>
      <c r="AQ1000" s="1525"/>
      <c r="AR1000" s="1525"/>
      <c r="AS1000" s="1525"/>
      <c r="AU1000" s="1525"/>
      <c r="AV1000" s="1291"/>
      <c r="AW1000" s="1292"/>
      <c r="AX1000" s="1292"/>
      <c r="AY1000" s="1292"/>
      <c r="AZ1000" s="1292"/>
      <c r="BA1000" s="1292"/>
      <c r="BB1000" s="1292"/>
      <c r="BC1000" s="1292"/>
      <c r="BD1000" s="1292"/>
      <c r="BE1000" s="1292"/>
      <c r="BF1000" s="1292"/>
      <c r="BG1000" s="1292"/>
      <c r="BH1000" s="1292"/>
      <c r="BI1000" s="1292"/>
      <c r="BJ1000" s="1292"/>
      <c r="BK1000" s="1292"/>
      <c r="BL1000" s="1292"/>
      <c r="BM1000" s="1292"/>
      <c r="BN1000" s="1292"/>
      <c r="BO1000" s="1292"/>
      <c r="BP1000" s="1292"/>
      <c r="BQ1000" s="1292"/>
      <c r="BR1000" s="1292"/>
      <c r="BS1000" s="1292"/>
      <c r="BT1000" s="1670"/>
      <c r="BW1000" s="844"/>
    </row>
    <row r="1001" spans="2:75" ht="12.75" customHeight="1" x14ac:dyDescent="0.2">
      <c r="B1001"/>
      <c r="C1001" s="219"/>
      <c r="E1001" s="472"/>
      <c r="F1001" s="30" t="s">
        <v>1410</v>
      </c>
      <c r="G1001" s="844"/>
      <c r="H1001" s="1413" t="s">
        <v>1508</v>
      </c>
      <c r="I1001" s="200"/>
      <c r="J1001" s="290"/>
      <c r="K1001" s="290"/>
      <c r="L1001" s="841"/>
      <c r="M1001" s="858"/>
      <c r="N1001" s="832"/>
      <c r="O1001" s="1193"/>
      <c r="P1001" s="1218"/>
      <c r="Q1001" s="1148"/>
      <c r="R1001" s="874"/>
      <c r="S1001" s="875"/>
      <c r="T1001" s="877"/>
      <c r="U1001" s="877"/>
      <c r="V1001" s="877"/>
      <c r="W1001" s="875"/>
      <c r="X1001" s="1026"/>
      <c r="Y1001" s="1754"/>
      <c r="Z1001" s="1755"/>
      <c r="AA1001" s="1775"/>
      <c r="AB1001" s="1814"/>
      <c r="AC1001" s="876"/>
      <c r="AD1001" s="1295"/>
      <c r="AE1001" s="1525"/>
      <c r="AF1001" s="1525"/>
      <c r="AG1001" s="1525"/>
      <c r="AH1001" s="1525"/>
      <c r="AI1001" s="1525"/>
      <c r="AJ1001" s="1525"/>
      <c r="AK1001" s="1525"/>
      <c r="AL1001" s="1525"/>
      <c r="AM1001" s="1525"/>
      <c r="AN1001" s="1525"/>
      <c r="AO1001" s="1525"/>
      <c r="AP1001" s="1525"/>
      <c r="AQ1001" s="1525"/>
      <c r="AR1001" s="1525"/>
      <c r="AS1001" s="1525"/>
      <c r="AU1001" s="1525"/>
      <c r="AV1001" s="1291"/>
      <c r="AW1001" s="1292"/>
      <c r="AX1001" s="1292"/>
      <c r="AY1001" s="1292"/>
      <c r="AZ1001" s="1292"/>
      <c r="BA1001" s="1292"/>
      <c r="BB1001" s="1292"/>
      <c r="BC1001" s="1292"/>
      <c r="BD1001" s="1292"/>
      <c r="BE1001" s="1292"/>
      <c r="BF1001" s="1292"/>
      <c r="BG1001" s="1292"/>
      <c r="BH1001" s="1292"/>
      <c r="BI1001" s="1292"/>
      <c r="BJ1001" s="1292"/>
      <c r="BK1001" s="1292"/>
      <c r="BL1001" s="1292"/>
      <c r="BM1001" s="1292"/>
      <c r="BN1001" s="1292"/>
      <c r="BO1001" s="1292"/>
      <c r="BP1001" s="1292"/>
      <c r="BQ1001" s="1292"/>
      <c r="BR1001" s="1292"/>
      <c r="BS1001" s="1292"/>
      <c r="BT1001" s="1670"/>
      <c r="BW1001" s="844"/>
    </row>
    <row r="1002" spans="2:75" ht="12.75" customHeight="1" x14ac:dyDescent="0.2">
      <c r="B1002"/>
      <c r="C1002" s="219"/>
      <c r="E1002" s="472"/>
      <c r="F1002" s="30"/>
      <c r="G1002" s="844"/>
      <c r="H1002" s="1413"/>
      <c r="I1002" s="200"/>
      <c r="J1002" s="290"/>
      <c r="K1002" s="290"/>
      <c r="L1002" s="841"/>
      <c r="M1002" s="858"/>
      <c r="N1002" s="832"/>
      <c r="O1002" s="1193"/>
      <c r="P1002" s="1218"/>
      <c r="Q1002" s="1148"/>
      <c r="R1002" s="874"/>
      <c r="S1002" s="875"/>
      <c r="T1002" s="877"/>
      <c r="U1002" s="877"/>
      <c r="V1002" s="877"/>
      <c r="W1002" s="875"/>
      <c r="X1002" s="1026"/>
      <c r="Y1002" s="1754"/>
      <c r="Z1002" s="1755"/>
      <c r="AA1002" s="1775"/>
      <c r="AB1002" s="1814"/>
      <c r="AC1002" s="876"/>
      <c r="AD1002" s="1295"/>
      <c r="AE1002" s="1525"/>
      <c r="AF1002" s="1525"/>
      <c r="AG1002" s="1525"/>
      <c r="AH1002" s="1525"/>
      <c r="AI1002" s="1525"/>
      <c r="AJ1002" s="1525"/>
      <c r="AK1002" s="1525"/>
      <c r="AL1002" s="1525"/>
      <c r="AM1002" s="1525"/>
      <c r="AN1002" s="1525"/>
      <c r="AO1002" s="1525"/>
      <c r="AP1002" s="1525"/>
      <c r="AQ1002" s="1525"/>
      <c r="AR1002" s="1525"/>
      <c r="AS1002" s="1525"/>
      <c r="AU1002" s="1525"/>
      <c r="AV1002" s="1291"/>
      <c r="AW1002" s="1292"/>
      <c r="AX1002" s="1292"/>
      <c r="AY1002" s="1292"/>
      <c r="AZ1002" s="1292"/>
      <c r="BA1002" s="1292"/>
      <c r="BB1002" s="1292"/>
      <c r="BC1002" s="1292"/>
      <c r="BD1002" s="1292"/>
      <c r="BE1002" s="1292"/>
      <c r="BF1002" s="1292"/>
      <c r="BG1002" s="1292"/>
      <c r="BH1002" s="1292"/>
      <c r="BI1002" s="1292"/>
      <c r="BJ1002" s="1292"/>
      <c r="BK1002" s="1292"/>
      <c r="BL1002" s="1292"/>
      <c r="BM1002" s="1292"/>
      <c r="BN1002" s="1292"/>
      <c r="BO1002" s="1292"/>
      <c r="BP1002" s="1292"/>
      <c r="BQ1002" s="1292"/>
      <c r="BR1002" s="1292"/>
      <c r="BS1002" s="1292"/>
      <c r="BT1002" s="1670"/>
      <c r="BW1002" s="844"/>
    </row>
    <row r="1003" spans="2:75" ht="12.75" customHeight="1" x14ac:dyDescent="0.2">
      <c r="B1003" s="175"/>
      <c r="C1003" s="219"/>
      <c r="E1003" s="12"/>
      <c r="F1003" s="1116" t="s">
        <v>436</v>
      </c>
      <c r="G1003" s="844"/>
      <c r="H1003" s="1417" t="s">
        <v>1508</v>
      </c>
      <c r="I1003" s="272"/>
      <c r="J1003" s="290"/>
      <c r="K1003" s="220"/>
      <c r="L1003" s="893"/>
      <c r="M1003" s="893"/>
      <c r="N1003" s="832"/>
      <c r="O1003" s="1193"/>
      <c r="P1003" s="1218"/>
      <c r="Q1003" s="1148"/>
      <c r="R1003" s="874"/>
      <c r="S1003" s="875"/>
      <c r="T1003" s="877"/>
      <c r="U1003" s="877"/>
      <c r="V1003" s="877"/>
      <c r="W1003" s="875"/>
      <c r="X1003" s="1026"/>
      <c r="Y1003" s="1754"/>
      <c r="Z1003" s="1755"/>
      <c r="AA1003" s="1775"/>
      <c r="AB1003" s="1814"/>
      <c r="AC1003" s="876"/>
      <c r="AD1003" s="1295"/>
      <c r="AE1003" s="1525"/>
      <c r="AF1003" s="1525"/>
      <c r="AG1003" s="1525"/>
      <c r="AH1003" s="1525"/>
      <c r="AI1003" s="1525"/>
      <c r="AJ1003" s="1525"/>
      <c r="AK1003" s="1525"/>
      <c r="AL1003" s="1525"/>
      <c r="AM1003" s="1525"/>
      <c r="AN1003" s="1525"/>
      <c r="AO1003" s="1525"/>
      <c r="AP1003" s="1525"/>
      <c r="AQ1003" s="1525"/>
      <c r="AR1003" s="1525"/>
      <c r="AS1003" s="1525"/>
      <c r="AU1003" s="1525"/>
      <c r="AV1003" s="1291"/>
      <c r="AW1003" s="1292"/>
      <c r="AX1003" s="1292"/>
      <c r="AY1003" s="1292"/>
      <c r="AZ1003" s="1292"/>
      <c r="BA1003" s="1292"/>
      <c r="BB1003" s="1292"/>
      <c r="BC1003" s="1292"/>
      <c r="BD1003" s="1292"/>
      <c r="BE1003" s="1292"/>
      <c r="BF1003" s="1292"/>
      <c r="BG1003" s="1292"/>
      <c r="BH1003" s="1292"/>
      <c r="BI1003" s="1292"/>
      <c r="BJ1003" s="1292"/>
      <c r="BK1003" s="1292"/>
      <c r="BL1003" s="1292"/>
      <c r="BM1003" s="1292"/>
      <c r="BN1003" s="1292"/>
      <c r="BO1003" s="1292"/>
      <c r="BP1003" s="1292"/>
      <c r="BQ1003" s="1292"/>
      <c r="BR1003" s="1292"/>
      <c r="BS1003" s="1292"/>
      <c r="BT1003" s="1670"/>
      <c r="BW1003" s="844"/>
    </row>
    <row r="1004" spans="2:75" ht="12.75" customHeight="1" x14ac:dyDescent="0.2">
      <c r="B1004">
        <f>B1003+1</f>
        <v>1</v>
      </c>
      <c r="C1004" s="219">
        <v>9</v>
      </c>
      <c r="E1004" s="472" t="s">
        <v>1561</v>
      </c>
      <c r="F1004" s="58" t="s">
        <v>1396</v>
      </c>
      <c r="G1004" s="844" t="s">
        <v>1826</v>
      </c>
      <c r="H1004" s="1413">
        <v>202012</v>
      </c>
      <c r="I1004" s="200" t="s">
        <v>351</v>
      </c>
      <c r="J1004" s="290"/>
      <c r="K1004" s="290">
        <v>1</v>
      </c>
      <c r="L1004" s="841"/>
      <c r="M1004" s="858">
        <f>K1004+L1004</f>
        <v>1</v>
      </c>
      <c r="N1004" s="832" t="s">
        <v>892</v>
      </c>
      <c r="O1004" s="1196">
        <v>25790</v>
      </c>
      <c r="P1004" s="1218">
        <f ca="1">YEARFRAC(TODAY(),O1004)</f>
        <v>47.144444444444446</v>
      </c>
      <c r="Q1004" s="1148">
        <v>37650</v>
      </c>
      <c r="R1004" s="874"/>
      <c r="S1004" s="875"/>
      <c r="T1004" s="877"/>
      <c r="U1004" s="877"/>
      <c r="V1004" s="877"/>
      <c r="W1004" s="875"/>
      <c r="X1004" s="1026">
        <f>(Q1004+R1004+S1004+T1004+U1004+V1004+W1004)*M1004</f>
        <v>37650</v>
      </c>
      <c r="Y1004" s="1512">
        <f>(T1004+U1004)*M1004/(X1004-M1004*(T1004+U1004))</f>
        <v>0</v>
      </c>
      <c r="Z1004" s="1741">
        <f>M1004*(1+Y1004)</f>
        <v>1</v>
      </c>
      <c r="AA1004" s="1749">
        <f>SUM(AD1004:AS1004)</f>
        <v>1</v>
      </c>
      <c r="AB1004" s="1810">
        <f t="shared" ref="AB1004" si="592">100*AA1004/Z1004</f>
        <v>100</v>
      </c>
      <c r="AC1004" s="876"/>
      <c r="AD1004" s="1525">
        <f t="shared" ref="AD1004:AS1004" si="593">SUMIF($AV$6:$BS$6,AD$5,$AV1004:$BS1004)</f>
        <v>0</v>
      </c>
      <c r="AE1004" s="1525">
        <f t="shared" si="593"/>
        <v>0</v>
      </c>
      <c r="AF1004" s="1525">
        <f t="shared" si="593"/>
        <v>0</v>
      </c>
      <c r="AG1004" s="1525">
        <f t="shared" si="593"/>
        <v>0</v>
      </c>
      <c r="AH1004" s="1525">
        <f t="shared" si="593"/>
        <v>1</v>
      </c>
      <c r="AI1004" s="1525">
        <f t="shared" si="593"/>
        <v>0</v>
      </c>
      <c r="AJ1004" s="1525">
        <f t="shared" si="593"/>
        <v>0</v>
      </c>
      <c r="AK1004" s="1525">
        <f t="shared" si="593"/>
        <v>0</v>
      </c>
      <c r="AL1004" s="1525">
        <f t="shared" si="593"/>
        <v>0</v>
      </c>
      <c r="AM1004" s="1525">
        <f t="shared" si="593"/>
        <v>0</v>
      </c>
      <c r="AN1004" s="1525">
        <f t="shared" si="593"/>
        <v>0</v>
      </c>
      <c r="AO1004" s="1525">
        <f t="shared" si="593"/>
        <v>0</v>
      </c>
      <c r="AP1004" s="1525">
        <f t="shared" si="593"/>
        <v>0</v>
      </c>
      <c r="AQ1004" s="1525">
        <f t="shared" si="593"/>
        <v>0</v>
      </c>
      <c r="AR1004" s="1525">
        <f t="shared" si="593"/>
        <v>0</v>
      </c>
      <c r="AS1004" s="1525">
        <f t="shared" si="593"/>
        <v>0</v>
      </c>
      <c r="AU1004" s="1525"/>
      <c r="AV1004" s="1291"/>
      <c r="AW1004" s="1292"/>
      <c r="AX1004" s="1292"/>
      <c r="AY1004" s="1292"/>
      <c r="AZ1004" s="1292">
        <v>1</v>
      </c>
      <c r="BA1004" s="1292"/>
      <c r="BB1004" s="1292"/>
      <c r="BC1004" s="1292"/>
      <c r="BD1004" s="1292"/>
      <c r="BE1004" s="1292"/>
      <c r="BF1004" s="1292"/>
      <c r="BG1004" s="1292"/>
      <c r="BH1004" s="1292"/>
      <c r="BI1004" s="1292"/>
      <c r="BJ1004" s="1292"/>
      <c r="BK1004" s="1292"/>
      <c r="BL1004" s="1292"/>
      <c r="BM1004" s="1292"/>
      <c r="BN1004" s="1292"/>
      <c r="BO1004" s="1292"/>
      <c r="BP1004" s="1292"/>
      <c r="BQ1004" s="1292"/>
      <c r="BR1004" s="1292"/>
      <c r="BS1004" s="1292"/>
      <c r="BT1004" s="1670">
        <f t="shared" ref="BT1004" si="594">SUM(AV1004:BS1004)</f>
        <v>1</v>
      </c>
      <c r="BW1004" s="844" t="s">
        <v>1826</v>
      </c>
    </row>
    <row r="1005" spans="2:75" ht="12.75" customHeight="1" x14ac:dyDescent="0.2">
      <c r="B1005" s="175"/>
      <c r="C1005" s="219"/>
      <c r="E1005" s="472"/>
      <c r="F1005" s="30"/>
      <c r="G1005" s="844"/>
      <c r="H1005" s="1413" t="s">
        <v>1508</v>
      </c>
      <c r="I1005" s="200"/>
      <c r="J1005" s="290"/>
      <c r="K1005" s="290"/>
      <c r="L1005" s="841"/>
      <c r="M1005" s="858"/>
      <c r="N1005" s="832"/>
      <c r="O1005" s="1193"/>
      <c r="P1005" s="1218"/>
      <c r="Q1005" s="1148"/>
      <c r="R1005" s="874"/>
      <c r="S1005" s="875"/>
      <c r="T1005" s="877"/>
      <c r="U1005" s="877"/>
      <c r="V1005" s="877"/>
      <c r="W1005" s="875"/>
      <c r="X1005" s="1026"/>
      <c r="Y1005" s="1512"/>
      <c r="Z1005" s="1741"/>
      <c r="AA1005" s="1749"/>
      <c r="AB1005" s="1814"/>
      <c r="AC1005" s="876"/>
      <c r="AD1005" s="1295"/>
      <c r="AE1005" s="1525"/>
      <c r="AF1005" s="1525"/>
      <c r="AG1005" s="1525"/>
      <c r="AH1005" s="1525"/>
      <c r="AI1005" s="1525"/>
      <c r="AJ1005" s="1525"/>
      <c r="AK1005" s="1525"/>
      <c r="AL1005" s="1525"/>
      <c r="AM1005" s="1525"/>
      <c r="AN1005" s="1525"/>
      <c r="AO1005" s="1525"/>
      <c r="AP1005" s="1525"/>
      <c r="AQ1005" s="1525"/>
      <c r="AR1005" s="1525"/>
      <c r="AS1005" s="1525"/>
      <c r="AU1005" s="1525"/>
      <c r="AV1005" s="1291"/>
      <c r="AW1005" s="1292"/>
      <c r="AX1005" s="1292"/>
      <c r="AY1005" s="1292"/>
      <c r="AZ1005" s="1292"/>
      <c r="BA1005" s="1292"/>
      <c r="BB1005" s="1292"/>
      <c r="BC1005" s="1292"/>
      <c r="BD1005" s="1292"/>
      <c r="BE1005" s="1292"/>
      <c r="BF1005" s="1292"/>
      <c r="BG1005" s="1292"/>
      <c r="BH1005" s="1292"/>
      <c r="BI1005" s="1292"/>
      <c r="BJ1005" s="1292"/>
      <c r="BK1005" s="1292"/>
      <c r="BL1005" s="1292"/>
      <c r="BM1005" s="1292"/>
      <c r="BN1005" s="1292"/>
      <c r="BO1005" s="1292"/>
      <c r="BP1005" s="1292"/>
      <c r="BQ1005" s="1292"/>
      <c r="BR1005" s="1292"/>
      <c r="BS1005" s="1292"/>
      <c r="BT1005" s="1670"/>
      <c r="BW1005" s="844"/>
    </row>
    <row r="1006" spans="2:75" ht="12.75" customHeight="1" x14ac:dyDescent="0.2">
      <c r="B1006">
        <f t="shared" si="577"/>
        <v>1</v>
      </c>
      <c r="C1006" s="569">
        <v>6</v>
      </c>
      <c r="E1006" s="472" t="s">
        <v>1561</v>
      </c>
      <c r="F1006" s="653" t="s">
        <v>167</v>
      </c>
      <c r="G1006" s="799" t="s">
        <v>1411</v>
      </c>
      <c r="H1006" s="1413">
        <v>7467</v>
      </c>
      <c r="I1006" s="592" t="s">
        <v>351</v>
      </c>
      <c r="J1006" s="290"/>
      <c r="K1006" s="573"/>
      <c r="L1006" s="841">
        <v>0.5</v>
      </c>
      <c r="M1006" s="858">
        <f>K1006+L1006</f>
        <v>0.5</v>
      </c>
      <c r="N1006" s="832" t="s">
        <v>1573</v>
      </c>
      <c r="O1006" s="1196">
        <v>12583</v>
      </c>
      <c r="P1006" s="1218">
        <f ca="1">YEARFRAC(TODAY(),O1006)</f>
        <v>83.302777777777777</v>
      </c>
      <c r="Q1006" s="1148">
        <v>62350</v>
      </c>
      <c r="R1006" s="874">
        <f>Q1006*0.1</f>
        <v>6235</v>
      </c>
      <c r="S1006" s="875">
        <v>7000</v>
      </c>
      <c r="T1006" s="877">
        <v>26200</v>
      </c>
      <c r="U1006" s="877"/>
      <c r="V1006" s="877"/>
      <c r="W1006" s="875"/>
      <c r="X1006" s="1026">
        <f>(Q1006+R1006+S1006+T1006+U1006+V1006+W1006)*M1006</f>
        <v>50892.5</v>
      </c>
      <c r="Y1006" s="1512">
        <f>(T1006+U1006)*M1006/(X1006-M1006*(T1006+U1006))</f>
        <v>0.3466296222795528</v>
      </c>
      <c r="Z1006" s="1741">
        <f>M1006*(1+Y1006)</f>
        <v>0.67331481113977643</v>
      </c>
      <c r="AA1006" s="1749">
        <f>SUM(AD1006:AS1006)</f>
        <v>0.5</v>
      </c>
      <c r="AB1006" s="1810">
        <f t="shared" ref="AB1006:AB1010" si="595">100*AA1006/Z1006</f>
        <v>74.259468487498154</v>
      </c>
      <c r="AC1006" s="876"/>
      <c r="AD1006" s="1525">
        <f t="shared" ref="AD1006:AS1010" si="596">SUMIF($AV$6:$BS$6,AD$5,$AV1006:$BS1006)</f>
        <v>0.25</v>
      </c>
      <c r="AE1006" s="1525">
        <f t="shared" si="596"/>
        <v>0</v>
      </c>
      <c r="AF1006" s="1525">
        <f t="shared" si="596"/>
        <v>0</v>
      </c>
      <c r="AG1006" s="1525">
        <f t="shared" si="596"/>
        <v>0</v>
      </c>
      <c r="AH1006" s="1525">
        <f t="shared" si="596"/>
        <v>0</v>
      </c>
      <c r="AI1006" s="1525">
        <f t="shared" si="596"/>
        <v>0.25</v>
      </c>
      <c r="AJ1006" s="1525">
        <f t="shared" si="596"/>
        <v>0</v>
      </c>
      <c r="AK1006" s="1525">
        <f t="shared" si="596"/>
        <v>0</v>
      </c>
      <c r="AL1006" s="1525">
        <f t="shared" si="596"/>
        <v>0</v>
      </c>
      <c r="AM1006" s="1525">
        <f t="shared" si="596"/>
        <v>0</v>
      </c>
      <c r="AN1006" s="1525">
        <f t="shared" si="596"/>
        <v>0</v>
      </c>
      <c r="AO1006" s="1525">
        <f t="shared" si="596"/>
        <v>0</v>
      </c>
      <c r="AP1006" s="1525">
        <f t="shared" si="596"/>
        <v>0</v>
      </c>
      <c r="AQ1006" s="1525">
        <f t="shared" si="596"/>
        <v>0</v>
      </c>
      <c r="AR1006" s="1525">
        <f t="shared" si="596"/>
        <v>0</v>
      </c>
      <c r="AS1006" s="1525">
        <f t="shared" si="596"/>
        <v>0</v>
      </c>
      <c r="AU1006" s="1525"/>
      <c r="AV1006" s="1291"/>
      <c r="AW1006" s="1292"/>
      <c r="AX1006" s="1292"/>
      <c r="AY1006" s="1292"/>
      <c r="AZ1006" s="1292"/>
      <c r="BA1006" s="1292"/>
      <c r="BB1006" s="1292"/>
      <c r="BC1006" s="1292"/>
      <c r="BD1006" s="1292"/>
      <c r="BE1006" s="1292"/>
      <c r="BF1006" s="1292"/>
      <c r="BG1006" s="1292"/>
      <c r="BH1006" s="1292"/>
      <c r="BI1006" s="1292">
        <v>0.25</v>
      </c>
      <c r="BJ1006" s="1292"/>
      <c r="BK1006" s="1292"/>
      <c r="BL1006" s="1292"/>
      <c r="BM1006" s="1292">
        <v>0.25</v>
      </c>
      <c r="BN1006" s="1292"/>
      <c r="BO1006" s="1292"/>
      <c r="BP1006" s="1292"/>
      <c r="BQ1006" s="1292"/>
      <c r="BR1006" s="1292"/>
      <c r="BS1006" s="1292"/>
      <c r="BT1006" s="1670">
        <f t="shared" ref="BT1006:BT1010" si="597">SUM(AV1006:BS1006)</f>
        <v>0.5</v>
      </c>
      <c r="BW1006" s="799" t="s">
        <v>1411</v>
      </c>
    </row>
    <row r="1007" spans="2:75" ht="12.75" customHeight="1" x14ac:dyDescent="0.2">
      <c r="B1007" s="175">
        <f t="shared" si="577"/>
        <v>2</v>
      </c>
      <c r="C1007" s="219">
        <v>2</v>
      </c>
      <c r="E1007" s="472" t="s">
        <v>1561</v>
      </c>
      <c r="F1007" s="24" t="s">
        <v>1630</v>
      </c>
      <c r="G1007" s="799" t="s">
        <v>1498</v>
      </c>
      <c r="H1007" s="1413">
        <v>102044</v>
      </c>
      <c r="I1007" s="200" t="s">
        <v>351</v>
      </c>
      <c r="J1007" s="290"/>
      <c r="K1007" s="290"/>
      <c r="L1007" s="841">
        <v>0.5</v>
      </c>
      <c r="M1007" s="858">
        <f>K1007+L1007</f>
        <v>0.5</v>
      </c>
      <c r="N1007" s="832" t="s">
        <v>892</v>
      </c>
      <c r="O1007" s="1196">
        <v>14664</v>
      </c>
      <c r="P1007" s="1218">
        <f ca="1">YEARFRAC(TODAY(),O1007)</f>
        <v>77.608333333333334</v>
      </c>
      <c r="Q1007" s="1148">
        <v>31100</v>
      </c>
      <c r="R1007" s="874"/>
      <c r="S1007" s="875">
        <v>7000</v>
      </c>
      <c r="T1007" s="877">
        <v>23400</v>
      </c>
      <c r="U1007" s="877"/>
      <c r="V1007" s="877"/>
      <c r="W1007" s="875"/>
      <c r="X1007" s="1026">
        <f>(Q1007+R1007+S1007+T1007+U1007+V1007+W1007)*M1007</f>
        <v>30750</v>
      </c>
      <c r="Y1007" s="1512">
        <f>(T1007+U1007)*M1007/(X1007-M1007*(T1007+U1007))</f>
        <v>0.61417322834645671</v>
      </c>
      <c r="Z1007" s="1741">
        <f>M1007*(1+Y1007)</f>
        <v>0.80708661417322836</v>
      </c>
      <c r="AA1007" s="1749">
        <f>SUM(AD1007:AS1007)</f>
        <v>0.5</v>
      </c>
      <c r="AB1007" s="1810">
        <f t="shared" si="595"/>
        <v>61.951219512195124</v>
      </c>
      <c r="AC1007" s="876"/>
      <c r="AD1007" s="1525">
        <f t="shared" si="596"/>
        <v>0</v>
      </c>
      <c r="AE1007" s="1525">
        <f t="shared" si="596"/>
        <v>0</v>
      </c>
      <c r="AF1007" s="1525">
        <f t="shared" si="596"/>
        <v>0</v>
      </c>
      <c r="AG1007" s="1525">
        <f t="shared" si="596"/>
        <v>0</v>
      </c>
      <c r="AH1007" s="1525">
        <f t="shared" si="596"/>
        <v>0</v>
      </c>
      <c r="AI1007" s="1525">
        <f t="shared" si="596"/>
        <v>0.5</v>
      </c>
      <c r="AJ1007" s="1525">
        <f t="shared" si="596"/>
        <v>0</v>
      </c>
      <c r="AK1007" s="1525">
        <f t="shared" si="596"/>
        <v>0</v>
      </c>
      <c r="AL1007" s="1525">
        <f t="shared" si="596"/>
        <v>0</v>
      </c>
      <c r="AM1007" s="1525">
        <f t="shared" si="596"/>
        <v>0</v>
      </c>
      <c r="AN1007" s="1525">
        <f t="shared" si="596"/>
        <v>0</v>
      </c>
      <c r="AO1007" s="1525">
        <f t="shared" si="596"/>
        <v>0</v>
      </c>
      <c r="AP1007" s="1525">
        <f t="shared" si="596"/>
        <v>0</v>
      </c>
      <c r="AQ1007" s="1525">
        <f t="shared" si="596"/>
        <v>0</v>
      </c>
      <c r="AR1007" s="1525">
        <f t="shared" si="596"/>
        <v>0</v>
      </c>
      <c r="AS1007" s="1525">
        <f t="shared" si="596"/>
        <v>0</v>
      </c>
      <c r="AU1007" s="1525"/>
      <c r="AV1007" s="1291"/>
      <c r="AW1007" s="1292"/>
      <c r="AX1007" s="1292"/>
      <c r="AY1007" s="1292"/>
      <c r="AZ1007" s="1292"/>
      <c r="BA1007" s="1292"/>
      <c r="BB1007" s="1292"/>
      <c r="BC1007" s="1292"/>
      <c r="BD1007" s="1292"/>
      <c r="BE1007" s="1292"/>
      <c r="BF1007" s="1292"/>
      <c r="BG1007" s="1292"/>
      <c r="BH1007" s="1292"/>
      <c r="BI1007" s="1292"/>
      <c r="BJ1007" s="1292"/>
      <c r="BK1007" s="1292"/>
      <c r="BL1007" s="1292"/>
      <c r="BM1007" s="1292">
        <v>0.5</v>
      </c>
      <c r="BN1007" s="1292"/>
      <c r="BO1007" s="1292"/>
      <c r="BP1007" s="1292"/>
      <c r="BQ1007" s="1292"/>
      <c r="BR1007" s="1292"/>
      <c r="BS1007" s="1292"/>
      <c r="BT1007" s="1670">
        <f t="shared" si="597"/>
        <v>0.5</v>
      </c>
      <c r="BW1007" s="799" t="s">
        <v>1498</v>
      </c>
    </row>
    <row r="1008" spans="2:75" ht="12.75" customHeight="1" x14ac:dyDescent="0.2">
      <c r="B1008" s="175">
        <f t="shared" si="577"/>
        <v>3</v>
      </c>
      <c r="C1008" s="219">
        <v>8</v>
      </c>
      <c r="E1008" s="472" t="s">
        <v>1561</v>
      </c>
      <c r="F1008" s="58" t="s">
        <v>353</v>
      </c>
      <c r="G1008" s="799" t="s">
        <v>891</v>
      </c>
      <c r="H1008" s="1413">
        <v>90990</v>
      </c>
      <c r="I1008" s="200" t="s">
        <v>351</v>
      </c>
      <c r="J1008" s="290"/>
      <c r="K1008" s="290"/>
      <c r="L1008" s="841">
        <v>1</v>
      </c>
      <c r="M1008" s="858">
        <f>K1008+L1008</f>
        <v>1</v>
      </c>
      <c r="N1008" s="832" t="s">
        <v>1573</v>
      </c>
      <c r="O1008" s="1196">
        <v>24253</v>
      </c>
      <c r="P1008" s="1218">
        <f ca="1">YEARFRAC(TODAY(),O1008)</f>
        <v>51.35</v>
      </c>
      <c r="Q1008" s="1148">
        <v>33300</v>
      </c>
      <c r="R1008" s="874">
        <f>Q1008*0.1</f>
        <v>3330</v>
      </c>
      <c r="S1008" s="875"/>
      <c r="T1008" s="877">
        <v>5000</v>
      </c>
      <c r="U1008" s="877"/>
      <c r="V1008" s="877"/>
      <c r="W1008" s="875"/>
      <c r="X1008" s="1026">
        <f>(Q1008+R1008+S1008+T1008+U1008+V1008+W1008)*M1008</f>
        <v>41630</v>
      </c>
      <c r="Y1008" s="1512">
        <f>(T1008+U1008)*M1008/(X1008-M1008*(T1008+U1008))</f>
        <v>0.13650013650013651</v>
      </c>
      <c r="Z1008" s="1741">
        <f>M1008*(1+Y1008)</f>
        <v>1.1365001365001366</v>
      </c>
      <c r="AA1008" s="1749">
        <f>SUM(AD1008:AS1008)</f>
        <v>1.1400000000000001</v>
      </c>
      <c r="AB1008" s="1810">
        <f t="shared" si="595"/>
        <v>100.30795099687725</v>
      </c>
      <c r="AC1008" s="876"/>
      <c r="AD1008" s="1525">
        <f t="shared" si="596"/>
        <v>0.6</v>
      </c>
      <c r="AE1008" s="1525">
        <f t="shared" si="596"/>
        <v>0</v>
      </c>
      <c r="AF1008" s="1525">
        <f t="shared" si="596"/>
        <v>0</v>
      </c>
      <c r="AG1008" s="1525">
        <f t="shared" si="596"/>
        <v>0</v>
      </c>
      <c r="AH1008" s="1525">
        <f t="shared" si="596"/>
        <v>0</v>
      </c>
      <c r="AI1008" s="1525">
        <f t="shared" si="596"/>
        <v>0.4</v>
      </c>
      <c r="AJ1008" s="1525">
        <f t="shared" si="596"/>
        <v>0</v>
      </c>
      <c r="AK1008" s="1525">
        <f t="shared" si="596"/>
        <v>0.14000000000000001</v>
      </c>
      <c r="AL1008" s="1525">
        <f t="shared" si="596"/>
        <v>0</v>
      </c>
      <c r="AM1008" s="1525">
        <f t="shared" si="596"/>
        <v>0</v>
      </c>
      <c r="AN1008" s="1525">
        <f t="shared" si="596"/>
        <v>0</v>
      </c>
      <c r="AO1008" s="1525">
        <f t="shared" si="596"/>
        <v>0</v>
      </c>
      <c r="AP1008" s="1525">
        <f t="shared" si="596"/>
        <v>0</v>
      </c>
      <c r="AQ1008" s="1525">
        <f t="shared" si="596"/>
        <v>0</v>
      </c>
      <c r="AR1008" s="1525">
        <f t="shared" si="596"/>
        <v>0</v>
      </c>
      <c r="AS1008" s="1525">
        <f t="shared" si="596"/>
        <v>0</v>
      </c>
      <c r="AU1008" s="1525"/>
      <c r="AV1008" s="1291"/>
      <c r="AW1008" s="1292">
        <v>0.14000000000000001</v>
      </c>
      <c r="AX1008" s="1292"/>
      <c r="AY1008" s="1292"/>
      <c r="AZ1008" s="1292"/>
      <c r="BA1008" s="1292"/>
      <c r="BB1008" s="1292"/>
      <c r="BC1008" s="1292"/>
      <c r="BD1008" s="1292"/>
      <c r="BE1008" s="1292"/>
      <c r="BF1008" s="1292"/>
      <c r="BG1008" s="1292"/>
      <c r="BH1008" s="1292"/>
      <c r="BI1008" s="1292">
        <v>0.6</v>
      </c>
      <c r="BJ1008" s="1292"/>
      <c r="BK1008" s="1292"/>
      <c r="BL1008" s="1292"/>
      <c r="BM1008" s="1292">
        <v>0.4</v>
      </c>
      <c r="BN1008" s="1292"/>
      <c r="BO1008" s="1292"/>
      <c r="BP1008" s="1292"/>
      <c r="BQ1008" s="1292"/>
      <c r="BR1008" s="1292"/>
      <c r="BS1008" s="1292"/>
      <c r="BT1008" s="1670">
        <f t="shared" si="597"/>
        <v>1.1400000000000001</v>
      </c>
      <c r="BW1008" s="799" t="s">
        <v>891</v>
      </c>
    </row>
    <row r="1009" spans="2:75" ht="12.75" customHeight="1" x14ac:dyDescent="0.2">
      <c r="B1009">
        <f t="shared" si="577"/>
        <v>4</v>
      </c>
      <c r="C1009" s="219">
        <v>9</v>
      </c>
      <c r="E1009" s="472" t="s">
        <v>1561</v>
      </c>
      <c r="F1009" s="58" t="s">
        <v>1396</v>
      </c>
      <c r="G1009" s="799" t="s">
        <v>22</v>
      </c>
      <c r="H1009" s="1413">
        <v>7428</v>
      </c>
      <c r="I1009" s="200" t="s">
        <v>351</v>
      </c>
      <c r="J1009" s="290"/>
      <c r="K1009" s="290"/>
      <c r="L1009" s="841">
        <v>1</v>
      </c>
      <c r="M1009" s="858">
        <f>K1009+L1009</f>
        <v>1</v>
      </c>
      <c r="N1009" s="832" t="s">
        <v>892</v>
      </c>
      <c r="O1009" s="1196">
        <v>15385</v>
      </c>
      <c r="P1009" s="1218">
        <f ca="1">YEARFRAC(TODAY(),O1009)</f>
        <v>75.636111111111106</v>
      </c>
      <c r="Q1009" s="1148">
        <v>26050</v>
      </c>
      <c r="R1009" s="874"/>
      <c r="S1009" s="875"/>
      <c r="T1009" s="877">
        <v>1700</v>
      </c>
      <c r="U1009" s="877"/>
      <c r="V1009" s="877"/>
      <c r="W1009" s="875"/>
      <c r="X1009" s="1026">
        <f>(Q1009+R1009+S1009+T1009+U1009+V1009+W1009)*M1009</f>
        <v>27750</v>
      </c>
      <c r="Y1009" s="1512">
        <f>(T1009+U1009)*M1009/(X1009-M1009*(T1009+U1009))</f>
        <v>6.5259117082533583E-2</v>
      </c>
      <c r="Z1009" s="1741">
        <f>M1009*(1+Y1009)</f>
        <v>1.0652591170825336</v>
      </c>
      <c r="AA1009" s="1749">
        <f>SUM(AD1009:AS1009)</f>
        <v>1</v>
      </c>
      <c r="AB1009" s="1810">
        <f t="shared" si="595"/>
        <v>93.873873873873876</v>
      </c>
      <c r="AC1009" s="876"/>
      <c r="AD1009" s="1525">
        <f t="shared" si="596"/>
        <v>0</v>
      </c>
      <c r="AE1009" s="1525">
        <f t="shared" si="596"/>
        <v>0</v>
      </c>
      <c r="AF1009" s="1525">
        <f t="shared" si="596"/>
        <v>0</v>
      </c>
      <c r="AG1009" s="1525">
        <f t="shared" si="596"/>
        <v>0</v>
      </c>
      <c r="AH1009" s="1525">
        <f t="shared" si="596"/>
        <v>0</v>
      </c>
      <c r="AI1009" s="1525">
        <f t="shared" si="596"/>
        <v>1</v>
      </c>
      <c r="AJ1009" s="1525">
        <f t="shared" si="596"/>
        <v>0</v>
      </c>
      <c r="AK1009" s="1525">
        <f t="shared" si="596"/>
        <v>0</v>
      </c>
      <c r="AL1009" s="1525">
        <f t="shared" si="596"/>
        <v>0</v>
      </c>
      <c r="AM1009" s="1525">
        <f t="shared" si="596"/>
        <v>0</v>
      </c>
      <c r="AN1009" s="1525">
        <f t="shared" si="596"/>
        <v>0</v>
      </c>
      <c r="AO1009" s="1525">
        <f t="shared" si="596"/>
        <v>0</v>
      </c>
      <c r="AP1009" s="1525">
        <f t="shared" si="596"/>
        <v>0</v>
      </c>
      <c r="AQ1009" s="1525">
        <f t="shared" si="596"/>
        <v>0</v>
      </c>
      <c r="AR1009" s="1525">
        <f t="shared" si="596"/>
        <v>0</v>
      </c>
      <c r="AS1009" s="1525">
        <f t="shared" si="596"/>
        <v>0</v>
      </c>
      <c r="AU1009" s="1525"/>
      <c r="AV1009" s="1291"/>
      <c r="AW1009" s="1292"/>
      <c r="AX1009" s="1292"/>
      <c r="AY1009" s="1292"/>
      <c r="AZ1009" s="1292"/>
      <c r="BA1009" s="1292"/>
      <c r="BB1009" s="1292"/>
      <c r="BC1009" s="1292"/>
      <c r="BD1009" s="1292"/>
      <c r="BE1009" s="1292"/>
      <c r="BF1009" s="1292"/>
      <c r="BG1009" s="1292"/>
      <c r="BH1009" s="1292"/>
      <c r="BI1009" s="1292"/>
      <c r="BJ1009" s="1292"/>
      <c r="BK1009" s="1292"/>
      <c r="BL1009" s="1292"/>
      <c r="BM1009" s="1292">
        <v>1</v>
      </c>
      <c r="BN1009" s="1292"/>
      <c r="BO1009" s="1292"/>
      <c r="BP1009" s="1292"/>
      <c r="BQ1009" s="1292"/>
      <c r="BR1009" s="1292"/>
      <c r="BS1009" s="1292"/>
      <c r="BT1009" s="1670">
        <f t="shared" si="597"/>
        <v>1</v>
      </c>
      <c r="BW1009" s="799" t="s">
        <v>22</v>
      </c>
    </row>
    <row r="1010" spans="2:75" ht="12.75" customHeight="1" x14ac:dyDescent="0.2">
      <c r="B1010" s="175">
        <f t="shared" si="577"/>
        <v>5</v>
      </c>
      <c r="C1010" s="219">
        <v>15</v>
      </c>
      <c r="D1010" s="224"/>
      <c r="E1010" s="472" t="s">
        <v>1561</v>
      </c>
      <c r="F1010" t="s">
        <v>631</v>
      </c>
      <c r="G1010" s="799" t="s">
        <v>1695</v>
      </c>
      <c r="H1010" s="1413">
        <v>146183</v>
      </c>
      <c r="I1010" s="197" t="s">
        <v>583</v>
      </c>
      <c r="J1010" s="290"/>
      <c r="K1010" s="174"/>
      <c r="L1010" s="861">
        <v>1</v>
      </c>
      <c r="M1010" s="858">
        <f>K1010+L1010</f>
        <v>1</v>
      </c>
      <c r="N1010" s="832" t="s">
        <v>1454</v>
      </c>
      <c r="O1010" s="1196">
        <v>23956</v>
      </c>
      <c r="P1010" s="1218">
        <f ca="1">YEARFRAC(TODAY(),O1010)</f>
        <v>52.166666666666664</v>
      </c>
      <c r="Q1010" s="1148">
        <v>23800</v>
      </c>
      <c r="R1010" s="874">
        <f>Q1010*0.1</f>
        <v>2380</v>
      </c>
      <c r="S1010" s="875"/>
      <c r="T1010" s="877">
        <v>4000</v>
      </c>
      <c r="U1010" s="877"/>
      <c r="V1010" s="799"/>
      <c r="W1010" s="875"/>
      <c r="X1010" s="1026">
        <f>(Q1010+R1010+S1010+T1010+U1010+V1010+W1010)*M1010</f>
        <v>30180</v>
      </c>
      <c r="Y1010" s="1512">
        <f>(T1010+U1010)*M1010/(X1010-M1010*(T1010+U1010))</f>
        <v>0.15278838808250572</v>
      </c>
      <c r="Z1010" s="1741">
        <f>M1010*(1+Y1010)</f>
        <v>1.1527883880825058</v>
      </c>
      <c r="AA1010" s="1749">
        <f>SUM(AD1010:AS1010)</f>
        <v>1</v>
      </c>
      <c r="AB1010" s="1810">
        <f t="shared" si="595"/>
        <v>86.746189529489726</v>
      </c>
      <c r="AC1010" s="876"/>
      <c r="AD1010" s="1525">
        <f t="shared" si="596"/>
        <v>0</v>
      </c>
      <c r="AE1010" s="1525">
        <f t="shared" si="596"/>
        <v>0</v>
      </c>
      <c r="AF1010" s="1525">
        <f t="shared" si="596"/>
        <v>0</v>
      </c>
      <c r="AG1010" s="1525">
        <f t="shared" si="596"/>
        <v>0</v>
      </c>
      <c r="AH1010" s="1525">
        <f t="shared" si="596"/>
        <v>0</v>
      </c>
      <c r="AI1010" s="1525">
        <f t="shared" si="596"/>
        <v>1</v>
      </c>
      <c r="AJ1010" s="1525">
        <f t="shared" si="596"/>
        <v>0</v>
      </c>
      <c r="AK1010" s="1525">
        <f t="shared" si="596"/>
        <v>0</v>
      </c>
      <c r="AL1010" s="1525">
        <f t="shared" si="596"/>
        <v>0</v>
      </c>
      <c r="AM1010" s="1525">
        <f t="shared" si="596"/>
        <v>0</v>
      </c>
      <c r="AN1010" s="1525">
        <f t="shared" si="596"/>
        <v>0</v>
      </c>
      <c r="AO1010" s="1525">
        <f t="shared" si="596"/>
        <v>0</v>
      </c>
      <c r="AP1010" s="1525">
        <f t="shared" si="596"/>
        <v>0</v>
      </c>
      <c r="AQ1010" s="1525">
        <f t="shared" si="596"/>
        <v>0</v>
      </c>
      <c r="AR1010" s="1525">
        <f t="shared" si="596"/>
        <v>0</v>
      </c>
      <c r="AS1010" s="1525">
        <f t="shared" si="596"/>
        <v>0</v>
      </c>
      <c r="AU1010" s="1525"/>
      <c r="AV1010" s="1291"/>
      <c r="AW1010" s="1292"/>
      <c r="AX1010" s="1292"/>
      <c r="AY1010" s="1292"/>
      <c r="AZ1010" s="1292"/>
      <c r="BA1010" s="1292"/>
      <c r="BB1010" s="1292"/>
      <c r="BC1010" s="1292"/>
      <c r="BD1010" s="1292"/>
      <c r="BE1010" s="1292"/>
      <c r="BF1010" s="1292"/>
      <c r="BG1010" s="1292"/>
      <c r="BH1010" s="1292"/>
      <c r="BI1010" s="1292"/>
      <c r="BJ1010" s="1292"/>
      <c r="BK1010" s="1292"/>
      <c r="BL1010" s="1292"/>
      <c r="BM1010" s="1292">
        <v>1</v>
      </c>
      <c r="BN1010" s="1292"/>
      <c r="BO1010" s="1292"/>
      <c r="BP1010" s="1292"/>
      <c r="BQ1010" s="1292"/>
      <c r="BR1010" s="1292"/>
      <c r="BS1010" s="1292"/>
      <c r="BT1010" s="1670">
        <f t="shared" si="597"/>
        <v>1</v>
      </c>
      <c r="BW1010" s="799" t="s">
        <v>1695</v>
      </c>
    </row>
    <row r="1011" spans="2:75" ht="12.75" customHeight="1" x14ac:dyDescent="0.2">
      <c r="B1011"/>
      <c r="C1011" s="219" t="s">
        <v>1120</v>
      </c>
      <c r="E1011" s="472"/>
      <c r="F1011" s="4" t="s">
        <v>553</v>
      </c>
      <c r="G1011" s="844"/>
      <c r="H1011" s="1420" t="s">
        <v>1508</v>
      </c>
      <c r="I1011" s="197"/>
      <c r="J1011" s="290"/>
      <c r="K1011" s="902">
        <f t="shared" ref="K1011:L1011" si="598">SUM(K1004:K1010)</f>
        <v>1</v>
      </c>
      <c r="L1011" s="902">
        <f t="shared" si="598"/>
        <v>4</v>
      </c>
      <c r="M1011" s="902">
        <f>SUM(M1004:M1010)</f>
        <v>5</v>
      </c>
      <c r="N1011" s="832"/>
      <c r="O1011" s="1193"/>
      <c r="P1011" s="1218"/>
      <c r="Q1011" s="1148"/>
      <c r="R1011" s="874"/>
      <c r="S1011" s="875"/>
      <c r="T1011" s="877"/>
      <c r="U1011" s="877"/>
      <c r="V1011" s="877"/>
      <c r="W1011" s="875"/>
      <c r="X1011" s="1026"/>
      <c r="Y1011" s="1335"/>
      <c r="Z1011" s="1335"/>
      <c r="AA1011" s="1775"/>
      <c r="AB1011" s="1814"/>
      <c r="AC1011" s="876"/>
      <c r="AD1011" s="1295"/>
      <c r="AE1011" s="1525"/>
      <c r="AF1011" s="1525"/>
      <c r="AG1011" s="1525"/>
      <c r="AH1011" s="1525"/>
      <c r="AI1011" s="1525"/>
      <c r="AJ1011" s="1525"/>
      <c r="AK1011" s="1525"/>
      <c r="AL1011" s="1525"/>
      <c r="AM1011" s="1525"/>
      <c r="AN1011" s="1525"/>
      <c r="AO1011" s="1525"/>
      <c r="AP1011" s="1525"/>
      <c r="AQ1011" s="1525"/>
      <c r="AR1011" s="1525"/>
      <c r="AS1011" s="1525"/>
      <c r="AU1011" s="1525"/>
      <c r="AV1011" s="1291"/>
      <c r="AW1011" s="1292"/>
      <c r="AX1011" s="1292"/>
      <c r="AY1011" s="1292"/>
      <c r="AZ1011" s="1292"/>
      <c r="BA1011" s="1292"/>
      <c r="BB1011" s="1292"/>
      <c r="BC1011" s="1292"/>
      <c r="BD1011" s="1292"/>
      <c r="BE1011" s="1292"/>
      <c r="BF1011" s="1292"/>
      <c r="BG1011" s="1292"/>
      <c r="BH1011" s="1292"/>
      <c r="BI1011" s="1292"/>
      <c r="BJ1011" s="1292"/>
      <c r="BK1011" s="1292"/>
      <c r="BL1011" s="1292"/>
      <c r="BM1011" s="1292"/>
      <c r="BN1011" s="1292"/>
      <c r="BO1011" s="1292"/>
      <c r="BP1011" s="1292"/>
      <c r="BQ1011" s="1292"/>
      <c r="BR1011" s="1292"/>
      <c r="BS1011" s="1292"/>
      <c r="BT1011" s="1670"/>
      <c r="BW1011" s="844"/>
    </row>
    <row r="1012" spans="2:75" ht="12.75" customHeight="1" x14ac:dyDescent="0.2">
      <c r="B1012" s="175"/>
      <c r="C1012" s="219"/>
      <c r="E1012" s="472"/>
      <c r="F1012" s="4"/>
      <c r="G1012" s="844"/>
      <c r="H1012" s="1413" t="s">
        <v>1508</v>
      </c>
      <c r="I1012" s="197"/>
      <c r="J1012" s="290"/>
      <c r="K1012" s="290"/>
      <c r="L1012" s="841"/>
      <c r="M1012" s="858"/>
      <c r="N1012" s="832"/>
      <c r="O1012" s="1193"/>
      <c r="P1012" s="1218"/>
      <c r="Q1012" s="1148"/>
      <c r="R1012" s="874"/>
      <c r="S1012" s="875"/>
      <c r="T1012" s="877"/>
      <c r="U1012" s="877"/>
      <c r="V1012" s="877"/>
      <c r="W1012" s="875"/>
      <c r="X1012" s="1026"/>
      <c r="Y1012" s="1754"/>
      <c r="Z1012" s="1755"/>
      <c r="AA1012" s="1775"/>
      <c r="AB1012" s="1814"/>
      <c r="AC1012" s="876"/>
      <c r="AD1012" s="1295"/>
      <c r="AE1012" s="1525"/>
      <c r="AF1012" s="1525"/>
      <c r="AG1012" s="1525"/>
      <c r="AH1012" s="1525"/>
      <c r="AI1012" s="1525"/>
      <c r="AJ1012" s="1525"/>
      <c r="AK1012" s="1525"/>
      <c r="AL1012" s="1525"/>
      <c r="AM1012" s="1525"/>
      <c r="AN1012" s="1525"/>
      <c r="AO1012" s="1525"/>
      <c r="AP1012" s="1525"/>
      <c r="AQ1012" s="1525"/>
      <c r="AR1012" s="1525"/>
      <c r="AS1012" s="1525"/>
      <c r="AU1012" s="1525"/>
      <c r="AV1012" s="1291"/>
      <c r="AW1012" s="1292"/>
      <c r="AX1012" s="1292"/>
      <c r="AY1012" s="1292"/>
      <c r="AZ1012" s="1292"/>
      <c r="BA1012" s="1292"/>
      <c r="BB1012" s="1292"/>
      <c r="BC1012" s="1292"/>
      <c r="BD1012" s="1292"/>
      <c r="BE1012" s="1292"/>
      <c r="BF1012" s="1292"/>
      <c r="BG1012" s="1292"/>
      <c r="BH1012" s="1292"/>
      <c r="BI1012" s="1292"/>
      <c r="BJ1012" s="1292"/>
      <c r="BK1012" s="1292"/>
      <c r="BL1012" s="1292"/>
      <c r="BM1012" s="1292"/>
      <c r="BN1012" s="1292"/>
      <c r="BO1012" s="1292"/>
      <c r="BP1012" s="1292"/>
      <c r="BQ1012" s="1292"/>
      <c r="BR1012" s="1292"/>
      <c r="BS1012" s="1292"/>
      <c r="BT1012" s="1670"/>
      <c r="BW1012" s="844"/>
    </row>
    <row r="1013" spans="2:75" ht="12.75" customHeight="1" x14ac:dyDescent="0.2">
      <c r="B1013" s="175"/>
      <c r="C1013" s="219"/>
      <c r="E1013" s="472"/>
      <c r="F1013" s="1103" t="s">
        <v>436</v>
      </c>
      <c r="G1013" s="844"/>
      <c r="H1013" s="1413" t="s">
        <v>1508</v>
      </c>
      <c r="I1013" s="197"/>
      <c r="J1013" s="290"/>
      <c r="K1013" s="290"/>
      <c r="L1013" s="841"/>
      <c r="M1013" s="858"/>
      <c r="N1013" s="832"/>
      <c r="O1013" s="1193"/>
      <c r="P1013" s="1218"/>
      <c r="Q1013" s="1148"/>
      <c r="R1013" s="874"/>
      <c r="S1013" s="875"/>
      <c r="T1013" s="877"/>
      <c r="U1013" s="877"/>
      <c r="V1013" s="877"/>
      <c r="W1013" s="875"/>
      <c r="X1013" s="1026"/>
      <c r="Y1013" s="1754"/>
      <c r="Z1013" s="1755"/>
      <c r="AA1013" s="1775"/>
      <c r="AB1013" s="1814"/>
      <c r="AC1013" s="876"/>
      <c r="AD1013" s="1295"/>
      <c r="AE1013" s="1525"/>
      <c r="AF1013" s="1525"/>
      <c r="AG1013" s="1525"/>
      <c r="AH1013" s="1525"/>
      <c r="AI1013" s="1525"/>
      <c r="AJ1013" s="1525"/>
      <c r="AK1013" s="1525"/>
      <c r="AL1013" s="1525"/>
      <c r="AM1013" s="1525"/>
      <c r="AN1013" s="1525"/>
      <c r="AO1013" s="1525"/>
      <c r="AP1013" s="1525"/>
      <c r="AQ1013" s="1525"/>
      <c r="AR1013" s="1525"/>
      <c r="AS1013" s="1525"/>
      <c r="AU1013" s="1525"/>
      <c r="AV1013" s="1291"/>
      <c r="AW1013" s="1292"/>
      <c r="AX1013" s="1292"/>
      <c r="AY1013" s="1292"/>
      <c r="AZ1013" s="1292"/>
      <c r="BA1013" s="1292"/>
      <c r="BB1013" s="1292"/>
      <c r="BC1013" s="1292"/>
      <c r="BD1013" s="1292"/>
      <c r="BE1013" s="1292"/>
      <c r="BF1013" s="1292"/>
      <c r="BG1013" s="1292"/>
      <c r="BH1013" s="1292"/>
      <c r="BI1013" s="1292"/>
      <c r="BJ1013" s="1292"/>
      <c r="BK1013" s="1292"/>
      <c r="BL1013" s="1292"/>
      <c r="BM1013" s="1292"/>
      <c r="BN1013" s="1292"/>
      <c r="BO1013" s="1292"/>
      <c r="BP1013" s="1292"/>
      <c r="BQ1013" s="1292"/>
      <c r="BR1013" s="1292"/>
      <c r="BS1013" s="1292"/>
      <c r="BT1013" s="1670"/>
      <c r="BW1013" s="844"/>
    </row>
    <row r="1014" spans="2:75" ht="12.75" customHeight="1" x14ac:dyDescent="0.2">
      <c r="B1014">
        <f t="shared" si="577"/>
        <v>1</v>
      </c>
      <c r="C1014" s="219">
        <v>5</v>
      </c>
      <c r="E1014" s="12" t="s">
        <v>1561</v>
      </c>
      <c r="F1014" s="654" t="s">
        <v>166</v>
      </c>
      <c r="G1014" s="799" t="s">
        <v>947</v>
      </c>
      <c r="H1014" s="1413">
        <v>232893</v>
      </c>
      <c r="I1014" s="592" t="s">
        <v>351</v>
      </c>
      <c r="J1014" s="290"/>
      <c r="K1014" s="290">
        <v>1</v>
      </c>
      <c r="L1014" s="841"/>
      <c r="M1014" s="858">
        <f>K1014+L1014</f>
        <v>1</v>
      </c>
      <c r="N1014" s="832" t="s">
        <v>1326</v>
      </c>
      <c r="O1014" s="1196">
        <v>19508</v>
      </c>
      <c r="P1014" s="1218">
        <f ca="1">YEARFRAC(TODAY(),O1014)</f>
        <v>64.341666666666669</v>
      </c>
      <c r="Q1014" s="1148">
        <v>41400</v>
      </c>
      <c r="R1014" s="874">
        <f>Q1014*0.1</f>
        <v>4140</v>
      </c>
      <c r="S1014" s="875">
        <v>7000</v>
      </c>
      <c r="T1014" s="877">
        <v>6000</v>
      </c>
      <c r="U1014" s="877"/>
      <c r="V1014" s="877"/>
      <c r="W1014" s="875"/>
      <c r="X1014" s="1026">
        <f>(Q1014+R1014+S1014+T1014+U1014+V1014+W1014)*M1014</f>
        <v>58540</v>
      </c>
      <c r="Y1014" s="1512">
        <f>(T1014+U1014)*M1014/(X1014-M1014*(T1014+U1014))</f>
        <v>0.11419870574800152</v>
      </c>
      <c r="Z1014" s="1741">
        <f>M1014*(1+Y1014)</f>
        <v>1.1141987057480016</v>
      </c>
      <c r="AA1014" s="1749">
        <f>SUM(AD1014:AS1014)</f>
        <v>1.1100000000000001</v>
      </c>
      <c r="AB1014" s="1810">
        <f t="shared" ref="AB1014" si="599">100*AA1014/Z1014</f>
        <v>99.623163648787155</v>
      </c>
      <c r="AC1014" s="876"/>
      <c r="AD1014" s="1525">
        <f t="shared" ref="AD1014:AS1018" si="600">SUMIF($AV$6:$BS$6,AD$5,$AV1014:$BS1014)</f>
        <v>0.11</v>
      </c>
      <c r="AE1014" s="1525">
        <f t="shared" si="600"/>
        <v>0</v>
      </c>
      <c r="AF1014" s="1525">
        <f t="shared" si="600"/>
        <v>0</v>
      </c>
      <c r="AG1014" s="1525">
        <f t="shared" si="600"/>
        <v>0</v>
      </c>
      <c r="AH1014" s="1525">
        <f t="shared" si="600"/>
        <v>0</v>
      </c>
      <c r="AI1014" s="1525">
        <f t="shared" si="600"/>
        <v>1</v>
      </c>
      <c r="AJ1014" s="1525">
        <f t="shared" si="600"/>
        <v>0</v>
      </c>
      <c r="AK1014" s="1525">
        <f t="shared" si="600"/>
        <v>0</v>
      </c>
      <c r="AL1014" s="1525">
        <f t="shared" si="600"/>
        <v>0</v>
      </c>
      <c r="AM1014" s="1525">
        <f t="shared" si="600"/>
        <v>0</v>
      </c>
      <c r="AN1014" s="1525">
        <f t="shared" si="600"/>
        <v>0</v>
      </c>
      <c r="AO1014" s="1525">
        <f t="shared" si="600"/>
        <v>0</v>
      </c>
      <c r="AP1014" s="1525">
        <f t="shared" si="600"/>
        <v>0</v>
      </c>
      <c r="AQ1014" s="1525">
        <f t="shared" si="600"/>
        <v>0</v>
      </c>
      <c r="AR1014" s="1525">
        <f t="shared" si="600"/>
        <v>0</v>
      </c>
      <c r="AS1014" s="1525">
        <f t="shared" si="600"/>
        <v>0</v>
      </c>
      <c r="AU1014" s="1525"/>
      <c r="AV1014" s="1291"/>
      <c r="AW1014" s="1292"/>
      <c r="AX1014" s="1292"/>
      <c r="AY1014" s="1292"/>
      <c r="AZ1014" s="1292"/>
      <c r="BA1014" s="1292"/>
      <c r="BB1014" s="1292"/>
      <c r="BC1014" s="1292"/>
      <c r="BD1014" s="1292"/>
      <c r="BE1014" s="1292"/>
      <c r="BF1014" s="1292"/>
      <c r="BG1014" s="1292"/>
      <c r="BH1014" s="1292"/>
      <c r="BI1014" s="1292">
        <v>0.11</v>
      </c>
      <c r="BJ1014" s="1292"/>
      <c r="BK1014" s="1292"/>
      <c r="BL1014" s="1292"/>
      <c r="BM1014" s="1292">
        <v>1</v>
      </c>
      <c r="BN1014" s="1292"/>
      <c r="BO1014" s="1292"/>
      <c r="BP1014" s="1292"/>
      <c r="BQ1014" s="1292"/>
      <c r="BR1014" s="1292"/>
      <c r="BS1014" s="1292"/>
      <c r="BT1014" s="1670">
        <f t="shared" ref="BT1014:BT1015" si="601">SUM(AV1014:BS1014)</f>
        <v>1.1100000000000001</v>
      </c>
      <c r="BW1014" s="799" t="s">
        <v>947</v>
      </c>
    </row>
    <row r="1015" spans="2:75" s="164" customFormat="1" ht="12.75" customHeight="1" x14ac:dyDescent="0.2">
      <c r="B1015" s="175">
        <f t="shared" si="577"/>
        <v>2</v>
      </c>
      <c r="C1015" s="219">
        <v>10</v>
      </c>
      <c r="E1015" s="472" t="s">
        <v>1561</v>
      </c>
      <c r="F1015" s="17" t="s">
        <v>558</v>
      </c>
      <c r="G1015" s="844" t="s">
        <v>1985</v>
      </c>
      <c r="H1015" s="1412">
        <v>163561</v>
      </c>
      <c r="I1015" s="200" t="s">
        <v>351</v>
      </c>
      <c r="J1015" s="292"/>
      <c r="K1015" s="185">
        <v>1</v>
      </c>
      <c r="L1015" s="944"/>
      <c r="M1015" s="873">
        <v>1</v>
      </c>
      <c r="N1015" s="832" t="s">
        <v>1986</v>
      </c>
      <c r="O1015" s="1196">
        <v>33965</v>
      </c>
      <c r="P1015" s="1218">
        <f ca="1">YEARFRAC(TODAY(),O1015)</f>
        <v>24.763888888888889</v>
      </c>
      <c r="Q1015" s="1148">
        <v>34250</v>
      </c>
      <c r="R1015" s="874"/>
      <c r="S1015" s="875"/>
      <c r="T1015" s="877"/>
      <c r="U1015" s="877"/>
      <c r="V1015" s="877"/>
      <c r="W1015" s="875"/>
      <c r="X1015" s="1026">
        <f>(Q1015+R1015+S1015+T1015+U1015+V1015+W1015)*M1015</f>
        <v>34250</v>
      </c>
      <c r="Y1015" s="1512">
        <f t="shared" ref="Y1015:Y1018" si="602">(T1015+U1015)*M1015/(X1015-M1015*(T1015+U1015))</f>
        <v>0</v>
      </c>
      <c r="Z1015" s="1741">
        <f>M1015*(1+Y1015)</f>
        <v>1</v>
      </c>
      <c r="AA1015" s="1749">
        <f t="shared" ref="AA1015:AA1018" si="603">SUM(AD1015:AS1015)</f>
        <v>0</v>
      </c>
      <c r="AB1015" s="1810">
        <f t="shared" ref="AB1015:AB1018" si="604">100*AA1015/Z1015</f>
        <v>0</v>
      </c>
      <c r="AC1015" s="876"/>
      <c r="AD1015" s="1525">
        <f t="shared" si="600"/>
        <v>0</v>
      </c>
      <c r="AE1015" s="1525">
        <f t="shared" si="600"/>
        <v>0</v>
      </c>
      <c r="AF1015" s="1525">
        <f t="shared" si="600"/>
        <v>0</v>
      </c>
      <c r="AG1015" s="1525">
        <f t="shared" si="600"/>
        <v>0</v>
      </c>
      <c r="AH1015" s="1525">
        <f t="shared" si="600"/>
        <v>0</v>
      </c>
      <c r="AI1015" s="1525">
        <f t="shared" si="600"/>
        <v>0</v>
      </c>
      <c r="AJ1015" s="1525">
        <f t="shared" si="600"/>
        <v>0</v>
      </c>
      <c r="AK1015" s="1525">
        <f t="shared" si="600"/>
        <v>0</v>
      </c>
      <c r="AL1015" s="1525">
        <f t="shared" si="600"/>
        <v>0</v>
      </c>
      <c r="AM1015" s="1525">
        <f t="shared" si="600"/>
        <v>0</v>
      </c>
      <c r="AN1015" s="1525">
        <f t="shared" si="600"/>
        <v>0</v>
      </c>
      <c r="AO1015" s="1525">
        <f t="shared" si="600"/>
        <v>0</v>
      </c>
      <c r="AP1015" s="1525">
        <f t="shared" si="600"/>
        <v>0</v>
      </c>
      <c r="AQ1015" s="1525">
        <f t="shared" si="600"/>
        <v>0</v>
      </c>
      <c r="AR1015" s="1525">
        <f t="shared" si="600"/>
        <v>0</v>
      </c>
      <c r="AS1015" s="1525">
        <f t="shared" si="600"/>
        <v>0</v>
      </c>
      <c r="AU1015" s="1525"/>
      <c r="AV1015" s="1295"/>
      <c r="AW1015" s="1525"/>
      <c r="AX1015" s="1525"/>
      <c r="AY1015" s="1525"/>
      <c r="AZ1015" s="1525"/>
      <c r="BA1015" s="1525"/>
      <c r="BB1015" s="1525"/>
      <c r="BC1015" s="1525"/>
      <c r="BD1015" s="1525"/>
      <c r="BE1015" s="1525"/>
      <c r="BF1015" s="1525"/>
      <c r="BG1015" s="1525"/>
      <c r="BH1015" s="1525"/>
      <c r="BI1015" s="1525"/>
      <c r="BJ1015" s="1525"/>
      <c r="BK1015" s="1525"/>
      <c r="BL1015" s="1525"/>
      <c r="BM1015" s="1525"/>
      <c r="BN1015" s="1525"/>
      <c r="BO1015" s="1525"/>
      <c r="BP1015" s="1525"/>
      <c r="BQ1015" s="1525"/>
      <c r="BR1015" s="1525"/>
      <c r="BS1015" s="1525"/>
      <c r="BT1015" s="1670">
        <f t="shared" si="601"/>
        <v>0</v>
      </c>
      <c r="BV1015"/>
      <c r="BW1015" s="844" t="s">
        <v>1985</v>
      </c>
    </row>
    <row r="1016" spans="2:75" s="164" customFormat="1" ht="12.75" customHeight="1" x14ac:dyDescent="0.2">
      <c r="B1016">
        <f t="shared" si="577"/>
        <v>3</v>
      </c>
      <c r="C1016" s="219">
        <v>18</v>
      </c>
      <c r="D1016" s="170"/>
      <c r="E1016" s="387" t="s">
        <v>1561</v>
      </c>
      <c r="F1016" s="65" t="s">
        <v>584</v>
      </c>
      <c r="G1016" s="844" t="s">
        <v>2034</v>
      </c>
      <c r="H1016" s="861">
        <v>7531</v>
      </c>
      <c r="I1016" s="272" t="s">
        <v>583</v>
      </c>
      <c r="J1016" s="313"/>
      <c r="K1016" s="220">
        <v>1</v>
      </c>
      <c r="L1016" s="893"/>
      <c r="M1016" s="861">
        <v>1</v>
      </c>
      <c r="N1016" s="832" t="s">
        <v>1986</v>
      </c>
      <c r="O1016" s="1196">
        <v>34222</v>
      </c>
      <c r="P1016" s="1218">
        <f ca="1">YEARFRAC(TODAY(),O1016)</f>
        <v>24.06111111111111</v>
      </c>
      <c r="Q1016" s="1148">
        <v>26000</v>
      </c>
      <c r="R1016" s="874"/>
      <c r="S1016" s="875"/>
      <c r="T1016" s="877"/>
      <c r="U1016" s="877"/>
      <c r="V1016" s="877"/>
      <c r="W1016" s="875"/>
      <c r="X1016" s="1026">
        <f t="shared" ref="X1016:X1018" si="605">(Q1016+R1016+S1016+T1016+U1016+V1016+W1016)*M1016</f>
        <v>26000</v>
      </c>
      <c r="Y1016" s="1512">
        <f t="shared" si="602"/>
        <v>0</v>
      </c>
      <c r="Z1016" s="1741">
        <f t="shared" ref="Z1016:Z1018" si="606">M1016*(1+Y1016)</f>
        <v>1</v>
      </c>
      <c r="AA1016" s="1749">
        <f t="shared" si="603"/>
        <v>0</v>
      </c>
      <c r="AB1016" s="1810">
        <f t="shared" si="604"/>
        <v>0</v>
      </c>
      <c r="AC1016" s="876"/>
      <c r="AD1016" s="1525">
        <f t="shared" si="600"/>
        <v>0</v>
      </c>
      <c r="AE1016" s="1525">
        <f t="shared" si="600"/>
        <v>0</v>
      </c>
      <c r="AF1016" s="1525">
        <f t="shared" si="600"/>
        <v>0</v>
      </c>
      <c r="AG1016" s="1525">
        <f t="shared" si="600"/>
        <v>0</v>
      </c>
      <c r="AH1016" s="1525">
        <f t="shared" si="600"/>
        <v>0</v>
      </c>
      <c r="AI1016" s="1525">
        <f t="shared" si="600"/>
        <v>0</v>
      </c>
      <c r="AJ1016" s="1525">
        <f t="shared" si="600"/>
        <v>0</v>
      </c>
      <c r="AK1016" s="1525">
        <f t="shared" si="600"/>
        <v>0</v>
      </c>
      <c r="AL1016" s="1525">
        <f t="shared" si="600"/>
        <v>0</v>
      </c>
      <c r="AM1016" s="1525">
        <f t="shared" si="600"/>
        <v>0</v>
      </c>
      <c r="AN1016" s="1525">
        <f t="shared" si="600"/>
        <v>0</v>
      </c>
      <c r="AO1016" s="1525">
        <f t="shared" si="600"/>
        <v>0</v>
      </c>
      <c r="AP1016" s="1525">
        <f t="shared" si="600"/>
        <v>0</v>
      </c>
      <c r="AQ1016" s="1525">
        <f t="shared" si="600"/>
        <v>0</v>
      </c>
      <c r="AR1016" s="1525">
        <f t="shared" si="600"/>
        <v>0</v>
      </c>
      <c r="AS1016" s="1525">
        <f t="shared" si="600"/>
        <v>0</v>
      </c>
      <c r="AV1016" s="553"/>
      <c r="AX1016" s="553"/>
      <c r="BT1016" s="1672"/>
    </row>
    <row r="1017" spans="2:75" s="164" customFormat="1" ht="12.75" customHeight="1" x14ac:dyDescent="0.2">
      <c r="B1017">
        <f t="shared" si="577"/>
        <v>4</v>
      </c>
      <c r="C1017" s="219">
        <v>18</v>
      </c>
      <c r="D1017" s="170"/>
      <c r="E1017" s="387" t="s">
        <v>1561</v>
      </c>
      <c r="F1017" s="65" t="s">
        <v>584</v>
      </c>
      <c r="G1017" s="844" t="s">
        <v>2035</v>
      </c>
      <c r="H1017" s="861">
        <v>170731</v>
      </c>
      <c r="I1017" s="272" t="s">
        <v>583</v>
      </c>
      <c r="J1017" s="313"/>
      <c r="K1017" s="220">
        <v>1</v>
      </c>
      <c r="L1017" s="893"/>
      <c r="M1017" s="861">
        <v>1</v>
      </c>
      <c r="N1017" s="832" t="s">
        <v>1986</v>
      </c>
      <c r="O1017" s="1196">
        <v>34977</v>
      </c>
      <c r="P1017" s="1218">
        <f ca="1">YEARFRAC(TODAY(),O1017)</f>
        <v>21.991666666666667</v>
      </c>
      <c r="Q1017" s="1148">
        <v>26000</v>
      </c>
      <c r="R1017" s="874"/>
      <c r="S1017" s="875"/>
      <c r="T1017" s="877"/>
      <c r="U1017" s="877"/>
      <c r="V1017" s="877"/>
      <c r="W1017" s="875"/>
      <c r="X1017" s="1026">
        <f t="shared" si="605"/>
        <v>26000</v>
      </c>
      <c r="Y1017" s="1512">
        <f t="shared" si="602"/>
        <v>0</v>
      </c>
      <c r="Z1017" s="1741">
        <f t="shared" si="606"/>
        <v>1</v>
      </c>
      <c r="AA1017" s="1749">
        <f t="shared" si="603"/>
        <v>0</v>
      </c>
      <c r="AB1017" s="1810">
        <f t="shared" si="604"/>
        <v>0</v>
      </c>
      <c r="AC1017" s="876"/>
      <c r="AD1017" s="1525">
        <f t="shared" si="600"/>
        <v>0</v>
      </c>
      <c r="AE1017" s="1525">
        <f t="shared" si="600"/>
        <v>0</v>
      </c>
      <c r="AF1017" s="1525">
        <f t="shared" si="600"/>
        <v>0</v>
      </c>
      <c r="AG1017" s="1525">
        <f t="shared" si="600"/>
        <v>0</v>
      </c>
      <c r="AH1017" s="1525">
        <f t="shared" si="600"/>
        <v>0</v>
      </c>
      <c r="AI1017" s="1525">
        <f t="shared" si="600"/>
        <v>0</v>
      </c>
      <c r="AJ1017" s="1525">
        <f t="shared" si="600"/>
        <v>0</v>
      </c>
      <c r="AK1017" s="1525">
        <f t="shared" si="600"/>
        <v>0</v>
      </c>
      <c r="AL1017" s="1525">
        <f t="shared" si="600"/>
        <v>0</v>
      </c>
      <c r="AM1017" s="1525">
        <f t="shared" si="600"/>
        <v>0</v>
      </c>
      <c r="AN1017" s="1525">
        <f t="shared" si="600"/>
        <v>0</v>
      </c>
      <c r="AO1017" s="1525">
        <f t="shared" si="600"/>
        <v>0</v>
      </c>
      <c r="AP1017" s="1525">
        <f t="shared" si="600"/>
        <v>0</v>
      </c>
      <c r="AQ1017" s="1525">
        <f t="shared" si="600"/>
        <v>0</v>
      </c>
      <c r="AR1017" s="1525">
        <f t="shared" si="600"/>
        <v>0</v>
      </c>
      <c r="AS1017" s="1525">
        <f t="shared" si="600"/>
        <v>0</v>
      </c>
      <c r="AV1017" s="553"/>
      <c r="AX1017" s="553"/>
      <c r="BT1017" s="1672"/>
    </row>
    <row r="1018" spans="2:75" s="164" customFormat="1" ht="12.75" customHeight="1" x14ac:dyDescent="0.2">
      <c r="B1018">
        <f t="shared" si="577"/>
        <v>5</v>
      </c>
      <c r="C1018" s="219">
        <v>18</v>
      </c>
      <c r="D1018" s="170"/>
      <c r="E1018" s="387" t="s">
        <v>1561</v>
      </c>
      <c r="F1018" s="65" t="s">
        <v>584</v>
      </c>
      <c r="G1018" s="844" t="s">
        <v>2036</v>
      </c>
      <c r="H1018" s="861">
        <v>170732</v>
      </c>
      <c r="I1018" s="272" t="s">
        <v>583</v>
      </c>
      <c r="J1018" s="313"/>
      <c r="K1018" s="220">
        <v>1</v>
      </c>
      <c r="L1018" s="893"/>
      <c r="M1018" s="861">
        <v>1</v>
      </c>
      <c r="N1018" s="832" t="s">
        <v>1986</v>
      </c>
      <c r="O1018" s="1196">
        <v>34565</v>
      </c>
      <c r="P1018" s="1218">
        <f ca="1">YEARFRAC(TODAY(),O1018)</f>
        <v>23.119444444444444</v>
      </c>
      <c r="Q1018" s="1148">
        <v>26000</v>
      </c>
      <c r="R1018" s="874"/>
      <c r="S1018" s="875"/>
      <c r="T1018" s="877"/>
      <c r="U1018" s="877"/>
      <c r="V1018" s="877"/>
      <c r="W1018" s="875"/>
      <c r="X1018" s="1026">
        <f t="shared" si="605"/>
        <v>26000</v>
      </c>
      <c r="Y1018" s="1512">
        <f t="shared" si="602"/>
        <v>0</v>
      </c>
      <c r="Z1018" s="1741">
        <f t="shared" si="606"/>
        <v>1</v>
      </c>
      <c r="AA1018" s="1749">
        <f t="shared" si="603"/>
        <v>0</v>
      </c>
      <c r="AB1018" s="1810">
        <f t="shared" si="604"/>
        <v>0</v>
      </c>
      <c r="AC1018" s="876"/>
      <c r="AD1018" s="1525">
        <f t="shared" si="600"/>
        <v>0</v>
      </c>
      <c r="AE1018" s="1525">
        <f t="shared" si="600"/>
        <v>0</v>
      </c>
      <c r="AF1018" s="1525">
        <f t="shared" si="600"/>
        <v>0</v>
      </c>
      <c r="AG1018" s="1525">
        <f t="shared" si="600"/>
        <v>0</v>
      </c>
      <c r="AH1018" s="1525">
        <f t="shared" si="600"/>
        <v>0</v>
      </c>
      <c r="AI1018" s="1525">
        <f t="shared" si="600"/>
        <v>0</v>
      </c>
      <c r="AJ1018" s="1525">
        <f t="shared" si="600"/>
        <v>0</v>
      </c>
      <c r="AK1018" s="1525">
        <f t="shared" si="600"/>
        <v>0</v>
      </c>
      <c r="AL1018" s="1525">
        <f t="shared" si="600"/>
        <v>0</v>
      </c>
      <c r="AM1018" s="1525">
        <f t="shared" si="600"/>
        <v>0</v>
      </c>
      <c r="AN1018" s="1525">
        <f t="shared" si="600"/>
        <v>0</v>
      </c>
      <c r="AO1018" s="1525">
        <f t="shared" si="600"/>
        <v>0</v>
      </c>
      <c r="AP1018" s="1525">
        <f t="shared" si="600"/>
        <v>0</v>
      </c>
      <c r="AQ1018" s="1525">
        <f t="shared" si="600"/>
        <v>0</v>
      </c>
      <c r="AR1018" s="1525">
        <f t="shared" si="600"/>
        <v>0</v>
      </c>
      <c r="AS1018" s="1525">
        <f t="shared" si="600"/>
        <v>0</v>
      </c>
      <c r="AV1018" s="553"/>
      <c r="AX1018" s="553"/>
      <c r="BT1018" s="1672"/>
    </row>
    <row r="1019" spans="2:75" s="164" customFormat="1" ht="12.75" customHeight="1" x14ac:dyDescent="0.2">
      <c r="B1019" s="175"/>
      <c r="C1019" s="219"/>
      <c r="E1019" s="472"/>
      <c r="F1019" s="17"/>
      <c r="G1019" s="844"/>
      <c r="H1019" s="1412"/>
      <c r="I1019" s="200"/>
      <c r="J1019" s="292"/>
      <c r="K1019" s="220"/>
      <c r="L1019" s="893"/>
      <c r="M1019" s="861"/>
      <c r="N1019" s="832"/>
      <c r="O1019" s="1196"/>
      <c r="P1019" s="1218"/>
      <c r="Q1019" s="1148"/>
      <c r="R1019" s="874"/>
      <c r="S1019" s="875"/>
      <c r="T1019" s="877"/>
      <c r="U1019" s="877"/>
      <c r="V1019" s="877"/>
      <c r="W1019" s="875"/>
      <c r="X1019" s="1026"/>
      <c r="Y1019" s="1513"/>
      <c r="Z1019" s="1743"/>
      <c r="AA1019" s="1749"/>
      <c r="AB1019" s="1812"/>
      <c r="AC1019" s="876"/>
      <c r="AD1019" s="1295"/>
      <c r="AE1019" s="1525"/>
      <c r="AF1019" s="1525"/>
      <c r="AG1019" s="1525"/>
      <c r="AH1019" s="1525"/>
      <c r="AI1019" s="1525"/>
      <c r="AJ1019" s="1525"/>
      <c r="AK1019" s="1525"/>
      <c r="AL1019" s="1525"/>
      <c r="AM1019" s="1525"/>
      <c r="AN1019" s="1525"/>
      <c r="AO1019" s="1525"/>
      <c r="AP1019" s="1525"/>
      <c r="AQ1019" s="1525"/>
      <c r="AR1019" s="1525"/>
      <c r="AS1019" s="1525"/>
      <c r="AU1019" s="1525"/>
      <c r="AV1019" s="1295"/>
      <c r="AW1019" s="1525"/>
      <c r="AX1019" s="1525"/>
      <c r="AY1019" s="1525"/>
      <c r="AZ1019" s="1525"/>
      <c r="BA1019" s="1525"/>
      <c r="BB1019" s="1525"/>
      <c r="BC1019" s="1525"/>
      <c r="BD1019" s="1525"/>
      <c r="BE1019" s="1525"/>
      <c r="BF1019" s="1525"/>
      <c r="BG1019" s="1525"/>
      <c r="BH1019" s="1525"/>
      <c r="BI1019" s="1525"/>
      <c r="BJ1019" s="1525"/>
      <c r="BK1019" s="1525"/>
      <c r="BL1019" s="1525"/>
      <c r="BM1019" s="1525"/>
      <c r="BN1019" s="1525"/>
      <c r="BO1019" s="1525"/>
      <c r="BP1019" s="1525"/>
      <c r="BQ1019" s="1525"/>
      <c r="BR1019" s="1525"/>
      <c r="BS1019" s="1525"/>
      <c r="BT1019" s="1670"/>
      <c r="BV1019"/>
      <c r="BW1019" s="844"/>
    </row>
    <row r="1020" spans="2:75" s="164" customFormat="1" ht="12.75" customHeight="1" x14ac:dyDescent="0.15">
      <c r="B1020" s="175"/>
      <c r="C1020" s="655" t="s">
        <v>344</v>
      </c>
      <c r="D1020" s="586" t="s">
        <v>346</v>
      </c>
      <c r="E1020" s="656" t="s">
        <v>1561</v>
      </c>
      <c r="F1020" s="603" t="s">
        <v>1432</v>
      </c>
      <c r="G1020" s="863">
        <f>COUNTA(G956:G1019)</f>
        <v>40</v>
      </c>
      <c r="H1020" s="1434" t="s">
        <v>1508</v>
      </c>
      <c r="I1020" s="604"/>
      <c r="J1020" s="605"/>
      <c r="K1020" s="973">
        <f t="shared" ref="K1020:L1020" si="607">K952+K974+K981+K999 + K1011+SUM(K1014:K1018)</f>
        <v>6.8339999999999996</v>
      </c>
      <c r="L1020" s="973">
        <f t="shared" si="607"/>
        <v>27.2</v>
      </c>
      <c r="M1020" s="973">
        <f>M952+M974+M981+M999 + M1011+SUM(M1014:M1018)</f>
        <v>34.033999999999999</v>
      </c>
      <c r="N1020" s="840"/>
      <c r="O1020" s="840"/>
      <c r="P1020" s="1220"/>
      <c r="Q1020" s="1176"/>
      <c r="R1020" s="1064"/>
      <c r="S1020" s="880"/>
      <c r="T1020" s="880"/>
      <c r="U1020" s="880"/>
      <c r="V1020" s="880"/>
      <c r="W1020" s="880"/>
      <c r="X1020" s="1276">
        <f>SUM(X958:X1014)</f>
        <v>1143709.2</v>
      </c>
      <c r="Y1020" s="1511"/>
      <c r="Z1020" s="1654">
        <f>SUM(Z952:Z1019)</f>
        <v>36.532805718031796</v>
      </c>
      <c r="AA1020" s="1827">
        <f>SUM(AA954:AA1019)</f>
        <v>27.38</v>
      </c>
      <c r="AB1020" s="1813">
        <f t="shared" ref="AB1020" si="608">100*AA1020/Z1020</f>
        <v>74.94633785131326</v>
      </c>
      <c r="AC1020" s="1721"/>
      <c r="AD1020" s="1291"/>
      <c r="AE1020" s="1292"/>
      <c r="AF1020" s="1525"/>
      <c r="AG1020" s="1525"/>
      <c r="AH1020" s="1525"/>
      <c r="AI1020" s="1525"/>
      <c r="AJ1020" s="1525"/>
      <c r="AK1020" s="1525"/>
      <c r="AL1020" s="1525"/>
      <c r="AM1020" s="1525"/>
      <c r="AN1020" s="1525"/>
      <c r="AO1020" s="1525"/>
      <c r="AP1020" s="1525"/>
      <c r="AQ1020" s="1525"/>
      <c r="AR1020" s="1525"/>
      <c r="AS1020" s="1525"/>
      <c r="AU1020" s="1525"/>
      <c r="AV1020" s="1295"/>
      <c r="AW1020" s="1525"/>
      <c r="AX1020" s="1525"/>
      <c r="AY1020" s="1525"/>
      <c r="AZ1020" s="1525"/>
      <c r="BA1020" s="1525"/>
      <c r="BB1020" s="1525"/>
      <c r="BC1020" s="1525"/>
      <c r="BD1020" s="1525"/>
      <c r="BE1020" s="1525"/>
      <c r="BF1020" s="1525"/>
      <c r="BG1020" s="1525"/>
      <c r="BH1020" s="1525"/>
      <c r="BI1020" s="1525"/>
      <c r="BJ1020" s="1525"/>
      <c r="BK1020" s="1525"/>
      <c r="BL1020" s="1525"/>
      <c r="BM1020" s="1525"/>
      <c r="BN1020" s="1525"/>
      <c r="BO1020" s="1525"/>
      <c r="BP1020" s="1525"/>
      <c r="BQ1020" s="1525"/>
      <c r="BR1020" s="1525"/>
      <c r="BS1020" s="1525"/>
      <c r="BT1020" s="1670"/>
      <c r="BV1020"/>
      <c r="BW1020" s="839"/>
    </row>
    <row r="1021" spans="2:75" s="164" customFormat="1" ht="12.75" customHeight="1" x14ac:dyDescent="0.15">
      <c r="B1021" s="175"/>
      <c r="C1021" s="657" t="s">
        <v>136</v>
      </c>
      <c r="D1021" s="657"/>
      <c r="E1021" s="424" t="s">
        <v>1561</v>
      </c>
      <c r="F1021" s="424" t="s">
        <v>893</v>
      </c>
      <c r="G1021" s="867"/>
      <c r="H1021" s="1422" t="s">
        <v>1508</v>
      </c>
      <c r="I1021" s="426"/>
      <c r="J1021" s="425"/>
      <c r="K1021" s="425"/>
      <c r="L1021" s="866"/>
      <c r="M1021" s="866"/>
      <c r="N1021" s="868"/>
      <c r="O1021" s="868"/>
      <c r="P1021" s="1232"/>
      <c r="Q1021" s="1155"/>
      <c r="R1021" s="888"/>
      <c r="S1021" s="889"/>
      <c r="T1021" s="889"/>
      <c r="U1021" s="889"/>
      <c r="V1021" s="889"/>
      <c r="W1021" s="889"/>
      <c r="X1021" s="1694">
        <v>64500</v>
      </c>
      <c r="Y1021" s="1040"/>
      <c r="Z1021" s="1040"/>
      <c r="AA1021" s="1749"/>
      <c r="AB1021" s="1812"/>
      <c r="AC1021" s="876"/>
      <c r="AD1021" s="1295"/>
      <c r="AE1021" s="1525"/>
      <c r="AF1021" s="1525"/>
      <c r="AG1021" s="1525"/>
      <c r="AH1021" s="1525"/>
      <c r="AI1021" s="1525"/>
      <c r="AJ1021" s="1525"/>
      <c r="AK1021" s="1525"/>
      <c r="AL1021" s="1525"/>
      <c r="AM1021" s="1525"/>
      <c r="AN1021" s="1525"/>
      <c r="AO1021" s="1525"/>
      <c r="AP1021" s="1525"/>
      <c r="AQ1021" s="1525"/>
      <c r="AR1021" s="1525"/>
      <c r="AS1021" s="1525"/>
      <c r="AU1021" s="1525"/>
      <c r="AV1021" s="1295"/>
      <c r="AW1021" s="1525"/>
      <c r="AX1021" s="1525"/>
      <c r="AY1021" s="1525"/>
      <c r="AZ1021" s="1525"/>
      <c r="BA1021" s="1525"/>
      <c r="BB1021" s="1525"/>
      <c r="BC1021" s="1525"/>
      <c r="BD1021" s="1525"/>
      <c r="BE1021" s="1525"/>
      <c r="BF1021" s="1525"/>
      <c r="BG1021" s="1525"/>
      <c r="BH1021" s="1525"/>
      <c r="BI1021" s="1525"/>
      <c r="BJ1021" s="1525"/>
      <c r="BK1021" s="1525"/>
      <c r="BL1021" s="1525"/>
      <c r="BM1021" s="1525"/>
      <c r="BN1021" s="1525"/>
      <c r="BO1021" s="1525"/>
      <c r="BP1021" s="1525"/>
      <c r="BQ1021" s="1525"/>
      <c r="BR1021" s="1525"/>
      <c r="BS1021" s="1525"/>
      <c r="BT1021" s="1670"/>
      <c r="BV1021"/>
      <c r="BW1021" s="867"/>
    </row>
    <row r="1022" spans="2:75" s="164" customFormat="1" ht="12.75" customHeight="1" x14ac:dyDescent="0.15">
      <c r="B1022" s="175"/>
      <c r="C1022" s="546"/>
      <c r="D1022" s="546"/>
      <c r="E1022" s="443"/>
      <c r="F1022" s="443" t="s">
        <v>884</v>
      </c>
      <c r="G1022" s="971"/>
      <c r="H1022" s="1415" t="s">
        <v>1508</v>
      </c>
      <c r="I1022" s="445"/>
      <c r="J1022" s="444"/>
      <c r="K1022" s="444"/>
      <c r="L1022" s="892"/>
      <c r="M1022" s="892"/>
      <c r="N1022" s="972"/>
      <c r="O1022" s="972"/>
      <c r="P1022" s="1221"/>
      <c r="Q1022" s="1156"/>
      <c r="R1022" s="1039"/>
      <c r="S1022" s="1040"/>
      <c r="T1022" s="1040"/>
      <c r="U1022" s="1040"/>
      <c r="V1022" s="1040"/>
      <c r="W1022" s="1040"/>
      <c r="X1022" s="1695"/>
      <c r="Y1022" s="1757"/>
      <c r="Z1022" s="1756"/>
      <c r="AA1022" s="1775"/>
      <c r="AB1022" s="1814"/>
      <c r="AC1022" s="876"/>
      <c r="AD1022" s="1295"/>
      <c r="AE1022" s="1525"/>
      <c r="AF1022" s="1525"/>
      <c r="AG1022" s="1525"/>
      <c r="AH1022" s="1525"/>
      <c r="AI1022" s="1525"/>
      <c r="AJ1022" s="1525"/>
      <c r="AK1022" s="1525"/>
      <c r="AL1022" s="1525"/>
      <c r="AM1022" s="1525"/>
      <c r="AN1022" s="1525"/>
      <c r="AO1022" s="1525"/>
      <c r="AP1022" s="1525"/>
      <c r="AQ1022" s="1525"/>
      <c r="AR1022" s="1525"/>
      <c r="AS1022" s="1525"/>
      <c r="AU1022" s="1525"/>
      <c r="AV1022" s="1295"/>
      <c r="AW1022" s="1525"/>
      <c r="AX1022" s="1525"/>
      <c r="AY1022" s="1525"/>
      <c r="AZ1022" s="1525"/>
      <c r="BA1022" s="1525"/>
      <c r="BB1022" s="1525"/>
      <c r="BC1022" s="1525"/>
      <c r="BD1022" s="1525"/>
      <c r="BE1022" s="1525"/>
      <c r="BF1022" s="1525"/>
      <c r="BG1022" s="1525"/>
      <c r="BH1022" s="1525"/>
      <c r="BI1022" s="1525"/>
      <c r="BJ1022" s="1525"/>
      <c r="BK1022" s="1525"/>
      <c r="BL1022" s="1525"/>
      <c r="BM1022" s="1525"/>
      <c r="BN1022" s="1525"/>
      <c r="BO1022" s="1525"/>
      <c r="BP1022" s="1525"/>
      <c r="BQ1022" s="1525"/>
      <c r="BR1022" s="1525"/>
      <c r="BS1022" s="1525"/>
      <c r="BT1022" s="1670"/>
      <c r="BV1022"/>
      <c r="BW1022" s="971"/>
    </row>
    <row r="1023" spans="2:75" s="164" customFormat="1" ht="12.75" customHeight="1" x14ac:dyDescent="0.15">
      <c r="B1023" s="175"/>
      <c r="C1023" s="547"/>
      <c r="D1023" s="547"/>
      <c r="E1023" s="4"/>
      <c r="F1023" s="4"/>
      <c r="G1023" s="862"/>
      <c r="H1023" s="1412" t="s">
        <v>1508</v>
      </c>
      <c r="I1023" s="197"/>
      <c r="J1023" s="174"/>
      <c r="K1023" s="174"/>
      <c r="L1023" s="861"/>
      <c r="M1023" s="861"/>
      <c r="N1023" s="836"/>
      <c r="O1023" s="1198"/>
      <c r="P1023" s="1245"/>
      <c r="Q1023" s="1153"/>
      <c r="R1023" s="884"/>
      <c r="S1023" s="876"/>
      <c r="T1023" s="876"/>
      <c r="U1023" s="876"/>
      <c r="V1023" s="876"/>
      <c r="W1023" s="876"/>
      <c r="X1023" s="1026"/>
      <c r="Y1023" s="1757"/>
      <c r="Z1023" s="1756"/>
      <c r="AA1023" s="1775"/>
      <c r="AB1023" s="1814"/>
      <c r="AC1023" s="876"/>
      <c r="AD1023" s="1295"/>
      <c r="AE1023" s="1525"/>
      <c r="AF1023" s="1525"/>
      <c r="AG1023" s="1525"/>
      <c r="AH1023" s="1525"/>
      <c r="AI1023" s="1525"/>
      <c r="AJ1023" s="1525"/>
      <c r="AK1023" s="1525"/>
      <c r="AL1023" s="1525"/>
      <c r="AM1023" s="1525"/>
      <c r="AN1023" s="1525"/>
      <c r="AO1023" s="1525"/>
      <c r="AP1023" s="1525"/>
      <c r="AQ1023" s="1525"/>
      <c r="AR1023" s="1525"/>
      <c r="AS1023" s="1525"/>
      <c r="AU1023" s="1525"/>
      <c r="AV1023" s="1295"/>
      <c r="AW1023" s="1525"/>
      <c r="AX1023" s="1525"/>
      <c r="AY1023" s="1525"/>
      <c r="AZ1023" s="1525"/>
      <c r="BA1023" s="1525"/>
      <c r="BB1023" s="1525"/>
      <c r="BC1023" s="1525"/>
      <c r="BD1023" s="1525"/>
      <c r="BE1023" s="1525"/>
      <c r="BF1023" s="1525"/>
      <c r="BG1023" s="1525"/>
      <c r="BH1023" s="1525"/>
      <c r="BI1023" s="1525"/>
      <c r="BJ1023" s="1525"/>
      <c r="BK1023" s="1525"/>
      <c r="BL1023" s="1525"/>
      <c r="BM1023" s="1525"/>
      <c r="BN1023" s="1525"/>
      <c r="BO1023" s="1525"/>
      <c r="BP1023" s="1525"/>
      <c r="BQ1023" s="1525"/>
      <c r="BR1023" s="1525"/>
      <c r="BS1023" s="1525"/>
      <c r="BT1023" s="1670"/>
      <c r="BV1023"/>
      <c r="BW1023" s="862"/>
    </row>
    <row r="1024" spans="2:75" s="164" customFormat="1" ht="12.75" customHeight="1" x14ac:dyDescent="0.15">
      <c r="B1024" s="175"/>
      <c r="F1024" s="4"/>
      <c r="G1024" s="825"/>
      <c r="H1024" s="1412" t="s">
        <v>1508</v>
      </c>
      <c r="I1024" s="197"/>
      <c r="J1024" s="174"/>
      <c r="K1024" s="174"/>
      <c r="L1024" s="861"/>
      <c r="M1024" s="861"/>
      <c r="N1024" s="836"/>
      <c r="O1024" s="1200"/>
      <c r="P1024" s="550"/>
      <c r="Q1024" s="1148"/>
      <c r="R1024" s="874"/>
      <c r="S1024" s="875"/>
      <c r="T1024" s="875"/>
      <c r="U1024" s="875"/>
      <c r="V1024" s="875"/>
      <c r="W1024" s="875"/>
      <c r="X1024" s="1026"/>
      <c r="Y1024" s="1757"/>
      <c r="Z1024" s="1756"/>
      <c r="AA1024" s="1775"/>
      <c r="AB1024" s="1814"/>
      <c r="AC1024" s="876"/>
      <c r="AD1024" s="1295"/>
      <c r="AE1024" s="1525"/>
      <c r="AF1024" s="1525"/>
      <c r="AG1024" s="1525"/>
      <c r="AH1024" s="1525"/>
      <c r="AI1024" s="1525"/>
      <c r="AJ1024" s="1525"/>
      <c r="AK1024" s="1525"/>
      <c r="AL1024" s="1525"/>
      <c r="AM1024" s="1525"/>
      <c r="AN1024" s="1525"/>
      <c r="AO1024" s="1525"/>
      <c r="AP1024" s="1525"/>
      <c r="AQ1024" s="1525"/>
      <c r="AR1024" s="1525"/>
      <c r="AS1024" s="1525"/>
      <c r="AU1024" s="1525"/>
      <c r="AV1024" s="1295"/>
      <c r="AW1024" s="1525"/>
      <c r="AX1024" s="1525"/>
      <c r="AY1024" s="1525"/>
      <c r="AZ1024" s="1525"/>
      <c r="BA1024" s="1525"/>
      <c r="BB1024" s="1525"/>
      <c r="BC1024" s="1525"/>
      <c r="BD1024" s="1525"/>
      <c r="BE1024" s="1525"/>
      <c r="BF1024" s="1525"/>
      <c r="BG1024" s="1525"/>
      <c r="BH1024" s="1525"/>
      <c r="BI1024" s="1525"/>
      <c r="BJ1024" s="1525"/>
      <c r="BK1024" s="1525"/>
      <c r="BL1024" s="1525"/>
      <c r="BM1024" s="1525"/>
      <c r="BN1024" s="1525"/>
      <c r="BO1024" s="1525"/>
      <c r="BP1024" s="1525"/>
      <c r="BQ1024" s="1525"/>
      <c r="BR1024" s="1525"/>
      <c r="BS1024" s="1525"/>
      <c r="BT1024" s="1670"/>
      <c r="BV1024"/>
      <c r="BW1024" s="825"/>
    </row>
    <row r="1025" spans="2:75" s="164" customFormat="1" ht="12.75" customHeight="1" x14ac:dyDescent="0.15">
      <c r="B1025" s="175"/>
      <c r="F1025" s="47" t="s">
        <v>1085</v>
      </c>
      <c r="G1025" s="832"/>
      <c r="H1025" s="1417" t="s">
        <v>1508</v>
      </c>
      <c r="I1025" s="251"/>
      <c r="J1025" s="296"/>
      <c r="K1025" s="296"/>
      <c r="L1025" s="893"/>
      <c r="M1025" s="893"/>
      <c r="N1025" s="948"/>
      <c r="O1025" s="1200"/>
      <c r="P1025" s="550"/>
      <c r="Q1025" s="1148"/>
      <c r="R1025" s="874"/>
      <c r="S1025" s="875"/>
      <c r="T1025" s="875"/>
      <c r="U1025" s="875"/>
      <c r="V1025" s="875"/>
      <c r="W1025" s="875"/>
      <c r="X1025" s="1026"/>
      <c r="Y1025" s="1757"/>
      <c r="Z1025" s="1756"/>
      <c r="AA1025" s="1775"/>
      <c r="AB1025" s="1814"/>
      <c r="AC1025" s="876"/>
      <c r="AD1025" s="1295"/>
      <c r="AE1025" s="1525"/>
      <c r="AF1025" s="1525"/>
      <c r="AG1025" s="1525"/>
      <c r="AH1025" s="1525"/>
      <c r="AI1025" s="1525"/>
      <c r="AJ1025" s="1525"/>
      <c r="AK1025" s="1525"/>
      <c r="AL1025" s="1525"/>
      <c r="AM1025" s="1525"/>
      <c r="AN1025" s="1525"/>
      <c r="AO1025" s="1525"/>
      <c r="AP1025" s="1525"/>
      <c r="AQ1025" s="1525"/>
      <c r="AR1025" s="1525"/>
      <c r="AS1025" s="1525"/>
      <c r="AU1025" s="1525"/>
      <c r="AV1025" s="1295"/>
      <c r="AW1025" s="1525"/>
      <c r="AX1025" s="1525"/>
      <c r="AY1025" s="1525"/>
      <c r="AZ1025" s="1525"/>
      <c r="BA1025" s="1525"/>
      <c r="BB1025" s="1525"/>
      <c r="BC1025" s="1525"/>
      <c r="BD1025" s="1525"/>
      <c r="BE1025" s="1525"/>
      <c r="BF1025" s="1525"/>
      <c r="BG1025" s="1525"/>
      <c r="BH1025" s="1525"/>
      <c r="BI1025" s="1525"/>
      <c r="BJ1025" s="1525"/>
      <c r="BK1025" s="1525"/>
      <c r="BL1025" s="1525"/>
      <c r="BM1025" s="1525"/>
      <c r="BN1025" s="1525"/>
      <c r="BO1025" s="1525"/>
      <c r="BP1025" s="1525"/>
      <c r="BQ1025" s="1525"/>
      <c r="BR1025" s="1525"/>
      <c r="BS1025" s="1525"/>
      <c r="BT1025" s="1670"/>
      <c r="BV1025"/>
      <c r="BW1025" s="832"/>
    </row>
    <row r="1026" spans="2:75" s="164" customFormat="1" ht="12.75" customHeight="1" x14ac:dyDescent="0.15">
      <c r="B1026" s="175"/>
      <c r="F1026" s="47" t="s">
        <v>1525</v>
      </c>
      <c r="G1026" s="832"/>
      <c r="H1026" s="1417" t="s">
        <v>1508</v>
      </c>
      <c r="I1026" s="251"/>
      <c r="J1026" s="296"/>
      <c r="K1026" s="296"/>
      <c r="L1026" s="893"/>
      <c r="M1026" s="893"/>
      <c r="N1026" s="948"/>
      <c r="O1026" s="1200"/>
      <c r="P1026" s="550"/>
      <c r="Q1026" s="1148"/>
      <c r="R1026" s="874"/>
      <c r="S1026" s="875"/>
      <c r="T1026" s="875"/>
      <c r="U1026" s="875"/>
      <c r="V1026" s="875"/>
      <c r="W1026" s="875"/>
      <c r="X1026" s="1026"/>
      <c r="Y1026" s="1757"/>
      <c r="Z1026" s="1756"/>
      <c r="AA1026" s="1775"/>
      <c r="AB1026" s="1814"/>
      <c r="AC1026" s="876"/>
      <c r="AD1026" s="1295"/>
      <c r="AE1026" s="1525"/>
      <c r="AF1026" s="1525"/>
      <c r="AG1026" s="1525"/>
      <c r="AH1026" s="1525"/>
      <c r="AI1026" s="1525"/>
      <c r="AJ1026" s="1525"/>
      <c r="AK1026" s="1525"/>
      <c r="AL1026" s="1525"/>
      <c r="AM1026" s="1525"/>
      <c r="AN1026" s="1525"/>
      <c r="AO1026" s="1525"/>
      <c r="AP1026" s="1525"/>
      <c r="AQ1026" s="1525"/>
      <c r="AR1026" s="1525"/>
      <c r="AS1026" s="1525"/>
      <c r="AU1026" s="1525"/>
      <c r="AV1026" s="1295"/>
      <c r="AW1026" s="1525"/>
      <c r="AX1026" s="1525"/>
      <c r="AY1026" s="1525"/>
      <c r="AZ1026" s="1525"/>
      <c r="BA1026" s="1525"/>
      <c r="BB1026" s="1525"/>
      <c r="BC1026" s="1525"/>
      <c r="BD1026" s="1525"/>
      <c r="BE1026" s="1525"/>
      <c r="BF1026" s="1525"/>
      <c r="BG1026" s="1525"/>
      <c r="BH1026" s="1525"/>
      <c r="BI1026" s="1525"/>
      <c r="BJ1026" s="1525"/>
      <c r="BK1026" s="1525"/>
      <c r="BL1026" s="1525"/>
      <c r="BM1026" s="1525"/>
      <c r="BN1026" s="1525"/>
      <c r="BO1026" s="1525"/>
      <c r="BP1026" s="1525"/>
      <c r="BQ1026" s="1525"/>
      <c r="BR1026" s="1525"/>
      <c r="BS1026" s="1525"/>
      <c r="BT1026" s="1670"/>
      <c r="BV1026"/>
      <c r="BW1026" s="832"/>
    </row>
    <row r="1027" spans="2:75" s="164" customFormat="1" ht="12.75" customHeight="1" x14ac:dyDescent="0.15">
      <c r="B1027" s="175"/>
      <c r="F1027" s="47"/>
      <c r="G1027" s="832"/>
      <c r="H1027" s="1417" t="s">
        <v>1508</v>
      </c>
      <c r="I1027" s="251"/>
      <c r="J1027" s="296"/>
      <c r="K1027" s="296"/>
      <c r="L1027" s="893"/>
      <c r="M1027" s="893"/>
      <c r="N1027" s="948"/>
      <c r="O1027" s="1200"/>
      <c r="P1027" s="550"/>
      <c r="Q1027" s="1148"/>
      <c r="R1027" s="874"/>
      <c r="S1027" s="875"/>
      <c r="T1027" s="875"/>
      <c r="U1027" s="875"/>
      <c r="V1027" s="875"/>
      <c r="W1027" s="875"/>
      <c r="X1027" s="1026"/>
      <c r="Y1027" s="1757"/>
      <c r="Z1027" s="1756"/>
      <c r="AA1027" s="1775"/>
      <c r="AB1027" s="1814"/>
      <c r="AC1027" s="876"/>
      <c r="AD1027" s="1295"/>
      <c r="AE1027" s="1525"/>
      <c r="AF1027" s="1525"/>
      <c r="AG1027" s="1525"/>
      <c r="AH1027" s="1525"/>
      <c r="AI1027" s="1525"/>
      <c r="AJ1027" s="1525"/>
      <c r="AK1027" s="1525"/>
      <c r="AL1027" s="1525"/>
      <c r="AM1027" s="1525"/>
      <c r="AN1027" s="1525"/>
      <c r="AO1027" s="1525"/>
      <c r="AP1027" s="1525"/>
      <c r="AQ1027" s="1525"/>
      <c r="AR1027" s="1525"/>
      <c r="AS1027" s="1525"/>
      <c r="AU1027" s="1525"/>
      <c r="AV1027" s="1295"/>
      <c r="AW1027" s="1525"/>
      <c r="AX1027" s="1525"/>
      <c r="AY1027" s="1525"/>
      <c r="AZ1027" s="1525"/>
      <c r="BA1027" s="1525"/>
      <c r="BB1027" s="1525"/>
      <c r="BC1027" s="1525"/>
      <c r="BD1027" s="1525"/>
      <c r="BE1027" s="1525"/>
      <c r="BF1027" s="1525"/>
      <c r="BG1027" s="1525"/>
      <c r="BH1027" s="1525"/>
      <c r="BI1027" s="1525"/>
      <c r="BJ1027" s="1525"/>
      <c r="BK1027" s="1525"/>
      <c r="BL1027" s="1525"/>
      <c r="BM1027" s="1525"/>
      <c r="BN1027" s="1525"/>
      <c r="BO1027" s="1525"/>
      <c r="BP1027" s="1525"/>
      <c r="BQ1027" s="1525"/>
      <c r="BR1027" s="1525"/>
      <c r="BS1027" s="1525"/>
      <c r="BT1027" s="1670"/>
      <c r="BV1027"/>
      <c r="BW1027" s="832"/>
    </row>
    <row r="1028" spans="2:75" s="164" customFormat="1" ht="12.75" customHeight="1" x14ac:dyDescent="0.2">
      <c r="B1028" s="175">
        <f>B1027+1</f>
        <v>1</v>
      </c>
      <c r="C1028" s="219">
        <v>4</v>
      </c>
      <c r="E1028" s="12" t="s">
        <v>1560</v>
      </c>
      <c r="F1028" s="1114" t="s">
        <v>629</v>
      </c>
      <c r="G1028" s="834" t="s">
        <v>426</v>
      </c>
      <c r="H1028" s="1417">
        <v>7419</v>
      </c>
      <c r="I1028" s="252" t="s">
        <v>351</v>
      </c>
      <c r="J1028" s="296"/>
      <c r="K1028" s="297"/>
      <c r="L1028" s="893">
        <v>1</v>
      </c>
      <c r="M1028" s="893">
        <v>1</v>
      </c>
      <c r="N1028" s="832" t="s">
        <v>1326</v>
      </c>
      <c r="O1028" s="1196">
        <v>19126</v>
      </c>
      <c r="P1028" s="1218">
        <f ca="1">YEARFRAC(TODAY(),O1028)</f>
        <v>65.388888888888886</v>
      </c>
      <c r="Q1028" s="1148">
        <v>78900</v>
      </c>
      <c r="R1028" s="874">
        <f>Q1028*0.1</f>
        <v>7890</v>
      </c>
      <c r="S1028" s="875">
        <v>3000</v>
      </c>
      <c r="T1028" s="875">
        <v>47000</v>
      </c>
      <c r="U1028" s="875">
        <v>1500</v>
      </c>
      <c r="V1028" s="875"/>
      <c r="W1028" s="875"/>
      <c r="X1028" s="1026">
        <f>(Q1028+R1028+S1028+T1028+U1028+V1028+W1028)*M1028</f>
        <v>138290</v>
      </c>
      <c r="Y1028" s="1512">
        <f>(T1028+U1028)*M1028/(X1028-M1028*(T1028+U1028))</f>
        <v>0.54014923710880947</v>
      </c>
      <c r="Z1028" s="1741">
        <f>M1028*(1+Y1028)</f>
        <v>1.5401492371088095</v>
      </c>
      <c r="AA1028" s="1749">
        <f>SUM(AD1028:AS1028)</f>
        <v>1.1000000000000001</v>
      </c>
      <c r="AB1028" s="1810">
        <f t="shared" ref="AB1028:AB1032" si="609">100*AA1028/Z1028</f>
        <v>71.421650155470402</v>
      </c>
      <c r="AC1028" s="876"/>
      <c r="AD1028" s="1525">
        <f t="shared" ref="AD1028:AS1029" si="610">SUMIF($AV$6:$BS$6,AD$5,$AV1028:$BS1028)</f>
        <v>1</v>
      </c>
      <c r="AE1028" s="1525">
        <f t="shared" si="610"/>
        <v>0</v>
      </c>
      <c r="AF1028" s="1525">
        <f t="shared" si="610"/>
        <v>0</v>
      </c>
      <c r="AG1028" s="1525">
        <f t="shared" si="610"/>
        <v>0</v>
      </c>
      <c r="AH1028" s="1525">
        <f t="shared" si="610"/>
        <v>0</v>
      </c>
      <c r="AI1028" s="1525">
        <f t="shared" si="610"/>
        <v>0</v>
      </c>
      <c r="AJ1028" s="1525">
        <f t="shared" si="610"/>
        <v>0</v>
      </c>
      <c r="AK1028" s="1525">
        <f t="shared" si="610"/>
        <v>0</v>
      </c>
      <c r="AL1028" s="1525">
        <f t="shared" si="610"/>
        <v>0</v>
      </c>
      <c r="AM1028" s="1525">
        <f t="shared" si="610"/>
        <v>0</v>
      </c>
      <c r="AN1028" s="1525">
        <f t="shared" si="610"/>
        <v>0.1</v>
      </c>
      <c r="AO1028" s="1525">
        <f t="shared" si="610"/>
        <v>0</v>
      </c>
      <c r="AP1028" s="1525">
        <f t="shared" si="610"/>
        <v>0</v>
      </c>
      <c r="AQ1028" s="1525">
        <f t="shared" si="610"/>
        <v>0</v>
      </c>
      <c r="AR1028" s="1525">
        <f t="shared" si="610"/>
        <v>0</v>
      </c>
      <c r="AS1028" s="1525">
        <f t="shared" si="610"/>
        <v>0</v>
      </c>
      <c r="AU1028" s="1525"/>
      <c r="AV1028" s="1295"/>
      <c r="AW1028" s="1525"/>
      <c r="AX1028" s="1525"/>
      <c r="AY1028" s="1525"/>
      <c r="AZ1028" s="1525"/>
      <c r="BA1028" s="1525"/>
      <c r="BB1028" s="1525"/>
      <c r="BC1028" s="1525"/>
      <c r="BD1028" s="1525"/>
      <c r="BE1028" s="1525">
        <v>0.1</v>
      </c>
      <c r="BF1028" s="1525"/>
      <c r="BG1028" s="1525"/>
      <c r="BH1028" s="1525"/>
      <c r="BI1028" s="1525">
        <v>0.1</v>
      </c>
      <c r="BJ1028" s="1525">
        <v>0.9</v>
      </c>
      <c r="BK1028" s="1525"/>
      <c r="BL1028" s="1525"/>
      <c r="BM1028" s="1525"/>
      <c r="BN1028" s="1525"/>
      <c r="BO1028" s="1525"/>
      <c r="BP1028" s="1525"/>
      <c r="BQ1028" s="1525"/>
      <c r="BR1028" s="1525"/>
      <c r="BS1028" s="1525"/>
      <c r="BT1028" s="1670">
        <f t="shared" ref="BT1028:BT1032" si="611">SUM(AV1028:BS1028)</f>
        <v>1.1000000000000001</v>
      </c>
      <c r="BV1028"/>
      <c r="BW1028" s="834" t="s">
        <v>426</v>
      </c>
    </row>
    <row r="1029" spans="2:75" s="164" customFormat="1" ht="12.75" customHeight="1" x14ac:dyDescent="0.2">
      <c r="B1029" s="175">
        <f t="shared" ref="B1029:B1032" si="612">B1028+1</f>
        <v>2</v>
      </c>
      <c r="C1029" s="219">
        <v>27</v>
      </c>
      <c r="E1029" s="12" t="s">
        <v>1560</v>
      </c>
      <c r="F1029" s="1114" t="s">
        <v>1060</v>
      </c>
      <c r="G1029" s="834" t="s">
        <v>260</v>
      </c>
      <c r="H1029" s="1417">
        <v>253497</v>
      </c>
      <c r="I1029" s="252" t="s">
        <v>351</v>
      </c>
      <c r="J1029" s="296"/>
      <c r="K1029" s="297"/>
      <c r="L1029" s="893">
        <v>1</v>
      </c>
      <c r="M1029" s="893">
        <v>1</v>
      </c>
      <c r="N1029" s="832"/>
      <c r="O1029" s="1196">
        <v>30355</v>
      </c>
      <c r="P1029" s="1218">
        <f ca="1">YEARFRAC(TODAY(),O1029)</f>
        <v>34.65</v>
      </c>
      <c r="Q1029" s="1148">
        <v>55250</v>
      </c>
      <c r="R1029" s="874">
        <f>Q1029*0.1</f>
        <v>5525</v>
      </c>
      <c r="S1029" s="875"/>
      <c r="T1029" s="875">
        <v>12700</v>
      </c>
      <c r="U1029" s="875"/>
      <c r="V1029" s="875"/>
      <c r="W1029" s="875"/>
      <c r="X1029" s="1026">
        <f>(Q1029+R1029+S1029+T1029+U1029+V1029+W1029)*M1029</f>
        <v>73475</v>
      </c>
      <c r="Y1029" s="1512">
        <f>(T1029+U1029)*M1029/(X1029-M1029*(T1029+U1029))</f>
        <v>0.20896750308515014</v>
      </c>
      <c r="Z1029" s="1741">
        <f>M1029*(1+Y1029)</f>
        <v>1.2089675030851501</v>
      </c>
      <c r="AA1029" s="1749">
        <f>SUM(AD1029:AS1029)</f>
        <v>1.2</v>
      </c>
      <c r="AB1029" s="1810">
        <f t="shared" si="609"/>
        <v>99.258251105818303</v>
      </c>
      <c r="AC1029" s="876"/>
      <c r="AD1029" s="1525">
        <f t="shared" si="610"/>
        <v>0.9</v>
      </c>
      <c r="AE1029" s="1525">
        <f t="shared" si="610"/>
        <v>0</v>
      </c>
      <c r="AF1029" s="1525">
        <f t="shared" si="610"/>
        <v>0</v>
      </c>
      <c r="AG1029" s="1525">
        <f t="shared" si="610"/>
        <v>0</v>
      </c>
      <c r="AH1029" s="1525">
        <f t="shared" si="610"/>
        <v>0</v>
      </c>
      <c r="AI1029" s="1525">
        <f t="shared" si="610"/>
        <v>0</v>
      </c>
      <c r="AJ1029" s="1525">
        <f t="shared" si="610"/>
        <v>0</v>
      </c>
      <c r="AK1029" s="1525">
        <f t="shared" si="610"/>
        <v>0</v>
      </c>
      <c r="AL1029" s="1525">
        <f t="shared" si="610"/>
        <v>0</v>
      </c>
      <c r="AM1029" s="1525">
        <f t="shared" si="610"/>
        <v>0.3</v>
      </c>
      <c r="AN1029" s="1525">
        <f t="shared" si="610"/>
        <v>0</v>
      </c>
      <c r="AO1029" s="1525">
        <f t="shared" si="610"/>
        <v>0</v>
      </c>
      <c r="AP1029" s="1525">
        <f t="shared" si="610"/>
        <v>0</v>
      </c>
      <c r="AQ1029" s="1525">
        <f t="shared" si="610"/>
        <v>0</v>
      </c>
      <c r="AR1029" s="1525">
        <f t="shared" si="610"/>
        <v>0</v>
      </c>
      <c r="AS1029" s="1525">
        <f t="shared" si="610"/>
        <v>0</v>
      </c>
      <c r="AU1029" s="1525"/>
      <c r="AV1029" s="1295"/>
      <c r="AW1029" s="1525"/>
      <c r="AX1029" s="1525"/>
      <c r="AY1029" s="1525"/>
      <c r="AZ1029" s="1525"/>
      <c r="BA1029" s="1525"/>
      <c r="BB1029" s="1525"/>
      <c r="BC1029" s="1525"/>
      <c r="BD1029" s="1525"/>
      <c r="BE1029" s="1525"/>
      <c r="BF1029" s="1525"/>
      <c r="BG1029" s="1525"/>
      <c r="BH1029" s="1525"/>
      <c r="BI1029" s="1525">
        <v>0.9</v>
      </c>
      <c r="BJ1029" s="1525"/>
      <c r="BK1029" s="1525"/>
      <c r="BL1029" s="1525"/>
      <c r="BM1029" s="1525"/>
      <c r="BN1029" s="1525"/>
      <c r="BO1029" s="1759">
        <v>0.3</v>
      </c>
      <c r="BP1029" s="1525"/>
      <c r="BQ1029" s="1525"/>
      <c r="BR1029" s="1525"/>
      <c r="BS1029" s="1525"/>
      <c r="BT1029" s="1670">
        <f t="shared" si="611"/>
        <v>1.2</v>
      </c>
      <c r="BV1029"/>
      <c r="BW1029" s="834"/>
    </row>
    <row r="1030" spans="2:75" ht="12.75" customHeight="1" x14ac:dyDescent="0.2">
      <c r="B1030" s="175">
        <f t="shared" si="612"/>
        <v>3</v>
      </c>
      <c r="C1030" s="219">
        <v>2</v>
      </c>
      <c r="E1030" s="12" t="s">
        <v>1560</v>
      </c>
      <c r="F1030" s="37" t="s">
        <v>231</v>
      </c>
      <c r="G1030" s="821" t="s">
        <v>877</v>
      </c>
      <c r="H1030" s="1413">
        <v>113401</v>
      </c>
      <c r="I1030" s="252" t="s">
        <v>583</v>
      </c>
      <c r="J1030" s="297"/>
      <c r="K1030" s="189"/>
      <c r="L1030" s="858">
        <v>0.5</v>
      </c>
      <c r="M1030" s="858">
        <f>K1030+L1030</f>
        <v>0.5</v>
      </c>
      <c r="N1030" s="857" t="s">
        <v>892</v>
      </c>
      <c r="O1030" s="1196">
        <v>17476</v>
      </c>
      <c r="P1030" s="1218">
        <f ca="1">YEARFRAC(TODAY(),O1030)</f>
        <v>69.908333333333331</v>
      </c>
      <c r="Q1030" s="1148">
        <v>36000</v>
      </c>
      <c r="R1030" s="874"/>
      <c r="S1030" s="875">
        <v>3000</v>
      </c>
      <c r="T1030" s="885"/>
      <c r="U1030" s="885"/>
      <c r="V1030" s="885"/>
      <c r="W1030" s="875"/>
      <c r="X1030" s="1026">
        <f>(Q1030+R1030+S1030+T1030+U1030+V1030+W1030)*M1030</f>
        <v>19500</v>
      </c>
      <c r="Y1030" s="1512">
        <f>(T1030+U1030)*M1030/(X1030-M1030*(T1030+U1030))</f>
        <v>0</v>
      </c>
      <c r="Z1030" s="1741">
        <f>M1030*(1+Y1030)</f>
        <v>0.5</v>
      </c>
      <c r="AA1030" s="1749">
        <f>SUM(AD1030:AS1030)</f>
        <v>0</v>
      </c>
      <c r="AB1030" s="1810">
        <f t="shared" si="609"/>
        <v>0</v>
      </c>
      <c r="AC1030" s="876"/>
      <c r="AD1030" s="1525">
        <f t="shared" ref="AD1030:AS1032" si="613">SUMIF($AV$6:$BS$6,AD$5,$AV1030:$BS1030)</f>
        <v>0</v>
      </c>
      <c r="AE1030" s="1525">
        <f t="shared" si="613"/>
        <v>0</v>
      </c>
      <c r="AF1030" s="1525">
        <f t="shared" si="613"/>
        <v>0</v>
      </c>
      <c r="AG1030" s="1525">
        <f t="shared" si="613"/>
        <v>0</v>
      </c>
      <c r="AH1030" s="1525">
        <f t="shared" si="613"/>
        <v>0</v>
      </c>
      <c r="AI1030" s="1525">
        <f t="shared" si="613"/>
        <v>0</v>
      </c>
      <c r="AJ1030" s="1525">
        <f t="shared" si="613"/>
        <v>0</v>
      </c>
      <c r="AK1030" s="1525">
        <f t="shared" si="613"/>
        <v>0</v>
      </c>
      <c r="AL1030" s="1525">
        <f t="shared" si="613"/>
        <v>0</v>
      </c>
      <c r="AM1030" s="1525">
        <f t="shared" si="613"/>
        <v>0</v>
      </c>
      <c r="AN1030" s="1525">
        <f t="shared" si="613"/>
        <v>0</v>
      </c>
      <c r="AO1030" s="1525">
        <f t="shared" si="613"/>
        <v>0</v>
      </c>
      <c r="AP1030" s="1525">
        <f t="shared" si="613"/>
        <v>0</v>
      </c>
      <c r="AQ1030" s="1525">
        <f t="shared" si="613"/>
        <v>0</v>
      </c>
      <c r="AR1030" s="1525">
        <f t="shared" si="613"/>
        <v>0</v>
      </c>
      <c r="AS1030" s="1525">
        <f t="shared" si="613"/>
        <v>0</v>
      </c>
      <c r="AU1030" s="1525"/>
      <c r="AV1030" s="1291"/>
      <c r="AW1030" s="1292"/>
      <c r="AX1030" s="1292"/>
      <c r="AY1030" s="1292"/>
      <c r="AZ1030" s="1292"/>
      <c r="BA1030" s="1292"/>
      <c r="BB1030" s="1292"/>
      <c r="BC1030" s="1292"/>
      <c r="BD1030" s="1292"/>
      <c r="BE1030" s="1292"/>
      <c r="BF1030" s="1292"/>
      <c r="BG1030" s="1292"/>
      <c r="BH1030" s="1292"/>
      <c r="BI1030" s="1292"/>
      <c r="BJ1030" s="1292"/>
      <c r="BK1030" s="1292"/>
      <c r="BL1030" s="1292"/>
      <c r="BM1030" s="1292"/>
      <c r="BN1030" s="1292"/>
      <c r="BO1030" s="1292"/>
      <c r="BP1030" s="1292"/>
      <c r="BQ1030" s="1292"/>
      <c r="BR1030" s="1292"/>
      <c r="BS1030" s="1292"/>
      <c r="BT1030" s="1670">
        <f t="shared" si="611"/>
        <v>0</v>
      </c>
      <c r="BW1030" s="821" t="s">
        <v>877</v>
      </c>
    </row>
    <row r="1031" spans="2:75" ht="12.75" customHeight="1" x14ac:dyDescent="0.2">
      <c r="B1031" s="175">
        <f t="shared" si="612"/>
        <v>4</v>
      </c>
      <c r="C1031" s="219">
        <v>14</v>
      </c>
      <c r="E1031" s="12" t="s">
        <v>1560</v>
      </c>
      <c r="F1031" s="37" t="s">
        <v>626</v>
      </c>
      <c r="G1031" s="834" t="s">
        <v>320</v>
      </c>
      <c r="H1031" s="1412">
        <v>5177</v>
      </c>
      <c r="I1031" s="252" t="s">
        <v>583</v>
      </c>
      <c r="J1031" s="298"/>
      <c r="K1031" s="297"/>
      <c r="L1031" s="893">
        <v>0.5</v>
      </c>
      <c r="M1031" s="861">
        <f>K1031+L1031</f>
        <v>0.5</v>
      </c>
      <c r="N1031" s="832" t="s">
        <v>892</v>
      </c>
      <c r="O1031" s="1196">
        <v>17816</v>
      </c>
      <c r="P1031" s="1218">
        <f ca="1">YEARFRAC(TODAY(),O1031)</f>
        <v>68.977777777777774</v>
      </c>
      <c r="Q1031" s="1148">
        <v>21200</v>
      </c>
      <c r="R1031" s="874"/>
      <c r="S1031" s="876"/>
      <c r="T1031" s="884"/>
      <c r="U1031" s="884"/>
      <c r="V1031" s="884"/>
      <c r="W1031" s="876"/>
      <c r="X1031" s="1026">
        <f>(Q1031+R1031+S1031+T1031+U1031+V1031+W1031)*M1031</f>
        <v>10600</v>
      </c>
      <c r="Y1031" s="1512">
        <f>(T1031+U1031)*M1031/(X1031-M1031*(T1031+U1031))</f>
        <v>0</v>
      </c>
      <c r="Z1031" s="1741">
        <f>M1031*(1+Y1031)</f>
        <v>0.5</v>
      </c>
      <c r="AA1031" s="1749">
        <f>SUM(AD1031:AS1031)</f>
        <v>0</v>
      </c>
      <c r="AB1031" s="1810">
        <f t="shared" si="609"/>
        <v>0</v>
      </c>
      <c r="AC1031" s="876"/>
      <c r="AD1031" s="1525">
        <f t="shared" si="613"/>
        <v>0</v>
      </c>
      <c r="AE1031" s="1525">
        <f t="shared" si="613"/>
        <v>0</v>
      </c>
      <c r="AF1031" s="1525">
        <f t="shared" si="613"/>
        <v>0</v>
      </c>
      <c r="AG1031" s="1525">
        <f t="shared" si="613"/>
        <v>0</v>
      </c>
      <c r="AH1031" s="1525">
        <f t="shared" si="613"/>
        <v>0</v>
      </c>
      <c r="AI1031" s="1525">
        <f t="shared" si="613"/>
        <v>0</v>
      </c>
      <c r="AJ1031" s="1525">
        <f t="shared" si="613"/>
        <v>0</v>
      </c>
      <c r="AK1031" s="1525">
        <f t="shared" si="613"/>
        <v>0</v>
      </c>
      <c r="AL1031" s="1525">
        <f t="shared" si="613"/>
        <v>0</v>
      </c>
      <c r="AM1031" s="1525">
        <f t="shared" si="613"/>
        <v>0</v>
      </c>
      <c r="AN1031" s="1525">
        <f t="shared" si="613"/>
        <v>0</v>
      </c>
      <c r="AO1031" s="1525">
        <f t="shared" si="613"/>
        <v>0</v>
      </c>
      <c r="AP1031" s="1525">
        <f t="shared" si="613"/>
        <v>0</v>
      </c>
      <c r="AQ1031" s="1525">
        <f t="shared" si="613"/>
        <v>0</v>
      </c>
      <c r="AR1031" s="1525">
        <f t="shared" si="613"/>
        <v>0</v>
      </c>
      <c r="AS1031" s="1525">
        <f t="shared" si="613"/>
        <v>0</v>
      </c>
      <c r="AU1031" s="1525"/>
      <c r="AV1031" s="1291"/>
      <c r="AW1031" s="1292"/>
      <c r="AX1031" s="1292"/>
      <c r="AY1031" s="1292"/>
      <c r="AZ1031" s="1292"/>
      <c r="BA1031" s="1292"/>
      <c r="BB1031" s="1292"/>
      <c r="BC1031" s="1292"/>
      <c r="BD1031" s="1292"/>
      <c r="BE1031" s="1292"/>
      <c r="BF1031" s="1292"/>
      <c r="BG1031" s="1292"/>
      <c r="BH1031" s="1292"/>
      <c r="BI1031" s="1292"/>
      <c r="BJ1031" s="1292"/>
      <c r="BK1031" s="1292"/>
      <c r="BL1031" s="1292"/>
      <c r="BM1031" s="1292"/>
      <c r="BN1031" s="1292"/>
      <c r="BO1031" s="1292"/>
      <c r="BP1031" s="1292"/>
      <c r="BQ1031" s="1292"/>
      <c r="BR1031" s="1292"/>
      <c r="BS1031" s="1292"/>
      <c r="BT1031" s="1670">
        <f t="shared" si="611"/>
        <v>0</v>
      </c>
      <c r="BV1031" t="s">
        <v>2077</v>
      </c>
      <c r="BW1031" s="834" t="s">
        <v>320</v>
      </c>
    </row>
    <row r="1032" spans="2:75" ht="12.75" customHeight="1" x14ac:dyDescent="0.2">
      <c r="B1032" s="175">
        <f t="shared" si="612"/>
        <v>5</v>
      </c>
      <c r="C1032" s="219">
        <v>14</v>
      </c>
      <c r="E1032" s="12" t="s">
        <v>1560</v>
      </c>
      <c r="F1032" s="42" t="s">
        <v>626</v>
      </c>
      <c r="G1032" s="912" t="s">
        <v>1781</v>
      </c>
      <c r="H1032" s="1414">
        <v>160859</v>
      </c>
      <c r="I1032" s="253" t="s">
        <v>583</v>
      </c>
      <c r="J1032" s="297"/>
      <c r="K1032" s="298"/>
      <c r="L1032" s="944">
        <v>1</v>
      </c>
      <c r="M1032" s="873">
        <v>1</v>
      </c>
      <c r="N1032" s="940" t="s">
        <v>892</v>
      </c>
      <c r="O1032" s="1196">
        <v>25475</v>
      </c>
      <c r="P1032" s="1218">
        <f ca="1">YEARFRAC(TODAY(),O1032)</f>
        <v>48.008333333333333</v>
      </c>
      <c r="Q1032" s="1148">
        <v>21000</v>
      </c>
      <c r="R1032" s="874"/>
      <c r="S1032" s="876"/>
      <c r="T1032" s="884"/>
      <c r="U1032" s="884"/>
      <c r="V1032" s="884"/>
      <c r="W1032" s="876"/>
      <c r="X1032" s="1026">
        <f>(Q1032+R1032+S1032+T1032+U1032+V1032+W1032)*M1032</f>
        <v>21000</v>
      </c>
      <c r="Y1032" s="1512">
        <f>(T1032+U1032)*M1032/(X1032-M1032*(T1032+U1032))</f>
        <v>0</v>
      </c>
      <c r="Z1032" s="1741">
        <f>M1032*(1+Y1032)</f>
        <v>1</v>
      </c>
      <c r="AA1032" s="1749">
        <f>SUM(AD1032:AS1032)</f>
        <v>0</v>
      </c>
      <c r="AB1032" s="1810">
        <f t="shared" si="609"/>
        <v>0</v>
      </c>
      <c r="AC1032" s="876"/>
      <c r="AD1032" s="1525">
        <f t="shared" si="613"/>
        <v>0</v>
      </c>
      <c r="AE1032" s="1525">
        <f t="shared" si="613"/>
        <v>0</v>
      </c>
      <c r="AF1032" s="1525">
        <f t="shared" si="613"/>
        <v>0</v>
      </c>
      <c r="AG1032" s="1525">
        <f t="shared" si="613"/>
        <v>0</v>
      </c>
      <c r="AH1032" s="1525">
        <f t="shared" si="613"/>
        <v>0</v>
      </c>
      <c r="AI1032" s="1525">
        <f t="shared" si="613"/>
        <v>0</v>
      </c>
      <c r="AJ1032" s="1525">
        <f t="shared" si="613"/>
        <v>0</v>
      </c>
      <c r="AK1032" s="1525">
        <f t="shared" si="613"/>
        <v>0</v>
      </c>
      <c r="AL1032" s="1525">
        <f t="shared" si="613"/>
        <v>0</v>
      </c>
      <c r="AM1032" s="1525">
        <f t="shared" si="613"/>
        <v>0</v>
      </c>
      <c r="AN1032" s="1525">
        <f t="shared" si="613"/>
        <v>0</v>
      </c>
      <c r="AO1032" s="1525">
        <f t="shared" si="613"/>
        <v>0</v>
      </c>
      <c r="AP1032" s="1525">
        <f t="shared" si="613"/>
        <v>0</v>
      </c>
      <c r="AQ1032" s="1525">
        <f t="shared" si="613"/>
        <v>0</v>
      </c>
      <c r="AR1032" s="1525">
        <f t="shared" si="613"/>
        <v>0</v>
      </c>
      <c r="AS1032" s="1525">
        <f t="shared" si="613"/>
        <v>0</v>
      </c>
      <c r="AU1032" s="1525"/>
      <c r="AV1032" s="1291"/>
      <c r="AW1032" s="1292"/>
      <c r="AX1032" s="1292"/>
      <c r="AY1032" s="1292"/>
      <c r="AZ1032" s="1292"/>
      <c r="BA1032" s="1292"/>
      <c r="BB1032" s="1292"/>
      <c r="BC1032" s="1292"/>
      <c r="BD1032" s="1292"/>
      <c r="BE1032" s="1292"/>
      <c r="BF1032" s="1292"/>
      <c r="BG1032" s="1292"/>
      <c r="BH1032" s="1292"/>
      <c r="BI1032" s="1292"/>
      <c r="BJ1032" s="1292"/>
      <c r="BK1032" s="1292"/>
      <c r="BL1032" s="1292"/>
      <c r="BM1032" s="1292"/>
      <c r="BN1032" s="1292"/>
      <c r="BO1032" s="1292"/>
      <c r="BP1032" s="1292"/>
      <c r="BQ1032" s="1292"/>
      <c r="BR1032" s="1292"/>
      <c r="BS1032" s="1292"/>
      <c r="BT1032" s="1670">
        <f t="shared" si="611"/>
        <v>0</v>
      </c>
      <c r="BV1032" t="s">
        <v>2075</v>
      </c>
      <c r="BW1032" s="912" t="s">
        <v>1781</v>
      </c>
    </row>
    <row r="1033" spans="2:75" s="164" customFormat="1" ht="12.75" customHeight="1" x14ac:dyDescent="0.15">
      <c r="B1033" s="175"/>
      <c r="C1033" s="219" t="s">
        <v>1120</v>
      </c>
      <c r="F1033" s="37" t="s">
        <v>1038</v>
      </c>
      <c r="G1033" s="834"/>
      <c r="H1033" s="1415" t="s">
        <v>1508</v>
      </c>
      <c r="I1033" s="252" t="s">
        <v>583</v>
      </c>
      <c r="J1033" s="297"/>
      <c r="K1033" s="446">
        <f>SUM(K1030:K1031)</f>
        <v>0</v>
      </c>
      <c r="L1033" s="892">
        <f>SUM(L1028:L1032)</f>
        <v>4</v>
      </c>
      <c r="M1033" s="892">
        <f>SUM(M1028:M1032)</f>
        <v>4</v>
      </c>
      <c r="N1033" s="832"/>
      <c r="O1033" s="1200"/>
      <c r="P1033" s="550"/>
      <c r="Q1033" s="1153"/>
      <c r="R1033" s="884"/>
      <c r="S1033" s="876"/>
      <c r="T1033" s="876"/>
      <c r="U1033" s="876"/>
      <c r="V1033" s="876"/>
      <c r="W1033" s="876"/>
      <c r="X1033" s="1026"/>
      <c r="Y1033" s="1335"/>
      <c r="Z1033" s="1335"/>
      <c r="AA1033" s="1775"/>
      <c r="AB1033" s="1814"/>
      <c r="AC1033" s="876"/>
      <c r="AD1033" s="1295"/>
      <c r="AE1033" s="1525"/>
      <c r="AF1033" s="1525"/>
      <c r="AG1033" s="1525"/>
      <c r="AH1033" s="1525"/>
      <c r="AI1033" s="1525"/>
      <c r="AJ1033" s="1525"/>
      <c r="AK1033" s="1525"/>
      <c r="AL1033" s="1525"/>
      <c r="AM1033" s="1525"/>
      <c r="AN1033" s="1525"/>
      <c r="AO1033" s="1525"/>
      <c r="AP1033" s="1525"/>
      <c r="AQ1033" s="1525"/>
      <c r="AR1033" s="1525"/>
      <c r="AS1033" s="1525"/>
      <c r="AU1033" s="1525"/>
      <c r="AV1033" s="1295"/>
      <c r="AW1033" s="1525"/>
      <c r="AX1033" s="1525"/>
      <c r="AY1033" s="1525"/>
      <c r="AZ1033" s="1525"/>
      <c r="BA1033" s="1525"/>
      <c r="BB1033" s="1525"/>
      <c r="BC1033" s="1525"/>
      <c r="BD1033" s="1525"/>
      <c r="BE1033" s="1525"/>
      <c r="BF1033" s="1525"/>
      <c r="BG1033" s="1525"/>
      <c r="BH1033" s="1525"/>
      <c r="BI1033" s="1525"/>
      <c r="BJ1033" s="1525"/>
      <c r="BK1033" s="1525"/>
      <c r="BL1033" s="1525"/>
      <c r="BM1033" s="1525"/>
      <c r="BN1033" s="1525"/>
      <c r="BO1033" s="1525"/>
      <c r="BP1033" s="1525"/>
      <c r="BQ1033" s="1525"/>
      <c r="BR1033" s="1525"/>
      <c r="BS1033" s="1525"/>
      <c r="BT1033" s="1670"/>
      <c r="BV1033"/>
      <c r="BW1033" s="834"/>
    </row>
    <row r="1034" spans="2:75" s="164" customFormat="1" ht="12.75" customHeight="1" x14ac:dyDescent="0.15">
      <c r="B1034" s="175"/>
      <c r="F1034" s="4"/>
      <c r="G1034" s="834"/>
      <c r="H1034" s="1417" t="s">
        <v>1508</v>
      </c>
      <c r="I1034" s="252"/>
      <c r="J1034" s="297"/>
      <c r="K1034" s="297"/>
      <c r="L1034" s="893"/>
      <c r="M1034" s="893"/>
      <c r="N1034" s="832"/>
      <c r="O1034" s="1200"/>
      <c r="P1034" s="550"/>
      <c r="Q1034" s="1148"/>
      <c r="R1034" s="874"/>
      <c r="S1034" s="875"/>
      <c r="T1034" s="875"/>
      <c r="U1034" s="875"/>
      <c r="V1034" s="875"/>
      <c r="W1034" s="875"/>
      <c r="X1034" s="1026"/>
      <c r="Y1034" s="1754"/>
      <c r="Z1034" s="1755"/>
      <c r="AA1034" s="1775"/>
      <c r="AB1034" s="1814"/>
      <c r="AC1034" s="876"/>
      <c r="AD1034" s="1295"/>
      <c r="AE1034" s="1525"/>
      <c r="AF1034" s="1525"/>
      <c r="AG1034" s="1525"/>
      <c r="AH1034" s="1525"/>
      <c r="AI1034" s="1525"/>
      <c r="AJ1034" s="1525"/>
      <c r="AK1034" s="1525"/>
      <c r="AL1034" s="1525"/>
      <c r="AM1034" s="1525"/>
      <c r="AN1034" s="1525"/>
      <c r="AO1034" s="1525"/>
      <c r="AP1034" s="1525"/>
      <c r="AQ1034" s="1525"/>
      <c r="AR1034" s="1525"/>
      <c r="AS1034" s="1525"/>
      <c r="AU1034" s="1525"/>
      <c r="AV1034" s="1295"/>
      <c r="AW1034" s="1525"/>
      <c r="AX1034" s="1525"/>
      <c r="AY1034" s="1525"/>
      <c r="AZ1034" s="1525"/>
      <c r="BA1034" s="1525"/>
      <c r="BB1034" s="1525"/>
      <c r="BC1034" s="1525"/>
      <c r="BD1034" s="1525"/>
      <c r="BE1034" s="1525"/>
      <c r="BF1034" s="1525"/>
      <c r="BG1034" s="1525"/>
      <c r="BH1034" s="1525"/>
      <c r="BI1034" s="1525"/>
      <c r="BJ1034" s="1525"/>
      <c r="BK1034" s="1525"/>
      <c r="BL1034" s="1525"/>
      <c r="BM1034" s="1525"/>
      <c r="BN1034" s="1525"/>
      <c r="BO1034" s="1525"/>
      <c r="BP1034" s="1525"/>
      <c r="BQ1034" s="1525"/>
      <c r="BR1034" s="1525"/>
      <c r="BS1034" s="1525"/>
      <c r="BT1034" s="1670"/>
      <c r="BV1034"/>
      <c r="BW1034" s="834"/>
    </row>
    <row r="1035" spans="2:75" s="164" customFormat="1" ht="12.75" customHeight="1" x14ac:dyDescent="0.15">
      <c r="B1035" s="175"/>
      <c r="F1035" s="2" t="s">
        <v>1088</v>
      </c>
      <c r="G1035" s="855"/>
      <c r="H1035" s="1424" t="s">
        <v>1508</v>
      </c>
      <c r="I1035" s="254"/>
      <c r="J1035" s="249"/>
      <c r="K1035" s="249"/>
      <c r="L1035" s="841"/>
      <c r="M1035" s="841"/>
      <c r="N1035" s="948"/>
      <c r="O1035" s="1200"/>
      <c r="P1035" s="550"/>
      <c r="Q1035" s="1148"/>
      <c r="R1035" s="874"/>
      <c r="S1035" s="875"/>
      <c r="T1035" s="875"/>
      <c r="U1035" s="875"/>
      <c r="V1035" s="875"/>
      <c r="W1035" s="875"/>
      <c r="X1035" s="1026"/>
      <c r="Y1035" s="1754"/>
      <c r="Z1035" s="1755"/>
      <c r="AA1035" s="1775"/>
      <c r="AB1035" s="1814"/>
      <c r="AC1035" s="876"/>
      <c r="AD1035" s="1295"/>
      <c r="AE1035" s="1525"/>
      <c r="AF1035" s="1525"/>
      <c r="AG1035" s="1525"/>
      <c r="AH1035" s="1525"/>
      <c r="AI1035" s="1525"/>
      <c r="AJ1035" s="1525"/>
      <c r="AK1035" s="1525"/>
      <c r="AL1035" s="1525"/>
      <c r="AM1035" s="1525"/>
      <c r="AN1035" s="1525"/>
      <c r="AO1035" s="1525"/>
      <c r="AP1035" s="1525"/>
      <c r="AQ1035" s="1525"/>
      <c r="AR1035" s="1525"/>
      <c r="AS1035" s="1525"/>
      <c r="AU1035" s="1525"/>
      <c r="AV1035" s="1295"/>
      <c r="AW1035" s="1525"/>
      <c r="AX1035" s="1525"/>
      <c r="AY1035" s="1525"/>
      <c r="AZ1035" s="1525"/>
      <c r="BA1035" s="1525"/>
      <c r="BB1035" s="1525"/>
      <c r="BC1035" s="1525"/>
      <c r="BD1035" s="1525"/>
      <c r="BE1035" s="1525"/>
      <c r="BF1035" s="1525"/>
      <c r="BG1035" s="1525"/>
      <c r="BH1035" s="1525"/>
      <c r="BI1035" s="1525"/>
      <c r="BJ1035" s="1525"/>
      <c r="BK1035" s="1525"/>
      <c r="BL1035" s="1525"/>
      <c r="BM1035" s="1525"/>
      <c r="BN1035" s="1525"/>
      <c r="BO1035" s="1525"/>
      <c r="BP1035" s="1525"/>
      <c r="BQ1035" s="1525"/>
      <c r="BR1035" s="1525"/>
      <c r="BS1035" s="1525"/>
      <c r="BT1035" s="1670"/>
      <c r="BV1035"/>
      <c r="BW1035" s="855"/>
    </row>
    <row r="1036" spans="2:75" s="164" customFormat="1" ht="12.75" customHeight="1" x14ac:dyDescent="0.15">
      <c r="B1036" s="175"/>
      <c r="F1036" s="2"/>
      <c r="G1036" s="855"/>
      <c r="H1036" s="1424" t="s">
        <v>1508</v>
      </c>
      <c r="I1036" s="254"/>
      <c r="J1036" s="249"/>
      <c r="K1036" s="249"/>
      <c r="L1036" s="841"/>
      <c r="M1036" s="841"/>
      <c r="N1036" s="948"/>
      <c r="O1036" s="1200"/>
      <c r="P1036" s="550"/>
      <c r="Q1036" s="1148"/>
      <c r="R1036" s="874"/>
      <c r="S1036" s="875"/>
      <c r="T1036" s="875"/>
      <c r="U1036" s="875"/>
      <c r="V1036" s="875"/>
      <c r="W1036" s="875"/>
      <c r="X1036" s="1026"/>
      <c r="Y1036" s="1754"/>
      <c r="Z1036" s="1755"/>
      <c r="AA1036" s="1775"/>
      <c r="AB1036" s="1814"/>
      <c r="AC1036" s="876"/>
      <c r="AD1036" s="1295"/>
      <c r="AE1036" s="1525"/>
      <c r="AF1036" s="1525"/>
      <c r="AG1036" s="1525"/>
      <c r="AH1036" s="1525"/>
      <c r="AI1036" s="1525"/>
      <c r="AJ1036" s="1525"/>
      <c r="AK1036" s="1525"/>
      <c r="AL1036" s="1525"/>
      <c r="AM1036" s="1525"/>
      <c r="AN1036" s="1525"/>
      <c r="AO1036" s="1525"/>
      <c r="AP1036" s="1525"/>
      <c r="AQ1036" s="1525"/>
      <c r="AR1036" s="1525"/>
      <c r="AS1036" s="1525"/>
      <c r="AU1036" s="1525"/>
      <c r="AV1036" s="1295"/>
      <c r="AW1036" s="1525"/>
      <c r="AX1036" s="1525"/>
      <c r="AY1036" s="1525"/>
      <c r="AZ1036" s="1525"/>
      <c r="BA1036" s="1525"/>
      <c r="BB1036" s="1525"/>
      <c r="BC1036" s="1525"/>
      <c r="BD1036" s="1525"/>
      <c r="BE1036" s="1525"/>
      <c r="BF1036" s="1525"/>
      <c r="BG1036" s="1525"/>
      <c r="BH1036" s="1525"/>
      <c r="BI1036" s="1525"/>
      <c r="BJ1036" s="1525"/>
      <c r="BK1036" s="1525"/>
      <c r="BL1036" s="1525"/>
      <c r="BM1036" s="1525"/>
      <c r="BN1036" s="1525"/>
      <c r="BO1036" s="1525"/>
      <c r="BP1036" s="1525"/>
      <c r="BQ1036" s="1525"/>
      <c r="BR1036" s="1525"/>
      <c r="BS1036" s="1525"/>
      <c r="BT1036" s="1670"/>
      <c r="BV1036"/>
      <c r="BW1036" s="855"/>
    </row>
    <row r="1037" spans="2:75" s="164" customFormat="1" ht="12.75" customHeight="1" x14ac:dyDescent="0.2">
      <c r="B1037" s="175">
        <f>B1036+1</f>
        <v>1</v>
      </c>
      <c r="C1037" s="219">
        <v>5</v>
      </c>
      <c r="E1037" s="472" t="s">
        <v>1560</v>
      </c>
      <c r="F1037" s="1134" t="s">
        <v>166</v>
      </c>
      <c r="G1037" s="823" t="s">
        <v>483</v>
      </c>
      <c r="H1037" s="1424">
        <v>6272</v>
      </c>
      <c r="I1037" s="1135" t="s">
        <v>351</v>
      </c>
      <c r="J1037" s="249"/>
      <c r="K1037" s="249"/>
      <c r="L1037" s="841">
        <v>1</v>
      </c>
      <c r="M1037" s="893">
        <v>1</v>
      </c>
      <c r="N1037" s="1131" t="s">
        <v>892</v>
      </c>
      <c r="O1037" s="1196">
        <v>20830</v>
      </c>
      <c r="P1037" s="1218">
        <f t="shared" ref="P1037:P1054" ca="1" si="614">YEARFRAC(TODAY(),O1037)</f>
        <v>60.727777777777774</v>
      </c>
      <c r="Q1037" s="1148">
        <v>68200</v>
      </c>
      <c r="R1037" s="874"/>
      <c r="S1037" s="875">
        <v>3000</v>
      </c>
      <c r="T1037" s="875">
        <v>48000</v>
      </c>
      <c r="U1037" s="875"/>
      <c r="V1037" s="875"/>
      <c r="W1037" s="875"/>
      <c r="X1037" s="1026">
        <f t="shared" ref="X1037:X1055" si="615">(Q1037+R1037+S1037+T1037+U1037+V1037+W1037)*M1037</f>
        <v>119200</v>
      </c>
      <c r="Y1037" s="1512">
        <f t="shared" ref="Y1037:Y1051" si="616">(T1037+U1037)*M1037/(X1037-M1037*(T1037+U1037))</f>
        <v>0.6741573033707865</v>
      </c>
      <c r="Z1037" s="1741">
        <f t="shared" ref="Z1037:Z1055" si="617">M1037*(1+Y1037)</f>
        <v>1.6741573033707864</v>
      </c>
      <c r="AA1037" s="1749">
        <f t="shared" ref="AA1037:AA1055" si="618">SUM(AD1037:AS1037)</f>
        <v>1.3</v>
      </c>
      <c r="AB1037" s="1810">
        <f t="shared" ref="AB1037:AB1055" si="619">100*AA1037/Z1037</f>
        <v>77.651006711409408</v>
      </c>
      <c r="AC1037" s="876"/>
      <c r="AD1037" s="1525">
        <f t="shared" ref="AD1037:AS1046" si="620">SUMIF($AV$6:$BS$6,AD$5,$AV1037:$BS1037)</f>
        <v>1</v>
      </c>
      <c r="AE1037" s="1525">
        <f t="shared" si="620"/>
        <v>0</v>
      </c>
      <c r="AF1037" s="1525">
        <f t="shared" si="620"/>
        <v>0</v>
      </c>
      <c r="AG1037" s="1525">
        <f t="shared" si="620"/>
        <v>0</v>
      </c>
      <c r="AH1037" s="1525">
        <f t="shared" si="620"/>
        <v>0</v>
      </c>
      <c r="AI1037" s="1525">
        <f t="shared" si="620"/>
        <v>0</v>
      </c>
      <c r="AJ1037" s="1525">
        <f t="shared" si="620"/>
        <v>0</v>
      </c>
      <c r="AK1037" s="1525">
        <f t="shared" si="620"/>
        <v>0</v>
      </c>
      <c r="AL1037" s="1525">
        <f t="shared" si="620"/>
        <v>0.3</v>
      </c>
      <c r="AM1037" s="1525">
        <f t="shared" si="620"/>
        <v>0</v>
      </c>
      <c r="AN1037" s="1525">
        <f t="shared" si="620"/>
        <v>0</v>
      </c>
      <c r="AO1037" s="1525">
        <f t="shared" si="620"/>
        <v>0</v>
      </c>
      <c r="AP1037" s="1525">
        <f t="shared" si="620"/>
        <v>0</v>
      </c>
      <c r="AQ1037" s="1525">
        <f t="shared" si="620"/>
        <v>0</v>
      </c>
      <c r="AR1037" s="1525">
        <f t="shared" si="620"/>
        <v>0</v>
      </c>
      <c r="AS1037" s="1525">
        <f t="shared" si="620"/>
        <v>0</v>
      </c>
      <c r="AU1037" s="1525"/>
      <c r="AV1037" s="1295"/>
      <c r="AW1037" s="1525"/>
      <c r="AX1037" s="1525"/>
      <c r="AY1037" s="1525"/>
      <c r="AZ1037" s="1525"/>
      <c r="BA1037" s="1533">
        <v>0.3</v>
      </c>
      <c r="BB1037" s="1525"/>
      <c r="BC1037" s="1525"/>
      <c r="BD1037" s="1525"/>
      <c r="BE1037" s="1525"/>
      <c r="BF1037" s="1525"/>
      <c r="BG1037" s="1525"/>
      <c r="BH1037" s="1525"/>
      <c r="BI1037" s="1525"/>
      <c r="BJ1037" s="1525">
        <v>1</v>
      </c>
      <c r="BK1037" s="1525"/>
      <c r="BL1037" s="1525"/>
      <c r="BM1037" s="1525"/>
      <c r="BN1037" s="1525"/>
      <c r="BO1037" s="1525"/>
      <c r="BP1037" s="1525"/>
      <c r="BQ1037" s="1525"/>
      <c r="BR1037" s="1525"/>
      <c r="BS1037" s="1525"/>
      <c r="BT1037" s="1670">
        <f t="shared" ref="BT1037:BT1055" si="621">SUM(AV1037:BS1037)</f>
        <v>1.3</v>
      </c>
      <c r="BV1037"/>
      <c r="BW1037" s="823" t="s">
        <v>483</v>
      </c>
    </row>
    <row r="1038" spans="2:75" ht="12.75" customHeight="1" x14ac:dyDescent="0.2">
      <c r="B1038" s="175">
        <f t="shared" ref="B1038:B1055" si="622">B1037+1</f>
        <v>2</v>
      </c>
      <c r="C1038" s="569">
        <v>7</v>
      </c>
      <c r="D1038" s="570"/>
      <c r="E1038" s="472" t="s">
        <v>1560</v>
      </c>
      <c r="F1038" s="467" t="s">
        <v>1334</v>
      </c>
      <c r="G1038" s="823" t="s">
        <v>484</v>
      </c>
      <c r="H1038" s="1413">
        <v>3024</v>
      </c>
      <c r="I1038" s="202" t="s">
        <v>351</v>
      </c>
      <c r="J1038" s="248"/>
      <c r="K1038" s="248"/>
      <c r="L1038" s="841">
        <v>1</v>
      </c>
      <c r="M1038" s="858">
        <v>1</v>
      </c>
      <c r="N1038" s="836" t="s">
        <v>892</v>
      </c>
      <c r="O1038" s="1196">
        <v>15183</v>
      </c>
      <c r="P1038" s="1218">
        <f t="shared" ca="1" si="614"/>
        <v>76.183333333333337</v>
      </c>
      <c r="Q1038" s="1148">
        <v>39550</v>
      </c>
      <c r="R1038" s="874"/>
      <c r="S1038" s="875">
        <v>3000</v>
      </c>
      <c r="T1038" s="875">
        <v>12900</v>
      </c>
      <c r="U1038" s="875"/>
      <c r="V1038" s="875"/>
      <c r="W1038" s="875"/>
      <c r="X1038" s="1026">
        <f t="shared" si="615"/>
        <v>55450</v>
      </c>
      <c r="Y1038" s="1512">
        <f t="shared" si="616"/>
        <v>0.30317273795534666</v>
      </c>
      <c r="Z1038" s="1741">
        <f t="shared" si="617"/>
        <v>1.3031727379553466</v>
      </c>
      <c r="AA1038" s="1749">
        <f t="shared" si="618"/>
        <v>1.3</v>
      </c>
      <c r="AB1038" s="1810">
        <f t="shared" si="619"/>
        <v>99.756537421100091</v>
      </c>
      <c r="AC1038" s="876"/>
      <c r="AD1038" s="1525">
        <f t="shared" si="620"/>
        <v>1.3</v>
      </c>
      <c r="AE1038" s="1525">
        <f t="shared" si="620"/>
        <v>0</v>
      </c>
      <c r="AF1038" s="1525">
        <f t="shared" si="620"/>
        <v>0</v>
      </c>
      <c r="AG1038" s="1525">
        <f t="shared" si="620"/>
        <v>0</v>
      </c>
      <c r="AH1038" s="1525">
        <f t="shared" si="620"/>
        <v>0</v>
      </c>
      <c r="AI1038" s="1525">
        <f t="shared" si="620"/>
        <v>0</v>
      </c>
      <c r="AJ1038" s="1525">
        <f t="shared" si="620"/>
        <v>0</v>
      </c>
      <c r="AK1038" s="1525">
        <f t="shared" si="620"/>
        <v>0</v>
      </c>
      <c r="AL1038" s="1525">
        <f t="shared" si="620"/>
        <v>0</v>
      </c>
      <c r="AM1038" s="1525">
        <f t="shared" si="620"/>
        <v>0</v>
      </c>
      <c r="AN1038" s="1525">
        <f t="shared" si="620"/>
        <v>0</v>
      </c>
      <c r="AO1038" s="1525">
        <f t="shared" si="620"/>
        <v>0</v>
      </c>
      <c r="AP1038" s="1525">
        <f t="shared" si="620"/>
        <v>0</v>
      </c>
      <c r="AQ1038" s="1525">
        <f t="shared" si="620"/>
        <v>0</v>
      </c>
      <c r="AR1038" s="1525">
        <f t="shared" si="620"/>
        <v>0</v>
      </c>
      <c r="AS1038" s="1525">
        <f t="shared" si="620"/>
        <v>0</v>
      </c>
      <c r="AU1038" s="1525"/>
      <c r="AV1038" s="1291"/>
      <c r="AW1038" s="1292"/>
      <c r="AX1038" s="1292"/>
      <c r="AY1038" s="1292"/>
      <c r="AZ1038" s="1292"/>
      <c r="BA1038" s="1292"/>
      <c r="BB1038" s="1292"/>
      <c r="BC1038" s="1292"/>
      <c r="BD1038" s="1292"/>
      <c r="BE1038" s="1292"/>
      <c r="BF1038" s="1292"/>
      <c r="BG1038" s="1292"/>
      <c r="BH1038" s="1292"/>
      <c r="BI1038" s="1771">
        <v>0.4</v>
      </c>
      <c r="BJ1038" s="1771">
        <v>0.9</v>
      </c>
      <c r="BK1038" s="1292"/>
      <c r="BL1038" s="1292"/>
      <c r="BM1038" s="1292"/>
      <c r="BN1038" s="1292"/>
      <c r="BO1038" s="1292"/>
      <c r="BP1038" s="1292"/>
      <c r="BQ1038" s="1292"/>
      <c r="BR1038" s="1292"/>
      <c r="BS1038" s="1292"/>
      <c r="BT1038" s="1670">
        <f t="shared" si="621"/>
        <v>1.3</v>
      </c>
      <c r="BW1038" s="823" t="s">
        <v>484</v>
      </c>
    </row>
    <row r="1039" spans="2:75" ht="12.75" customHeight="1" x14ac:dyDescent="0.2">
      <c r="B1039" s="175">
        <f t="shared" si="622"/>
        <v>3</v>
      </c>
      <c r="C1039" s="282">
        <v>7</v>
      </c>
      <c r="D1039" s="464"/>
      <c r="E1039" s="474" t="s">
        <v>1560</v>
      </c>
      <c r="F1039" s="467" t="s">
        <v>1334</v>
      </c>
      <c r="G1039" s="856" t="s">
        <v>1422</v>
      </c>
      <c r="H1039" s="1413">
        <v>13</v>
      </c>
      <c r="I1039" s="621" t="s">
        <v>351</v>
      </c>
      <c r="J1039" s="622"/>
      <c r="K1039" s="622"/>
      <c r="L1039" s="841">
        <v>1</v>
      </c>
      <c r="M1039" s="858">
        <f>K1039+L1039</f>
        <v>1</v>
      </c>
      <c r="N1039" s="855" t="s">
        <v>1573</v>
      </c>
      <c r="O1039" s="1196">
        <v>19410</v>
      </c>
      <c r="P1039" s="1218">
        <f t="shared" ca="1" si="614"/>
        <v>64.61666666666666</v>
      </c>
      <c r="Q1039" s="1148">
        <v>39550</v>
      </c>
      <c r="R1039" s="874">
        <f>Q1039*0.1</f>
        <v>3955</v>
      </c>
      <c r="S1039" s="875">
        <v>3000</v>
      </c>
      <c r="T1039" s="875">
        <v>14200</v>
      </c>
      <c r="U1039" s="875"/>
      <c r="V1039" s="875"/>
      <c r="W1039" s="875"/>
      <c r="X1039" s="1026">
        <f t="shared" si="615"/>
        <v>60705</v>
      </c>
      <c r="Y1039" s="1512">
        <f t="shared" si="616"/>
        <v>0.30534351145038169</v>
      </c>
      <c r="Z1039" s="1741">
        <f t="shared" si="617"/>
        <v>1.3053435114503817</v>
      </c>
      <c r="AA1039" s="1749">
        <f t="shared" si="618"/>
        <v>1</v>
      </c>
      <c r="AB1039" s="1810">
        <f t="shared" si="619"/>
        <v>76.608187134502927</v>
      </c>
      <c r="AC1039" s="876"/>
      <c r="AD1039" s="1525">
        <f t="shared" si="620"/>
        <v>1</v>
      </c>
      <c r="AE1039" s="1525">
        <f t="shared" si="620"/>
        <v>0</v>
      </c>
      <c r="AF1039" s="1525">
        <f t="shared" si="620"/>
        <v>0</v>
      </c>
      <c r="AG1039" s="1525">
        <f t="shared" si="620"/>
        <v>0</v>
      </c>
      <c r="AH1039" s="1525">
        <f t="shared" si="620"/>
        <v>0</v>
      </c>
      <c r="AI1039" s="1525">
        <f t="shared" si="620"/>
        <v>0</v>
      </c>
      <c r="AJ1039" s="1525">
        <f t="shared" si="620"/>
        <v>0</v>
      </c>
      <c r="AK1039" s="1525">
        <f t="shared" si="620"/>
        <v>0</v>
      </c>
      <c r="AL1039" s="1525">
        <f t="shared" si="620"/>
        <v>0</v>
      </c>
      <c r="AM1039" s="1525">
        <f t="shared" si="620"/>
        <v>0</v>
      </c>
      <c r="AN1039" s="1525">
        <f t="shared" si="620"/>
        <v>0</v>
      </c>
      <c r="AO1039" s="1525">
        <f t="shared" si="620"/>
        <v>0</v>
      </c>
      <c r="AP1039" s="1525">
        <f t="shared" si="620"/>
        <v>0</v>
      </c>
      <c r="AQ1039" s="1525">
        <f t="shared" si="620"/>
        <v>0</v>
      </c>
      <c r="AR1039" s="1525">
        <f t="shared" si="620"/>
        <v>0</v>
      </c>
      <c r="AS1039" s="1525">
        <f t="shared" si="620"/>
        <v>0</v>
      </c>
      <c r="AU1039" s="1525"/>
      <c r="AV1039" s="1291"/>
      <c r="AW1039" s="1292"/>
      <c r="AX1039" s="1292"/>
      <c r="AY1039" s="1292"/>
      <c r="AZ1039" s="1292"/>
      <c r="BA1039" s="1292"/>
      <c r="BB1039" s="1292"/>
      <c r="BC1039" s="1292"/>
      <c r="BD1039" s="1292"/>
      <c r="BE1039" s="1292"/>
      <c r="BF1039" s="1292"/>
      <c r="BG1039" s="1292"/>
      <c r="BH1039" s="1292"/>
      <c r="BI1039" s="1292"/>
      <c r="BJ1039" s="1292">
        <v>1</v>
      </c>
      <c r="BK1039" s="1292"/>
      <c r="BL1039" s="1292"/>
      <c r="BM1039" s="1292"/>
      <c r="BN1039" s="1292"/>
      <c r="BO1039" s="1292"/>
      <c r="BP1039" s="1292"/>
      <c r="BQ1039" s="1292"/>
      <c r="BR1039" s="1292"/>
      <c r="BS1039" s="1292"/>
      <c r="BT1039" s="1670">
        <f t="shared" si="621"/>
        <v>1</v>
      </c>
      <c r="BW1039" s="856" t="s">
        <v>1422</v>
      </c>
    </row>
    <row r="1040" spans="2:75" ht="12.75" customHeight="1" x14ac:dyDescent="0.2">
      <c r="B1040" s="175">
        <f t="shared" si="622"/>
        <v>4</v>
      </c>
      <c r="C1040" s="569">
        <v>7</v>
      </c>
      <c r="D1040" s="570"/>
      <c r="E1040" s="472" t="s">
        <v>1560</v>
      </c>
      <c r="F1040" s="583" t="s">
        <v>1334</v>
      </c>
      <c r="G1040" s="823" t="s">
        <v>592</v>
      </c>
      <c r="H1040" s="1413">
        <v>290092</v>
      </c>
      <c r="I1040" s="592" t="s">
        <v>351</v>
      </c>
      <c r="J1040" s="633"/>
      <c r="K1040" s="633"/>
      <c r="L1040" s="841">
        <v>1</v>
      </c>
      <c r="M1040" s="858">
        <f>K1040+L1040</f>
        <v>1</v>
      </c>
      <c r="N1040" s="832" t="s">
        <v>1326</v>
      </c>
      <c r="O1040" s="1196">
        <v>23262</v>
      </c>
      <c r="P1040" s="1218">
        <f t="shared" ca="1" si="614"/>
        <v>54.06666666666667</v>
      </c>
      <c r="Q1040" s="1148">
        <v>39550</v>
      </c>
      <c r="R1040" s="874">
        <f>Q1040*0.1</f>
        <v>3955</v>
      </c>
      <c r="S1040" s="875">
        <v>3000</v>
      </c>
      <c r="T1040" s="875">
        <v>21000</v>
      </c>
      <c r="U1040" s="875"/>
      <c r="V1040" s="875"/>
      <c r="W1040" s="875"/>
      <c r="X1040" s="1026">
        <f t="shared" si="615"/>
        <v>67505</v>
      </c>
      <c r="Y1040" s="1512">
        <f t="shared" si="616"/>
        <v>0.45156434791957856</v>
      </c>
      <c r="Z1040" s="1741">
        <f t="shared" si="617"/>
        <v>1.4515643479195786</v>
      </c>
      <c r="AA1040" s="1749">
        <f t="shared" si="618"/>
        <v>1.2000000000000002</v>
      </c>
      <c r="AB1040" s="1810">
        <f t="shared" si="619"/>
        <v>82.66943189393379</v>
      </c>
      <c r="AC1040" s="876"/>
      <c r="AD1040" s="1525">
        <f t="shared" si="620"/>
        <v>1</v>
      </c>
      <c r="AE1040" s="1525">
        <f t="shared" si="620"/>
        <v>0</v>
      </c>
      <c r="AF1040" s="1525">
        <f t="shared" si="620"/>
        <v>0</v>
      </c>
      <c r="AG1040" s="1525">
        <f t="shared" si="620"/>
        <v>0</v>
      </c>
      <c r="AH1040" s="1525">
        <f t="shared" si="620"/>
        <v>0</v>
      </c>
      <c r="AI1040" s="1525">
        <f t="shared" si="620"/>
        <v>0</v>
      </c>
      <c r="AJ1040" s="1525">
        <f t="shared" si="620"/>
        <v>0.1</v>
      </c>
      <c r="AK1040" s="1525">
        <f t="shared" si="620"/>
        <v>0</v>
      </c>
      <c r="AL1040" s="1525">
        <f t="shared" si="620"/>
        <v>0</v>
      </c>
      <c r="AM1040" s="1525">
        <f t="shared" si="620"/>
        <v>0</v>
      </c>
      <c r="AN1040" s="1525">
        <f t="shared" si="620"/>
        <v>0.1</v>
      </c>
      <c r="AO1040" s="1525">
        <f t="shared" si="620"/>
        <v>0</v>
      </c>
      <c r="AP1040" s="1525">
        <f t="shared" si="620"/>
        <v>0</v>
      </c>
      <c r="AQ1040" s="1525">
        <f t="shared" si="620"/>
        <v>0</v>
      </c>
      <c r="AR1040" s="1525">
        <f t="shared" si="620"/>
        <v>0</v>
      </c>
      <c r="AS1040" s="1525">
        <f t="shared" si="620"/>
        <v>0</v>
      </c>
      <c r="AU1040" s="1525"/>
      <c r="AV1040" s="1291"/>
      <c r="AW1040" s="1292"/>
      <c r="AX1040" s="1292"/>
      <c r="AY1040" s="1292"/>
      <c r="AZ1040" s="1292"/>
      <c r="BA1040" s="1292"/>
      <c r="BB1040" s="1292"/>
      <c r="BC1040" s="1292"/>
      <c r="BD1040" s="1292"/>
      <c r="BE1040" s="1292"/>
      <c r="BF1040" s="1292">
        <v>0.1</v>
      </c>
      <c r="BG1040" s="1292"/>
      <c r="BH1040" s="1292">
        <v>0.1</v>
      </c>
      <c r="BI1040" s="1292"/>
      <c r="BJ1040" s="1292">
        <v>1</v>
      </c>
      <c r="BK1040" s="1292"/>
      <c r="BL1040" s="1292"/>
      <c r="BM1040" s="1292"/>
      <c r="BN1040" s="1292"/>
      <c r="BO1040" s="1292"/>
      <c r="BP1040" s="1292"/>
      <c r="BQ1040" s="1292"/>
      <c r="BR1040" s="1292"/>
      <c r="BS1040" s="1292"/>
      <c r="BT1040" s="1670">
        <f t="shared" si="621"/>
        <v>1.2</v>
      </c>
      <c r="BW1040" s="823" t="s">
        <v>592</v>
      </c>
    </row>
    <row r="1041" spans="2:75" ht="12.75" customHeight="1" x14ac:dyDescent="0.2">
      <c r="B1041" s="175">
        <f t="shared" si="622"/>
        <v>5</v>
      </c>
      <c r="C1041" s="569">
        <v>8</v>
      </c>
      <c r="D1041" s="570"/>
      <c r="E1041" s="472" t="s">
        <v>1560</v>
      </c>
      <c r="F1041" s="24" t="s">
        <v>353</v>
      </c>
      <c r="G1041" s="823" t="s">
        <v>1348</v>
      </c>
      <c r="H1041" s="1413">
        <v>7434</v>
      </c>
      <c r="I1041" s="592" t="s">
        <v>351</v>
      </c>
      <c r="J1041" s="633"/>
      <c r="K1041" s="633"/>
      <c r="L1041" s="841">
        <v>1</v>
      </c>
      <c r="M1041" s="858">
        <v>1</v>
      </c>
      <c r="N1041" s="832" t="s">
        <v>1326</v>
      </c>
      <c r="O1041" s="1196">
        <v>19294</v>
      </c>
      <c r="P1041" s="1218">
        <f t="shared" ca="1" si="614"/>
        <v>64.930555555555557</v>
      </c>
      <c r="Q1041" s="1148">
        <v>38200</v>
      </c>
      <c r="R1041" s="874">
        <f>Q1041*0.1</f>
        <v>3820</v>
      </c>
      <c r="S1041" s="875"/>
      <c r="T1041" s="875">
        <v>9100</v>
      </c>
      <c r="U1041" s="875"/>
      <c r="V1041" s="875"/>
      <c r="W1041" s="875"/>
      <c r="X1041" s="1026">
        <f t="shared" si="615"/>
        <v>51120</v>
      </c>
      <c r="Y1041" s="1512">
        <f t="shared" si="616"/>
        <v>0.21656354117087101</v>
      </c>
      <c r="Z1041" s="1741">
        <f t="shared" si="617"/>
        <v>1.2165635411708711</v>
      </c>
      <c r="AA1041" s="1749">
        <f t="shared" si="618"/>
        <v>1</v>
      </c>
      <c r="AB1041" s="1810">
        <f t="shared" si="619"/>
        <v>82.198748043818469</v>
      </c>
      <c r="AC1041" s="876"/>
      <c r="AD1041" s="1525">
        <f t="shared" si="620"/>
        <v>1</v>
      </c>
      <c r="AE1041" s="1525">
        <f t="shared" si="620"/>
        <v>0</v>
      </c>
      <c r="AF1041" s="1525">
        <f t="shared" si="620"/>
        <v>0</v>
      </c>
      <c r="AG1041" s="1525">
        <f t="shared" si="620"/>
        <v>0</v>
      </c>
      <c r="AH1041" s="1525">
        <f t="shared" si="620"/>
        <v>0</v>
      </c>
      <c r="AI1041" s="1525">
        <f t="shared" si="620"/>
        <v>0</v>
      </c>
      <c r="AJ1041" s="1525">
        <f t="shared" si="620"/>
        <v>0</v>
      </c>
      <c r="AK1041" s="1525">
        <f t="shared" si="620"/>
        <v>0</v>
      </c>
      <c r="AL1041" s="1525">
        <f t="shared" si="620"/>
        <v>0</v>
      </c>
      <c r="AM1041" s="1525">
        <f t="shared" si="620"/>
        <v>0</v>
      </c>
      <c r="AN1041" s="1525">
        <f t="shared" si="620"/>
        <v>0</v>
      </c>
      <c r="AO1041" s="1525">
        <f t="shared" si="620"/>
        <v>0</v>
      </c>
      <c r="AP1041" s="1525">
        <f t="shared" si="620"/>
        <v>0</v>
      </c>
      <c r="AQ1041" s="1525">
        <f t="shared" si="620"/>
        <v>0</v>
      </c>
      <c r="AR1041" s="1525">
        <f t="shared" si="620"/>
        <v>0</v>
      </c>
      <c r="AS1041" s="1525">
        <f t="shared" si="620"/>
        <v>0</v>
      </c>
      <c r="AU1041" s="1525"/>
      <c r="AV1041" s="1291"/>
      <c r="AW1041" s="1292"/>
      <c r="AX1041" s="1292"/>
      <c r="AY1041" s="1292"/>
      <c r="AZ1041" s="1292"/>
      <c r="BA1041" s="1292"/>
      <c r="BB1041" s="1292"/>
      <c r="BC1041" s="1292"/>
      <c r="BD1041" s="1292"/>
      <c r="BE1041" s="1292"/>
      <c r="BF1041" s="1292"/>
      <c r="BG1041" s="1292"/>
      <c r="BH1041" s="1292"/>
      <c r="BI1041" s="1292"/>
      <c r="BJ1041" s="1292">
        <v>1</v>
      </c>
      <c r="BK1041" s="1292"/>
      <c r="BL1041" s="1292"/>
      <c r="BM1041" s="1292"/>
      <c r="BN1041" s="1292"/>
      <c r="BO1041" s="1292"/>
      <c r="BP1041" s="1292"/>
      <c r="BQ1041" s="1292"/>
      <c r="BR1041" s="1292"/>
      <c r="BS1041" s="1292"/>
      <c r="BT1041" s="1670">
        <f t="shared" si="621"/>
        <v>1</v>
      </c>
      <c r="BW1041" s="823" t="s">
        <v>1348</v>
      </c>
    </row>
    <row r="1042" spans="2:75" ht="12.75" customHeight="1" x14ac:dyDescent="0.2">
      <c r="B1042" s="175">
        <f t="shared" si="622"/>
        <v>6</v>
      </c>
      <c r="C1042" s="569">
        <v>8</v>
      </c>
      <c r="D1042" s="570"/>
      <c r="E1042" s="472" t="s">
        <v>1560</v>
      </c>
      <c r="F1042" s="4" t="s">
        <v>353</v>
      </c>
      <c r="G1042" s="834" t="s">
        <v>1228</v>
      </c>
      <c r="H1042" s="1412">
        <v>4087</v>
      </c>
      <c r="I1042" s="643" t="s">
        <v>351</v>
      </c>
      <c r="J1042" s="571"/>
      <c r="K1042" s="571"/>
      <c r="L1042" s="893">
        <v>1</v>
      </c>
      <c r="M1042" s="861">
        <v>1</v>
      </c>
      <c r="N1042" s="832" t="s">
        <v>1326</v>
      </c>
      <c r="O1042" s="1196">
        <v>20513</v>
      </c>
      <c r="P1042" s="1218">
        <f t="shared" ca="1" si="614"/>
        <v>61.594444444444441</v>
      </c>
      <c r="Q1042" s="1148">
        <v>33300</v>
      </c>
      <c r="R1042" s="874">
        <f>Q1042*0.1</f>
        <v>3330</v>
      </c>
      <c r="S1042" s="876"/>
      <c r="T1042" s="876">
        <v>2500</v>
      </c>
      <c r="U1042" s="876"/>
      <c r="V1042" s="876"/>
      <c r="W1042" s="876"/>
      <c r="X1042" s="1026">
        <f t="shared" si="615"/>
        <v>39130</v>
      </c>
      <c r="Y1042" s="1512">
        <f t="shared" si="616"/>
        <v>6.8250068250068255E-2</v>
      </c>
      <c r="Z1042" s="1741">
        <f t="shared" si="617"/>
        <v>1.0682500682500682</v>
      </c>
      <c r="AA1042" s="1749">
        <f t="shared" si="618"/>
        <v>0</v>
      </c>
      <c r="AB1042" s="1810">
        <f t="shared" si="619"/>
        <v>0</v>
      </c>
      <c r="AC1042" s="876"/>
      <c r="AD1042" s="1525">
        <f t="shared" si="620"/>
        <v>0</v>
      </c>
      <c r="AE1042" s="1525">
        <f t="shared" si="620"/>
        <v>0</v>
      </c>
      <c r="AF1042" s="1525">
        <f t="shared" si="620"/>
        <v>0</v>
      </c>
      <c r="AG1042" s="1525">
        <f t="shared" si="620"/>
        <v>0</v>
      </c>
      <c r="AH1042" s="1525">
        <f t="shared" si="620"/>
        <v>0</v>
      </c>
      <c r="AI1042" s="1525">
        <f t="shared" si="620"/>
        <v>0</v>
      </c>
      <c r="AJ1042" s="1525">
        <f t="shared" si="620"/>
        <v>0</v>
      </c>
      <c r="AK1042" s="1525">
        <f t="shared" si="620"/>
        <v>0</v>
      </c>
      <c r="AL1042" s="1525">
        <f t="shared" si="620"/>
        <v>0</v>
      </c>
      <c r="AM1042" s="1525">
        <f t="shared" si="620"/>
        <v>0</v>
      </c>
      <c r="AN1042" s="1525">
        <f t="shared" si="620"/>
        <v>0</v>
      </c>
      <c r="AO1042" s="1525">
        <f t="shared" si="620"/>
        <v>0</v>
      </c>
      <c r="AP1042" s="1525">
        <f t="shared" si="620"/>
        <v>0</v>
      </c>
      <c r="AQ1042" s="1525">
        <f t="shared" si="620"/>
        <v>0</v>
      </c>
      <c r="AR1042" s="1525">
        <f t="shared" si="620"/>
        <v>0</v>
      </c>
      <c r="AS1042" s="1525">
        <f t="shared" si="620"/>
        <v>0</v>
      </c>
      <c r="AU1042" s="1525"/>
      <c r="AV1042" s="1291"/>
      <c r="AW1042" s="1292"/>
      <c r="AX1042" s="1292"/>
      <c r="AY1042" s="1292"/>
      <c r="AZ1042" s="1292"/>
      <c r="BA1042" s="1292"/>
      <c r="BB1042" s="1292"/>
      <c r="BC1042" s="1292"/>
      <c r="BD1042" s="1292"/>
      <c r="BE1042" s="1292"/>
      <c r="BF1042" s="1292"/>
      <c r="BG1042" s="1292"/>
      <c r="BH1042" s="1292"/>
      <c r="BI1042" s="1292"/>
      <c r="BJ1042" s="1292"/>
      <c r="BK1042" s="1292"/>
      <c r="BL1042" s="1292"/>
      <c r="BM1042" s="1292"/>
      <c r="BN1042" s="1292"/>
      <c r="BO1042" s="1292"/>
      <c r="BP1042" s="1292"/>
      <c r="BQ1042" s="1292"/>
      <c r="BR1042" s="1292"/>
      <c r="BS1042" s="1292"/>
      <c r="BT1042" s="1670">
        <f t="shared" si="621"/>
        <v>0</v>
      </c>
      <c r="BW1042" s="834" t="s">
        <v>1228</v>
      </c>
    </row>
    <row r="1043" spans="2:75" ht="12.75" customHeight="1" x14ac:dyDescent="0.2">
      <c r="B1043" s="175">
        <f t="shared" si="622"/>
        <v>7</v>
      </c>
      <c r="C1043" s="219">
        <v>8</v>
      </c>
      <c r="E1043" s="12" t="s">
        <v>1560</v>
      </c>
      <c r="F1043" s="24" t="s">
        <v>353</v>
      </c>
      <c r="G1043" s="823" t="s">
        <v>1089</v>
      </c>
      <c r="H1043" s="1413">
        <v>6298</v>
      </c>
      <c r="I1043" s="200" t="s">
        <v>351</v>
      </c>
      <c r="J1043" s="299"/>
      <c r="K1043" s="299"/>
      <c r="L1043" s="841">
        <v>1</v>
      </c>
      <c r="M1043" s="858">
        <v>1</v>
      </c>
      <c r="N1043" s="832" t="s">
        <v>892</v>
      </c>
      <c r="O1043" s="1196">
        <v>20659</v>
      </c>
      <c r="P1043" s="1218">
        <f t="shared" ca="1" si="614"/>
        <v>61.19166666666667</v>
      </c>
      <c r="Q1043" s="1148">
        <v>37400</v>
      </c>
      <c r="R1043" s="874"/>
      <c r="S1043" s="875"/>
      <c r="T1043" s="875">
        <v>6000</v>
      </c>
      <c r="U1043" s="875"/>
      <c r="V1043" s="875"/>
      <c r="W1043" s="875"/>
      <c r="X1043" s="1026">
        <f t="shared" si="615"/>
        <v>43400</v>
      </c>
      <c r="Y1043" s="1512">
        <f t="shared" si="616"/>
        <v>0.16042780748663102</v>
      </c>
      <c r="Z1043" s="1741">
        <f t="shared" si="617"/>
        <v>1.160427807486631</v>
      </c>
      <c r="AA1043" s="1749">
        <f t="shared" si="618"/>
        <v>1</v>
      </c>
      <c r="AB1043" s="1810">
        <f t="shared" si="619"/>
        <v>86.175115207373267</v>
      </c>
      <c r="AC1043" s="876"/>
      <c r="AD1043" s="1525">
        <f t="shared" si="620"/>
        <v>1</v>
      </c>
      <c r="AE1043" s="1525">
        <f t="shared" si="620"/>
        <v>0</v>
      </c>
      <c r="AF1043" s="1525">
        <f t="shared" si="620"/>
        <v>0</v>
      </c>
      <c r="AG1043" s="1525">
        <f t="shared" si="620"/>
        <v>0</v>
      </c>
      <c r="AH1043" s="1525">
        <f t="shared" si="620"/>
        <v>0</v>
      </c>
      <c r="AI1043" s="1525">
        <f t="shared" si="620"/>
        <v>0</v>
      </c>
      <c r="AJ1043" s="1525">
        <f t="shared" si="620"/>
        <v>0</v>
      </c>
      <c r="AK1043" s="1525">
        <f t="shared" si="620"/>
        <v>0</v>
      </c>
      <c r="AL1043" s="1525">
        <f t="shared" si="620"/>
        <v>0</v>
      </c>
      <c r="AM1043" s="1525">
        <f t="shared" si="620"/>
        <v>0</v>
      </c>
      <c r="AN1043" s="1525">
        <f t="shared" si="620"/>
        <v>0</v>
      </c>
      <c r="AO1043" s="1525">
        <f t="shared" si="620"/>
        <v>0</v>
      </c>
      <c r="AP1043" s="1525">
        <f t="shared" si="620"/>
        <v>0</v>
      </c>
      <c r="AQ1043" s="1525">
        <f t="shared" si="620"/>
        <v>0</v>
      </c>
      <c r="AR1043" s="1525">
        <f t="shared" si="620"/>
        <v>0</v>
      </c>
      <c r="AS1043" s="1525">
        <f t="shared" si="620"/>
        <v>0</v>
      </c>
      <c r="AU1043" s="1525"/>
      <c r="AV1043" s="1291"/>
      <c r="AW1043" s="1292"/>
      <c r="AX1043" s="1292"/>
      <c r="AY1043" s="1292"/>
      <c r="AZ1043" s="1292"/>
      <c r="BA1043" s="1292"/>
      <c r="BB1043" s="1292"/>
      <c r="BC1043" s="1292"/>
      <c r="BD1043" s="1292"/>
      <c r="BE1043" s="1292"/>
      <c r="BF1043" s="1292"/>
      <c r="BG1043" s="1292"/>
      <c r="BH1043" s="1292"/>
      <c r="BI1043" s="1292"/>
      <c r="BJ1043" s="1292">
        <v>1</v>
      </c>
      <c r="BK1043" s="1292"/>
      <c r="BL1043" s="1292"/>
      <c r="BM1043" s="1292"/>
      <c r="BN1043" s="1292"/>
      <c r="BO1043" s="1292"/>
      <c r="BP1043" s="1292"/>
      <c r="BQ1043" s="1292"/>
      <c r="BR1043" s="1292"/>
      <c r="BS1043" s="1292"/>
      <c r="BT1043" s="1670">
        <f t="shared" si="621"/>
        <v>1</v>
      </c>
      <c r="BW1043" s="823" t="s">
        <v>1089</v>
      </c>
    </row>
    <row r="1044" spans="2:75" ht="12.75" customHeight="1" x14ac:dyDescent="0.2">
      <c r="B1044" s="175">
        <f t="shared" si="622"/>
        <v>8</v>
      </c>
      <c r="C1044" s="219">
        <v>9</v>
      </c>
      <c r="E1044" s="12" t="s">
        <v>1560</v>
      </c>
      <c r="F1044" s="4" t="s">
        <v>1476</v>
      </c>
      <c r="G1044" s="834" t="s">
        <v>1477</v>
      </c>
      <c r="H1044" s="1413">
        <v>221986</v>
      </c>
      <c r="I1044" s="200" t="s">
        <v>351</v>
      </c>
      <c r="J1044" s="297"/>
      <c r="K1044" s="297"/>
      <c r="L1044" s="893">
        <v>1</v>
      </c>
      <c r="M1044" s="858">
        <f>K1044+L1044</f>
        <v>1</v>
      </c>
      <c r="N1044" s="832" t="s">
        <v>1326</v>
      </c>
      <c r="O1044" s="1196">
        <v>26975</v>
      </c>
      <c r="P1044" s="1218">
        <f t="shared" ca="1" si="614"/>
        <v>43.902777777777779</v>
      </c>
      <c r="Q1044" s="1148">
        <v>29900</v>
      </c>
      <c r="R1044" s="874">
        <f>Q1044*0.1</f>
        <v>2990</v>
      </c>
      <c r="S1044" s="875"/>
      <c r="T1044" s="875">
        <v>14900</v>
      </c>
      <c r="U1044" s="875"/>
      <c r="V1044" s="875"/>
      <c r="W1044" s="875"/>
      <c r="X1044" s="1026">
        <f t="shared" si="615"/>
        <v>47790</v>
      </c>
      <c r="Y1044" s="1512">
        <f t="shared" si="616"/>
        <v>0.45302523563393127</v>
      </c>
      <c r="Z1044" s="1741">
        <f t="shared" si="617"/>
        <v>1.4530252356339313</v>
      </c>
      <c r="AA1044" s="1749">
        <f t="shared" si="618"/>
        <v>1</v>
      </c>
      <c r="AB1044" s="1810">
        <f t="shared" si="619"/>
        <v>68.821929273906676</v>
      </c>
      <c r="AC1044" s="876"/>
      <c r="AD1044" s="1525">
        <f t="shared" si="620"/>
        <v>1</v>
      </c>
      <c r="AE1044" s="1525">
        <f t="shared" si="620"/>
        <v>0</v>
      </c>
      <c r="AF1044" s="1525">
        <f t="shared" si="620"/>
        <v>0</v>
      </c>
      <c r="AG1044" s="1525">
        <f t="shared" si="620"/>
        <v>0</v>
      </c>
      <c r="AH1044" s="1525">
        <f t="shared" si="620"/>
        <v>0</v>
      </c>
      <c r="AI1044" s="1525">
        <f t="shared" si="620"/>
        <v>0</v>
      </c>
      <c r="AJ1044" s="1525">
        <f t="shared" si="620"/>
        <v>0</v>
      </c>
      <c r="AK1044" s="1525">
        <f t="shared" si="620"/>
        <v>0</v>
      </c>
      <c r="AL1044" s="1525">
        <f t="shared" si="620"/>
        <v>0</v>
      </c>
      <c r="AM1044" s="1525">
        <f t="shared" si="620"/>
        <v>0</v>
      </c>
      <c r="AN1044" s="1525">
        <f t="shared" si="620"/>
        <v>0</v>
      </c>
      <c r="AO1044" s="1525">
        <f t="shared" si="620"/>
        <v>0</v>
      </c>
      <c r="AP1044" s="1525">
        <f t="shared" si="620"/>
        <v>0</v>
      </c>
      <c r="AQ1044" s="1525">
        <f t="shared" si="620"/>
        <v>0</v>
      </c>
      <c r="AR1044" s="1525">
        <f t="shared" si="620"/>
        <v>0</v>
      </c>
      <c r="AS1044" s="1525">
        <f t="shared" si="620"/>
        <v>0</v>
      </c>
      <c r="AU1044" s="1525"/>
      <c r="AV1044" s="1291"/>
      <c r="AW1044" s="1292"/>
      <c r="AX1044" s="1292"/>
      <c r="AY1044" s="1292"/>
      <c r="AZ1044" s="1292"/>
      <c r="BA1044" s="1292"/>
      <c r="BB1044" s="1292"/>
      <c r="BC1044" s="1292"/>
      <c r="BD1044" s="1292"/>
      <c r="BE1044" s="1292"/>
      <c r="BF1044" s="1292"/>
      <c r="BG1044" s="1292"/>
      <c r="BH1044" s="1292"/>
      <c r="BI1044" s="1292"/>
      <c r="BJ1044" s="1292">
        <v>1</v>
      </c>
      <c r="BK1044" s="1292"/>
      <c r="BL1044" s="1292"/>
      <c r="BM1044" s="1292"/>
      <c r="BN1044" s="1292"/>
      <c r="BO1044" s="1292"/>
      <c r="BP1044" s="1292"/>
      <c r="BQ1044" s="1292"/>
      <c r="BR1044" s="1292"/>
      <c r="BS1044" s="1292"/>
      <c r="BT1044" s="1670">
        <f t="shared" si="621"/>
        <v>1</v>
      </c>
      <c r="BW1044" s="834" t="s">
        <v>1477</v>
      </c>
    </row>
    <row r="1045" spans="2:75" ht="12.75" customHeight="1" x14ac:dyDescent="0.2">
      <c r="B1045" s="175">
        <f t="shared" si="622"/>
        <v>9</v>
      </c>
      <c r="C1045" s="219">
        <v>12</v>
      </c>
      <c r="E1045" s="12" t="s">
        <v>1560</v>
      </c>
      <c r="F1045" s="24" t="s">
        <v>1463</v>
      </c>
      <c r="G1045" s="821" t="s">
        <v>1464</v>
      </c>
      <c r="H1045" s="1413">
        <v>76069</v>
      </c>
      <c r="I1045" s="200" t="s">
        <v>583</v>
      </c>
      <c r="J1045" s="189"/>
      <c r="K1045" s="189"/>
      <c r="L1045" s="858">
        <v>1</v>
      </c>
      <c r="M1045" s="858">
        <f>K1045+L1045</f>
        <v>1</v>
      </c>
      <c r="N1045" s="857" t="s">
        <v>1326</v>
      </c>
      <c r="O1045" s="1196">
        <v>19725</v>
      </c>
      <c r="P1045" s="1218">
        <f t="shared" ca="1" si="614"/>
        <v>63.75277777777778</v>
      </c>
      <c r="Q1045" s="1148">
        <v>32900</v>
      </c>
      <c r="R1045" s="874">
        <f>Q1045*0.1</f>
        <v>3290</v>
      </c>
      <c r="S1045" s="875"/>
      <c r="T1045" s="875">
        <v>15600</v>
      </c>
      <c r="U1045" s="875"/>
      <c r="V1045" s="875"/>
      <c r="W1045" s="875"/>
      <c r="X1045" s="1026">
        <f t="shared" si="615"/>
        <v>51790</v>
      </c>
      <c r="Y1045" s="1512">
        <f t="shared" si="616"/>
        <v>0.43105830339872891</v>
      </c>
      <c r="Z1045" s="1741">
        <f t="shared" si="617"/>
        <v>1.431058303398729</v>
      </c>
      <c r="AA1045" s="1749">
        <f t="shared" si="618"/>
        <v>1</v>
      </c>
      <c r="AB1045" s="1810">
        <f t="shared" si="619"/>
        <v>69.878354894767327</v>
      </c>
      <c r="AC1045" s="876"/>
      <c r="AD1045" s="1525">
        <f t="shared" si="620"/>
        <v>1</v>
      </c>
      <c r="AE1045" s="1525">
        <f t="shared" si="620"/>
        <v>0</v>
      </c>
      <c r="AF1045" s="1525">
        <f t="shared" si="620"/>
        <v>0</v>
      </c>
      <c r="AG1045" s="1525">
        <f t="shared" si="620"/>
        <v>0</v>
      </c>
      <c r="AH1045" s="1525">
        <f t="shared" si="620"/>
        <v>0</v>
      </c>
      <c r="AI1045" s="1525">
        <f t="shared" si="620"/>
        <v>0</v>
      </c>
      <c r="AJ1045" s="1525">
        <f t="shared" si="620"/>
        <v>0</v>
      </c>
      <c r="AK1045" s="1525">
        <f t="shared" si="620"/>
        <v>0</v>
      </c>
      <c r="AL1045" s="1525">
        <f t="shared" si="620"/>
        <v>0</v>
      </c>
      <c r="AM1045" s="1525">
        <f t="shared" si="620"/>
        <v>0</v>
      </c>
      <c r="AN1045" s="1525">
        <f t="shared" si="620"/>
        <v>0</v>
      </c>
      <c r="AO1045" s="1525">
        <f t="shared" si="620"/>
        <v>0</v>
      </c>
      <c r="AP1045" s="1525">
        <f t="shared" si="620"/>
        <v>0</v>
      </c>
      <c r="AQ1045" s="1525">
        <f t="shared" si="620"/>
        <v>0</v>
      </c>
      <c r="AR1045" s="1525">
        <f t="shared" si="620"/>
        <v>0</v>
      </c>
      <c r="AS1045" s="1525">
        <f t="shared" si="620"/>
        <v>0</v>
      </c>
      <c r="AU1045" s="1525"/>
      <c r="AV1045" s="1291"/>
      <c r="AW1045" s="1292"/>
      <c r="AX1045" s="1292"/>
      <c r="AY1045" s="1292"/>
      <c r="AZ1045" s="1292"/>
      <c r="BA1045" s="1292"/>
      <c r="BB1045" s="1292"/>
      <c r="BC1045" s="1292"/>
      <c r="BD1045" s="1292"/>
      <c r="BE1045" s="1292"/>
      <c r="BF1045" s="1292"/>
      <c r="BG1045" s="1292"/>
      <c r="BH1045" s="1292"/>
      <c r="BI1045" s="1292"/>
      <c r="BJ1045" s="1292">
        <v>1</v>
      </c>
      <c r="BK1045" s="1292"/>
      <c r="BL1045" s="1292"/>
      <c r="BM1045" s="1292"/>
      <c r="BN1045" s="1292"/>
      <c r="BO1045" s="1292"/>
      <c r="BP1045" s="1292"/>
      <c r="BQ1045" s="1292"/>
      <c r="BR1045" s="1292"/>
      <c r="BS1045" s="1292"/>
      <c r="BT1045" s="1670">
        <f t="shared" si="621"/>
        <v>1</v>
      </c>
      <c r="BW1045" s="821" t="s">
        <v>1464</v>
      </c>
    </row>
    <row r="1046" spans="2:75" ht="12.75" customHeight="1" x14ac:dyDescent="0.2">
      <c r="B1046" s="175">
        <f t="shared" si="622"/>
        <v>10</v>
      </c>
      <c r="C1046" s="219">
        <v>12</v>
      </c>
      <c r="E1046" s="12" t="s">
        <v>1560</v>
      </c>
      <c r="F1046" s="1" t="s">
        <v>1235</v>
      </c>
      <c r="G1046" s="821" t="s">
        <v>497</v>
      </c>
      <c r="H1046" s="1413">
        <v>7139</v>
      </c>
      <c r="I1046" s="200" t="s">
        <v>583</v>
      </c>
      <c r="J1046" s="189"/>
      <c r="K1046" s="189"/>
      <c r="L1046" s="858">
        <v>1</v>
      </c>
      <c r="M1046" s="858">
        <f>K1046+L1046</f>
        <v>1</v>
      </c>
      <c r="N1046" s="857" t="s">
        <v>892</v>
      </c>
      <c r="O1046" s="1196">
        <v>19202</v>
      </c>
      <c r="P1046" s="1218">
        <f t="shared" ca="1" si="614"/>
        <v>65.180555555555557</v>
      </c>
      <c r="Q1046" s="1148">
        <v>34000</v>
      </c>
      <c r="R1046" s="874"/>
      <c r="S1046" s="875"/>
      <c r="T1046" s="875">
        <v>16800</v>
      </c>
      <c r="U1046" s="875"/>
      <c r="V1046" s="875"/>
      <c r="W1046" s="875"/>
      <c r="X1046" s="1026">
        <f t="shared" si="615"/>
        <v>50800</v>
      </c>
      <c r="Y1046" s="1512">
        <f t="shared" si="616"/>
        <v>0.49411764705882355</v>
      </c>
      <c r="Z1046" s="1741">
        <f t="shared" si="617"/>
        <v>1.4941176470588236</v>
      </c>
      <c r="AA1046" s="1749">
        <f t="shared" si="618"/>
        <v>1</v>
      </c>
      <c r="AB1046" s="1810">
        <f t="shared" si="619"/>
        <v>66.929133858267718</v>
      </c>
      <c r="AC1046" s="876"/>
      <c r="AD1046" s="1525">
        <f t="shared" si="620"/>
        <v>1</v>
      </c>
      <c r="AE1046" s="1525">
        <f t="shared" si="620"/>
        <v>0</v>
      </c>
      <c r="AF1046" s="1525">
        <f t="shared" si="620"/>
        <v>0</v>
      </c>
      <c r="AG1046" s="1525">
        <f t="shared" si="620"/>
        <v>0</v>
      </c>
      <c r="AH1046" s="1525">
        <f t="shared" si="620"/>
        <v>0</v>
      </c>
      <c r="AI1046" s="1525">
        <f t="shared" si="620"/>
        <v>0</v>
      </c>
      <c r="AJ1046" s="1525">
        <f t="shared" si="620"/>
        <v>0</v>
      </c>
      <c r="AK1046" s="1525">
        <f t="shared" si="620"/>
        <v>0</v>
      </c>
      <c r="AL1046" s="1525">
        <f t="shared" si="620"/>
        <v>0</v>
      </c>
      <c r="AM1046" s="1525">
        <f t="shared" si="620"/>
        <v>0</v>
      </c>
      <c r="AN1046" s="1525">
        <f t="shared" si="620"/>
        <v>0</v>
      </c>
      <c r="AO1046" s="1525">
        <f t="shared" si="620"/>
        <v>0</v>
      </c>
      <c r="AP1046" s="1525">
        <f t="shared" si="620"/>
        <v>0</v>
      </c>
      <c r="AQ1046" s="1525">
        <f t="shared" si="620"/>
        <v>0</v>
      </c>
      <c r="AR1046" s="1525">
        <f t="shared" si="620"/>
        <v>0</v>
      </c>
      <c r="AS1046" s="1525">
        <f t="shared" si="620"/>
        <v>0</v>
      </c>
      <c r="AU1046" s="1525"/>
      <c r="AV1046" s="1291"/>
      <c r="AW1046" s="1292"/>
      <c r="AX1046" s="1292"/>
      <c r="AY1046" s="1292"/>
      <c r="AZ1046" s="1292"/>
      <c r="BA1046" s="1292"/>
      <c r="BB1046" s="1292"/>
      <c r="BC1046" s="1292"/>
      <c r="BD1046" s="1292"/>
      <c r="BE1046" s="1292"/>
      <c r="BF1046" s="1292"/>
      <c r="BG1046" s="1292"/>
      <c r="BH1046" s="1292"/>
      <c r="BI1046" s="1292"/>
      <c r="BJ1046" s="1292">
        <v>1</v>
      </c>
      <c r="BK1046" s="1292"/>
      <c r="BL1046" s="1292"/>
      <c r="BM1046" s="1292"/>
      <c r="BN1046" s="1292"/>
      <c r="BO1046" s="1292"/>
      <c r="BP1046" s="1292"/>
      <c r="BQ1046" s="1292"/>
      <c r="BR1046" s="1292"/>
      <c r="BS1046" s="1292"/>
      <c r="BT1046" s="1670">
        <f t="shared" si="621"/>
        <v>1</v>
      </c>
      <c r="BW1046" s="821" t="s">
        <v>497</v>
      </c>
    </row>
    <row r="1047" spans="2:75" ht="12.75" customHeight="1" x14ac:dyDescent="0.2">
      <c r="B1047" s="175">
        <f t="shared" si="622"/>
        <v>11</v>
      </c>
      <c r="C1047" s="219">
        <v>13</v>
      </c>
      <c r="E1047" s="12" t="s">
        <v>1560</v>
      </c>
      <c r="F1047" s="24" t="s">
        <v>1272</v>
      </c>
      <c r="G1047" s="821" t="s">
        <v>1114</v>
      </c>
      <c r="H1047" s="1413">
        <v>113071</v>
      </c>
      <c r="I1047" s="200" t="s">
        <v>583</v>
      </c>
      <c r="J1047" s="189"/>
      <c r="K1047" s="189"/>
      <c r="L1047" s="858">
        <v>1</v>
      </c>
      <c r="M1047" s="858">
        <f>K1047+L1047</f>
        <v>1</v>
      </c>
      <c r="N1047" s="857" t="s">
        <v>892</v>
      </c>
      <c r="O1047" s="1196">
        <v>32225</v>
      </c>
      <c r="P1047" s="1218">
        <f t="shared" ca="1" si="614"/>
        <v>29.524999999999999</v>
      </c>
      <c r="Q1047" s="1148">
        <v>28000</v>
      </c>
      <c r="R1047" s="874"/>
      <c r="S1047" s="875"/>
      <c r="T1047" s="875">
        <v>3000</v>
      </c>
      <c r="U1047" s="875"/>
      <c r="V1047" s="875"/>
      <c r="W1047" s="875"/>
      <c r="X1047" s="1026">
        <f t="shared" si="615"/>
        <v>31000</v>
      </c>
      <c r="Y1047" s="1512">
        <f t="shared" si="616"/>
        <v>0.10714285714285714</v>
      </c>
      <c r="Z1047" s="1741">
        <f t="shared" si="617"/>
        <v>1.1071428571428572</v>
      </c>
      <c r="AA1047" s="1749">
        <f t="shared" si="618"/>
        <v>1.1000000000000001</v>
      </c>
      <c r="AB1047" s="1810">
        <f t="shared" si="619"/>
        <v>99.354838709677423</v>
      </c>
      <c r="AC1047" s="876"/>
      <c r="AD1047" s="1525">
        <f t="shared" ref="AD1047:AS1055" si="623">SUMIF($AV$6:$BS$6,AD$5,$AV1047:$BS1047)</f>
        <v>1.1000000000000001</v>
      </c>
      <c r="AE1047" s="1525">
        <f t="shared" si="623"/>
        <v>0</v>
      </c>
      <c r="AF1047" s="1525">
        <f t="shared" si="623"/>
        <v>0</v>
      </c>
      <c r="AG1047" s="1525">
        <f t="shared" si="623"/>
        <v>0</v>
      </c>
      <c r="AH1047" s="1525">
        <f t="shared" si="623"/>
        <v>0</v>
      </c>
      <c r="AI1047" s="1525">
        <f t="shared" si="623"/>
        <v>0</v>
      </c>
      <c r="AJ1047" s="1525">
        <f t="shared" si="623"/>
        <v>0</v>
      </c>
      <c r="AK1047" s="1525">
        <f t="shared" si="623"/>
        <v>0</v>
      </c>
      <c r="AL1047" s="1525">
        <f t="shared" si="623"/>
        <v>0</v>
      </c>
      <c r="AM1047" s="1525">
        <f t="shared" si="623"/>
        <v>0</v>
      </c>
      <c r="AN1047" s="1525">
        <f t="shared" si="623"/>
        <v>0</v>
      </c>
      <c r="AO1047" s="1525">
        <f t="shared" si="623"/>
        <v>0</v>
      </c>
      <c r="AP1047" s="1525">
        <f t="shared" si="623"/>
        <v>0</v>
      </c>
      <c r="AQ1047" s="1525">
        <f t="shared" si="623"/>
        <v>0</v>
      </c>
      <c r="AR1047" s="1525">
        <f t="shared" si="623"/>
        <v>0</v>
      </c>
      <c r="AS1047" s="1525">
        <f t="shared" si="623"/>
        <v>0</v>
      </c>
      <c r="AU1047" s="1525"/>
      <c r="AV1047" s="1291"/>
      <c r="AW1047" s="1292"/>
      <c r="AX1047" s="1292"/>
      <c r="AY1047" s="1292"/>
      <c r="AZ1047" s="1292"/>
      <c r="BA1047" s="1292"/>
      <c r="BB1047" s="1292"/>
      <c r="BC1047" s="1292"/>
      <c r="BD1047" s="1292"/>
      <c r="BE1047" s="1292"/>
      <c r="BF1047" s="1292"/>
      <c r="BG1047" s="1292"/>
      <c r="BH1047" s="1292"/>
      <c r="BI1047" s="1771">
        <v>0.5</v>
      </c>
      <c r="BJ1047" s="1771">
        <v>0.6</v>
      </c>
      <c r="BK1047" s="1292"/>
      <c r="BL1047" s="1292"/>
      <c r="BM1047" s="1292"/>
      <c r="BN1047" s="1292"/>
      <c r="BO1047" s="1292"/>
      <c r="BP1047" s="1292"/>
      <c r="BQ1047" s="1292"/>
      <c r="BR1047" s="1292"/>
      <c r="BS1047" s="1292"/>
      <c r="BT1047" s="1670">
        <f t="shared" si="621"/>
        <v>1.1000000000000001</v>
      </c>
      <c r="BW1047" s="821" t="s">
        <v>1114</v>
      </c>
    </row>
    <row r="1048" spans="2:75" ht="12.75" customHeight="1" x14ac:dyDescent="0.2">
      <c r="B1048" s="175">
        <f t="shared" si="622"/>
        <v>12</v>
      </c>
      <c r="C1048" s="219">
        <v>14</v>
      </c>
      <c r="E1048" s="12" t="s">
        <v>1560</v>
      </c>
      <c r="F1048" s="24" t="s">
        <v>626</v>
      </c>
      <c r="G1048" s="821" t="s">
        <v>348</v>
      </c>
      <c r="H1048" s="1413">
        <v>21730</v>
      </c>
      <c r="I1048" s="200" t="s">
        <v>583</v>
      </c>
      <c r="J1048" s="189"/>
      <c r="K1048" s="189"/>
      <c r="L1048" s="858">
        <v>1</v>
      </c>
      <c r="M1048" s="858">
        <f>K1048+L1048</f>
        <v>1</v>
      </c>
      <c r="N1048" s="857" t="s">
        <v>892</v>
      </c>
      <c r="O1048" s="1196">
        <v>22355</v>
      </c>
      <c r="P1048" s="1218">
        <f t="shared" ca="1" si="614"/>
        <v>56.547222222222224</v>
      </c>
      <c r="Q1048" s="1148">
        <v>26000</v>
      </c>
      <c r="R1048" s="874"/>
      <c r="S1048" s="875"/>
      <c r="T1048" s="875">
        <v>13000</v>
      </c>
      <c r="U1048" s="875"/>
      <c r="V1048" s="875"/>
      <c r="W1048" s="875"/>
      <c r="X1048" s="1026">
        <f t="shared" si="615"/>
        <v>39000</v>
      </c>
      <c r="Y1048" s="1512">
        <f t="shared" si="616"/>
        <v>0.5</v>
      </c>
      <c r="Z1048" s="1741">
        <f t="shared" si="617"/>
        <v>1.5</v>
      </c>
      <c r="AA1048" s="1749">
        <f t="shared" si="618"/>
        <v>1</v>
      </c>
      <c r="AB1048" s="1810">
        <f t="shared" si="619"/>
        <v>66.666666666666671</v>
      </c>
      <c r="AC1048" s="876"/>
      <c r="AD1048" s="1525">
        <f t="shared" si="623"/>
        <v>1</v>
      </c>
      <c r="AE1048" s="1525">
        <f t="shared" si="623"/>
        <v>0</v>
      </c>
      <c r="AF1048" s="1525">
        <f t="shared" si="623"/>
        <v>0</v>
      </c>
      <c r="AG1048" s="1525">
        <f t="shared" si="623"/>
        <v>0</v>
      </c>
      <c r="AH1048" s="1525">
        <f t="shared" si="623"/>
        <v>0</v>
      </c>
      <c r="AI1048" s="1525">
        <f t="shared" si="623"/>
        <v>0</v>
      </c>
      <c r="AJ1048" s="1525">
        <f t="shared" si="623"/>
        <v>0</v>
      </c>
      <c r="AK1048" s="1525">
        <f t="shared" si="623"/>
        <v>0</v>
      </c>
      <c r="AL1048" s="1525">
        <f t="shared" si="623"/>
        <v>0</v>
      </c>
      <c r="AM1048" s="1525">
        <f t="shared" si="623"/>
        <v>0</v>
      </c>
      <c r="AN1048" s="1525">
        <f t="shared" si="623"/>
        <v>0</v>
      </c>
      <c r="AO1048" s="1525">
        <f t="shared" si="623"/>
        <v>0</v>
      </c>
      <c r="AP1048" s="1525">
        <f t="shared" si="623"/>
        <v>0</v>
      </c>
      <c r="AQ1048" s="1525">
        <f t="shared" si="623"/>
        <v>0</v>
      </c>
      <c r="AR1048" s="1525">
        <f t="shared" si="623"/>
        <v>0</v>
      </c>
      <c r="AS1048" s="1525">
        <f t="shared" si="623"/>
        <v>0</v>
      </c>
      <c r="AU1048" s="1525"/>
      <c r="AV1048" s="1291"/>
      <c r="AW1048" s="1292"/>
      <c r="AX1048" s="1292"/>
      <c r="AY1048" s="1292"/>
      <c r="AZ1048" s="1292"/>
      <c r="BA1048" s="1292"/>
      <c r="BB1048" s="1292"/>
      <c r="BC1048" s="1292"/>
      <c r="BD1048" s="1292"/>
      <c r="BE1048" s="1292"/>
      <c r="BF1048" s="1292"/>
      <c r="BG1048" s="1292"/>
      <c r="BH1048" s="1292"/>
      <c r="BI1048" s="1292"/>
      <c r="BJ1048" s="1292">
        <v>1</v>
      </c>
      <c r="BK1048" s="1292"/>
      <c r="BL1048" s="1292"/>
      <c r="BM1048" s="1292"/>
      <c r="BN1048" s="1292"/>
      <c r="BO1048" s="1292"/>
      <c r="BP1048" s="1292"/>
      <c r="BQ1048" s="1292"/>
      <c r="BR1048" s="1292"/>
      <c r="BS1048" s="1292"/>
      <c r="BT1048" s="1670">
        <f t="shared" si="621"/>
        <v>1</v>
      </c>
      <c r="BW1048" s="821" t="s">
        <v>348</v>
      </c>
    </row>
    <row r="1049" spans="2:75" ht="12.75" customHeight="1" x14ac:dyDescent="0.2">
      <c r="B1049" s="175">
        <f t="shared" si="622"/>
        <v>13</v>
      </c>
      <c r="C1049" s="219">
        <v>14</v>
      </c>
      <c r="E1049" s="12" t="s">
        <v>1560</v>
      </c>
      <c r="F1049" s="24" t="s">
        <v>626</v>
      </c>
      <c r="G1049" s="821" t="s">
        <v>47</v>
      </c>
      <c r="H1049" s="1413">
        <v>120981</v>
      </c>
      <c r="I1049" s="200" t="s">
        <v>583</v>
      </c>
      <c r="J1049" s="189"/>
      <c r="K1049" s="189"/>
      <c r="L1049" s="858">
        <v>1</v>
      </c>
      <c r="M1049" s="858">
        <v>1</v>
      </c>
      <c r="N1049" s="857" t="s">
        <v>1326</v>
      </c>
      <c r="O1049" s="1196">
        <v>31954</v>
      </c>
      <c r="P1049" s="1218">
        <f t="shared" ca="1" si="614"/>
        <v>30.266666666666666</v>
      </c>
      <c r="Q1049" s="1148">
        <v>27000</v>
      </c>
      <c r="R1049" s="874">
        <f>Q1049*0.1</f>
        <v>2700</v>
      </c>
      <c r="S1049" s="875"/>
      <c r="T1049" s="875">
        <v>10000</v>
      </c>
      <c r="U1049" s="875"/>
      <c r="V1049" s="875"/>
      <c r="W1049" s="875"/>
      <c r="X1049" s="1026">
        <f t="shared" si="615"/>
        <v>39700</v>
      </c>
      <c r="Y1049" s="1512">
        <f t="shared" si="616"/>
        <v>0.33670033670033672</v>
      </c>
      <c r="Z1049" s="1741">
        <f t="shared" si="617"/>
        <v>1.3367003367003367</v>
      </c>
      <c r="AA1049" s="1749">
        <f t="shared" si="618"/>
        <v>1</v>
      </c>
      <c r="AB1049" s="1810">
        <f t="shared" si="619"/>
        <v>74.811083123425689</v>
      </c>
      <c r="AC1049" s="876"/>
      <c r="AD1049" s="1525">
        <f t="shared" si="623"/>
        <v>1</v>
      </c>
      <c r="AE1049" s="1525">
        <f t="shared" si="623"/>
        <v>0</v>
      </c>
      <c r="AF1049" s="1525">
        <f t="shared" si="623"/>
        <v>0</v>
      </c>
      <c r="AG1049" s="1525">
        <f t="shared" si="623"/>
        <v>0</v>
      </c>
      <c r="AH1049" s="1525">
        <f t="shared" si="623"/>
        <v>0</v>
      </c>
      <c r="AI1049" s="1525">
        <f t="shared" si="623"/>
        <v>0</v>
      </c>
      <c r="AJ1049" s="1525">
        <f t="shared" si="623"/>
        <v>0</v>
      </c>
      <c r="AK1049" s="1525">
        <f t="shared" si="623"/>
        <v>0</v>
      </c>
      <c r="AL1049" s="1525">
        <f t="shared" si="623"/>
        <v>0</v>
      </c>
      <c r="AM1049" s="1525">
        <f t="shared" si="623"/>
        <v>0</v>
      </c>
      <c r="AN1049" s="1525">
        <f t="shared" si="623"/>
        <v>0</v>
      </c>
      <c r="AO1049" s="1525">
        <f t="shared" si="623"/>
        <v>0</v>
      </c>
      <c r="AP1049" s="1525">
        <f t="shared" si="623"/>
        <v>0</v>
      </c>
      <c r="AQ1049" s="1525">
        <f t="shared" si="623"/>
        <v>0</v>
      </c>
      <c r="AR1049" s="1525">
        <f t="shared" si="623"/>
        <v>0</v>
      </c>
      <c r="AS1049" s="1525">
        <f t="shared" si="623"/>
        <v>0</v>
      </c>
      <c r="AU1049" s="1525"/>
      <c r="AV1049" s="1291"/>
      <c r="AW1049" s="1292"/>
      <c r="AX1049" s="1292"/>
      <c r="AY1049" s="1292"/>
      <c r="AZ1049" s="1292"/>
      <c r="BA1049" s="1292"/>
      <c r="BB1049" s="1292"/>
      <c r="BC1049" s="1292"/>
      <c r="BD1049" s="1292"/>
      <c r="BE1049" s="1292"/>
      <c r="BF1049" s="1292"/>
      <c r="BG1049" s="1292"/>
      <c r="BH1049" s="1292"/>
      <c r="BI1049" s="1292"/>
      <c r="BJ1049" s="1292">
        <v>1</v>
      </c>
      <c r="BK1049" s="1292"/>
      <c r="BL1049" s="1292"/>
      <c r="BM1049" s="1292"/>
      <c r="BN1049" s="1292"/>
      <c r="BO1049" s="1292"/>
      <c r="BP1049" s="1292"/>
      <c r="BQ1049" s="1292"/>
      <c r="BR1049" s="1292"/>
      <c r="BS1049" s="1292"/>
      <c r="BT1049" s="1670">
        <f t="shared" si="621"/>
        <v>1</v>
      </c>
      <c r="BW1049" s="821" t="s">
        <v>47</v>
      </c>
    </row>
    <row r="1050" spans="2:75" ht="12.75" customHeight="1" x14ac:dyDescent="0.2">
      <c r="B1050" s="175">
        <f t="shared" si="622"/>
        <v>14</v>
      </c>
      <c r="C1050" s="219">
        <v>14</v>
      </c>
      <c r="E1050" s="12" t="s">
        <v>1560</v>
      </c>
      <c r="F1050" s="24" t="s">
        <v>626</v>
      </c>
      <c r="G1050" s="821" t="s">
        <v>501</v>
      </c>
      <c r="H1050" s="1413">
        <v>131607</v>
      </c>
      <c r="I1050" s="200" t="s">
        <v>583</v>
      </c>
      <c r="J1050" s="189"/>
      <c r="K1050" s="189"/>
      <c r="L1050" s="858">
        <v>1</v>
      </c>
      <c r="M1050" s="858">
        <v>1</v>
      </c>
      <c r="N1050" s="857" t="s">
        <v>1326</v>
      </c>
      <c r="O1050" s="1196">
        <v>32138</v>
      </c>
      <c r="P1050" s="1218">
        <f t="shared" ca="1" si="614"/>
        <v>29.763888888888889</v>
      </c>
      <c r="Q1050" s="1148">
        <v>26000</v>
      </c>
      <c r="R1050" s="874">
        <f>Q1050*0.1</f>
        <v>2600</v>
      </c>
      <c r="S1050" s="875"/>
      <c r="T1050" s="875">
        <v>4000</v>
      </c>
      <c r="U1050" s="875"/>
      <c r="V1050" s="875"/>
      <c r="W1050" s="875"/>
      <c r="X1050" s="1026">
        <f t="shared" si="615"/>
        <v>32600</v>
      </c>
      <c r="Y1050" s="1512">
        <f t="shared" si="616"/>
        <v>0.13986013986013987</v>
      </c>
      <c r="Z1050" s="1741">
        <f t="shared" si="617"/>
        <v>1.1398601398601398</v>
      </c>
      <c r="AA1050" s="1749">
        <f t="shared" si="618"/>
        <v>1</v>
      </c>
      <c r="AB1050" s="1810">
        <f t="shared" si="619"/>
        <v>87.730061349693258</v>
      </c>
      <c r="AC1050" s="876"/>
      <c r="AD1050" s="1525">
        <f t="shared" si="623"/>
        <v>1</v>
      </c>
      <c r="AE1050" s="1525">
        <f t="shared" si="623"/>
        <v>0</v>
      </c>
      <c r="AF1050" s="1525">
        <f t="shared" si="623"/>
        <v>0</v>
      </c>
      <c r="AG1050" s="1525">
        <f t="shared" si="623"/>
        <v>0</v>
      </c>
      <c r="AH1050" s="1525">
        <f t="shared" si="623"/>
        <v>0</v>
      </c>
      <c r="AI1050" s="1525">
        <f t="shared" si="623"/>
        <v>0</v>
      </c>
      <c r="AJ1050" s="1525">
        <f t="shared" si="623"/>
        <v>0</v>
      </c>
      <c r="AK1050" s="1525">
        <f t="shared" si="623"/>
        <v>0</v>
      </c>
      <c r="AL1050" s="1525">
        <f t="shared" si="623"/>
        <v>0</v>
      </c>
      <c r="AM1050" s="1525">
        <f t="shared" si="623"/>
        <v>0</v>
      </c>
      <c r="AN1050" s="1525">
        <f t="shared" si="623"/>
        <v>0</v>
      </c>
      <c r="AO1050" s="1525">
        <f t="shared" si="623"/>
        <v>0</v>
      </c>
      <c r="AP1050" s="1525">
        <f t="shared" si="623"/>
        <v>0</v>
      </c>
      <c r="AQ1050" s="1525">
        <f t="shared" si="623"/>
        <v>0</v>
      </c>
      <c r="AR1050" s="1525">
        <f t="shared" si="623"/>
        <v>0</v>
      </c>
      <c r="AS1050" s="1525">
        <f t="shared" si="623"/>
        <v>0</v>
      </c>
      <c r="AU1050" s="1525"/>
      <c r="AV1050" s="1291"/>
      <c r="AW1050" s="1292"/>
      <c r="AX1050" s="1292"/>
      <c r="AY1050" s="1292"/>
      <c r="AZ1050" s="1292"/>
      <c r="BA1050" s="1292"/>
      <c r="BB1050" s="1292"/>
      <c r="BC1050" s="1292"/>
      <c r="BD1050" s="1292"/>
      <c r="BE1050" s="1292"/>
      <c r="BF1050" s="1292"/>
      <c r="BG1050" s="1292"/>
      <c r="BH1050" s="1292"/>
      <c r="BI1050" s="1292"/>
      <c r="BJ1050" s="1292">
        <v>1</v>
      </c>
      <c r="BK1050" s="1292"/>
      <c r="BL1050" s="1292"/>
      <c r="BM1050" s="1292"/>
      <c r="BN1050" s="1292"/>
      <c r="BO1050" s="1292"/>
      <c r="BP1050" s="1292"/>
      <c r="BQ1050" s="1292"/>
      <c r="BR1050" s="1292"/>
      <c r="BS1050" s="1292"/>
      <c r="BT1050" s="1670">
        <f t="shared" si="621"/>
        <v>1</v>
      </c>
      <c r="BW1050" s="821" t="s">
        <v>501</v>
      </c>
    </row>
    <row r="1051" spans="2:75" ht="12.75" customHeight="1" x14ac:dyDescent="0.2">
      <c r="B1051" s="175">
        <f t="shared" si="622"/>
        <v>15</v>
      </c>
      <c r="C1051" s="219">
        <v>15</v>
      </c>
      <c r="E1051" s="12" t="s">
        <v>1560</v>
      </c>
      <c r="F1051" s="24" t="s">
        <v>466</v>
      </c>
      <c r="G1051" s="821" t="s">
        <v>1090</v>
      </c>
      <c r="H1051" s="1413">
        <v>112842</v>
      </c>
      <c r="I1051" s="200" t="s">
        <v>583</v>
      </c>
      <c r="J1051" s="189"/>
      <c r="K1051" s="189"/>
      <c r="L1051" s="858">
        <v>1</v>
      </c>
      <c r="M1051" s="858">
        <f>K1051+L1051</f>
        <v>1</v>
      </c>
      <c r="N1051" s="857" t="s">
        <v>892</v>
      </c>
      <c r="O1051" s="1196">
        <v>32701</v>
      </c>
      <c r="P1051" s="1218">
        <f t="shared" ca="1" si="614"/>
        <v>28.222222222222221</v>
      </c>
      <c r="Q1051" s="1148">
        <v>20000</v>
      </c>
      <c r="R1051" s="874"/>
      <c r="S1051" s="875"/>
      <c r="T1051" s="875">
        <v>12000</v>
      </c>
      <c r="U1051" s="875"/>
      <c r="V1051" s="875"/>
      <c r="W1051" s="875"/>
      <c r="X1051" s="1026">
        <f t="shared" si="615"/>
        <v>32000</v>
      </c>
      <c r="Y1051" s="1512">
        <f t="shared" si="616"/>
        <v>0.6</v>
      </c>
      <c r="Z1051" s="1741">
        <f t="shared" si="617"/>
        <v>1.6</v>
      </c>
      <c r="AA1051" s="1749">
        <f t="shared" si="618"/>
        <v>1</v>
      </c>
      <c r="AB1051" s="1810">
        <f t="shared" si="619"/>
        <v>62.5</v>
      </c>
      <c r="AC1051" s="876"/>
      <c r="AD1051" s="1525">
        <f t="shared" si="623"/>
        <v>1</v>
      </c>
      <c r="AE1051" s="1525">
        <f t="shared" si="623"/>
        <v>0</v>
      </c>
      <c r="AF1051" s="1525">
        <f t="shared" si="623"/>
        <v>0</v>
      </c>
      <c r="AG1051" s="1525">
        <f t="shared" si="623"/>
        <v>0</v>
      </c>
      <c r="AH1051" s="1525">
        <f t="shared" si="623"/>
        <v>0</v>
      </c>
      <c r="AI1051" s="1525">
        <f t="shared" si="623"/>
        <v>0</v>
      </c>
      <c r="AJ1051" s="1525">
        <f t="shared" si="623"/>
        <v>0</v>
      </c>
      <c r="AK1051" s="1525">
        <f t="shared" si="623"/>
        <v>0</v>
      </c>
      <c r="AL1051" s="1525">
        <f t="shared" si="623"/>
        <v>0</v>
      </c>
      <c r="AM1051" s="1525">
        <f t="shared" si="623"/>
        <v>0</v>
      </c>
      <c r="AN1051" s="1525">
        <f t="shared" si="623"/>
        <v>0</v>
      </c>
      <c r="AO1051" s="1525">
        <f t="shared" si="623"/>
        <v>0</v>
      </c>
      <c r="AP1051" s="1525">
        <f t="shared" si="623"/>
        <v>0</v>
      </c>
      <c r="AQ1051" s="1525">
        <f t="shared" si="623"/>
        <v>0</v>
      </c>
      <c r="AR1051" s="1525">
        <f t="shared" si="623"/>
        <v>0</v>
      </c>
      <c r="AS1051" s="1525">
        <f t="shared" si="623"/>
        <v>0</v>
      </c>
      <c r="AU1051" s="1525"/>
      <c r="AV1051" s="1291"/>
      <c r="AW1051" s="1292"/>
      <c r="AX1051" s="1292"/>
      <c r="AY1051" s="1292"/>
      <c r="AZ1051" s="1292"/>
      <c r="BA1051" s="1292"/>
      <c r="BB1051" s="1292"/>
      <c r="BC1051" s="1292"/>
      <c r="BD1051" s="1292"/>
      <c r="BE1051" s="1292"/>
      <c r="BF1051" s="1292"/>
      <c r="BG1051" s="1292"/>
      <c r="BH1051" s="1292"/>
      <c r="BI1051" s="1292"/>
      <c r="BJ1051" s="1292">
        <v>1</v>
      </c>
      <c r="BK1051" s="1292"/>
      <c r="BL1051" s="1292"/>
      <c r="BM1051" s="1292"/>
      <c r="BN1051" s="1292"/>
      <c r="BO1051" s="1292"/>
      <c r="BP1051" s="1292"/>
      <c r="BQ1051" s="1292"/>
      <c r="BR1051" s="1292"/>
      <c r="BS1051" s="1292"/>
      <c r="BT1051" s="1670">
        <f t="shared" si="621"/>
        <v>1</v>
      </c>
      <c r="BW1051" s="821" t="s">
        <v>1090</v>
      </c>
    </row>
    <row r="1052" spans="2:75" ht="12.75" customHeight="1" x14ac:dyDescent="0.2">
      <c r="B1052" s="175">
        <f t="shared" si="622"/>
        <v>16</v>
      </c>
      <c r="C1052" s="219">
        <v>42</v>
      </c>
      <c r="E1052" s="12" t="s">
        <v>1560</v>
      </c>
      <c r="F1052" s="24" t="s">
        <v>349</v>
      </c>
      <c r="G1052" s="821" t="s">
        <v>350</v>
      </c>
      <c r="H1052" s="1413">
        <v>6271</v>
      </c>
      <c r="I1052" s="200" t="s">
        <v>1442</v>
      </c>
      <c r="J1052" s="189"/>
      <c r="K1052" s="189"/>
      <c r="L1052" s="858">
        <v>1</v>
      </c>
      <c r="M1052" s="858">
        <f>K1052+L1052</f>
        <v>1</v>
      </c>
      <c r="N1052" s="857" t="s">
        <v>1326</v>
      </c>
      <c r="O1052" s="1196">
        <v>17780</v>
      </c>
      <c r="P1052" s="1218">
        <f t="shared" ca="1" si="614"/>
        <v>69.077777777777783</v>
      </c>
      <c r="Q1052" s="1148">
        <v>26000</v>
      </c>
      <c r="R1052" s="874">
        <f>Q1052*0.1</f>
        <v>2600</v>
      </c>
      <c r="S1052" s="875"/>
      <c r="T1052" s="875"/>
      <c r="U1052" s="875"/>
      <c r="V1052" s="875"/>
      <c r="W1052" s="1036">
        <f>ROUNDUP((Q1052+R1052)*0.5,0)</f>
        <v>14300</v>
      </c>
      <c r="X1052" s="1026">
        <f t="shared" si="615"/>
        <v>42900</v>
      </c>
      <c r="Y1052" s="1512">
        <f t="shared" ref="Y1052:Y1055" si="624">(T1052+U1052+W1052)*M1052/(X1052-M1052*(T1052+U1052+W1052))</f>
        <v>0.5</v>
      </c>
      <c r="Z1052" s="1741">
        <f t="shared" si="617"/>
        <v>1.5</v>
      </c>
      <c r="AA1052" s="1749">
        <f t="shared" si="618"/>
        <v>1</v>
      </c>
      <c r="AB1052" s="1810">
        <f t="shared" si="619"/>
        <v>66.666666666666671</v>
      </c>
      <c r="AC1052" s="876"/>
      <c r="AD1052" s="1525">
        <f t="shared" si="623"/>
        <v>1</v>
      </c>
      <c r="AE1052" s="1525">
        <f t="shared" si="623"/>
        <v>0</v>
      </c>
      <c r="AF1052" s="1525">
        <f t="shared" si="623"/>
        <v>0</v>
      </c>
      <c r="AG1052" s="1525">
        <f t="shared" si="623"/>
        <v>0</v>
      </c>
      <c r="AH1052" s="1525">
        <f t="shared" si="623"/>
        <v>0</v>
      </c>
      <c r="AI1052" s="1525">
        <f t="shared" si="623"/>
        <v>0</v>
      </c>
      <c r="AJ1052" s="1525">
        <f t="shared" si="623"/>
        <v>0</v>
      </c>
      <c r="AK1052" s="1525">
        <f t="shared" si="623"/>
        <v>0</v>
      </c>
      <c r="AL1052" s="1525">
        <f t="shared" si="623"/>
        <v>0</v>
      </c>
      <c r="AM1052" s="1525">
        <f t="shared" si="623"/>
        <v>0</v>
      </c>
      <c r="AN1052" s="1525">
        <f t="shared" si="623"/>
        <v>0</v>
      </c>
      <c r="AO1052" s="1525">
        <f t="shared" si="623"/>
        <v>0</v>
      </c>
      <c r="AP1052" s="1525">
        <f t="shared" si="623"/>
        <v>0</v>
      </c>
      <c r="AQ1052" s="1525">
        <f t="shared" si="623"/>
        <v>0</v>
      </c>
      <c r="AR1052" s="1525">
        <f t="shared" si="623"/>
        <v>0</v>
      </c>
      <c r="AS1052" s="1525">
        <f t="shared" si="623"/>
        <v>0</v>
      </c>
      <c r="AU1052" s="1525"/>
      <c r="AV1052" s="1291"/>
      <c r="AW1052" s="1292"/>
      <c r="AX1052" s="1292"/>
      <c r="AY1052" s="1292"/>
      <c r="AZ1052" s="1292"/>
      <c r="BA1052" s="1292"/>
      <c r="BB1052" s="1292"/>
      <c r="BC1052" s="1292"/>
      <c r="BD1052" s="1292"/>
      <c r="BE1052" s="1292"/>
      <c r="BF1052" s="1292"/>
      <c r="BG1052" s="1292"/>
      <c r="BH1052" s="1292"/>
      <c r="BI1052" s="1292"/>
      <c r="BJ1052" s="1292">
        <v>1</v>
      </c>
      <c r="BK1052" s="1292"/>
      <c r="BL1052" s="1292"/>
      <c r="BM1052" s="1292"/>
      <c r="BN1052" s="1292"/>
      <c r="BO1052" s="1292"/>
      <c r="BP1052" s="1292"/>
      <c r="BQ1052" s="1292"/>
      <c r="BR1052" s="1292"/>
      <c r="BS1052" s="1292"/>
      <c r="BT1052" s="1670">
        <f t="shared" si="621"/>
        <v>1</v>
      </c>
      <c r="BW1052" s="821" t="s">
        <v>350</v>
      </c>
    </row>
    <row r="1053" spans="2:75" ht="12.75" customHeight="1" x14ac:dyDescent="0.2">
      <c r="B1053" s="175">
        <f t="shared" si="622"/>
        <v>17</v>
      </c>
      <c r="C1053" s="219">
        <v>42</v>
      </c>
      <c r="E1053" s="12" t="s">
        <v>1560</v>
      </c>
      <c r="F1053" s="4" t="s">
        <v>1529</v>
      </c>
      <c r="G1053" s="825" t="s">
        <v>1191</v>
      </c>
      <c r="H1053" s="1412">
        <v>102211</v>
      </c>
      <c r="I1053" s="197" t="s">
        <v>1442</v>
      </c>
      <c r="J1053" s="195"/>
      <c r="K1053" s="174"/>
      <c r="L1053" s="861">
        <v>1</v>
      </c>
      <c r="M1053" s="861">
        <f>K1053+L1053</f>
        <v>1</v>
      </c>
      <c r="N1053" s="836" t="s">
        <v>1402</v>
      </c>
      <c r="O1053" s="1196">
        <v>23221</v>
      </c>
      <c r="P1053" s="1218">
        <f t="shared" ca="1" si="614"/>
        <v>54.174999999999997</v>
      </c>
      <c r="Q1053" s="1148">
        <v>23000</v>
      </c>
      <c r="R1053" s="874">
        <f>Q1053*0.1</f>
        <v>2300</v>
      </c>
      <c r="S1053" s="876"/>
      <c r="T1053" s="876"/>
      <c r="U1053" s="876"/>
      <c r="V1053" s="876"/>
      <c r="W1053" s="1026">
        <f>ROUNDUP((Q1053+R1053)*0.5,0)</f>
        <v>12650</v>
      </c>
      <c r="X1053" s="1026">
        <f t="shared" si="615"/>
        <v>37950</v>
      </c>
      <c r="Y1053" s="1512">
        <f t="shared" si="624"/>
        <v>0.5</v>
      </c>
      <c r="Z1053" s="1741">
        <f t="shared" si="617"/>
        <v>1.5</v>
      </c>
      <c r="AA1053" s="1749">
        <f t="shared" si="618"/>
        <v>1</v>
      </c>
      <c r="AB1053" s="1810">
        <f t="shared" si="619"/>
        <v>66.666666666666671</v>
      </c>
      <c r="AC1053" s="876"/>
      <c r="AD1053" s="1525">
        <f t="shared" si="623"/>
        <v>1</v>
      </c>
      <c r="AE1053" s="1525">
        <f t="shared" si="623"/>
        <v>0</v>
      </c>
      <c r="AF1053" s="1525">
        <f t="shared" si="623"/>
        <v>0</v>
      </c>
      <c r="AG1053" s="1525">
        <f t="shared" si="623"/>
        <v>0</v>
      </c>
      <c r="AH1053" s="1525">
        <f t="shared" si="623"/>
        <v>0</v>
      </c>
      <c r="AI1053" s="1525">
        <f t="shared" si="623"/>
        <v>0</v>
      </c>
      <c r="AJ1053" s="1525">
        <f t="shared" si="623"/>
        <v>0</v>
      </c>
      <c r="AK1053" s="1525">
        <f t="shared" si="623"/>
        <v>0</v>
      </c>
      <c r="AL1053" s="1525">
        <f t="shared" si="623"/>
        <v>0</v>
      </c>
      <c r="AM1053" s="1525">
        <f t="shared" si="623"/>
        <v>0</v>
      </c>
      <c r="AN1053" s="1525">
        <f t="shared" si="623"/>
        <v>0</v>
      </c>
      <c r="AO1053" s="1525">
        <f t="shared" si="623"/>
        <v>0</v>
      </c>
      <c r="AP1053" s="1525">
        <f t="shared" si="623"/>
        <v>0</v>
      </c>
      <c r="AQ1053" s="1525">
        <f t="shared" si="623"/>
        <v>0</v>
      </c>
      <c r="AR1053" s="1525">
        <f t="shared" si="623"/>
        <v>0</v>
      </c>
      <c r="AS1053" s="1525">
        <f t="shared" si="623"/>
        <v>0</v>
      </c>
      <c r="AU1053" s="1525"/>
      <c r="AV1053" s="1291"/>
      <c r="AW1053" s="1292"/>
      <c r="AX1053" s="1292"/>
      <c r="AY1053" s="1292"/>
      <c r="AZ1053" s="1292"/>
      <c r="BA1053" s="1292"/>
      <c r="BB1053" s="1292"/>
      <c r="BC1053" s="1292"/>
      <c r="BD1053" s="1292"/>
      <c r="BE1053" s="1292"/>
      <c r="BF1053" s="1292"/>
      <c r="BG1053" s="1292"/>
      <c r="BH1053" s="1292"/>
      <c r="BI1053" s="1292"/>
      <c r="BJ1053" s="1292">
        <v>1</v>
      </c>
      <c r="BK1053" s="1292"/>
      <c r="BL1053" s="1292"/>
      <c r="BM1053" s="1292"/>
      <c r="BN1053" s="1292"/>
      <c r="BO1053" s="1292"/>
      <c r="BP1053" s="1292"/>
      <c r="BQ1053" s="1292"/>
      <c r="BR1053" s="1292"/>
      <c r="BS1053" s="1292"/>
      <c r="BT1053" s="1670">
        <f t="shared" si="621"/>
        <v>1</v>
      </c>
      <c r="BW1053" s="825" t="s">
        <v>1191</v>
      </c>
    </row>
    <row r="1054" spans="2:75" ht="12.75" customHeight="1" x14ac:dyDescent="0.2">
      <c r="B1054" s="175">
        <f t="shared" si="622"/>
        <v>18</v>
      </c>
      <c r="C1054" s="219">
        <v>42</v>
      </c>
      <c r="E1054" s="12" t="s">
        <v>1560</v>
      </c>
      <c r="F1054" s="4" t="s">
        <v>1697</v>
      </c>
      <c r="G1054" s="825" t="s">
        <v>1523</v>
      </c>
      <c r="H1054" s="1412">
        <v>111772</v>
      </c>
      <c r="I1054" s="197" t="s">
        <v>1442</v>
      </c>
      <c r="J1054" s="174"/>
      <c r="K1054" s="174"/>
      <c r="L1054" s="861">
        <v>1</v>
      </c>
      <c r="M1054" s="861">
        <f>K1054+L1054</f>
        <v>1</v>
      </c>
      <c r="N1054" s="836" t="s">
        <v>892</v>
      </c>
      <c r="O1054" s="1196">
        <v>22515</v>
      </c>
      <c r="P1054" s="1218">
        <f t="shared" ca="1" si="614"/>
        <v>56.111111111111114</v>
      </c>
      <c r="Q1054" s="1148">
        <v>28000</v>
      </c>
      <c r="R1054" s="874"/>
      <c r="S1054" s="876"/>
      <c r="T1054" s="876"/>
      <c r="U1054" s="876"/>
      <c r="V1054" s="876"/>
      <c r="W1054" s="1026">
        <f>ROUNDUP((Q1054+R1054)*0.35,0)</f>
        <v>9800</v>
      </c>
      <c r="X1054" s="1026">
        <f t="shared" si="615"/>
        <v>37800</v>
      </c>
      <c r="Y1054" s="1512">
        <f t="shared" si="624"/>
        <v>0.35</v>
      </c>
      <c r="Z1054" s="1741">
        <f t="shared" si="617"/>
        <v>1.35</v>
      </c>
      <c r="AA1054" s="1749">
        <f t="shared" si="618"/>
        <v>1</v>
      </c>
      <c r="AB1054" s="1810">
        <f t="shared" si="619"/>
        <v>74.074074074074076</v>
      </c>
      <c r="AC1054" s="876"/>
      <c r="AD1054" s="1525">
        <f t="shared" si="623"/>
        <v>1</v>
      </c>
      <c r="AE1054" s="1525">
        <f t="shared" si="623"/>
        <v>0</v>
      </c>
      <c r="AF1054" s="1525">
        <f t="shared" si="623"/>
        <v>0</v>
      </c>
      <c r="AG1054" s="1525">
        <f t="shared" si="623"/>
        <v>0</v>
      </c>
      <c r="AH1054" s="1525">
        <f t="shared" si="623"/>
        <v>0</v>
      </c>
      <c r="AI1054" s="1525">
        <f t="shared" si="623"/>
        <v>0</v>
      </c>
      <c r="AJ1054" s="1525">
        <f t="shared" si="623"/>
        <v>0</v>
      </c>
      <c r="AK1054" s="1525">
        <f t="shared" si="623"/>
        <v>0</v>
      </c>
      <c r="AL1054" s="1525">
        <f t="shared" si="623"/>
        <v>0</v>
      </c>
      <c r="AM1054" s="1525">
        <f t="shared" si="623"/>
        <v>0</v>
      </c>
      <c r="AN1054" s="1525">
        <f t="shared" si="623"/>
        <v>0</v>
      </c>
      <c r="AO1054" s="1525">
        <f t="shared" si="623"/>
        <v>0</v>
      </c>
      <c r="AP1054" s="1525">
        <f t="shared" si="623"/>
        <v>0</v>
      </c>
      <c r="AQ1054" s="1525">
        <f t="shared" si="623"/>
        <v>0</v>
      </c>
      <c r="AR1054" s="1525">
        <f t="shared" si="623"/>
        <v>0</v>
      </c>
      <c r="AS1054" s="1525">
        <f t="shared" si="623"/>
        <v>0</v>
      </c>
      <c r="AU1054" s="1525"/>
      <c r="AV1054" s="1291"/>
      <c r="AW1054" s="1292"/>
      <c r="AX1054" s="1292"/>
      <c r="AY1054" s="1292"/>
      <c r="AZ1054" s="1292"/>
      <c r="BA1054" s="1292"/>
      <c r="BB1054" s="1292"/>
      <c r="BC1054" s="1292"/>
      <c r="BD1054" s="1292"/>
      <c r="BE1054" s="1292"/>
      <c r="BF1054" s="1292"/>
      <c r="BG1054" s="1292"/>
      <c r="BH1054" s="1292"/>
      <c r="BI1054" s="1292"/>
      <c r="BJ1054" s="1292">
        <v>1</v>
      </c>
      <c r="BK1054" s="1292"/>
      <c r="BL1054" s="1292"/>
      <c r="BM1054" s="1292"/>
      <c r="BN1054" s="1292"/>
      <c r="BO1054" s="1292"/>
      <c r="BP1054" s="1292"/>
      <c r="BQ1054" s="1292"/>
      <c r="BR1054" s="1292"/>
      <c r="BS1054" s="1292"/>
      <c r="BT1054" s="1670">
        <f t="shared" si="621"/>
        <v>1</v>
      </c>
      <c r="BW1054" s="825" t="s">
        <v>1523</v>
      </c>
    </row>
    <row r="1055" spans="2:75" ht="12.75" customHeight="1" x14ac:dyDescent="0.2">
      <c r="B1055" s="175">
        <f t="shared" si="622"/>
        <v>19</v>
      </c>
      <c r="C1055" s="219">
        <v>47</v>
      </c>
      <c r="E1055" s="12" t="s">
        <v>1560</v>
      </c>
      <c r="F1055" s="4" t="s">
        <v>1747</v>
      </c>
      <c r="G1055" s="825" t="s">
        <v>107</v>
      </c>
      <c r="H1055" s="1412">
        <v>214926</v>
      </c>
      <c r="I1055" s="197" t="s">
        <v>1442</v>
      </c>
      <c r="J1055" s="174"/>
      <c r="K1055" s="174"/>
      <c r="L1055" s="861">
        <v>1</v>
      </c>
      <c r="M1055" s="861">
        <f>K1055+L1055</f>
        <v>1</v>
      </c>
      <c r="N1055" s="836"/>
      <c r="O1055" s="1193"/>
      <c r="P1055" s="1218"/>
      <c r="Q1055" s="1148">
        <v>28500</v>
      </c>
      <c r="R1055" s="874">
        <f>Q1055*0.1</f>
        <v>2850</v>
      </c>
      <c r="S1055" s="876"/>
      <c r="T1055" s="876"/>
      <c r="U1055" s="876"/>
      <c r="V1055" s="876"/>
      <c r="W1055" s="1026">
        <f>ROUNDUP((Q1055+R1055)*0.3,0)</f>
        <v>9405</v>
      </c>
      <c r="X1055" s="1026">
        <f t="shared" si="615"/>
        <v>40755</v>
      </c>
      <c r="Y1055" s="1512">
        <f t="shared" si="624"/>
        <v>0.3</v>
      </c>
      <c r="Z1055" s="1741">
        <f t="shared" si="617"/>
        <v>1.3</v>
      </c>
      <c r="AA1055" s="1749">
        <f t="shared" si="618"/>
        <v>1</v>
      </c>
      <c r="AB1055" s="1810">
        <f t="shared" si="619"/>
        <v>76.92307692307692</v>
      </c>
      <c r="AC1055" s="876"/>
      <c r="AD1055" s="1525">
        <f t="shared" si="623"/>
        <v>1</v>
      </c>
      <c r="AE1055" s="1525">
        <f t="shared" si="623"/>
        <v>0</v>
      </c>
      <c r="AF1055" s="1525">
        <f t="shared" si="623"/>
        <v>0</v>
      </c>
      <c r="AG1055" s="1525">
        <f t="shared" si="623"/>
        <v>0</v>
      </c>
      <c r="AH1055" s="1525">
        <f t="shared" si="623"/>
        <v>0</v>
      </c>
      <c r="AI1055" s="1525">
        <f t="shared" si="623"/>
        <v>0</v>
      </c>
      <c r="AJ1055" s="1525">
        <f t="shared" si="623"/>
        <v>0</v>
      </c>
      <c r="AK1055" s="1525">
        <f t="shared" si="623"/>
        <v>0</v>
      </c>
      <c r="AL1055" s="1525">
        <f t="shared" si="623"/>
        <v>0</v>
      </c>
      <c r="AM1055" s="1525">
        <f t="shared" si="623"/>
        <v>0</v>
      </c>
      <c r="AN1055" s="1525">
        <f t="shared" si="623"/>
        <v>0</v>
      </c>
      <c r="AO1055" s="1525">
        <f t="shared" si="623"/>
        <v>0</v>
      </c>
      <c r="AP1055" s="1525">
        <f t="shared" si="623"/>
        <v>0</v>
      </c>
      <c r="AQ1055" s="1525">
        <f t="shared" si="623"/>
        <v>0</v>
      </c>
      <c r="AR1055" s="1525">
        <f t="shared" si="623"/>
        <v>0</v>
      </c>
      <c r="AS1055" s="1525">
        <f t="shared" si="623"/>
        <v>0</v>
      </c>
      <c r="AU1055" s="1525"/>
      <c r="AV1055" s="1291"/>
      <c r="AW1055" s="1292"/>
      <c r="AX1055" s="1292"/>
      <c r="AY1055" s="1292"/>
      <c r="AZ1055" s="1292"/>
      <c r="BA1055" s="1292"/>
      <c r="BB1055" s="1292"/>
      <c r="BC1055" s="1292"/>
      <c r="BD1055" s="1292"/>
      <c r="BE1055" s="1292"/>
      <c r="BF1055" s="1292"/>
      <c r="BG1055" s="1292"/>
      <c r="BH1055" s="1292"/>
      <c r="BI1055" s="1292"/>
      <c r="BJ1055" s="1292">
        <v>1</v>
      </c>
      <c r="BK1055" s="1292"/>
      <c r="BL1055" s="1292"/>
      <c r="BM1055" s="1292"/>
      <c r="BN1055" s="1292"/>
      <c r="BO1055" s="1292"/>
      <c r="BP1055" s="1292"/>
      <c r="BQ1055" s="1292"/>
      <c r="BR1055" s="1292"/>
      <c r="BS1055" s="1292"/>
      <c r="BT1055" s="1670">
        <f t="shared" si="621"/>
        <v>1</v>
      </c>
      <c r="BW1055" s="825" t="s">
        <v>107</v>
      </c>
    </row>
    <row r="1056" spans="2:75" s="164" customFormat="1" ht="12.75" customHeight="1" x14ac:dyDescent="0.15">
      <c r="B1056" s="175"/>
      <c r="C1056" s="219" t="s">
        <v>1120</v>
      </c>
      <c r="F1056" s="19" t="s">
        <v>1125</v>
      </c>
      <c r="G1056" s="834"/>
      <c r="H1056" s="1415" t="s">
        <v>1508</v>
      </c>
      <c r="I1056" s="180"/>
      <c r="J1056" s="173"/>
      <c r="K1056" s="446">
        <f>SUM(K1062:K1062)</f>
        <v>0</v>
      </c>
      <c r="L1056" s="892">
        <f>SUM(L1037:L1055)</f>
        <v>19</v>
      </c>
      <c r="M1056" s="892">
        <f>SUM(M1038:M1055)</f>
        <v>18</v>
      </c>
      <c r="N1056" s="832"/>
      <c r="O1056" s="1200"/>
      <c r="P1056" s="550"/>
      <c r="Q1056" s="1153"/>
      <c r="R1056" s="877"/>
      <c r="S1056" s="875"/>
      <c r="T1056" s="875"/>
      <c r="U1056" s="875"/>
      <c r="V1056" s="875"/>
      <c r="W1056" s="875"/>
      <c r="X1056" s="1026"/>
      <c r="Y1056" s="1335"/>
      <c r="Z1056" s="1335"/>
      <c r="AA1056" s="1775"/>
      <c r="AB1056" s="1814"/>
      <c r="AC1056" s="876"/>
      <c r="AD1056" s="1295"/>
      <c r="AE1056" s="1525"/>
      <c r="AF1056" s="1525"/>
      <c r="AG1056" s="1525"/>
      <c r="AH1056" s="1525"/>
      <c r="AI1056" s="1525"/>
      <c r="AJ1056" s="1525"/>
      <c r="AK1056" s="1525"/>
      <c r="AL1056" s="1525"/>
      <c r="AM1056" s="1525"/>
      <c r="AN1056" s="1525"/>
      <c r="AO1056" s="1525"/>
      <c r="AP1056" s="1525"/>
      <c r="AQ1056" s="1525"/>
      <c r="AR1056" s="1525"/>
      <c r="AS1056" s="1525"/>
      <c r="AU1056" s="1525"/>
      <c r="AV1056" s="1295"/>
      <c r="AW1056" s="1525"/>
      <c r="AX1056" s="1525"/>
      <c r="AY1056" s="1525"/>
      <c r="AZ1056" s="1525"/>
      <c r="BA1056" s="1525"/>
      <c r="BB1056" s="1525"/>
      <c r="BC1056" s="1525"/>
      <c r="BD1056" s="1525"/>
      <c r="BE1056" s="1525"/>
      <c r="BF1056" s="1525"/>
      <c r="BG1056" s="1525"/>
      <c r="BH1056" s="1525"/>
      <c r="BI1056" s="1525"/>
      <c r="BJ1056" s="1525"/>
      <c r="BK1056" s="1525"/>
      <c r="BL1056" s="1525"/>
      <c r="BM1056" s="1525"/>
      <c r="BN1056" s="1525"/>
      <c r="BO1056" s="1525"/>
      <c r="BP1056" s="1525"/>
      <c r="BQ1056" s="1525"/>
      <c r="BR1056" s="1525"/>
      <c r="BS1056" s="1525"/>
      <c r="BT1056" s="1670"/>
      <c r="BV1056"/>
      <c r="BW1056" s="834"/>
    </row>
    <row r="1057" spans="2:75" s="164" customFormat="1" ht="12.75" customHeight="1" x14ac:dyDescent="0.15">
      <c r="B1057" s="175"/>
      <c r="C1057" s="219"/>
      <c r="F1057" s="19"/>
      <c r="G1057" s="834"/>
      <c r="H1057" s="1412" t="s">
        <v>1508</v>
      </c>
      <c r="I1057" s="180"/>
      <c r="J1057" s="173"/>
      <c r="K1057" s="192"/>
      <c r="L1057" s="861"/>
      <c r="M1057" s="861"/>
      <c r="N1057" s="832"/>
      <c r="O1057" s="1200"/>
      <c r="P1057" s="550"/>
      <c r="Q1057" s="1153"/>
      <c r="R1057" s="877"/>
      <c r="S1057" s="875"/>
      <c r="T1057" s="875"/>
      <c r="U1057" s="875"/>
      <c r="V1057" s="875"/>
      <c r="W1057" s="875"/>
      <c r="X1057" s="1026"/>
      <c r="Y1057" s="1754"/>
      <c r="Z1057" s="1755"/>
      <c r="AA1057" s="1775"/>
      <c r="AB1057" s="1814"/>
      <c r="AC1057" s="876"/>
      <c r="AD1057" s="1295"/>
      <c r="AE1057" s="1525"/>
      <c r="AF1057" s="1525"/>
      <c r="AG1057" s="1525"/>
      <c r="AH1057" s="1525"/>
      <c r="AI1057" s="1525"/>
      <c r="AJ1057" s="1525"/>
      <c r="AK1057" s="1525"/>
      <c r="AL1057" s="1525"/>
      <c r="AM1057" s="1525"/>
      <c r="AN1057" s="1525"/>
      <c r="AO1057" s="1525"/>
      <c r="AP1057" s="1525"/>
      <c r="AQ1057" s="1525"/>
      <c r="AR1057" s="1525"/>
      <c r="AS1057" s="1525"/>
      <c r="AU1057" s="1525"/>
      <c r="AV1057" s="1295"/>
      <c r="AW1057" s="1525"/>
      <c r="AX1057" s="1525"/>
      <c r="AY1057" s="1525"/>
      <c r="AZ1057" s="1525"/>
      <c r="BA1057" s="1525"/>
      <c r="BB1057" s="1525"/>
      <c r="BC1057" s="1525"/>
      <c r="BD1057" s="1525"/>
      <c r="BE1057" s="1525"/>
      <c r="BF1057" s="1525"/>
      <c r="BG1057" s="1525"/>
      <c r="BH1057" s="1525"/>
      <c r="BI1057" s="1525"/>
      <c r="BJ1057" s="1525"/>
      <c r="BK1057" s="1525"/>
      <c r="BL1057" s="1525"/>
      <c r="BM1057" s="1525"/>
      <c r="BN1057" s="1525"/>
      <c r="BO1057" s="1525"/>
      <c r="BP1057" s="1525"/>
      <c r="BQ1057" s="1525"/>
      <c r="BR1057" s="1525"/>
      <c r="BS1057" s="1525"/>
      <c r="BT1057" s="1670"/>
      <c r="BV1057"/>
      <c r="BW1057" s="834"/>
    </row>
    <row r="1058" spans="2:75" s="164" customFormat="1" ht="12.75" customHeight="1" x14ac:dyDescent="0.15">
      <c r="B1058" s="175"/>
      <c r="C1058" s="219"/>
      <c r="F1058" s="1117" t="s">
        <v>436</v>
      </c>
      <c r="G1058" s="834"/>
      <c r="H1058" s="1412" t="s">
        <v>1508</v>
      </c>
      <c r="I1058" s="180"/>
      <c r="J1058" s="173"/>
      <c r="K1058" s="192"/>
      <c r="L1058" s="861"/>
      <c r="M1058" s="861"/>
      <c r="N1058" s="832"/>
      <c r="O1058" s="1200"/>
      <c r="P1058" s="550"/>
      <c r="Q1058" s="1153"/>
      <c r="R1058" s="877"/>
      <c r="S1058" s="875"/>
      <c r="T1058" s="875"/>
      <c r="U1058" s="875"/>
      <c r="V1058" s="875"/>
      <c r="W1058" s="875"/>
      <c r="X1058" s="1026"/>
      <c r="Y1058" s="1754"/>
      <c r="Z1058" s="1755"/>
      <c r="AA1058" s="1775"/>
      <c r="AB1058" s="1814"/>
      <c r="AC1058" s="876"/>
      <c r="AD1058" s="1295"/>
      <c r="AE1058" s="1525"/>
      <c r="AF1058" s="1525"/>
      <c r="AG1058" s="1525"/>
      <c r="AH1058" s="1525"/>
      <c r="AI1058" s="1525"/>
      <c r="AJ1058" s="1525"/>
      <c r="AK1058" s="1525"/>
      <c r="AL1058" s="1525"/>
      <c r="AM1058" s="1525"/>
      <c r="AN1058" s="1525"/>
      <c r="AO1058" s="1525"/>
      <c r="AP1058" s="1525"/>
      <c r="AQ1058" s="1525"/>
      <c r="AR1058" s="1525"/>
      <c r="AS1058" s="1525"/>
      <c r="AU1058" s="1525"/>
      <c r="AV1058" s="1295"/>
      <c r="AW1058" s="1525"/>
      <c r="AX1058" s="1525"/>
      <c r="AY1058" s="1525"/>
      <c r="AZ1058" s="1525"/>
      <c r="BA1058" s="1525"/>
      <c r="BB1058" s="1525"/>
      <c r="BC1058" s="1525"/>
      <c r="BD1058" s="1525"/>
      <c r="BE1058" s="1525"/>
      <c r="BF1058" s="1525"/>
      <c r="BG1058" s="1525"/>
      <c r="BH1058" s="1525"/>
      <c r="BI1058" s="1525"/>
      <c r="BJ1058" s="1525"/>
      <c r="BK1058" s="1525"/>
      <c r="BL1058" s="1525"/>
      <c r="BM1058" s="1525"/>
      <c r="BN1058" s="1525"/>
      <c r="BO1058" s="1525"/>
      <c r="BP1058" s="1525"/>
      <c r="BQ1058" s="1525"/>
      <c r="BR1058" s="1525"/>
      <c r="BS1058" s="1525"/>
      <c r="BT1058" s="1670"/>
      <c r="BV1058"/>
      <c r="BW1058" s="834"/>
    </row>
    <row r="1059" spans="2:75" ht="12.75" customHeight="1" x14ac:dyDescent="0.2">
      <c r="B1059" s="175">
        <f>B1058+1</f>
        <v>1</v>
      </c>
      <c r="C1059" s="219">
        <v>10</v>
      </c>
      <c r="E1059" s="12" t="s">
        <v>1560</v>
      </c>
      <c r="F1059" s="19" t="s">
        <v>558</v>
      </c>
      <c r="G1059" s="834" t="s">
        <v>1827</v>
      </c>
      <c r="H1059" s="1412">
        <v>111833</v>
      </c>
      <c r="I1059" s="180" t="s">
        <v>351</v>
      </c>
      <c r="J1059" s="173"/>
      <c r="K1059" s="192">
        <v>1</v>
      </c>
      <c r="L1059" s="861"/>
      <c r="M1059" s="861">
        <v>1</v>
      </c>
      <c r="N1059" s="832" t="s">
        <v>1326</v>
      </c>
      <c r="O1059" s="1196">
        <v>29808</v>
      </c>
      <c r="P1059" s="1218">
        <f ca="1">YEARFRAC(TODAY(),O1059)</f>
        <v>36.144444444444446</v>
      </c>
      <c r="Q1059" s="1148">
        <v>37850</v>
      </c>
      <c r="R1059" s="874">
        <f>Q1059*0.1</f>
        <v>3785</v>
      </c>
      <c r="S1059" s="875"/>
      <c r="T1059" s="875"/>
      <c r="U1059" s="875"/>
      <c r="V1059" s="875"/>
      <c r="W1059" s="875"/>
      <c r="X1059" s="1026">
        <f>(Q1059+R1059+S1059+T1059+U1059+V1059+W1059)*M1059</f>
        <v>41635</v>
      </c>
      <c r="Y1059" s="1512">
        <f>(T1059+U1059)*M1059/(X1059-M1059*(T1059+U1059))</f>
        <v>0</v>
      </c>
      <c r="Z1059" s="1741">
        <f>M1059*(1+Y1059)</f>
        <v>1</v>
      </c>
      <c r="AA1059" s="1749">
        <f>SUM(AD1059:AS1059)</f>
        <v>1</v>
      </c>
      <c r="AB1059" s="1810">
        <f t="shared" ref="AB1059:AB1060" si="625">100*AA1059/Z1059</f>
        <v>100</v>
      </c>
      <c r="AC1059" s="876"/>
      <c r="AD1059" s="1525">
        <f t="shared" ref="AD1059:AS1060" si="626">SUMIF($AV$6:$BS$6,AD$5,$AV1059:$BS1059)</f>
        <v>1</v>
      </c>
      <c r="AE1059" s="1525">
        <f t="shared" si="626"/>
        <v>0</v>
      </c>
      <c r="AF1059" s="1525">
        <f t="shared" si="626"/>
        <v>0</v>
      </c>
      <c r="AG1059" s="1525">
        <f t="shared" si="626"/>
        <v>0</v>
      </c>
      <c r="AH1059" s="1525">
        <f t="shared" si="626"/>
        <v>0</v>
      </c>
      <c r="AI1059" s="1525">
        <f t="shared" si="626"/>
        <v>0</v>
      </c>
      <c r="AJ1059" s="1525">
        <f t="shared" si="626"/>
        <v>0</v>
      </c>
      <c r="AK1059" s="1525">
        <f t="shared" si="626"/>
        <v>0</v>
      </c>
      <c r="AL1059" s="1525">
        <f t="shared" si="626"/>
        <v>0</v>
      </c>
      <c r="AM1059" s="1525">
        <f t="shared" si="626"/>
        <v>0</v>
      </c>
      <c r="AN1059" s="1525">
        <f t="shared" si="626"/>
        <v>0</v>
      </c>
      <c r="AO1059" s="1525">
        <f t="shared" si="626"/>
        <v>0</v>
      </c>
      <c r="AP1059" s="1525">
        <f t="shared" si="626"/>
        <v>0</v>
      </c>
      <c r="AQ1059" s="1525">
        <f t="shared" si="626"/>
        <v>0</v>
      </c>
      <c r="AR1059" s="1525">
        <f t="shared" si="626"/>
        <v>0</v>
      </c>
      <c r="AS1059" s="1525">
        <f t="shared" si="626"/>
        <v>0</v>
      </c>
      <c r="AU1059" s="1525"/>
      <c r="AV1059" s="1291"/>
      <c r="AW1059" s="1292"/>
      <c r="AX1059" s="1292"/>
      <c r="AY1059" s="1292"/>
      <c r="AZ1059" s="1292"/>
      <c r="BA1059" s="1292"/>
      <c r="BB1059" s="1292"/>
      <c r="BC1059" s="1292"/>
      <c r="BD1059" s="1292"/>
      <c r="BE1059" s="1292"/>
      <c r="BF1059" s="1292"/>
      <c r="BG1059" s="1292"/>
      <c r="BH1059" s="1292"/>
      <c r="BI1059" s="1292"/>
      <c r="BJ1059" s="1292">
        <v>1</v>
      </c>
      <c r="BK1059" s="1292"/>
      <c r="BL1059" s="1292"/>
      <c r="BM1059" s="1292"/>
      <c r="BN1059" s="1292"/>
      <c r="BO1059" s="1292"/>
      <c r="BP1059" s="1292"/>
      <c r="BQ1059" s="1292"/>
      <c r="BR1059" s="1292"/>
      <c r="BS1059" s="1292"/>
      <c r="BT1059" s="1670">
        <f t="shared" ref="BT1059:BT1060" si="627">SUM(AV1059:BS1059)</f>
        <v>1</v>
      </c>
      <c r="BW1059" s="834" t="s">
        <v>1827</v>
      </c>
    </row>
    <row r="1060" spans="2:75" ht="12.75" customHeight="1" x14ac:dyDescent="0.2">
      <c r="B1060" s="175">
        <f>B1059+1</f>
        <v>2</v>
      </c>
      <c r="C1060" s="219">
        <v>14</v>
      </c>
      <c r="E1060" s="12" t="s">
        <v>1560</v>
      </c>
      <c r="F1060" s="15" t="s">
        <v>626</v>
      </c>
      <c r="G1060" s="912" t="s">
        <v>1526</v>
      </c>
      <c r="H1060" s="1414">
        <v>112230</v>
      </c>
      <c r="I1060" s="176" t="s">
        <v>583</v>
      </c>
      <c r="J1060" s="177"/>
      <c r="K1060" s="194">
        <v>1</v>
      </c>
      <c r="L1060" s="873"/>
      <c r="M1060" s="873">
        <v>1</v>
      </c>
      <c r="N1060" s="940" t="s">
        <v>1326</v>
      </c>
      <c r="O1060" s="1196">
        <v>31341</v>
      </c>
      <c r="P1060" s="1218">
        <f ca="1">YEARFRAC(TODAY(),O1060)</f>
        <v>31.947222222222223</v>
      </c>
      <c r="Q1060" s="1148">
        <v>31800</v>
      </c>
      <c r="R1060" s="874">
        <f>Q1060*0.1</f>
        <v>3180</v>
      </c>
      <c r="S1060" s="875"/>
      <c r="T1060" s="875">
        <v>19300</v>
      </c>
      <c r="U1060" s="875"/>
      <c r="V1060" s="875"/>
      <c r="W1060" s="875"/>
      <c r="X1060" s="1026">
        <f>(Q1060+R1060+S1060+T1060+U1060+V1060+W1060)*M1060</f>
        <v>54280</v>
      </c>
      <c r="Y1060" s="1512">
        <f>(T1060+U1060)*M1060/(X1060-M1060*(T1060+U1060))</f>
        <v>0.55174385363064604</v>
      </c>
      <c r="Z1060" s="1741">
        <f>M1060*(1+Y1060)</f>
        <v>1.551743853630646</v>
      </c>
      <c r="AA1060" s="1749">
        <f>SUM(AD1060:AS1060)</f>
        <v>1</v>
      </c>
      <c r="AB1060" s="1810">
        <f t="shared" si="625"/>
        <v>64.443625644804712</v>
      </c>
      <c r="AC1060" s="876"/>
      <c r="AD1060" s="1525">
        <f t="shared" si="626"/>
        <v>1</v>
      </c>
      <c r="AE1060" s="1525">
        <f t="shared" si="626"/>
        <v>0</v>
      </c>
      <c r="AF1060" s="1525">
        <f t="shared" si="626"/>
        <v>0</v>
      </c>
      <c r="AG1060" s="1525">
        <f t="shared" si="626"/>
        <v>0</v>
      </c>
      <c r="AH1060" s="1525">
        <f t="shared" si="626"/>
        <v>0</v>
      </c>
      <c r="AI1060" s="1525">
        <f t="shared" si="626"/>
        <v>0</v>
      </c>
      <c r="AJ1060" s="1525">
        <f t="shared" si="626"/>
        <v>0</v>
      </c>
      <c r="AK1060" s="1525">
        <f t="shared" si="626"/>
        <v>0</v>
      </c>
      <c r="AL1060" s="1525">
        <f t="shared" si="626"/>
        <v>0</v>
      </c>
      <c r="AM1060" s="1525">
        <f t="shared" si="626"/>
        <v>0</v>
      </c>
      <c r="AN1060" s="1525">
        <f t="shared" si="626"/>
        <v>0</v>
      </c>
      <c r="AO1060" s="1525">
        <f t="shared" si="626"/>
        <v>0</v>
      </c>
      <c r="AP1060" s="1525">
        <f t="shared" si="626"/>
        <v>0</v>
      </c>
      <c r="AQ1060" s="1525">
        <f t="shared" si="626"/>
        <v>0</v>
      </c>
      <c r="AR1060" s="1525">
        <f t="shared" si="626"/>
        <v>0</v>
      </c>
      <c r="AS1060" s="1525">
        <f t="shared" si="626"/>
        <v>0</v>
      </c>
      <c r="AU1060" s="1525"/>
      <c r="AV1060" s="1291"/>
      <c r="AW1060" s="1292"/>
      <c r="AX1060" s="1292"/>
      <c r="AY1060" s="1292"/>
      <c r="AZ1060" s="1292"/>
      <c r="BA1060" s="1292"/>
      <c r="BB1060" s="1292"/>
      <c r="BC1060" s="1292"/>
      <c r="BD1060" s="1292"/>
      <c r="BE1060" s="1292"/>
      <c r="BF1060" s="1292"/>
      <c r="BG1060" s="1292"/>
      <c r="BH1060" s="1292"/>
      <c r="BI1060" s="1292"/>
      <c r="BJ1060" s="1292">
        <v>1</v>
      </c>
      <c r="BK1060" s="1292"/>
      <c r="BL1060" s="1292"/>
      <c r="BM1060" s="1292"/>
      <c r="BN1060" s="1292"/>
      <c r="BO1060" s="1292"/>
      <c r="BP1060" s="1292"/>
      <c r="BQ1060" s="1292"/>
      <c r="BR1060" s="1292"/>
      <c r="BS1060" s="1292"/>
      <c r="BT1060" s="1670">
        <f t="shared" si="627"/>
        <v>1</v>
      </c>
      <c r="BW1060" s="912" t="s">
        <v>1526</v>
      </c>
    </row>
    <row r="1061" spans="2:75" s="164" customFormat="1" ht="12.75" customHeight="1" x14ac:dyDescent="0.15">
      <c r="B1061" s="175"/>
      <c r="C1061" s="219" t="s">
        <v>1120</v>
      </c>
      <c r="E1061" s="12"/>
      <c r="F1061" s="19" t="s">
        <v>1125</v>
      </c>
      <c r="G1061" s="834"/>
      <c r="H1061" s="1415" t="s">
        <v>1508</v>
      </c>
      <c r="I1061" s="180"/>
      <c r="J1061" s="173"/>
      <c r="K1061" s="446">
        <f>K1056+K1059+K1060</f>
        <v>2</v>
      </c>
      <c r="L1061" s="892">
        <f>L1056+L1059+L1060</f>
        <v>19</v>
      </c>
      <c r="M1061" s="892">
        <f>M1056+M1059+M1060</f>
        <v>20</v>
      </c>
      <c r="N1061" s="832"/>
      <c r="O1061" s="1200"/>
      <c r="P1061" s="1294"/>
      <c r="Q1061" s="1153"/>
      <c r="R1061" s="884"/>
      <c r="S1061" s="876"/>
      <c r="T1061" s="876"/>
      <c r="U1061" s="876"/>
      <c r="V1061" s="876"/>
      <c r="W1061" s="876"/>
      <c r="X1061" s="1026"/>
      <c r="Y1061" s="1335"/>
      <c r="Z1061" s="1335"/>
      <c r="AA1061" s="1775"/>
      <c r="AB1061" s="1814"/>
      <c r="AC1061" s="876"/>
      <c r="AD1061" s="1295"/>
      <c r="AE1061" s="1525"/>
      <c r="AF1061" s="1525"/>
      <c r="AG1061" s="1525"/>
      <c r="AH1061" s="1525"/>
      <c r="AI1061" s="1525"/>
      <c r="AJ1061" s="1525"/>
      <c r="AK1061" s="1525"/>
      <c r="AL1061" s="1525"/>
      <c r="AM1061" s="1525"/>
      <c r="AN1061" s="1525"/>
      <c r="AO1061" s="1525"/>
      <c r="AP1061" s="1525"/>
      <c r="AQ1061" s="1525"/>
      <c r="AR1061" s="1525"/>
      <c r="AS1061" s="1525"/>
      <c r="AU1061" s="1525"/>
      <c r="AV1061" s="1295"/>
      <c r="AW1061" s="1525"/>
      <c r="AX1061" s="1525"/>
      <c r="AY1061" s="1525"/>
      <c r="AZ1061" s="1525"/>
      <c r="BA1061" s="1525"/>
      <c r="BB1061" s="1525"/>
      <c r="BC1061" s="1525"/>
      <c r="BD1061" s="1525"/>
      <c r="BE1061" s="1525"/>
      <c r="BF1061" s="1525"/>
      <c r="BG1061" s="1525"/>
      <c r="BH1061" s="1525"/>
      <c r="BI1061" s="1525"/>
      <c r="BJ1061" s="1525"/>
      <c r="BK1061" s="1525"/>
      <c r="BL1061" s="1525"/>
      <c r="BM1061" s="1525"/>
      <c r="BN1061" s="1525"/>
      <c r="BO1061" s="1525"/>
      <c r="BP1061" s="1525"/>
      <c r="BQ1061" s="1525"/>
      <c r="BR1061" s="1525"/>
      <c r="BS1061" s="1525"/>
      <c r="BT1061" s="1670"/>
      <c r="BV1061"/>
      <c r="BW1061" s="834"/>
    </row>
    <row r="1062" spans="2:75" s="164" customFormat="1" ht="12.75" customHeight="1" x14ac:dyDescent="0.15">
      <c r="B1062" s="175"/>
      <c r="F1062" s="19"/>
      <c r="G1062" s="834"/>
      <c r="H1062" s="1417" t="s">
        <v>1508</v>
      </c>
      <c r="I1062" s="180"/>
      <c r="J1062" s="173"/>
      <c r="K1062" s="173"/>
      <c r="L1062" s="893"/>
      <c r="M1062" s="893"/>
      <c r="N1062" s="832"/>
      <c r="O1062" s="1200"/>
      <c r="P1062" s="1294"/>
      <c r="Q1062" s="1148"/>
      <c r="R1062" s="874"/>
      <c r="S1062" s="876"/>
      <c r="T1062" s="876"/>
      <c r="U1062" s="876"/>
      <c r="V1062" s="876"/>
      <c r="W1062" s="876"/>
      <c r="X1062" s="1026"/>
      <c r="Y1062" s="1754"/>
      <c r="Z1062" s="1755"/>
      <c r="AA1062" s="1775"/>
      <c r="AB1062" s="1814"/>
      <c r="AC1062" s="876"/>
      <c r="AD1062" s="1295"/>
      <c r="AE1062" s="1525"/>
      <c r="AF1062" s="1525"/>
      <c r="AG1062" s="1525"/>
      <c r="AH1062" s="1525"/>
      <c r="AI1062" s="1525"/>
      <c r="AJ1062" s="1525"/>
      <c r="AK1062" s="1525"/>
      <c r="AL1062" s="1525"/>
      <c r="AM1062" s="1525"/>
      <c r="AN1062" s="1525"/>
      <c r="AO1062" s="1525"/>
      <c r="AP1062" s="1525"/>
      <c r="AQ1062" s="1525"/>
      <c r="AR1062" s="1525"/>
      <c r="AS1062" s="1525"/>
      <c r="AU1062" s="1525"/>
      <c r="AV1062" s="1295"/>
      <c r="AW1062" s="1525"/>
      <c r="AX1062" s="1525"/>
      <c r="AY1062" s="1525"/>
      <c r="AZ1062" s="1525"/>
      <c r="BA1062" s="1525"/>
      <c r="BB1062" s="1525"/>
      <c r="BC1062" s="1525"/>
      <c r="BD1062" s="1525"/>
      <c r="BE1062" s="1525"/>
      <c r="BF1062" s="1525"/>
      <c r="BG1062" s="1525"/>
      <c r="BH1062" s="1525"/>
      <c r="BI1062" s="1525"/>
      <c r="BJ1062" s="1525"/>
      <c r="BK1062" s="1525"/>
      <c r="BL1062" s="1525"/>
      <c r="BM1062" s="1525"/>
      <c r="BN1062" s="1525"/>
      <c r="BO1062" s="1525"/>
      <c r="BP1062" s="1525"/>
      <c r="BQ1062" s="1525"/>
      <c r="BR1062" s="1525"/>
      <c r="BS1062" s="1525"/>
      <c r="BT1062" s="1670"/>
      <c r="BV1062"/>
      <c r="BW1062" s="834"/>
    </row>
    <row r="1063" spans="2:75" s="164" customFormat="1" ht="12.75" customHeight="1" x14ac:dyDescent="0.15">
      <c r="B1063" s="175"/>
      <c r="F1063" s="48" t="s">
        <v>593</v>
      </c>
      <c r="G1063" s="834"/>
      <c r="H1063" s="1417" t="s">
        <v>1508</v>
      </c>
      <c r="I1063" s="180"/>
      <c r="J1063" s="173"/>
      <c r="K1063" s="173"/>
      <c r="L1063" s="893"/>
      <c r="M1063" s="893"/>
      <c r="N1063" s="832"/>
      <c r="O1063" s="1200"/>
      <c r="P1063" s="550"/>
      <c r="Q1063" s="1148"/>
      <c r="R1063" s="874"/>
      <c r="S1063" s="875"/>
      <c r="T1063" s="875"/>
      <c r="U1063" s="875"/>
      <c r="V1063" s="875"/>
      <c r="W1063" s="875"/>
      <c r="X1063" s="1026"/>
      <c r="Y1063" s="1754"/>
      <c r="Z1063" s="1755"/>
      <c r="AA1063" s="1775"/>
      <c r="AB1063" s="1814"/>
      <c r="AC1063" s="876"/>
      <c r="AD1063" s="1295"/>
      <c r="AE1063" s="1525"/>
      <c r="AF1063" s="1525"/>
      <c r="AG1063" s="1525"/>
      <c r="AH1063" s="1525"/>
      <c r="AI1063" s="1525"/>
      <c r="AJ1063" s="1525"/>
      <c r="AK1063" s="1525"/>
      <c r="AL1063" s="1525"/>
      <c r="AM1063" s="1525"/>
      <c r="AN1063" s="1525"/>
      <c r="AO1063" s="1525"/>
      <c r="AP1063" s="1525"/>
      <c r="AQ1063" s="1525"/>
      <c r="AR1063" s="1525"/>
      <c r="AS1063" s="1525"/>
      <c r="AU1063" s="1525"/>
      <c r="AV1063" s="1295"/>
      <c r="AW1063" s="1525"/>
      <c r="AX1063" s="1525"/>
      <c r="AY1063" s="1525"/>
      <c r="AZ1063" s="1525"/>
      <c r="BA1063" s="1525"/>
      <c r="BB1063" s="1525"/>
      <c r="BC1063" s="1525"/>
      <c r="BD1063" s="1525"/>
      <c r="BE1063" s="1525"/>
      <c r="BF1063" s="1525"/>
      <c r="BG1063" s="1525"/>
      <c r="BH1063" s="1525"/>
      <c r="BI1063" s="1525"/>
      <c r="BJ1063" s="1525"/>
      <c r="BK1063" s="1525"/>
      <c r="BL1063" s="1525"/>
      <c r="BM1063" s="1525"/>
      <c r="BN1063" s="1525"/>
      <c r="BO1063" s="1525"/>
      <c r="BP1063" s="1525"/>
      <c r="BQ1063" s="1525"/>
      <c r="BR1063" s="1525"/>
      <c r="BS1063" s="1525"/>
      <c r="BT1063" s="1670"/>
      <c r="BV1063"/>
      <c r="BW1063" s="834"/>
    </row>
    <row r="1064" spans="2:75" s="164" customFormat="1" ht="12.75" customHeight="1" x14ac:dyDescent="0.15">
      <c r="B1064" s="175"/>
      <c r="F1064" s="21" t="s">
        <v>1524</v>
      </c>
      <c r="G1064" s="859"/>
      <c r="H1064" s="1413" t="s">
        <v>1508</v>
      </c>
      <c r="I1064" s="255"/>
      <c r="J1064" s="300"/>
      <c r="K1064" s="300"/>
      <c r="L1064" s="858"/>
      <c r="M1064" s="858"/>
      <c r="N1064" s="855"/>
      <c r="O1064" s="1200"/>
      <c r="P1064" s="550"/>
      <c r="Q1064" s="1148"/>
      <c r="R1064" s="874"/>
      <c r="S1064" s="875"/>
      <c r="T1064" s="875"/>
      <c r="U1064" s="875"/>
      <c r="V1064" s="875"/>
      <c r="W1064" s="875"/>
      <c r="X1064" s="1026"/>
      <c r="Y1064" s="1754"/>
      <c r="Z1064" s="1755"/>
      <c r="AA1064" s="1775"/>
      <c r="AB1064" s="1814"/>
      <c r="AC1064" s="876"/>
      <c r="AD1064" s="1295"/>
      <c r="AE1064" s="1525"/>
      <c r="AF1064" s="1525"/>
      <c r="AG1064" s="1525"/>
      <c r="AH1064" s="1525"/>
      <c r="AI1064" s="1525"/>
      <c r="AJ1064" s="1525"/>
      <c r="AK1064" s="1525"/>
      <c r="AL1064" s="1525"/>
      <c r="AM1064" s="1525"/>
      <c r="AN1064" s="1525"/>
      <c r="AO1064" s="1525"/>
      <c r="AP1064" s="1525"/>
      <c r="AQ1064" s="1525"/>
      <c r="AR1064" s="1525"/>
      <c r="AS1064" s="1525"/>
      <c r="AU1064" s="1525"/>
      <c r="AV1064" s="1295"/>
      <c r="AW1064" s="1525"/>
      <c r="AX1064" s="1525"/>
      <c r="AY1064" s="1525"/>
      <c r="AZ1064" s="1525"/>
      <c r="BA1064" s="1525"/>
      <c r="BB1064" s="1525"/>
      <c r="BC1064" s="1525"/>
      <c r="BD1064" s="1525"/>
      <c r="BE1064" s="1525"/>
      <c r="BF1064" s="1525"/>
      <c r="BG1064" s="1525"/>
      <c r="BH1064" s="1525"/>
      <c r="BI1064" s="1525"/>
      <c r="BJ1064" s="1525"/>
      <c r="BK1064" s="1525"/>
      <c r="BL1064" s="1525"/>
      <c r="BM1064" s="1525"/>
      <c r="BN1064" s="1525"/>
      <c r="BO1064" s="1525"/>
      <c r="BP1064" s="1525"/>
      <c r="BQ1064" s="1525"/>
      <c r="BR1064" s="1525"/>
      <c r="BS1064" s="1525"/>
      <c r="BT1064" s="1670"/>
      <c r="BV1064"/>
      <c r="BW1064" s="859"/>
    </row>
    <row r="1065" spans="2:75" s="164" customFormat="1" ht="12.75" customHeight="1" x14ac:dyDescent="0.15">
      <c r="B1065" s="175"/>
      <c r="F1065" s="49"/>
      <c r="G1065" s="859"/>
      <c r="H1065" s="1413" t="s">
        <v>1508</v>
      </c>
      <c r="I1065" s="255"/>
      <c r="J1065" s="300"/>
      <c r="K1065" s="300"/>
      <c r="L1065" s="858"/>
      <c r="M1065" s="858"/>
      <c r="N1065" s="855"/>
      <c r="O1065" s="1200"/>
      <c r="P1065" s="550"/>
      <c r="Q1065" s="1148"/>
      <c r="R1065" s="874"/>
      <c r="S1065" s="875"/>
      <c r="T1065" s="875"/>
      <c r="U1065" s="875"/>
      <c r="V1065" s="875"/>
      <c r="W1065" s="875"/>
      <c r="X1065" s="1026"/>
      <c r="Y1065" s="1754"/>
      <c r="Z1065" s="1755"/>
      <c r="AA1065" s="1775"/>
      <c r="AB1065" s="1814"/>
      <c r="AC1065" s="876"/>
      <c r="AD1065" s="1295"/>
      <c r="AE1065" s="1525"/>
      <c r="AF1065" s="1525"/>
      <c r="AG1065" s="1525"/>
      <c r="AH1065" s="1525"/>
      <c r="AI1065" s="1525"/>
      <c r="AJ1065" s="1525"/>
      <c r="AK1065" s="1525"/>
      <c r="AL1065" s="1525"/>
      <c r="AM1065" s="1525"/>
      <c r="AN1065" s="1525"/>
      <c r="AO1065" s="1525"/>
      <c r="AP1065" s="1525"/>
      <c r="AQ1065" s="1525"/>
      <c r="AR1065" s="1525"/>
      <c r="AS1065" s="1525"/>
      <c r="AU1065" s="1525"/>
      <c r="AV1065" s="1295"/>
      <c r="AW1065" s="1525"/>
      <c r="AX1065" s="1525"/>
      <c r="AY1065" s="1525"/>
      <c r="AZ1065" s="1525"/>
      <c r="BA1065" s="1525"/>
      <c r="BB1065" s="1525"/>
      <c r="BC1065" s="1525"/>
      <c r="BD1065" s="1525"/>
      <c r="BE1065" s="1525"/>
      <c r="BF1065" s="1525"/>
      <c r="BG1065" s="1525"/>
      <c r="BH1065" s="1525"/>
      <c r="BI1065" s="1525"/>
      <c r="BJ1065" s="1525"/>
      <c r="BK1065" s="1525"/>
      <c r="BL1065" s="1525"/>
      <c r="BM1065" s="1525"/>
      <c r="BN1065" s="1525"/>
      <c r="BO1065" s="1525"/>
      <c r="BP1065" s="1525"/>
      <c r="BQ1065" s="1525"/>
      <c r="BR1065" s="1525"/>
      <c r="BS1065" s="1525"/>
      <c r="BT1065" s="1670"/>
      <c r="BV1065"/>
      <c r="BW1065" s="859"/>
    </row>
    <row r="1066" spans="2:75" ht="12.75" customHeight="1" x14ac:dyDescent="0.2">
      <c r="B1066" s="175">
        <f>B1065+1</f>
        <v>1</v>
      </c>
      <c r="C1066" s="573">
        <v>7</v>
      </c>
      <c r="D1066" s="574"/>
      <c r="E1066" s="572" t="s">
        <v>1560</v>
      </c>
      <c r="F1066" s="24" t="s">
        <v>1334</v>
      </c>
      <c r="G1066" s="856" t="s">
        <v>1175</v>
      </c>
      <c r="H1066" s="1413">
        <v>6302</v>
      </c>
      <c r="I1066" s="200" t="s">
        <v>351</v>
      </c>
      <c r="J1066" s="189"/>
      <c r="K1066" s="189"/>
      <c r="L1066" s="858">
        <v>1</v>
      </c>
      <c r="M1066" s="858">
        <f>K1066+L1066</f>
        <v>1</v>
      </c>
      <c r="N1066" s="857" t="s">
        <v>1326</v>
      </c>
      <c r="O1066" s="1196">
        <v>19000</v>
      </c>
      <c r="P1066" s="1218">
        <f t="shared" ref="P1066:P1080" ca="1" si="628">YEARFRAC(TODAY(),O1066)</f>
        <v>65.736111111111114</v>
      </c>
      <c r="Q1066" s="1148">
        <v>48050</v>
      </c>
      <c r="R1066" s="874">
        <f>Q1066*0.1</f>
        <v>4805</v>
      </c>
      <c r="S1066" s="875">
        <v>7000</v>
      </c>
      <c r="T1066" s="875">
        <v>35200</v>
      </c>
      <c r="U1066" s="875"/>
      <c r="V1066" s="875"/>
      <c r="W1066" s="875"/>
      <c r="X1066" s="1026">
        <f t="shared" ref="X1066:X1083" si="629">(Q1066+R1066+S1066+T1066+U1066+V1066+W1066)*M1066</f>
        <v>95055</v>
      </c>
      <c r="Y1066" s="1512">
        <f t="shared" ref="Y1066:Y1083" si="630">(T1066+U1066)*M1066/(X1066-M1066*(T1066+U1066))</f>
        <v>0.58808787904101578</v>
      </c>
      <c r="Z1066" s="1741">
        <f t="shared" ref="Z1066:Z1082" si="631">M1066*(1+Y1066)</f>
        <v>1.5880878790410158</v>
      </c>
      <c r="AA1066" s="1749">
        <f t="shared" ref="AA1066:AA1082" si="632">SUM(AD1066:AS1066)</f>
        <v>1.2</v>
      </c>
      <c r="AB1066" s="1810">
        <f t="shared" ref="AB1066:AB1082" si="633">100*AA1066/Z1066</f>
        <v>75.562569038977429</v>
      </c>
      <c r="AC1066" s="876"/>
      <c r="AD1066" s="1525">
        <f t="shared" ref="AD1066:AS1075" si="634">SUMIF($AV$6:$BS$6,AD$5,$AV1066:$BS1066)</f>
        <v>1.2</v>
      </c>
      <c r="AE1066" s="1525">
        <f t="shared" si="634"/>
        <v>0</v>
      </c>
      <c r="AF1066" s="1525">
        <f t="shared" si="634"/>
        <v>0</v>
      </c>
      <c r="AG1066" s="1525">
        <f t="shared" si="634"/>
        <v>0</v>
      </c>
      <c r="AH1066" s="1525">
        <f t="shared" si="634"/>
        <v>0</v>
      </c>
      <c r="AI1066" s="1525">
        <f t="shared" si="634"/>
        <v>0</v>
      </c>
      <c r="AJ1066" s="1525">
        <f t="shared" si="634"/>
        <v>0</v>
      </c>
      <c r="AK1066" s="1525">
        <f t="shared" si="634"/>
        <v>0</v>
      </c>
      <c r="AL1066" s="1525">
        <f t="shared" si="634"/>
        <v>0</v>
      </c>
      <c r="AM1066" s="1525">
        <f t="shared" si="634"/>
        <v>0</v>
      </c>
      <c r="AN1066" s="1525">
        <f t="shared" si="634"/>
        <v>0</v>
      </c>
      <c r="AO1066" s="1525">
        <f t="shared" si="634"/>
        <v>0</v>
      </c>
      <c r="AP1066" s="1525">
        <f t="shared" si="634"/>
        <v>0</v>
      </c>
      <c r="AQ1066" s="1525">
        <f t="shared" si="634"/>
        <v>0</v>
      </c>
      <c r="AR1066" s="1525">
        <f t="shared" si="634"/>
        <v>0</v>
      </c>
      <c r="AS1066" s="1525">
        <f t="shared" si="634"/>
        <v>0</v>
      </c>
      <c r="AU1066" s="1525"/>
      <c r="AV1066" s="1291"/>
      <c r="AW1066" s="1292"/>
      <c r="AX1066" s="1292"/>
      <c r="AY1066" s="1292"/>
      <c r="AZ1066" s="1292"/>
      <c r="BA1066" s="1292"/>
      <c r="BB1066" s="1292"/>
      <c r="BC1066" s="1292"/>
      <c r="BD1066" s="1292"/>
      <c r="BE1066" s="1292"/>
      <c r="BF1066" s="1292"/>
      <c r="BG1066" s="1292"/>
      <c r="BH1066" s="1292"/>
      <c r="BI1066" s="1292">
        <v>0.2</v>
      </c>
      <c r="BJ1066" s="1292">
        <v>1</v>
      </c>
      <c r="BK1066" s="1292"/>
      <c r="BL1066" s="1292"/>
      <c r="BM1066" s="1292"/>
      <c r="BN1066" s="1292"/>
      <c r="BO1066" s="1292"/>
      <c r="BP1066" s="1292"/>
      <c r="BQ1066" s="1292"/>
      <c r="BR1066" s="1292"/>
      <c r="BS1066" s="1292"/>
      <c r="BT1066" s="1670">
        <f t="shared" ref="BT1066:BT1082" si="635">SUM(AV1066:BS1066)</f>
        <v>1.2</v>
      </c>
      <c r="BW1066" s="856" t="s">
        <v>1175</v>
      </c>
    </row>
    <row r="1067" spans="2:75" ht="12.75" customHeight="1" x14ac:dyDescent="0.2">
      <c r="B1067" s="175">
        <f t="shared" ref="B1067:B1083" si="636">B1066+1</f>
        <v>2</v>
      </c>
      <c r="C1067" s="573">
        <v>8</v>
      </c>
      <c r="D1067" s="574"/>
      <c r="E1067" s="572" t="s">
        <v>1560</v>
      </c>
      <c r="F1067" s="43" t="s">
        <v>919</v>
      </c>
      <c r="G1067" s="856" t="s">
        <v>1124</v>
      </c>
      <c r="H1067" s="1413">
        <v>6941</v>
      </c>
      <c r="I1067" s="200"/>
      <c r="J1067" s="189"/>
      <c r="K1067" s="189"/>
      <c r="L1067" s="858">
        <v>1</v>
      </c>
      <c r="M1067" s="858">
        <v>1</v>
      </c>
      <c r="N1067" s="857" t="s">
        <v>892</v>
      </c>
      <c r="O1067" s="1196">
        <v>18937</v>
      </c>
      <c r="P1067" s="1218">
        <f t="shared" ca="1" si="628"/>
        <v>65.908333333333331</v>
      </c>
      <c r="Q1067" s="1148">
        <v>33300</v>
      </c>
      <c r="R1067" s="874"/>
      <c r="S1067" s="875"/>
      <c r="T1067" s="875"/>
      <c r="U1067" s="875"/>
      <c r="V1067" s="875"/>
      <c r="W1067" s="875"/>
      <c r="X1067" s="1026">
        <f t="shared" si="629"/>
        <v>33300</v>
      </c>
      <c r="Y1067" s="1512">
        <f t="shared" si="630"/>
        <v>0</v>
      </c>
      <c r="Z1067" s="1741">
        <f t="shared" si="631"/>
        <v>1</v>
      </c>
      <c r="AA1067" s="1749">
        <f t="shared" si="632"/>
        <v>1</v>
      </c>
      <c r="AB1067" s="1810">
        <f t="shared" si="633"/>
        <v>100</v>
      </c>
      <c r="AC1067" s="876"/>
      <c r="AD1067" s="1525">
        <f t="shared" si="634"/>
        <v>1</v>
      </c>
      <c r="AE1067" s="1525">
        <f t="shared" si="634"/>
        <v>0</v>
      </c>
      <c r="AF1067" s="1525">
        <f t="shared" si="634"/>
        <v>0</v>
      </c>
      <c r="AG1067" s="1525">
        <f t="shared" si="634"/>
        <v>0</v>
      </c>
      <c r="AH1067" s="1525">
        <f t="shared" si="634"/>
        <v>0</v>
      </c>
      <c r="AI1067" s="1525">
        <f t="shared" si="634"/>
        <v>0</v>
      </c>
      <c r="AJ1067" s="1525">
        <f t="shared" si="634"/>
        <v>0</v>
      </c>
      <c r="AK1067" s="1525">
        <f t="shared" si="634"/>
        <v>0</v>
      </c>
      <c r="AL1067" s="1525">
        <f t="shared" si="634"/>
        <v>0</v>
      </c>
      <c r="AM1067" s="1525">
        <f t="shared" si="634"/>
        <v>0</v>
      </c>
      <c r="AN1067" s="1525">
        <f t="shared" si="634"/>
        <v>0</v>
      </c>
      <c r="AO1067" s="1525">
        <f t="shared" si="634"/>
        <v>0</v>
      </c>
      <c r="AP1067" s="1525">
        <f t="shared" si="634"/>
        <v>0</v>
      </c>
      <c r="AQ1067" s="1525">
        <f t="shared" si="634"/>
        <v>0</v>
      </c>
      <c r="AR1067" s="1525">
        <f t="shared" si="634"/>
        <v>0</v>
      </c>
      <c r="AS1067" s="1525">
        <f t="shared" si="634"/>
        <v>0</v>
      </c>
      <c r="AU1067" s="1525"/>
      <c r="AV1067" s="1291"/>
      <c r="AW1067" s="1292"/>
      <c r="AX1067" s="1292"/>
      <c r="AY1067" s="1292"/>
      <c r="AZ1067" s="1292"/>
      <c r="BA1067" s="1292"/>
      <c r="BB1067" s="1292"/>
      <c r="BC1067" s="1292"/>
      <c r="BD1067" s="1292"/>
      <c r="BE1067" s="1292"/>
      <c r="BF1067" s="1292"/>
      <c r="BG1067" s="1292"/>
      <c r="BH1067" s="1292"/>
      <c r="BI1067" s="1292"/>
      <c r="BJ1067" s="1292">
        <v>1</v>
      </c>
      <c r="BK1067" s="1292"/>
      <c r="BL1067" s="1292"/>
      <c r="BM1067" s="1292"/>
      <c r="BN1067" s="1292"/>
      <c r="BO1067" s="1292"/>
      <c r="BP1067" s="1292"/>
      <c r="BQ1067" s="1292"/>
      <c r="BR1067" s="1292"/>
      <c r="BS1067" s="1292"/>
      <c r="BT1067" s="1670">
        <f t="shared" si="635"/>
        <v>1</v>
      </c>
      <c r="BW1067" s="856" t="s">
        <v>1124</v>
      </c>
    </row>
    <row r="1068" spans="2:75" ht="12.75" customHeight="1" x14ac:dyDescent="0.2">
      <c r="B1068" s="175">
        <f t="shared" si="636"/>
        <v>3</v>
      </c>
      <c r="C1068" s="573">
        <v>8</v>
      </c>
      <c r="D1068" s="574"/>
      <c r="E1068" s="572" t="s">
        <v>1560</v>
      </c>
      <c r="F1068" s="43" t="s">
        <v>919</v>
      </c>
      <c r="G1068" s="856" t="s">
        <v>1177</v>
      </c>
      <c r="H1068" s="1413">
        <v>56883</v>
      </c>
      <c r="I1068" s="202" t="s">
        <v>351</v>
      </c>
      <c r="J1068" s="189"/>
      <c r="K1068" s="189"/>
      <c r="L1068" s="858">
        <v>1</v>
      </c>
      <c r="M1068" s="858">
        <v>1</v>
      </c>
      <c r="N1068" s="857" t="s">
        <v>1326</v>
      </c>
      <c r="O1068" s="1196">
        <v>24619</v>
      </c>
      <c r="P1068" s="1218">
        <f t="shared" ca="1" si="628"/>
        <v>50.347222222222221</v>
      </c>
      <c r="Q1068" s="1148">
        <v>45550</v>
      </c>
      <c r="R1068" s="874">
        <f t="shared" ref="R1068:R1075" si="637">Q1068*0.1</f>
        <v>4555</v>
      </c>
      <c r="S1068" s="875"/>
      <c r="T1068" s="875">
        <v>18300</v>
      </c>
      <c r="U1068" s="875"/>
      <c r="V1068" s="875"/>
      <c r="W1068" s="875"/>
      <c r="X1068" s="1026">
        <f t="shared" si="629"/>
        <v>68405</v>
      </c>
      <c r="Y1068" s="1512">
        <f t="shared" si="630"/>
        <v>0.36523301067757707</v>
      </c>
      <c r="Z1068" s="1741">
        <f t="shared" si="631"/>
        <v>1.365233010677577</v>
      </c>
      <c r="AA1068" s="1749">
        <f t="shared" si="632"/>
        <v>1</v>
      </c>
      <c r="AB1068" s="1810">
        <f t="shared" si="633"/>
        <v>73.247569622103654</v>
      </c>
      <c r="AC1068" s="876"/>
      <c r="AD1068" s="1525">
        <f t="shared" si="634"/>
        <v>1</v>
      </c>
      <c r="AE1068" s="1525">
        <f t="shared" si="634"/>
        <v>0</v>
      </c>
      <c r="AF1068" s="1525">
        <f t="shared" si="634"/>
        <v>0</v>
      </c>
      <c r="AG1068" s="1525">
        <f t="shared" si="634"/>
        <v>0</v>
      </c>
      <c r="AH1068" s="1525">
        <f t="shared" si="634"/>
        <v>0</v>
      </c>
      <c r="AI1068" s="1525">
        <f t="shared" si="634"/>
        <v>0</v>
      </c>
      <c r="AJ1068" s="1525">
        <f t="shared" si="634"/>
        <v>0</v>
      </c>
      <c r="AK1068" s="1525">
        <f t="shared" si="634"/>
        <v>0</v>
      </c>
      <c r="AL1068" s="1525">
        <f t="shared" si="634"/>
        <v>0</v>
      </c>
      <c r="AM1068" s="1525">
        <f t="shared" si="634"/>
        <v>0</v>
      </c>
      <c r="AN1068" s="1525">
        <f t="shared" si="634"/>
        <v>0</v>
      </c>
      <c r="AO1068" s="1525">
        <f t="shared" si="634"/>
        <v>0</v>
      </c>
      <c r="AP1068" s="1525">
        <f t="shared" si="634"/>
        <v>0</v>
      </c>
      <c r="AQ1068" s="1525">
        <f t="shared" si="634"/>
        <v>0</v>
      </c>
      <c r="AR1068" s="1525">
        <f t="shared" si="634"/>
        <v>0</v>
      </c>
      <c r="AS1068" s="1525">
        <f t="shared" si="634"/>
        <v>0</v>
      </c>
      <c r="AU1068" s="1525"/>
      <c r="AV1068" s="1291"/>
      <c r="AW1068" s="1292"/>
      <c r="AX1068" s="1292"/>
      <c r="AY1068" s="1292"/>
      <c r="AZ1068" s="1292"/>
      <c r="BA1068" s="1292"/>
      <c r="BB1068" s="1292"/>
      <c r="BC1068" s="1292"/>
      <c r="BD1068" s="1292"/>
      <c r="BE1068" s="1292"/>
      <c r="BF1068" s="1292"/>
      <c r="BG1068" s="1292"/>
      <c r="BH1068" s="1292"/>
      <c r="BI1068" s="1292">
        <v>0.2</v>
      </c>
      <c r="BJ1068" s="1292">
        <v>0.8</v>
      </c>
      <c r="BK1068" s="1292"/>
      <c r="BL1068" s="1292"/>
      <c r="BM1068" s="1292"/>
      <c r="BN1068" s="1292"/>
      <c r="BO1068" s="1292"/>
      <c r="BP1068" s="1292"/>
      <c r="BQ1068" s="1292"/>
      <c r="BR1068" s="1292"/>
      <c r="BS1068" s="1292"/>
      <c r="BT1068" s="1670">
        <f t="shared" si="635"/>
        <v>1</v>
      </c>
      <c r="BW1068" s="856" t="s">
        <v>1177</v>
      </c>
    </row>
    <row r="1069" spans="2:75" ht="12.75" customHeight="1" x14ac:dyDescent="0.2">
      <c r="B1069" s="175">
        <f t="shared" si="636"/>
        <v>4</v>
      </c>
      <c r="C1069" s="219">
        <v>9</v>
      </c>
      <c r="E1069" s="12" t="s">
        <v>1560</v>
      </c>
      <c r="F1069" s="1" t="s">
        <v>1476</v>
      </c>
      <c r="G1069" s="856" t="s">
        <v>1178</v>
      </c>
      <c r="H1069" s="1413">
        <v>241692</v>
      </c>
      <c r="I1069" s="200" t="s">
        <v>351</v>
      </c>
      <c r="J1069" s="168"/>
      <c r="K1069" s="168"/>
      <c r="L1069" s="858">
        <v>1</v>
      </c>
      <c r="M1069" s="858">
        <f t="shared" ref="M1069:M1074" si="638">K1069+L1069</f>
        <v>1</v>
      </c>
      <c r="N1069" s="857" t="s">
        <v>1326</v>
      </c>
      <c r="O1069" s="1196">
        <v>30058</v>
      </c>
      <c r="P1069" s="1218">
        <f t="shared" ca="1" si="628"/>
        <v>35.458333333333336</v>
      </c>
      <c r="Q1069" s="1148">
        <v>45400</v>
      </c>
      <c r="R1069" s="874">
        <f t="shared" si="637"/>
        <v>4540</v>
      </c>
      <c r="S1069" s="875"/>
      <c r="T1069" s="875">
        <v>34000</v>
      </c>
      <c r="U1069" s="875"/>
      <c r="V1069" s="875"/>
      <c r="W1069" s="875"/>
      <c r="X1069" s="1026">
        <f t="shared" si="629"/>
        <v>83940</v>
      </c>
      <c r="Y1069" s="1512">
        <f t="shared" si="630"/>
        <v>0.68081698037645177</v>
      </c>
      <c r="Z1069" s="1741">
        <f t="shared" si="631"/>
        <v>1.6808169803764517</v>
      </c>
      <c r="AA1069" s="1749">
        <f t="shared" si="632"/>
        <v>1</v>
      </c>
      <c r="AB1069" s="1810">
        <f t="shared" si="633"/>
        <v>59.494877293304747</v>
      </c>
      <c r="AC1069" s="876"/>
      <c r="AD1069" s="1525">
        <f t="shared" si="634"/>
        <v>1</v>
      </c>
      <c r="AE1069" s="1525">
        <f t="shared" si="634"/>
        <v>0</v>
      </c>
      <c r="AF1069" s="1525">
        <f t="shared" si="634"/>
        <v>0</v>
      </c>
      <c r="AG1069" s="1525">
        <f t="shared" si="634"/>
        <v>0</v>
      </c>
      <c r="AH1069" s="1525">
        <f t="shared" si="634"/>
        <v>0</v>
      </c>
      <c r="AI1069" s="1525">
        <f t="shared" si="634"/>
        <v>0</v>
      </c>
      <c r="AJ1069" s="1525">
        <f t="shared" si="634"/>
        <v>0</v>
      </c>
      <c r="AK1069" s="1525">
        <f t="shared" si="634"/>
        <v>0</v>
      </c>
      <c r="AL1069" s="1525">
        <f t="shared" si="634"/>
        <v>0</v>
      </c>
      <c r="AM1069" s="1525">
        <f t="shared" si="634"/>
        <v>0</v>
      </c>
      <c r="AN1069" s="1525">
        <f t="shared" si="634"/>
        <v>0</v>
      </c>
      <c r="AO1069" s="1525">
        <f t="shared" si="634"/>
        <v>0</v>
      </c>
      <c r="AP1069" s="1525">
        <f t="shared" si="634"/>
        <v>0</v>
      </c>
      <c r="AQ1069" s="1525">
        <f t="shared" si="634"/>
        <v>0</v>
      </c>
      <c r="AR1069" s="1525">
        <f t="shared" si="634"/>
        <v>0</v>
      </c>
      <c r="AS1069" s="1525">
        <f t="shared" si="634"/>
        <v>0</v>
      </c>
      <c r="AU1069" s="1525"/>
      <c r="AV1069" s="1291"/>
      <c r="AW1069" s="1292"/>
      <c r="AX1069" s="1292"/>
      <c r="AY1069" s="1292"/>
      <c r="AZ1069" s="1292"/>
      <c r="BA1069" s="1292"/>
      <c r="BB1069" s="1292"/>
      <c r="BC1069" s="1292"/>
      <c r="BD1069" s="1292"/>
      <c r="BE1069" s="1292"/>
      <c r="BF1069" s="1292"/>
      <c r="BG1069" s="1292"/>
      <c r="BH1069" s="1292"/>
      <c r="BI1069" s="1292">
        <v>0.2</v>
      </c>
      <c r="BJ1069" s="1292">
        <v>0.8</v>
      </c>
      <c r="BK1069" s="1292"/>
      <c r="BL1069" s="1292"/>
      <c r="BM1069" s="1292"/>
      <c r="BN1069" s="1292"/>
      <c r="BO1069" s="1292"/>
      <c r="BP1069" s="1292"/>
      <c r="BQ1069" s="1292"/>
      <c r="BR1069" s="1292"/>
      <c r="BS1069" s="1292"/>
      <c r="BT1069" s="1670">
        <f t="shared" si="635"/>
        <v>1</v>
      </c>
      <c r="BW1069" s="856" t="s">
        <v>1178</v>
      </c>
    </row>
    <row r="1070" spans="2:75" ht="12.75" customHeight="1" x14ac:dyDescent="0.2">
      <c r="B1070" s="175">
        <f t="shared" si="636"/>
        <v>5</v>
      </c>
      <c r="C1070" s="219">
        <v>10</v>
      </c>
      <c r="E1070" s="12" t="s">
        <v>1560</v>
      </c>
      <c r="F1070" s="1" t="s">
        <v>1398</v>
      </c>
      <c r="G1070" s="856" t="s">
        <v>1112</v>
      </c>
      <c r="H1070" s="1413">
        <v>114104</v>
      </c>
      <c r="I1070" s="200" t="s">
        <v>351</v>
      </c>
      <c r="J1070" s="168"/>
      <c r="K1070" s="168"/>
      <c r="L1070" s="858">
        <v>1</v>
      </c>
      <c r="M1070" s="858">
        <f t="shared" si="638"/>
        <v>1</v>
      </c>
      <c r="N1070" s="857" t="s">
        <v>1326</v>
      </c>
      <c r="O1070" s="1196">
        <v>32369</v>
      </c>
      <c r="P1070" s="1218">
        <f t="shared" ca="1" si="628"/>
        <v>29.133333333333333</v>
      </c>
      <c r="Q1070" s="1148">
        <v>41450</v>
      </c>
      <c r="R1070" s="874">
        <f t="shared" si="637"/>
        <v>4145</v>
      </c>
      <c r="S1070" s="875"/>
      <c r="T1070" s="875">
        <v>30000</v>
      </c>
      <c r="U1070" s="875"/>
      <c r="V1070" s="875"/>
      <c r="W1070" s="875"/>
      <c r="X1070" s="1026">
        <f t="shared" si="629"/>
        <v>75595</v>
      </c>
      <c r="Y1070" s="1512">
        <f t="shared" si="630"/>
        <v>0.65796688233358924</v>
      </c>
      <c r="Z1070" s="1741">
        <f t="shared" si="631"/>
        <v>1.6579668823335894</v>
      </c>
      <c r="AA1070" s="1749">
        <f t="shared" si="632"/>
        <v>1</v>
      </c>
      <c r="AB1070" s="1810">
        <f t="shared" si="633"/>
        <v>60.314835637277589</v>
      </c>
      <c r="AC1070" s="876"/>
      <c r="AD1070" s="1525">
        <f t="shared" si="634"/>
        <v>1</v>
      </c>
      <c r="AE1070" s="1525">
        <f t="shared" si="634"/>
        <v>0</v>
      </c>
      <c r="AF1070" s="1525">
        <f t="shared" si="634"/>
        <v>0</v>
      </c>
      <c r="AG1070" s="1525">
        <f t="shared" si="634"/>
        <v>0</v>
      </c>
      <c r="AH1070" s="1525">
        <f t="shared" si="634"/>
        <v>0</v>
      </c>
      <c r="AI1070" s="1525">
        <f t="shared" si="634"/>
        <v>0</v>
      </c>
      <c r="AJ1070" s="1525">
        <f t="shared" si="634"/>
        <v>0</v>
      </c>
      <c r="AK1070" s="1525">
        <f t="shared" si="634"/>
        <v>0</v>
      </c>
      <c r="AL1070" s="1525">
        <f t="shared" si="634"/>
        <v>0</v>
      </c>
      <c r="AM1070" s="1525">
        <f t="shared" si="634"/>
        <v>0</v>
      </c>
      <c r="AN1070" s="1525">
        <f t="shared" si="634"/>
        <v>0</v>
      </c>
      <c r="AO1070" s="1525">
        <f t="shared" si="634"/>
        <v>0</v>
      </c>
      <c r="AP1070" s="1525">
        <f t="shared" si="634"/>
        <v>0</v>
      </c>
      <c r="AQ1070" s="1525">
        <f t="shared" si="634"/>
        <v>0</v>
      </c>
      <c r="AR1070" s="1525">
        <f t="shared" si="634"/>
        <v>0</v>
      </c>
      <c r="AS1070" s="1525">
        <f t="shared" si="634"/>
        <v>0</v>
      </c>
      <c r="AU1070" s="1525"/>
      <c r="AV1070" s="1291"/>
      <c r="AW1070" s="1292"/>
      <c r="AX1070" s="1292"/>
      <c r="AY1070" s="1292"/>
      <c r="AZ1070" s="1292"/>
      <c r="BA1070" s="1292"/>
      <c r="BB1070" s="1292"/>
      <c r="BC1070" s="1292"/>
      <c r="BD1070" s="1292"/>
      <c r="BE1070" s="1292"/>
      <c r="BF1070" s="1292"/>
      <c r="BG1070" s="1292"/>
      <c r="BH1070" s="1292"/>
      <c r="BI1070" s="1292">
        <v>0.5</v>
      </c>
      <c r="BJ1070" s="1292">
        <v>0.5</v>
      </c>
      <c r="BK1070" s="1292"/>
      <c r="BL1070" s="1292"/>
      <c r="BM1070" s="1292"/>
      <c r="BN1070" s="1292"/>
      <c r="BO1070" s="1292"/>
      <c r="BP1070" s="1292"/>
      <c r="BQ1070" s="1292"/>
      <c r="BR1070" s="1292"/>
      <c r="BS1070" s="1292"/>
      <c r="BT1070" s="1670">
        <f t="shared" si="635"/>
        <v>1</v>
      </c>
      <c r="BW1070" s="856" t="s">
        <v>1112</v>
      </c>
    </row>
    <row r="1071" spans="2:75" ht="12.75" customHeight="1" x14ac:dyDescent="0.2">
      <c r="B1071" s="175">
        <f t="shared" si="636"/>
        <v>6</v>
      </c>
      <c r="C1071" s="219">
        <v>12</v>
      </c>
      <c r="E1071" s="12" t="s">
        <v>1560</v>
      </c>
      <c r="F1071" s="1" t="s">
        <v>1235</v>
      </c>
      <c r="G1071" s="856" t="s">
        <v>111</v>
      </c>
      <c r="H1071" s="1413">
        <v>3128</v>
      </c>
      <c r="I1071" s="172" t="s">
        <v>583</v>
      </c>
      <c r="J1071" s="168"/>
      <c r="K1071" s="168"/>
      <c r="L1071" s="858">
        <v>1</v>
      </c>
      <c r="M1071" s="858">
        <f t="shared" si="638"/>
        <v>1</v>
      </c>
      <c r="N1071" s="857" t="s">
        <v>1326</v>
      </c>
      <c r="O1071" s="1196">
        <v>18592</v>
      </c>
      <c r="P1071" s="1218">
        <f t="shared" ca="1" si="628"/>
        <v>66.852777777777774</v>
      </c>
      <c r="Q1071" s="1148">
        <v>33000</v>
      </c>
      <c r="R1071" s="874">
        <f t="shared" si="637"/>
        <v>3300</v>
      </c>
      <c r="S1071" s="875"/>
      <c r="T1071" s="875">
        <v>18000</v>
      </c>
      <c r="U1071" s="875"/>
      <c r="V1071" s="875"/>
      <c r="W1071" s="875"/>
      <c r="X1071" s="1026">
        <f t="shared" si="629"/>
        <v>54300</v>
      </c>
      <c r="Y1071" s="1512">
        <f t="shared" si="630"/>
        <v>0.49586776859504134</v>
      </c>
      <c r="Z1071" s="1741">
        <f t="shared" si="631"/>
        <v>1.4958677685950414</v>
      </c>
      <c r="AA1071" s="1749">
        <f t="shared" si="632"/>
        <v>1</v>
      </c>
      <c r="AB1071" s="1810">
        <f t="shared" si="633"/>
        <v>66.850828729281758</v>
      </c>
      <c r="AC1071" s="876"/>
      <c r="AD1071" s="1525">
        <f t="shared" si="634"/>
        <v>1</v>
      </c>
      <c r="AE1071" s="1525">
        <f t="shared" si="634"/>
        <v>0</v>
      </c>
      <c r="AF1071" s="1525">
        <f t="shared" si="634"/>
        <v>0</v>
      </c>
      <c r="AG1071" s="1525">
        <f t="shared" si="634"/>
        <v>0</v>
      </c>
      <c r="AH1071" s="1525">
        <f t="shared" si="634"/>
        <v>0</v>
      </c>
      <c r="AI1071" s="1525">
        <f t="shared" si="634"/>
        <v>0</v>
      </c>
      <c r="AJ1071" s="1525">
        <f t="shared" si="634"/>
        <v>0</v>
      </c>
      <c r="AK1071" s="1525">
        <f t="shared" si="634"/>
        <v>0</v>
      </c>
      <c r="AL1071" s="1525">
        <f t="shared" si="634"/>
        <v>0</v>
      </c>
      <c r="AM1071" s="1525">
        <f t="shared" si="634"/>
        <v>0</v>
      </c>
      <c r="AN1071" s="1525">
        <f t="shared" si="634"/>
        <v>0</v>
      </c>
      <c r="AO1071" s="1525">
        <f t="shared" si="634"/>
        <v>0</v>
      </c>
      <c r="AP1071" s="1525">
        <f t="shared" si="634"/>
        <v>0</v>
      </c>
      <c r="AQ1071" s="1525">
        <f t="shared" si="634"/>
        <v>0</v>
      </c>
      <c r="AR1071" s="1525">
        <f t="shared" si="634"/>
        <v>0</v>
      </c>
      <c r="AS1071" s="1525">
        <f t="shared" si="634"/>
        <v>0</v>
      </c>
      <c r="AU1071" s="1525"/>
      <c r="AV1071" s="1291"/>
      <c r="AW1071" s="1292"/>
      <c r="AX1071" s="1292"/>
      <c r="AY1071" s="1292"/>
      <c r="AZ1071" s="1292"/>
      <c r="BA1071" s="1292"/>
      <c r="BB1071" s="1292"/>
      <c r="BC1071" s="1292"/>
      <c r="BD1071" s="1292"/>
      <c r="BE1071" s="1292"/>
      <c r="BF1071" s="1292"/>
      <c r="BG1071" s="1292"/>
      <c r="BH1071" s="1292"/>
      <c r="BI1071" s="1292">
        <v>0.4</v>
      </c>
      <c r="BJ1071" s="1292">
        <v>0.6</v>
      </c>
      <c r="BK1071" s="1292"/>
      <c r="BL1071" s="1292"/>
      <c r="BM1071" s="1292"/>
      <c r="BN1071" s="1292"/>
      <c r="BO1071" s="1292"/>
      <c r="BP1071" s="1292"/>
      <c r="BQ1071" s="1292"/>
      <c r="BR1071" s="1292"/>
      <c r="BS1071" s="1292"/>
      <c r="BT1071" s="1670">
        <f t="shared" si="635"/>
        <v>1</v>
      </c>
      <c r="BW1071" s="856" t="s">
        <v>111</v>
      </c>
    </row>
    <row r="1072" spans="2:75" ht="12.75" customHeight="1" x14ac:dyDescent="0.2">
      <c r="B1072" s="175">
        <f t="shared" si="636"/>
        <v>7</v>
      </c>
      <c r="C1072" s="219">
        <v>13</v>
      </c>
      <c r="E1072" s="12" t="s">
        <v>1560</v>
      </c>
      <c r="F1072" s="1" t="s">
        <v>48</v>
      </c>
      <c r="G1072" s="859" t="s">
        <v>1176</v>
      </c>
      <c r="H1072" s="1413">
        <v>6195</v>
      </c>
      <c r="I1072" s="200" t="s">
        <v>351</v>
      </c>
      <c r="J1072" s="168"/>
      <c r="K1072" s="168"/>
      <c r="L1072" s="858">
        <v>1</v>
      </c>
      <c r="M1072" s="858">
        <f t="shared" si="638"/>
        <v>1</v>
      </c>
      <c r="N1072" s="857" t="s">
        <v>1326</v>
      </c>
      <c r="O1072" s="1196">
        <v>19148</v>
      </c>
      <c r="P1072" s="1218">
        <f t="shared" ca="1" si="628"/>
        <v>65.330555555555549</v>
      </c>
      <c r="Q1072" s="1148">
        <v>25000</v>
      </c>
      <c r="R1072" s="874">
        <f t="shared" si="637"/>
        <v>2500</v>
      </c>
      <c r="S1072" s="875"/>
      <c r="T1072" s="875"/>
      <c r="U1072" s="875"/>
      <c r="V1072" s="875"/>
      <c r="W1072" s="875"/>
      <c r="X1072" s="1026">
        <f t="shared" si="629"/>
        <v>27500</v>
      </c>
      <c r="Y1072" s="1512">
        <f t="shared" si="630"/>
        <v>0</v>
      </c>
      <c r="Z1072" s="1741">
        <f t="shared" si="631"/>
        <v>1</v>
      </c>
      <c r="AA1072" s="1749">
        <f t="shared" si="632"/>
        <v>1</v>
      </c>
      <c r="AB1072" s="1810">
        <f t="shared" si="633"/>
        <v>100</v>
      </c>
      <c r="AC1072" s="876"/>
      <c r="AD1072" s="1525">
        <f t="shared" si="634"/>
        <v>1</v>
      </c>
      <c r="AE1072" s="1525">
        <f t="shared" si="634"/>
        <v>0</v>
      </c>
      <c r="AF1072" s="1525">
        <f t="shared" si="634"/>
        <v>0</v>
      </c>
      <c r="AG1072" s="1525">
        <f t="shared" si="634"/>
        <v>0</v>
      </c>
      <c r="AH1072" s="1525">
        <f t="shared" si="634"/>
        <v>0</v>
      </c>
      <c r="AI1072" s="1525">
        <f t="shared" si="634"/>
        <v>0</v>
      </c>
      <c r="AJ1072" s="1525">
        <f t="shared" si="634"/>
        <v>0</v>
      </c>
      <c r="AK1072" s="1525">
        <f t="shared" si="634"/>
        <v>0</v>
      </c>
      <c r="AL1072" s="1525">
        <f t="shared" si="634"/>
        <v>0</v>
      </c>
      <c r="AM1072" s="1525">
        <f t="shared" si="634"/>
        <v>0</v>
      </c>
      <c r="AN1072" s="1525">
        <f t="shared" si="634"/>
        <v>0</v>
      </c>
      <c r="AO1072" s="1525">
        <f t="shared" si="634"/>
        <v>0</v>
      </c>
      <c r="AP1072" s="1525">
        <f t="shared" si="634"/>
        <v>0</v>
      </c>
      <c r="AQ1072" s="1525">
        <f t="shared" si="634"/>
        <v>0</v>
      </c>
      <c r="AR1072" s="1525">
        <f t="shared" si="634"/>
        <v>0</v>
      </c>
      <c r="AS1072" s="1525">
        <f t="shared" si="634"/>
        <v>0</v>
      </c>
      <c r="AU1072" s="1525"/>
      <c r="AV1072" s="1291"/>
      <c r="AW1072" s="1292"/>
      <c r="AX1072" s="1292"/>
      <c r="AY1072" s="1292"/>
      <c r="AZ1072" s="1292"/>
      <c r="BA1072" s="1292"/>
      <c r="BB1072" s="1292"/>
      <c r="BC1072" s="1292"/>
      <c r="BD1072" s="1292"/>
      <c r="BE1072" s="1292"/>
      <c r="BF1072" s="1292"/>
      <c r="BG1072" s="1292"/>
      <c r="BH1072" s="1292"/>
      <c r="BI1072" s="1292">
        <v>0.2</v>
      </c>
      <c r="BJ1072" s="1292">
        <v>0.8</v>
      </c>
      <c r="BK1072" s="1292"/>
      <c r="BL1072" s="1292"/>
      <c r="BM1072" s="1292"/>
      <c r="BN1072" s="1292"/>
      <c r="BO1072" s="1292"/>
      <c r="BP1072" s="1292"/>
      <c r="BQ1072" s="1292"/>
      <c r="BR1072" s="1292"/>
      <c r="BS1072" s="1292"/>
      <c r="BT1072" s="1670">
        <f t="shared" si="635"/>
        <v>1</v>
      </c>
      <c r="BW1072" s="859" t="s">
        <v>1176</v>
      </c>
    </row>
    <row r="1073" spans="2:75" ht="12.75" customHeight="1" x14ac:dyDescent="0.2">
      <c r="B1073" s="175">
        <f t="shared" si="636"/>
        <v>8</v>
      </c>
      <c r="C1073" s="219">
        <v>14</v>
      </c>
      <c r="E1073" s="12" t="s">
        <v>1560</v>
      </c>
      <c r="F1073" s="1" t="s">
        <v>626</v>
      </c>
      <c r="G1073" s="856" t="s">
        <v>604</v>
      </c>
      <c r="H1073" s="1413">
        <v>3403</v>
      </c>
      <c r="I1073" s="172" t="s">
        <v>583</v>
      </c>
      <c r="J1073" s="168"/>
      <c r="K1073" s="168"/>
      <c r="L1073" s="858">
        <v>1</v>
      </c>
      <c r="M1073" s="858">
        <f t="shared" si="638"/>
        <v>1</v>
      </c>
      <c r="N1073" s="857" t="s">
        <v>1326</v>
      </c>
      <c r="O1073" s="1196">
        <v>17786</v>
      </c>
      <c r="P1073" s="1218">
        <f t="shared" ca="1" si="628"/>
        <v>69.061111111111117</v>
      </c>
      <c r="Q1073" s="1148">
        <v>38000</v>
      </c>
      <c r="R1073" s="874">
        <f t="shared" si="637"/>
        <v>3800</v>
      </c>
      <c r="S1073" s="875"/>
      <c r="T1073" s="875">
        <v>14900</v>
      </c>
      <c r="U1073" s="875"/>
      <c r="V1073" s="875"/>
      <c r="W1073" s="875"/>
      <c r="X1073" s="1026">
        <f t="shared" si="629"/>
        <v>56700</v>
      </c>
      <c r="Y1073" s="1512">
        <f t="shared" si="630"/>
        <v>0.35645933014354064</v>
      </c>
      <c r="Z1073" s="1741">
        <f t="shared" si="631"/>
        <v>1.3564593301435406</v>
      </c>
      <c r="AA1073" s="1749">
        <f t="shared" si="632"/>
        <v>1</v>
      </c>
      <c r="AB1073" s="1810">
        <f t="shared" si="633"/>
        <v>73.721340388007064</v>
      </c>
      <c r="AC1073" s="876"/>
      <c r="AD1073" s="1525">
        <f t="shared" si="634"/>
        <v>1</v>
      </c>
      <c r="AE1073" s="1525">
        <f t="shared" si="634"/>
        <v>0</v>
      </c>
      <c r="AF1073" s="1525">
        <f t="shared" si="634"/>
        <v>0</v>
      </c>
      <c r="AG1073" s="1525">
        <f t="shared" si="634"/>
        <v>0</v>
      </c>
      <c r="AH1073" s="1525">
        <f t="shared" si="634"/>
        <v>0</v>
      </c>
      <c r="AI1073" s="1525">
        <f t="shared" si="634"/>
        <v>0</v>
      </c>
      <c r="AJ1073" s="1525">
        <f t="shared" si="634"/>
        <v>0</v>
      </c>
      <c r="AK1073" s="1525">
        <f t="shared" si="634"/>
        <v>0</v>
      </c>
      <c r="AL1073" s="1525">
        <f t="shared" si="634"/>
        <v>0</v>
      </c>
      <c r="AM1073" s="1525">
        <f t="shared" si="634"/>
        <v>0</v>
      </c>
      <c r="AN1073" s="1525">
        <f t="shared" si="634"/>
        <v>0</v>
      </c>
      <c r="AO1073" s="1525">
        <f t="shared" si="634"/>
        <v>0</v>
      </c>
      <c r="AP1073" s="1525">
        <f t="shared" si="634"/>
        <v>0</v>
      </c>
      <c r="AQ1073" s="1525">
        <f t="shared" si="634"/>
        <v>0</v>
      </c>
      <c r="AR1073" s="1525">
        <f t="shared" si="634"/>
        <v>0</v>
      </c>
      <c r="AS1073" s="1525">
        <f t="shared" si="634"/>
        <v>0</v>
      </c>
      <c r="AU1073" s="1525"/>
      <c r="AV1073" s="1291"/>
      <c r="AW1073" s="1292"/>
      <c r="AX1073" s="1292"/>
      <c r="AY1073" s="1292"/>
      <c r="AZ1073" s="1292"/>
      <c r="BA1073" s="1292"/>
      <c r="BB1073" s="1292"/>
      <c r="BC1073" s="1292"/>
      <c r="BD1073" s="1292"/>
      <c r="BE1073" s="1292"/>
      <c r="BF1073" s="1292"/>
      <c r="BG1073" s="1292"/>
      <c r="BH1073" s="1292"/>
      <c r="BI1073" s="1292">
        <v>0.5</v>
      </c>
      <c r="BJ1073" s="1292">
        <v>0.5</v>
      </c>
      <c r="BK1073" s="1292"/>
      <c r="BL1073" s="1292"/>
      <c r="BM1073" s="1292"/>
      <c r="BN1073" s="1292"/>
      <c r="BO1073" s="1292"/>
      <c r="BP1073" s="1292"/>
      <c r="BQ1073" s="1292"/>
      <c r="BR1073" s="1292"/>
      <c r="BS1073" s="1292"/>
      <c r="BT1073" s="1670">
        <f t="shared" si="635"/>
        <v>1</v>
      </c>
      <c r="BW1073" s="856" t="s">
        <v>604</v>
      </c>
    </row>
    <row r="1074" spans="2:75" s="164" customFormat="1" ht="12.75" customHeight="1" x14ac:dyDescent="0.2">
      <c r="B1074" s="175">
        <f t="shared" si="636"/>
        <v>9</v>
      </c>
      <c r="C1074" s="219">
        <v>14</v>
      </c>
      <c r="E1074" s="12" t="s">
        <v>1560</v>
      </c>
      <c r="F1074" s="1" t="s">
        <v>626</v>
      </c>
      <c r="G1074" s="856" t="s">
        <v>530</v>
      </c>
      <c r="H1074" s="1413">
        <v>130570</v>
      </c>
      <c r="I1074" s="172" t="s">
        <v>583</v>
      </c>
      <c r="J1074" s="168"/>
      <c r="K1074" s="168"/>
      <c r="L1074" s="858">
        <v>1</v>
      </c>
      <c r="M1074" s="858">
        <f t="shared" si="638"/>
        <v>1</v>
      </c>
      <c r="N1074" s="857" t="s">
        <v>1326</v>
      </c>
      <c r="O1074" s="1196">
        <v>33365</v>
      </c>
      <c r="P1074" s="1218">
        <f t="shared" ca="1" si="628"/>
        <v>26.402777777777779</v>
      </c>
      <c r="Q1074" s="1148">
        <v>37000</v>
      </c>
      <c r="R1074" s="874">
        <f t="shared" si="637"/>
        <v>3700</v>
      </c>
      <c r="S1074" s="875"/>
      <c r="T1074" s="875">
        <v>20300</v>
      </c>
      <c r="U1074" s="875"/>
      <c r="V1074" s="875"/>
      <c r="W1074" s="875"/>
      <c r="X1074" s="1026">
        <f t="shared" si="629"/>
        <v>61000</v>
      </c>
      <c r="Y1074" s="1512">
        <f t="shared" si="630"/>
        <v>0.49877149877149879</v>
      </c>
      <c r="Z1074" s="1741">
        <f t="shared" si="631"/>
        <v>1.4987714987714988</v>
      </c>
      <c r="AA1074" s="1749">
        <f t="shared" si="632"/>
        <v>1</v>
      </c>
      <c r="AB1074" s="1810">
        <f t="shared" si="633"/>
        <v>66.721311475409834</v>
      </c>
      <c r="AC1074" s="876"/>
      <c r="AD1074" s="1525">
        <f t="shared" si="634"/>
        <v>1</v>
      </c>
      <c r="AE1074" s="1525">
        <f t="shared" si="634"/>
        <v>0</v>
      </c>
      <c r="AF1074" s="1525">
        <f t="shared" si="634"/>
        <v>0</v>
      </c>
      <c r="AG1074" s="1525">
        <f t="shared" si="634"/>
        <v>0</v>
      </c>
      <c r="AH1074" s="1525">
        <f t="shared" si="634"/>
        <v>0</v>
      </c>
      <c r="AI1074" s="1525">
        <f t="shared" si="634"/>
        <v>0</v>
      </c>
      <c r="AJ1074" s="1525">
        <f t="shared" si="634"/>
        <v>0</v>
      </c>
      <c r="AK1074" s="1525">
        <f t="shared" si="634"/>
        <v>0</v>
      </c>
      <c r="AL1074" s="1525">
        <f t="shared" si="634"/>
        <v>0</v>
      </c>
      <c r="AM1074" s="1525">
        <f t="shared" si="634"/>
        <v>0</v>
      </c>
      <c r="AN1074" s="1525">
        <f t="shared" si="634"/>
        <v>0</v>
      </c>
      <c r="AO1074" s="1525">
        <f t="shared" si="634"/>
        <v>0</v>
      </c>
      <c r="AP1074" s="1525">
        <f t="shared" si="634"/>
        <v>0</v>
      </c>
      <c r="AQ1074" s="1525">
        <f t="shared" si="634"/>
        <v>0</v>
      </c>
      <c r="AR1074" s="1525">
        <f t="shared" si="634"/>
        <v>0</v>
      </c>
      <c r="AS1074" s="1525">
        <f t="shared" si="634"/>
        <v>0</v>
      </c>
      <c r="AU1074" s="1525"/>
      <c r="AV1074" s="1295"/>
      <c r="AW1074" s="1525"/>
      <c r="AX1074" s="1525"/>
      <c r="AY1074" s="1525"/>
      <c r="AZ1074" s="1525"/>
      <c r="BA1074" s="1525"/>
      <c r="BB1074" s="1525"/>
      <c r="BC1074" s="1525"/>
      <c r="BD1074" s="1525"/>
      <c r="BE1074" s="1525"/>
      <c r="BF1074" s="1525"/>
      <c r="BG1074" s="1525"/>
      <c r="BH1074" s="1525"/>
      <c r="BI1074" s="1525">
        <v>0.3</v>
      </c>
      <c r="BJ1074" s="1525">
        <v>0.7</v>
      </c>
      <c r="BK1074" s="1525"/>
      <c r="BL1074" s="1525"/>
      <c r="BM1074" s="1525"/>
      <c r="BN1074" s="1525"/>
      <c r="BO1074" s="1525"/>
      <c r="BP1074" s="1525"/>
      <c r="BQ1074" s="1525"/>
      <c r="BR1074" s="1525"/>
      <c r="BS1074" s="1525"/>
      <c r="BT1074" s="1670">
        <f t="shared" si="635"/>
        <v>1</v>
      </c>
      <c r="BV1074"/>
      <c r="BW1074" s="856" t="s">
        <v>530</v>
      </c>
    </row>
    <row r="1075" spans="2:75" ht="12.75" customHeight="1" x14ac:dyDescent="0.2">
      <c r="B1075" s="175">
        <f t="shared" si="636"/>
        <v>10</v>
      </c>
      <c r="C1075" s="220">
        <v>14</v>
      </c>
      <c r="D1075" s="170"/>
      <c r="E1075" s="447" t="s">
        <v>1560</v>
      </c>
      <c r="F1075" s="37" t="s">
        <v>626</v>
      </c>
      <c r="G1075" s="913" t="s">
        <v>1159</v>
      </c>
      <c r="H1075" s="1412">
        <v>134649</v>
      </c>
      <c r="I1075" s="180" t="s">
        <v>583</v>
      </c>
      <c r="J1075" s="173"/>
      <c r="K1075" s="173"/>
      <c r="L1075" s="861">
        <v>1</v>
      </c>
      <c r="M1075" s="861">
        <v>1</v>
      </c>
      <c r="N1075" s="836" t="s">
        <v>1326</v>
      </c>
      <c r="O1075" s="1196">
        <v>33533</v>
      </c>
      <c r="P1075" s="1262">
        <f t="shared" ca="1" si="628"/>
        <v>25.944444444444443</v>
      </c>
      <c r="Q1075" s="1148">
        <v>29000</v>
      </c>
      <c r="R1075" s="874">
        <f t="shared" si="637"/>
        <v>2900</v>
      </c>
      <c r="S1075" s="876"/>
      <c r="T1075" s="876"/>
      <c r="U1075" s="876"/>
      <c r="V1075" s="876"/>
      <c r="W1075" s="876"/>
      <c r="X1075" s="1026">
        <f t="shared" si="629"/>
        <v>31900</v>
      </c>
      <c r="Y1075" s="1512">
        <f t="shared" si="630"/>
        <v>0</v>
      </c>
      <c r="Z1075" s="1741">
        <f t="shared" si="631"/>
        <v>1</v>
      </c>
      <c r="AA1075" s="1749">
        <f t="shared" si="632"/>
        <v>1</v>
      </c>
      <c r="AB1075" s="1810">
        <f t="shared" si="633"/>
        <v>100</v>
      </c>
      <c r="AC1075" s="876"/>
      <c r="AD1075" s="1525">
        <f t="shared" si="634"/>
        <v>1</v>
      </c>
      <c r="AE1075" s="1525">
        <f t="shared" si="634"/>
        <v>0</v>
      </c>
      <c r="AF1075" s="1525">
        <f t="shared" si="634"/>
        <v>0</v>
      </c>
      <c r="AG1075" s="1525">
        <f t="shared" si="634"/>
        <v>0</v>
      </c>
      <c r="AH1075" s="1525">
        <f t="shared" si="634"/>
        <v>0</v>
      </c>
      <c r="AI1075" s="1525">
        <f t="shared" si="634"/>
        <v>0</v>
      </c>
      <c r="AJ1075" s="1525">
        <f t="shared" si="634"/>
        <v>0</v>
      </c>
      <c r="AK1075" s="1525">
        <f t="shared" si="634"/>
        <v>0</v>
      </c>
      <c r="AL1075" s="1525">
        <f t="shared" si="634"/>
        <v>0</v>
      </c>
      <c r="AM1075" s="1525">
        <f t="shared" si="634"/>
        <v>0</v>
      </c>
      <c r="AN1075" s="1525">
        <f t="shared" si="634"/>
        <v>0</v>
      </c>
      <c r="AO1075" s="1525">
        <f t="shared" si="634"/>
        <v>0</v>
      </c>
      <c r="AP1075" s="1525">
        <f t="shared" si="634"/>
        <v>0</v>
      </c>
      <c r="AQ1075" s="1525">
        <f t="shared" si="634"/>
        <v>0</v>
      </c>
      <c r="AR1075" s="1525">
        <f t="shared" si="634"/>
        <v>0</v>
      </c>
      <c r="AS1075" s="1525">
        <f t="shared" si="634"/>
        <v>0</v>
      </c>
      <c r="AU1075" s="1525"/>
      <c r="AV1075" s="1291"/>
      <c r="AW1075" s="1292"/>
      <c r="AX1075" s="1292"/>
      <c r="AY1075" s="1292"/>
      <c r="AZ1075" s="1292"/>
      <c r="BA1075" s="1292"/>
      <c r="BB1075" s="1292"/>
      <c r="BC1075" s="1292"/>
      <c r="BD1075" s="1292"/>
      <c r="BE1075" s="1292"/>
      <c r="BF1075" s="1292"/>
      <c r="BG1075" s="1292"/>
      <c r="BH1075" s="1292"/>
      <c r="BI1075" s="1292">
        <v>0.5</v>
      </c>
      <c r="BJ1075" s="1292">
        <v>0.5</v>
      </c>
      <c r="BK1075" s="1292"/>
      <c r="BL1075" s="1292"/>
      <c r="BM1075" s="1292"/>
      <c r="BN1075" s="1292"/>
      <c r="BO1075" s="1292"/>
      <c r="BP1075" s="1292"/>
      <c r="BQ1075" s="1292"/>
      <c r="BR1075" s="1292"/>
      <c r="BS1075" s="1292"/>
      <c r="BT1075" s="1670">
        <f t="shared" si="635"/>
        <v>1</v>
      </c>
      <c r="BW1075" s="913" t="s">
        <v>1159</v>
      </c>
    </row>
    <row r="1076" spans="2:75" ht="12.75" customHeight="1" x14ac:dyDescent="0.2">
      <c r="B1076" s="175">
        <f t="shared" si="636"/>
        <v>11</v>
      </c>
      <c r="C1076" s="219">
        <v>14</v>
      </c>
      <c r="E1076" s="12" t="s">
        <v>1560</v>
      </c>
      <c r="F1076" s="1" t="s">
        <v>626</v>
      </c>
      <c r="G1076" s="856" t="s">
        <v>1768</v>
      </c>
      <c r="H1076" s="1413">
        <v>160009</v>
      </c>
      <c r="I1076" s="172" t="s">
        <v>583</v>
      </c>
      <c r="J1076" s="168"/>
      <c r="K1076" s="168"/>
      <c r="L1076" s="858">
        <v>1</v>
      </c>
      <c r="M1076" s="858">
        <v>1</v>
      </c>
      <c r="N1076" s="857" t="s">
        <v>892</v>
      </c>
      <c r="O1076" s="1196">
        <v>34311</v>
      </c>
      <c r="P1076" s="1218">
        <f t="shared" ca="1" si="628"/>
        <v>23.816666666666666</v>
      </c>
      <c r="Q1076" s="1148">
        <v>27400</v>
      </c>
      <c r="R1076" s="874"/>
      <c r="S1076" s="875"/>
      <c r="T1076" s="875"/>
      <c r="U1076" s="875"/>
      <c r="V1076" s="875"/>
      <c r="W1076" s="875"/>
      <c r="X1076" s="1026">
        <f t="shared" si="629"/>
        <v>27400</v>
      </c>
      <c r="Y1076" s="1512">
        <f t="shared" si="630"/>
        <v>0</v>
      </c>
      <c r="Z1076" s="1741">
        <f t="shared" si="631"/>
        <v>1</v>
      </c>
      <c r="AA1076" s="1749">
        <f t="shared" si="632"/>
        <v>1</v>
      </c>
      <c r="AB1076" s="1810">
        <f t="shared" si="633"/>
        <v>100</v>
      </c>
      <c r="AC1076" s="876"/>
      <c r="AD1076" s="1525">
        <f t="shared" ref="AD1076:AS1082" si="639">SUMIF($AV$6:$BS$6,AD$5,$AV1076:$BS1076)</f>
        <v>1</v>
      </c>
      <c r="AE1076" s="1525">
        <f t="shared" si="639"/>
        <v>0</v>
      </c>
      <c r="AF1076" s="1525">
        <f t="shared" si="639"/>
        <v>0</v>
      </c>
      <c r="AG1076" s="1525">
        <f t="shared" si="639"/>
        <v>0</v>
      </c>
      <c r="AH1076" s="1525">
        <f t="shared" si="639"/>
        <v>0</v>
      </c>
      <c r="AI1076" s="1525">
        <f t="shared" si="639"/>
        <v>0</v>
      </c>
      <c r="AJ1076" s="1525">
        <f t="shared" si="639"/>
        <v>0</v>
      </c>
      <c r="AK1076" s="1525">
        <f t="shared" si="639"/>
        <v>0</v>
      </c>
      <c r="AL1076" s="1525">
        <f t="shared" si="639"/>
        <v>0</v>
      </c>
      <c r="AM1076" s="1525">
        <f t="shared" si="639"/>
        <v>0</v>
      </c>
      <c r="AN1076" s="1525">
        <f t="shared" si="639"/>
        <v>0</v>
      </c>
      <c r="AO1076" s="1525">
        <f t="shared" si="639"/>
        <v>0</v>
      </c>
      <c r="AP1076" s="1525">
        <f t="shared" si="639"/>
        <v>0</v>
      </c>
      <c r="AQ1076" s="1525">
        <f t="shared" si="639"/>
        <v>0</v>
      </c>
      <c r="AR1076" s="1525">
        <f t="shared" si="639"/>
        <v>0</v>
      </c>
      <c r="AS1076" s="1525">
        <f t="shared" si="639"/>
        <v>0</v>
      </c>
      <c r="AU1076" s="1525"/>
      <c r="AV1076" s="1291"/>
      <c r="AW1076" s="1292"/>
      <c r="AX1076" s="1292"/>
      <c r="AY1076" s="1292"/>
      <c r="AZ1076" s="1292"/>
      <c r="BA1076" s="1292"/>
      <c r="BB1076" s="1292"/>
      <c r="BC1076" s="1292"/>
      <c r="BD1076" s="1292"/>
      <c r="BE1076" s="1292"/>
      <c r="BF1076" s="1292"/>
      <c r="BG1076" s="1292"/>
      <c r="BH1076" s="1292"/>
      <c r="BI1076" s="1292"/>
      <c r="BJ1076" s="1292">
        <v>1</v>
      </c>
      <c r="BK1076" s="1292"/>
      <c r="BL1076" s="1292"/>
      <c r="BM1076" s="1292"/>
      <c r="BN1076" s="1292"/>
      <c r="BO1076" s="1292"/>
      <c r="BP1076" s="1292"/>
      <c r="BQ1076" s="1292"/>
      <c r="BR1076" s="1292"/>
      <c r="BS1076" s="1292"/>
      <c r="BT1076" s="1670">
        <f t="shared" si="635"/>
        <v>1</v>
      </c>
      <c r="BW1076" s="856" t="s">
        <v>1768</v>
      </c>
    </row>
    <row r="1077" spans="2:75" ht="12.75" customHeight="1" x14ac:dyDescent="0.2">
      <c r="B1077" s="175">
        <f t="shared" si="636"/>
        <v>12</v>
      </c>
      <c r="C1077" s="219">
        <v>14</v>
      </c>
      <c r="E1077" s="12" t="s">
        <v>1560</v>
      </c>
      <c r="F1077" s="1" t="s">
        <v>626</v>
      </c>
      <c r="G1077" s="856" t="s">
        <v>439</v>
      </c>
      <c r="H1077" s="1413">
        <v>150856</v>
      </c>
      <c r="I1077" s="172" t="s">
        <v>583</v>
      </c>
      <c r="J1077" s="168"/>
      <c r="K1077" s="168"/>
      <c r="L1077" s="858">
        <v>1</v>
      </c>
      <c r="M1077" s="858">
        <v>1</v>
      </c>
      <c r="N1077" s="857" t="s">
        <v>892</v>
      </c>
      <c r="O1077" s="1196">
        <v>28094</v>
      </c>
      <c r="P1077" s="1218">
        <f t="shared" ca="1" si="628"/>
        <v>40.838888888888889</v>
      </c>
      <c r="Q1077" s="1148">
        <v>27000</v>
      </c>
      <c r="R1077" s="874"/>
      <c r="S1077" s="875"/>
      <c r="T1077" s="875"/>
      <c r="U1077" s="875"/>
      <c r="V1077" s="875"/>
      <c r="W1077" s="875"/>
      <c r="X1077" s="1026">
        <f t="shared" si="629"/>
        <v>27000</v>
      </c>
      <c r="Y1077" s="1512">
        <f t="shared" si="630"/>
        <v>0</v>
      </c>
      <c r="Z1077" s="1741">
        <f t="shared" si="631"/>
        <v>1</v>
      </c>
      <c r="AA1077" s="1749">
        <f t="shared" si="632"/>
        <v>0</v>
      </c>
      <c r="AB1077" s="1810">
        <f t="shared" si="633"/>
        <v>0</v>
      </c>
      <c r="AC1077" s="876"/>
      <c r="AD1077" s="1525">
        <f t="shared" si="639"/>
        <v>0</v>
      </c>
      <c r="AE1077" s="1525">
        <f t="shared" si="639"/>
        <v>0</v>
      </c>
      <c r="AF1077" s="1525">
        <f t="shared" si="639"/>
        <v>0</v>
      </c>
      <c r="AG1077" s="1525">
        <f t="shared" si="639"/>
        <v>0</v>
      </c>
      <c r="AH1077" s="1525">
        <f t="shared" si="639"/>
        <v>0</v>
      </c>
      <c r="AI1077" s="1525">
        <f t="shared" si="639"/>
        <v>0</v>
      </c>
      <c r="AJ1077" s="1525">
        <f t="shared" si="639"/>
        <v>0</v>
      </c>
      <c r="AK1077" s="1525">
        <f t="shared" si="639"/>
        <v>0</v>
      </c>
      <c r="AL1077" s="1525">
        <f t="shared" si="639"/>
        <v>0</v>
      </c>
      <c r="AM1077" s="1525">
        <f t="shared" si="639"/>
        <v>0</v>
      </c>
      <c r="AN1077" s="1525">
        <f t="shared" si="639"/>
        <v>0</v>
      </c>
      <c r="AO1077" s="1525">
        <f t="shared" si="639"/>
        <v>0</v>
      </c>
      <c r="AP1077" s="1525">
        <f t="shared" si="639"/>
        <v>0</v>
      </c>
      <c r="AQ1077" s="1525">
        <f t="shared" si="639"/>
        <v>0</v>
      </c>
      <c r="AR1077" s="1525">
        <f t="shared" si="639"/>
        <v>0</v>
      </c>
      <c r="AS1077" s="1525">
        <f t="shared" si="639"/>
        <v>0</v>
      </c>
      <c r="AU1077" s="1525"/>
      <c r="AV1077" s="1291"/>
      <c r="AW1077" s="1292"/>
      <c r="AX1077" s="1292"/>
      <c r="AY1077" s="1292"/>
      <c r="AZ1077" s="1292"/>
      <c r="BA1077" s="1292"/>
      <c r="BB1077" s="1292"/>
      <c r="BC1077" s="1292"/>
      <c r="BD1077" s="1292"/>
      <c r="BE1077" s="1292"/>
      <c r="BF1077" s="1292"/>
      <c r="BG1077" s="1292"/>
      <c r="BH1077" s="1292"/>
      <c r="BI1077" s="1292"/>
      <c r="BJ1077" s="1292"/>
      <c r="BK1077" s="1292"/>
      <c r="BL1077" s="1292"/>
      <c r="BM1077" s="1292"/>
      <c r="BN1077" s="1292"/>
      <c r="BO1077" s="1292"/>
      <c r="BP1077" s="1292"/>
      <c r="BQ1077" s="1292"/>
      <c r="BR1077" s="1292"/>
      <c r="BS1077" s="1292"/>
      <c r="BT1077" s="1670">
        <f t="shared" si="635"/>
        <v>0</v>
      </c>
      <c r="BV1077" t="s">
        <v>2076</v>
      </c>
      <c r="BW1077" s="856" t="s">
        <v>439</v>
      </c>
    </row>
    <row r="1078" spans="2:75" ht="12.75" customHeight="1" x14ac:dyDescent="0.2">
      <c r="B1078" s="175">
        <f t="shared" si="636"/>
        <v>13</v>
      </c>
      <c r="C1078" s="219">
        <v>14</v>
      </c>
      <c r="E1078" s="12" t="s">
        <v>1560</v>
      </c>
      <c r="F1078" s="1" t="s">
        <v>626</v>
      </c>
      <c r="G1078" s="856" t="s">
        <v>1805</v>
      </c>
      <c r="H1078" s="1413">
        <v>160858</v>
      </c>
      <c r="I1078" s="172" t="s">
        <v>583</v>
      </c>
      <c r="J1078" s="168"/>
      <c r="K1078" s="168"/>
      <c r="L1078" s="858">
        <v>1</v>
      </c>
      <c r="M1078" s="858">
        <v>1</v>
      </c>
      <c r="N1078" s="857" t="s">
        <v>892</v>
      </c>
      <c r="O1078" s="1196">
        <v>34025</v>
      </c>
      <c r="P1078" s="1218">
        <f t="shared" ca="1" si="628"/>
        <v>24.602777777777778</v>
      </c>
      <c r="Q1078" s="1148">
        <v>26000</v>
      </c>
      <c r="R1078" s="874"/>
      <c r="S1078" s="875"/>
      <c r="T1078" s="875"/>
      <c r="U1078" s="875"/>
      <c r="V1078" s="875"/>
      <c r="W1078" s="875"/>
      <c r="X1078" s="1026">
        <f t="shared" si="629"/>
        <v>26000</v>
      </c>
      <c r="Y1078" s="1512">
        <f t="shared" si="630"/>
        <v>0</v>
      </c>
      <c r="Z1078" s="1741">
        <f t="shared" si="631"/>
        <v>1</v>
      </c>
      <c r="AA1078" s="1749">
        <f t="shared" si="632"/>
        <v>0</v>
      </c>
      <c r="AB1078" s="1810">
        <f t="shared" si="633"/>
        <v>0</v>
      </c>
      <c r="AC1078" s="876"/>
      <c r="AD1078" s="1525">
        <f t="shared" si="639"/>
        <v>0</v>
      </c>
      <c r="AE1078" s="1525">
        <f t="shared" si="639"/>
        <v>0</v>
      </c>
      <c r="AF1078" s="1525">
        <f t="shared" si="639"/>
        <v>0</v>
      </c>
      <c r="AG1078" s="1525">
        <f t="shared" si="639"/>
        <v>0</v>
      </c>
      <c r="AH1078" s="1525">
        <f t="shared" si="639"/>
        <v>0</v>
      </c>
      <c r="AI1078" s="1525">
        <f t="shared" si="639"/>
        <v>0</v>
      </c>
      <c r="AJ1078" s="1525">
        <f t="shared" si="639"/>
        <v>0</v>
      </c>
      <c r="AK1078" s="1525">
        <f t="shared" si="639"/>
        <v>0</v>
      </c>
      <c r="AL1078" s="1525">
        <f t="shared" si="639"/>
        <v>0</v>
      </c>
      <c r="AM1078" s="1525">
        <f t="shared" si="639"/>
        <v>0</v>
      </c>
      <c r="AN1078" s="1525">
        <f t="shared" si="639"/>
        <v>0</v>
      </c>
      <c r="AO1078" s="1525">
        <f t="shared" si="639"/>
        <v>0</v>
      </c>
      <c r="AP1078" s="1525">
        <f t="shared" si="639"/>
        <v>0</v>
      </c>
      <c r="AQ1078" s="1525">
        <f t="shared" si="639"/>
        <v>0</v>
      </c>
      <c r="AR1078" s="1525">
        <f t="shared" si="639"/>
        <v>0</v>
      </c>
      <c r="AS1078" s="1525">
        <f t="shared" si="639"/>
        <v>0</v>
      </c>
      <c r="AU1078" s="1525"/>
      <c r="AV1078" s="1291"/>
      <c r="AW1078" s="1292"/>
      <c r="AX1078" s="1292"/>
      <c r="AY1078" s="1292"/>
      <c r="AZ1078" s="1292"/>
      <c r="BA1078" s="1292"/>
      <c r="BB1078" s="1292"/>
      <c r="BC1078" s="1292"/>
      <c r="BD1078" s="1292"/>
      <c r="BE1078" s="1292"/>
      <c r="BF1078" s="1292"/>
      <c r="BG1078" s="1292"/>
      <c r="BH1078" s="1292"/>
      <c r="BI1078" s="1292"/>
      <c r="BJ1078" s="1292"/>
      <c r="BK1078" s="1292"/>
      <c r="BL1078" s="1292"/>
      <c r="BM1078" s="1292"/>
      <c r="BN1078" s="1292"/>
      <c r="BO1078" s="1292"/>
      <c r="BP1078" s="1292"/>
      <c r="BQ1078" s="1292"/>
      <c r="BR1078" s="1292"/>
      <c r="BS1078" s="1292"/>
      <c r="BT1078" s="1670">
        <f t="shared" si="635"/>
        <v>0</v>
      </c>
      <c r="BW1078" s="856" t="s">
        <v>1805</v>
      </c>
    </row>
    <row r="1079" spans="2:75" ht="12.75" customHeight="1" x14ac:dyDescent="0.2">
      <c r="B1079" s="175">
        <f t="shared" si="636"/>
        <v>14</v>
      </c>
      <c r="C1079" s="219">
        <v>17</v>
      </c>
      <c r="E1079" s="12" t="s">
        <v>1560</v>
      </c>
      <c r="F1079" s="37" t="s">
        <v>584</v>
      </c>
      <c r="G1079" s="856" t="s">
        <v>766</v>
      </c>
      <c r="H1079" s="1413">
        <v>160861</v>
      </c>
      <c r="I1079" s="172" t="s">
        <v>583</v>
      </c>
      <c r="J1079" s="168"/>
      <c r="K1079" s="168"/>
      <c r="L1079" s="858">
        <v>1</v>
      </c>
      <c r="M1079" s="858">
        <v>1</v>
      </c>
      <c r="N1079" s="857" t="s">
        <v>892</v>
      </c>
      <c r="O1079" s="1196">
        <v>36033</v>
      </c>
      <c r="P1079" s="1218">
        <f t="shared" ca="1" si="628"/>
        <v>19.100000000000001</v>
      </c>
      <c r="Q1079" s="1148">
        <v>20000</v>
      </c>
      <c r="R1079" s="874"/>
      <c r="S1079" s="875"/>
      <c r="T1079" s="875"/>
      <c r="U1079" s="875"/>
      <c r="V1079" s="875"/>
      <c r="W1079" s="875"/>
      <c r="X1079" s="1026">
        <f t="shared" si="629"/>
        <v>20000</v>
      </c>
      <c r="Y1079" s="1512">
        <f t="shared" si="630"/>
        <v>0</v>
      </c>
      <c r="Z1079" s="1741">
        <f t="shared" si="631"/>
        <v>1</v>
      </c>
      <c r="AA1079" s="1749">
        <f t="shared" si="632"/>
        <v>0</v>
      </c>
      <c r="AB1079" s="1810">
        <f t="shared" si="633"/>
        <v>0</v>
      </c>
      <c r="AC1079" s="876"/>
      <c r="AD1079" s="1525">
        <f t="shared" si="639"/>
        <v>0</v>
      </c>
      <c r="AE1079" s="1525">
        <f t="shared" si="639"/>
        <v>0</v>
      </c>
      <c r="AF1079" s="1525">
        <f t="shared" si="639"/>
        <v>0</v>
      </c>
      <c r="AG1079" s="1525">
        <f t="shared" si="639"/>
        <v>0</v>
      </c>
      <c r="AH1079" s="1525">
        <f t="shared" si="639"/>
        <v>0</v>
      </c>
      <c r="AI1079" s="1525">
        <f t="shared" si="639"/>
        <v>0</v>
      </c>
      <c r="AJ1079" s="1525">
        <f t="shared" si="639"/>
        <v>0</v>
      </c>
      <c r="AK1079" s="1525">
        <f t="shared" si="639"/>
        <v>0</v>
      </c>
      <c r="AL1079" s="1525">
        <f t="shared" si="639"/>
        <v>0</v>
      </c>
      <c r="AM1079" s="1525">
        <f t="shared" si="639"/>
        <v>0</v>
      </c>
      <c r="AN1079" s="1525">
        <f t="shared" si="639"/>
        <v>0</v>
      </c>
      <c r="AO1079" s="1525">
        <f t="shared" si="639"/>
        <v>0</v>
      </c>
      <c r="AP1079" s="1525">
        <f t="shared" si="639"/>
        <v>0</v>
      </c>
      <c r="AQ1079" s="1525">
        <f t="shared" si="639"/>
        <v>0</v>
      </c>
      <c r="AR1079" s="1525">
        <f t="shared" si="639"/>
        <v>0</v>
      </c>
      <c r="AS1079" s="1525">
        <f t="shared" si="639"/>
        <v>0</v>
      </c>
      <c r="AU1079" s="1525"/>
      <c r="AV1079" s="1291"/>
      <c r="AW1079" s="1292"/>
      <c r="AX1079" s="1292"/>
      <c r="AY1079" s="1292"/>
      <c r="AZ1079" s="1292"/>
      <c r="BA1079" s="1292"/>
      <c r="BB1079" s="1292"/>
      <c r="BC1079" s="1292"/>
      <c r="BD1079" s="1292"/>
      <c r="BE1079" s="1292"/>
      <c r="BF1079" s="1292"/>
      <c r="BG1079" s="1292"/>
      <c r="BH1079" s="1292"/>
      <c r="BI1079" s="1292"/>
      <c r="BJ1079" s="1292"/>
      <c r="BK1079" s="1292"/>
      <c r="BL1079" s="1292"/>
      <c r="BM1079" s="1292"/>
      <c r="BN1079" s="1292"/>
      <c r="BO1079" s="1292"/>
      <c r="BP1079" s="1292"/>
      <c r="BQ1079" s="1292"/>
      <c r="BR1079" s="1292"/>
      <c r="BS1079" s="1292"/>
      <c r="BT1079" s="1670">
        <f t="shared" si="635"/>
        <v>0</v>
      </c>
      <c r="BW1079" s="856" t="s">
        <v>766</v>
      </c>
    </row>
    <row r="1080" spans="2:75" ht="12.75" customHeight="1" x14ac:dyDescent="0.2">
      <c r="B1080" s="175">
        <f t="shared" si="636"/>
        <v>15</v>
      </c>
      <c r="C1080" s="219">
        <v>17</v>
      </c>
      <c r="E1080" s="12" t="s">
        <v>1560</v>
      </c>
      <c r="F1080" s="37" t="s">
        <v>584</v>
      </c>
      <c r="G1080" s="913" t="s">
        <v>596</v>
      </c>
      <c r="H1080" s="1412">
        <v>220227</v>
      </c>
      <c r="I1080" s="180" t="s">
        <v>583</v>
      </c>
      <c r="J1080" s="177"/>
      <c r="K1080" s="173"/>
      <c r="L1080" s="893">
        <v>1</v>
      </c>
      <c r="M1080" s="861">
        <f>K1080+L1080</f>
        <v>1</v>
      </c>
      <c r="N1080" s="857" t="s">
        <v>892</v>
      </c>
      <c r="O1080" s="1196">
        <v>25453</v>
      </c>
      <c r="P1080" s="1218">
        <f t="shared" ca="1" si="628"/>
        <v>48.069444444444443</v>
      </c>
      <c r="Q1080" s="1148">
        <v>28900</v>
      </c>
      <c r="R1080" s="874"/>
      <c r="S1080" s="876"/>
      <c r="T1080" s="876">
        <v>10700</v>
      </c>
      <c r="U1080" s="876"/>
      <c r="V1080" s="876"/>
      <c r="W1080" s="876"/>
      <c r="X1080" s="1026">
        <f t="shared" si="629"/>
        <v>39600</v>
      </c>
      <c r="Y1080" s="1512">
        <f t="shared" si="630"/>
        <v>0.37024221453287198</v>
      </c>
      <c r="Z1080" s="1741">
        <f t="shared" si="631"/>
        <v>1.3702422145328721</v>
      </c>
      <c r="AA1080" s="1749">
        <f t="shared" si="632"/>
        <v>1</v>
      </c>
      <c r="AB1080" s="1810">
        <f t="shared" si="633"/>
        <v>72.979797979797979</v>
      </c>
      <c r="AC1080" s="876"/>
      <c r="AD1080" s="1525">
        <f t="shared" si="639"/>
        <v>1</v>
      </c>
      <c r="AE1080" s="1525">
        <f t="shared" si="639"/>
        <v>0</v>
      </c>
      <c r="AF1080" s="1525">
        <f t="shared" si="639"/>
        <v>0</v>
      </c>
      <c r="AG1080" s="1525">
        <f t="shared" si="639"/>
        <v>0</v>
      </c>
      <c r="AH1080" s="1525">
        <f t="shared" si="639"/>
        <v>0</v>
      </c>
      <c r="AI1080" s="1525">
        <f t="shared" si="639"/>
        <v>0</v>
      </c>
      <c r="AJ1080" s="1525">
        <f t="shared" si="639"/>
        <v>0</v>
      </c>
      <c r="AK1080" s="1525">
        <f t="shared" si="639"/>
        <v>0</v>
      </c>
      <c r="AL1080" s="1525">
        <f t="shared" si="639"/>
        <v>0</v>
      </c>
      <c r="AM1080" s="1525">
        <f t="shared" si="639"/>
        <v>0</v>
      </c>
      <c r="AN1080" s="1525">
        <f t="shared" si="639"/>
        <v>0</v>
      </c>
      <c r="AO1080" s="1525">
        <f t="shared" si="639"/>
        <v>0</v>
      </c>
      <c r="AP1080" s="1525">
        <f t="shared" si="639"/>
        <v>0</v>
      </c>
      <c r="AQ1080" s="1525">
        <f t="shared" si="639"/>
        <v>0</v>
      </c>
      <c r="AR1080" s="1525">
        <f t="shared" si="639"/>
        <v>0</v>
      </c>
      <c r="AS1080" s="1525">
        <f t="shared" si="639"/>
        <v>0</v>
      </c>
      <c r="AU1080" s="1525"/>
      <c r="AV1080" s="1291"/>
      <c r="AW1080" s="1292"/>
      <c r="AX1080" s="1292"/>
      <c r="AY1080" s="1292"/>
      <c r="AZ1080" s="1292"/>
      <c r="BA1080" s="1292"/>
      <c r="BB1080" s="1292"/>
      <c r="BC1080" s="1292"/>
      <c r="BD1080" s="1292"/>
      <c r="BE1080" s="1292"/>
      <c r="BF1080" s="1292"/>
      <c r="BG1080" s="1292"/>
      <c r="BH1080" s="1292"/>
      <c r="BI1080" s="1292"/>
      <c r="BJ1080" s="1292">
        <v>1</v>
      </c>
      <c r="BK1080" s="1292"/>
      <c r="BL1080" s="1292"/>
      <c r="BM1080" s="1292"/>
      <c r="BN1080" s="1292"/>
      <c r="BO1080" s="1292"/>
      <c r="BP1080" s="1292"/>
      <c r="BQ1080" s="1292"/>
      <c r="BR1080" s="1292"/>
      <c r="BS1080" s="1292"/>
      <c r="BT1080" s="1670">
        <f t="shared" si="635"/>
        <v>1</v>
      </c>
      <c r="BW1080" s="913" t="s">
        <v>596</v>
      </c>
    </row>
    <row r="1081" spans="2:75" ht="12.75" customHeight="1" x14ac:dyDescent="0.2">
      <c r="B1081" s="175">
        <f t="shared" si="636"/>
        <v>16</v>
      </c>
      <c r="C1081" s="219">
        <v>17</v>
      </c>
      <c r="E1081" s="12" t="s">
        <v>1560</v>
      </c>
      <c r="F1081" s="37" t="s">
        <v>584</v>
      </c>
      <c r="G1081" s="913" t="s">
        <v>1806</v>
      </c>
      <c r="H1081" s="861">
        <v>160874</v>
      </c>
      <c r="I1081" s="180" t="s">
        <v>583</v>
      </c>
      <c r="J1081" s="173"/>
      <c r="K1081" s="173"/>
      <c r="L1081" s="893">
        <v>1</v>
      </c>
      <c r="M1081" s="861">
        <v>1</v>
      </c>
      <c r="N1081" s="836" t="s">
        <v>892</v>
      </c>
      <c r="O1081" s="1196">
        <v>35736</v>
      </c>
      <c r="P1081" s="1218">
        <f ca="1">YEARFRAC(TODAY(),O1081)</f>
        <v>19.916666666666668</v>
      </c>
      <c r="Q1081" s="1148">
        <v>20000</v>
      </c>
      <c r="R1081" s="874"/>
      <c r="S1081" s="876"/>
      <c r="T1081" s="876"/>
      <c r="U1081" s="876"/>
      <c r="V1081" s="876"/>
      <c r="W1081" s="876"/>
      <c r="X1081" s="1026">
        <f t="shared" si="629"/>
        <v>20000</v>
      </c>
      <c r="Y1081" s="1512">
        <f t="shared" si="630"/>
        <v>0</v>
      </c>
      <c r="Z1081" s="1741">
        <f t="shared" si="631"/>
        <v>1</v>
      </c>
      <c r="AA1081" s="1749">
        <f t="shared" si="632"/>
        <v>0</v>
      </c>
      <c r="AB1081" s="1810">
        <f t="shared" si="633"/>
        <v>0</v>
      </c>
      <c r="AC1081" s="876"/>
      <c r="AD1081" s="1525">
        <f t="shared" si="639"/>
        <v>0</v>
      </c>
      <c r="AE1081" s="1525">
        <f t="shared" si="639"/>
        <v>0</v>
      </c>
      <c r="AF1081" s="1525">
        <f t="shared" si="639"/>
        <v>0</v>
      </c>
      <c r="AG1081" s="1525">
        <f t="shared" si="639"/>
        <v>0</v>
      </c>
      <c r="AH1081" s="1525">
        <f t="shared" si="639"/>
        <v>0</v>
      </c>
      <c r="AI1081" s="1525">
        <f t="shared" si="639"/>
        <v>0</v>
      </c>
      <c r="AJ1081" s="1525">
        <f t="shared" si="639"/>
        <v>0</v>
      </c>
      <c r="AK1081" s="1525">
        <f t="shared" si="639"/>
        <v>0</v>
      </c>
      <c r="AL1081" s="1525">
        <f t="shared" si="639"/>
        <v>0</v>
      </c>
      <c r="AM1081" s="1525">
        <f t="shared" si="639"/>
        <v>0</v>
      </c>
      <c r="AN1081" s="1525">
        <f t="shared" si="639"/>
        <v>0</v>
      </c>
      <c r="AO1081" s="1525">
        <f t="shared" si="639"/>
        <v>0</v>
      </c>
      <c r="AP1081" s="1525">
        <f t="shared" si="639"/>
        <v>0</v>
      </c>
      <c r="AQ1081" s="1525">
        <f t="shared" si="639"/>
        <v>0</v>
      </c>
      <c r="AR1081" s="1525">
        <f t="shared" si="639"/>
        <v>0</v>
      </c>
      <c r="AS1081" s="1525">
        <f t="shared" si="639"/>
        <v>0</v>
      </c>
      <c r="AU1081" s="1525"/>
      <c r="AV1081" s="1291"/>
      <c r="AW1081" s="1292"/>
      <c r="AX1081" s="1292"/>
      <c r="AY1081" s="1292"/>
      <c r="AZ1081" s="1292"/>
      <c r="BA1081" s="1292"/>
      <c r="BB1081" s="1292"/>
      <c r="BC1081" s="1292"/>
      <c r="BD1081" s="1292"/>
      <c r="BE1081" s="1292"/>
      <c r="BF1081" s="1292"/>
      <c r="BG1081" s="1292"/>
      <c r="BH1081" s="1292"/>
      <c r="BI1081" s="1292"/>
      <c r="BJ1081" s="1292"/>
      <c r="BK1081" s="1292"/>
      <c r="BL1081" s="1292"/>
      <c r="BM1081" s="1292"/>
      <c r="BN1081" s="1292"/>
      <c r="BO1081" s="1292"/>
      <c r="BP1081" s="1292"/>
      <c r="BQ1081" s="1292"/>
      <c r="BR1081" s="1292"/>
      <c r="BS1081" s="1292"/>
      <c r="BT1081" s="1670">
        <f t="shared" si="635"/>
        <v>0</v>
      </c>
      <c r="BW1081" s="913" t="s">
        <v>1806</v>
      </c>
    </row>
    <row r="1082" spans="2:75" ht="12.75" customHeight="1" x14ac:dyDescent="0.2">
      <c r="B1082" s="175">
        <f t="shared" si="636"/>
        <v>17</v>
      </c>
      <c r="C1082" s="219">
        <v>17</v>
      </c>
      <c r="E1082" s="12" t="s">
        <v>1560</v>
      </c>
      <c r="F1082" s="37" t="s">
        <v>584</v>
      </c>
      <c r="G1082" s="913" t="s">
        <v>1914</v>
      </c>
      <c r="H1082" s="861">
        <v>160862</v>
      </c>
      <c r="I1082" s="180" t="s">
        <v>583</v>
      </c>
      <c r="J1082" s="173"/>
      <c r="K1082" s="173"/>
      <c r="L1082" s="893">
        <v>1</v>
      </c>
      <c r="M1082" s="861">
        <v>1</v>
      </c>
      <c r="N1082" s="836" t="s">
        <v>892</v>
      </c>
      <c r="O1082" s="1196">
        <v>35944</v>
      </c>
      <c r="P1082" s="1218">
        <f ca="1">YEARFRAC(TODAY(),O1082)</f>
        <v>19.341666666666665</v>
      </c>
      <c r="Q1082" s="1148">
        <v>20000</v>
      </c>
      <c r="R1082" s="874"/>
      <c r="S1082" s="876"/>
      <c r="T1082" s="876"/>
      <c r="U1082" s="876"/>
      <c r="V1082" s="876"/>
      <c r="W1082" s="876"/>
      <c r="X1082" s="1026">
        <f t="shared" si="629"/>
        <v>20000</v>
      </c>
      <c r="Y1082" s="1512">
        <f t="shared" si="630"/>
        <v>0</v>
      </c>
      <c r="Z1082" s="1741">
        <f t="shared" si="631"/>
        <v>1</v>
      </c>
      <c r="AA1082" s="1749">
        <f t="shared" si="632"/>
        <v>0</v>
      </c>
      <c r="AB1082" s="1810">
        <f t="shared" si="633"/>
        <v>0</v>
      </c>
      <c r="AC1082" s="876"/>
      <c r="AD1082" s="1525">
        <f t="shared" si="639"/>
        <v>0</v>
      </c>
      <c r="AE1082" s="1525">
        <f t="shared" si="639"/>
        <v>0</v>
      </c>
      <c r="AF1082" s="1525">
        <f t="shared" si="639"/>
        <v>0</v>
      </c>
      <c r="AG1082" s="1525">
        <f t="shared" si="639"/>
        <v>0</v>
      </c>
      <c r="AH1082" s="1525">
        <f t="shared" si="639"/>
        <v>0</v>
      </c>
      <c r="AI1082" s="1525">
        <f t="shared" si="639"/>
        <v>0</v>
      </c>
      <c r="AJ1082" s="1525">
        <f t="shared" si="639"/>
        <v>0</v>
      </c>
      <c r="AK1082" s="1525">
        <f t="shared" si="639"/>
        <v>0</v>
      </c>
      <c r="AL1082" s="1525">
        <f t="shared" si="639"/>
        <v>0</v>
      </c>
      <c r="AM1082" s="1525">
        <f t="shared" si="639"/>
        <v>0</v>
      </c>
      <c r="AN1082" s="1525">
        <f t="shared" si="639"/>
        <v>0</v>
      </c>
      <c r="AO1082" s="1525">
        <f t="shared" si="639"/>
        <v>0</v>
      </c>
      <c r="AP1082" s="1525">
        <f t="shared" si="639"/>
        <v>0</v>
      </c>
      <c r="AQ1082" s="1525">
        <f t="shared" si="639"/>
        <v>0</v>
      </c>
      <c r="AR1082" s="1525">
        <f t="shared" si="639"/>
        <v>0</v>
      </c>
      <c r="AS1082" s="1525">
        <f t="shared" si="639"/>
        <v>0</v>
      </c>
      <c r="AU1082" s="1525"/>
      <c r="AV1082" s="1291"/>
      <c r="AW1082" s="1292"/>
      <c r="AX1082" s="1292"/>
      <c r="AY1082" s="1292"/>
      <c r="AZ1082" s="1292"/>
      <c r="BA1082" s="1292"/>
      <c r="BB1082" s="1292"/>
      <c r="BC1082" s="1292"/>
      <c r="BD1082" s="1292"/>
      <c r="BE1082" s="1292"/>
      <c r="BF1082" s="1292"/>
      <c r="BG1082" s="1292"/>
      <c r="BH1082" s="1292"/>
      <c r="BI1082" s="1292"/>
      <c r="BJ1082" s="1292"/>
      <c r="BK1082" s="1292"/>
      <c r="BL1082" s="1292"/>
      <c r="BM1082" s="1292"/>
      <c r="BN1082" s="1292"/>
      <c r="BO1082" s="1292"/>
      <c r="BP1082" s="1292"/>
      <c r="BQ1082" s="1292"/>
      <c r="BR1082" s="1292"/>
      <c r="BS1082" s="1292"/>
      <c r="BT1082" s="1670">
        <f t="shared" si="635"/>
        <v>0</v>
      </c>
      <c r="BW1082" s="913" t="s">
        <v>1914</v>
      </c>
    </row>
    <row r="1083" spans="2:75" ht="12.75" customHeight="1" x14ac:dyDescent="0.2">
      <c r="B1083" s="175">
        <f t="shared" si="636"/>
        <v>18</v>
      </c>
      <c r="C1083" s="219">
        <v>17</v>
      </c>
      <c r="D1083" s="170"/>
      <c r="E1083" s="12" t="s">
        <v>1560</v>
      </c>
      <c r="F1083" s="37" t="s">
        <v>584</v>
      </c>
      <c r="G1083" s="913" t="s">
        <v>2037</v>
      </c>
      <c r="H1083" s="861">
        <v>164793</v>
      </c>
      <c r="I1083" s="180" t="s">
        <v>583</v>
      </c>
      <c r="J1083" s="173"/>
      <c r="K1083" s="173"/>
      <c r="L1083" s="893">
        <v>0.5</v>
      </c>
      <c r="M1083" s="861">
        <v>0.5</v>
      </c>
      <c r="N1083" s="836" t="s">
        <v>892</v>
      </c>
      <c r="O1083" s="1196">
        <v>34994</v>
      </c>
      <c r="P1083" s="1218">
        <f ca="1">YEARFRAC(TODAY(),O1083)</f>
        <v>21.944444444444443</v>
      </c>
      <c r="Q1083" s="1148">
        <v>28000</v>
      </c>
      <c r="R1083" s="874"/>
      <c r="S1083" s="876"/>
      <c r="T1083" s="876"/>
      <c r="U1083" s="876"/>
      <c r="V1083" s="876"/>
      <c r="W1083" s="876"/>
      <c r="X1083" s="1026">
        <f t="shared" si="629"/>
        <v>14000</v>
      </c>
      <c r="Y1083" s="1512">
        <f t="shared" si="630"/>
        <v>0</v>
      </c>
      <c r="Z1083" s="1741">
        <f t="shared" ref="Z1083" si="640">M1083*(1+Y1083)</f>
        <v>0.5</v>
      </c>
      <c r="AA1083" s="1749">
        <f t="shared" ref="AA1083" si="641">SUM(AD1083:AS1083)</f>
        <v>0</v>
      </c>
      <c r="AB1083" s="1810">
        <f t="shared" ref="AB1083" si="642">100*AA1083/Z1083</f>
        <v>0</v>
      </c>
      <c r="AC1083" s="224"/>
      <c r="AD1083" s="1525"/>
      <c r="AE1083" s="1525"/>
      <c r="AF1083" s="1525"/>
      <c r="AG1083" s="1525"/>
      <c r="AH1083" s="1525"/>
      <c r="AI1083" s="1525"/>
      <c r="AJ1083" s="1525"/>
      <c r="AK1083" s="1525"/>
      <c r="AL1083" s="1525"/>
      <c r="AM1083" s="1525"/>
      <c r="AN1083" s="1525"/>
      <c r="AO1083" s="1525"/>
      <c r="AP1083" s="1846"/>
      <c r="AQ1083" s="1292"/>
      <c r="AR1083" s="1847"/>
      <c r="AS1083" s="1292"/>
      <c r="AU1083" s="224"/>
      <c r="AV1083" s="1292"/>
      <c r="AX1083" s="1292"/>
      <c r="BT1083" s="1671"/>
      <c r="BV1083" s="224"/>
      <c r="BW1083" s="224"/>
    </row>
    <row r="1084" spans="2:75" s="164" customFormat="1" ht="12.75" customHeight="1" x14ac:dyDescent="0.15">
      <c r="B1084" s="175"/>
      <c r="C1084" s="219" t="s">
        <v>1120</v>
      </c>
      <c r="F1084" s="24" t="s">
        <v>1239</v>
      </c>
      <c r="G1084" s="856"/>
      <c r="H1084" s="1361" t="s">
        <v>1508</v>
      </c>
      <c r="I1084" s="200"/>
      <c r="J1084" s="189"/>
      <c r="K1084" s="902">
        <f t="shared" ref="K1084:L1084" si="643">SUM(K1066:K1083)</f>
        <v>0</v>
      </c>
      <c r="L1084" s="902">
        <f t="shared" si="643"/>
        <v>17.5</v>
      </c>
      <c r="M1084" s="902">
        <f>SUM(M1066:M1083)</f>
        <v>17.5</v>
      </c>
      <c r="N1084" s="857"/>
      <c r="O1084" s="1200"/>
      <c r="P1084" s="550"/>
      <c r="Q1084" s="1153"/>
      <c r="R1084" s="877"/>
      <c r="S1084" s="875"/>
      <c r="T1084" s="875"/>
      <c r="U1084" s="875"/>
      <c r="V1084" s="875"/>
      <c r="W1084" s="875"/>
      <c r="X1084" s="1026"/>
      <c r="Y1084" s="1335"/>
      <c r="Z1084" s="1335"/>
      <c r="AA1084" s="1775"/>
      <c r="AB1084" s="1814"/>
      <c r="AC1084" s="876"/>
      <c r="AD1084" s="1295"/>
      <c r="AE1084" s="1525"/>
      <c r="AF1084" s="1525"/>
      <c r="AG1084" s="1525"/>
      <c r="AH1084" s="1525"/>
      <c r="AI1084" s="1525"/>
      <c r="AJ1084" s="1525"/>
      <c r="AK1084" s="1525"/>
      <c r="AL1084" s="1525"/>
      <c r="AM1084" s="1525"/>
      <c r="AN1084" s="1525"/>
      <c r="AO1084" s="1525"/>
      <c r="AP1084" s="1525"/>
      <c r="AQ1084" s="1525"/>
      <c r="AR1084" s="1525"/>
      <c r="AS1084" s="1525"/>
      <c r="AU1084" s="1525"/>
      <c r="AV1084" s="1295"/>
      <c r="AW1084" s="1525"/>
      <c r="AX1084" s="1525"/>
      <c r="AY1084" s="1525"/>
      <c r="AZ1084" s="1525"/>
      <c r="BA1084" s="1525"/>
      <c r="BB1084" s="1525"/>
      <c r="BC1084" s="1525"/>
      <c r="BD1084" s="1525"/>
      <c r="BE1084" s="1525"/>
      <c r="BF1084" s="1525"/>
      <c r="BG1084" s="1525"/>
      <c r="BH1084" s="1525"/>
      <c r="BI1084" s="1525"/>
      <c r="BJ1084" s="1525"/>
      <c r="BK1084" s="1525"/>
      <c r="BL1084" s="1525"/>
      <c r="BM1084" s="1525"/>
      <c r="BN1084" s="1525"/>
      <c r="BO1084" s="1525"/>
      <c r="BP1084" s="1525"/>
      <c r="BQ1084" s="1525"/>
      <c r="BR1084" s="1525"/>
      <c r="BS1084" s="1525"/>
      <c r="BT1084" s="1670"/>
      <c r="BV1084"/>
      <c r="BW1084" s="856"/>
    </row>
    <row r="1085" spans="2:75" s="164" customFormat="1" ht="12.75" customHeight="1" x14ac:dyDescent="0.15">
      <c r="B1085" s="175"/>
      <c r="F1085" s="24"/>
      <c r="G1085" s="856"/>
      <c r="H1085" s="1346" t="s">
        <v>1508</v>
      </c>
      <c r="I1085" s="200"/>
      <c r="J1085" s="189"/>
      <c r="K1085" s="189"/>
      <c r="L1085" s="858"/>
      <c r="M1085" s="858"/>
      <c r="N1085" s="857"/>
      <c r="O1085" s="1200"/>
      <c r="P1085" s="550"/>
      <c r="Q1085" s="1148"/>
      <c r="R1085" s="874"/>
      <c r="S1085" s="875"/>
      <c r="T1085" s="875"/>
      <c r="U1085" s="875"/>
      <c r="V1085" s="875"/>
      <c r="W1085" s="875"/>
      <c r="X1085" s="1026"/>
      <c r="Y1085" s="1754"/>
      <c r="Z1085" s="1755"/>
      <c r="AA1085" s="1775"/>
      <c r="AB1085" s="1814"/>
      <c r="AC1085" s="876"/>
      <c r="AD1085" s="1295"/>
      <c r="AE1085" s="1525"/>
      <c r="AF1085" s="1525"/>
      <c r="AG1085" s="1525"/>
      <c r="AH1085" s="1525"/>
      <c r="AI1085" s="1525"/>
      <c r="AJ1085" s="1525"/>
      <c r="AK1085" s="1525"/>
      <c r="AL1085" s="1525"/>
      <c r="AM1085" s="1525"/>
      <c r="AN1085" s="1525"/>
      <c r="AO1085" s="1525"/>
      <c r="AP1085" s="1525"/>
      <c r="AQ1085" s="1525"/>
      <c r="AR1085" s="1525"/>
      <c r="AS1085" s="1525"/>
      <c r="AU1085" s="1525"/>
      <c r="AV1085" s="1295"/>
      <c r="AW1085" s="1525"/>
      <c r="AX1085" s="1525"/>
      <c r="AY1085" s="1525"/>
      <c r="AZ1085" s="1525"/>
      <c r="BA1085" s="1525"/>
      <c r="BB1085" s="1525"/>
      <c r="BC1085" s="1525"/>
      <c r="BD1085" s="1525"/>
      <c r="BE1085" s="1525"/>
      <c r="BF1085" s="1525"/>
      <c r="BG1085" s="1525"/>
      <c r="BH1085" s="1525"/>
      <c r="BI1085" s="1525"/>
      <c r="BJ1085" s="1525"/>
      <c r="BK1085" s="1525"/>
      <c r="BL1085" s="1525"/>
      <c r="BM1085" s="1525"/>
      <c r="BN1085" s="1525"/>
      <c r="BO1085" s="1525"/>
      <c r="BP1085" s="1525"/>
      <c r="BQ1085" s="1525"/>
      <c r="BR1085" s="1525"/>
      <c r="BS1085" s="1525"/>
      <c r="BT1085" s="1670"/>
      <c r="BV1085"/>
      <c r="BW1085" s="856"/>
    </row>
    <row r="1086" spans="2:75" s="164" customFormat="1" ht="12.75" customHeight="1" x14ac:dyDescent="0.15">
      <c r="B1086" s="175"/>
      <c r="F1086" s="1115" t="s">
        <v>591</v>
      </c>
      <c r="G1086" s="856"/>
      <c r="H1086" s="1346" t="s">
        <v>1508</v>
      </c>
      <c r="I1086" s="200"/>
      <c r="J1086" s="189"/>
      <c r="K1086" s="189"/>
      <c r="L1086" s="858"/>
      <c r="M1086" s="858"/>
      <c r="N1086" s="857"/>
      <c r="O1086" s="1200"/>
      <c r="P1086" s="550"/>
      <c r="Q1086" s="1148"/>
      <c r="R1086" s="874"/>
      <c r="S1086" s="875"/>
      <c r="T1086" s="875"/>
      <c r="U1086" s="875"/>
      <c r="V1086" s="875"/>
      <c r="W1086" s="875"/>
      <c r="X1086" s="1026"/>
      <c r="Y1086" s="1754"/>
      <c r="Z1086" s="1755"/>
      <c r="AA1086" s="1775"/>
      <c r="AB1086" s="1814"/>
      <c r="AC1086" s="876"/>
      <c r="AD1086" s="1295"/>
      <c r="AE1086" s="1525"/>
      <c r="AF1086" s="1525"/>
      <c r="AG1086" s="1525"/>
      <c r="AH1086" s="1525"/>
      <c r="AI1086" s="1525"/>
      <c r="AJ1086" s="1525"/>
      <c r="AK1086" s="1525"/>
      <c r="AL1086" s="1525"/>
      <c r="AM1086" s="1525"/>
      <c r="AN1086" s="1525"/>
      <c r="AO1086" s="1525"/>
      <c r="AP1086" s="1525"/>
      <c r="AQ1086" s="1525"/>
      <c r="AR1086" s="1525"/>
      <c r="AS1086" s="1525"/>
      <c r="AU1086" s="1525"/>
      <c r="AV1086" s="1295"/>
      <c r="AW1086" s="1525"/>
      <c r="AX1086" s="1525"/>
      <c r="AY1086" s="1525"/>
      <c r="AZ1086" s="1525"/>
      <c r="BA1086" s="1525"/>
      <c r="BB1086" s="1525"/>
      <c r="BC1086" s="1525"/>
      <c r="BD1086" s="1525"/>
      <c r="BE1086" s="1525"/>
      <c r="BF1086" s="1525"/>
      <c r="BG1086" s="1525"/>
      <c r="BH1086" s="1525"/>
      <c r="BI1086" s="1525"/>
      <c r="BJ1086" s="1525"/>
      <c r="BK1086" s="1525"/>
      <c r="BL1086" s="1525"/>
      <c r="BM1086" s="1525"/>
      <c r="BN1086" s="1525"/>
      <c r="BO1086" s="1525"/>
      <c r="BP1086" s="1525"/>
      <c r="BQ1086" s="1525"/>
      <c r="BR1086" s="1525"/>
      <c r="BS1086" s="1525"/>
      <c r="BT1086" s="1670"/>
      <c r="BV1086"/>
      <c r="BW1086" s="856"/>
    </row>
    <row r="1087" spans="2:75" s="164" customFormat="1" ht="12.75" customHeight="1" x14ac:dyDescent="0.2">
      <c r="B1087" s="175">
        <f>B1086+1</f>
        <v>1</v>
      </c>
      <c r="C1087" s="219">
        <v>8</v>
      </c>
      <c r="E1087" s="12" t="s">
        <v>1560</v>
      </c>
      <c r="F1087" s="24" t="s">
        <v>353</v>
      </c>
      <c r="G1087" s="856" t="s">
        <v>1828</v>
      </c>
      <c r="H1087" s="858">
        <v>140502</v>
      </c>
      <c r="I1087" s="200" t="s">
        <v>351</v>
      </c>
      <c r="J1087" s="189"/>
      <c r="K1087" s="189">
        <v>1</v>
      </c>
      <c r="L1087" s="858"/>
      <c r="M1087" s="858">
        <v>1</v>
      </c>
      <c r="N1087" s="857" t="s">
        <v>892</v>
      </c>
      <c r="O1087" s="1196">
        <v>18327</v>
      </c>
      <c r="P1087" s="1218">
        <f t="shared" ref="P1087:P1091" ca="1" si="644">YEARFRAC(TODAY(),O1087)</f>
        <v>67.575000000000003</v>
      </c>
      <c r="Q1087" s="1148">
        <v>41450</v>
      </c>
      <c r="R1087" s="874"/>
      <c r="S1087" s="875"/>
      <c r="T1087" s="875"/>
      <c r="U1087" s="875"/>
      <c r="V1087" s="875"/>
      <c r="W1087" s="875"/>
      <c r="X1087" s="1026">
        <f>(Q1087+R1087+S1087+T1087+U1087+V1087+W1087)*M1087</f>
        <v>41450</v>
      </c>
      <c r="Y1087" s="1512">
        <f>(T1087+U1087)*M1087/(X1087-M1087*(T1087+U1087))</f>
        <v>0</v>
      </c>
      <c r="Z1087" s="1741">
        <f t="shared" ref="Z1087:Z1091" si="645">M1087*(1+Y1087)</f>
        <v>1</v>
      </c>
      <c r="AA1087" s="1749">
        <f>SUM(AD1087:AS1087)</f>
        <v>1</v>
      </c>
      <c r="AB1087" s="1810">
        <f t="shared" ref="AB1087:AB1091" si="646">100*AA1087/Z1087</f>
        <v>100</v>
      </c>
      <c r="AC1087" s="876"/>
      <c r="AD1087" s="1525">
        <f t="shared" ref="AD1087:AS1091" si="647">SUMIF($AV$6:$BS$6,AD$5,$AV1087:$BS1087)</f>
        <v>1</v>
      </c>
      <c r="AE1087" s="1525">
        <f t="shared" si="647"/>
        <v>0</v>
      </c>
      <c r="AF1087" s="1525">
        <f t="shared" si="647"/>
        <v>0</v>
      </c>
      <c r="AG1087" s="1525">
        <f t="shared" si="647"/>
        <v>0</v>
      </c>
      <c r="AH1087" s="1525">
        <f t="shared" si="647"/>
        <v>0</v>
      </c>
      <c r="AI1087" s="1525">
        <f t="shared" si="647"/>
        <v>0</v>
      </c>
      <c r="AJ1087" s="1525">
        <f t="shared" si="647"/>
        <v>0</v>
      </c>
      <c r="AK1087" s="1525">
        <f t="shared" si="647"/>
        <v>0</v>
      </c>
      <c r="AL1087" s="1525">
        <f t="shared" si="647"/>
        <v>0</v>
      </c>
      <c r="AM1087" s="1525">
        <f t="shared" si="647"/>
        <v>0</v>
      </c>
      <c r="AN1087" s="1525">
        <f t="shared" si="647"/>
        <v>0</v>
      </c>
      <c r="AO1087" s="1525">
        <f t="shared" si="647"/>
        <v>0</v>
      </c>
      <c r="AP1087" s="1525">
        <f t="shared" si="647"/>
        <v>0</v>
      </c>
      <c r="AQ1087" s="1525">
        <f t="shared" si="647"/>
        <v>0</v>
      </c>
      <c r="AR1087" s="1525">
        <f t="shared" si="647"/>
        <v>0</v>
      </c>
      <c r="AS1087" s="1525">
        <f t="shared" si="647"/>
        <v>0</v>
      </c>
      <c r="AU1087" s="1525"/>
      <c r="AV1087" s="1295"/>
      <c r="AW1087" s="1525"/>
      <c r="AX1087" s="1525"/>
      <c r="AY1087" s="1525"/>
      <c r="AZ1087" s="1525"/>
      <c r="BA1087" s="1525"/>
      <c r="BB1087" s="1525"/>
      <c r="BC1087" s="1525"/>
      <c r="BD1087" s="1525"/>
      <c r="BE1087" s="1525"/>
      <c r="BF1087" s="1525"/>
      <c r="BG1087" s="1525"/>
      <c r="BH1087" s="1525"/>
      <c r="BI1087" s="1525">
        <v>0.4</v>
      </c>
      <c r="BJ1087" s="1525">
        <v>0.6</v>
      </c>
      <c r="BK1087" s="1525"/>
      <c r="BL1087" s="1525"/>
      <c r="BM1087" s="1525"/>
      <c r="BN1087" s="1525"/>
      <c r="BO1087" s="1525"/>
      <c r="BP1087" s="1525"/>
      <c r="BQ1087" s="1525"/>
      <c r="BR1087" s="1525"/>
      <c r="BS1087" s="1525"/>
      <c r="BT1087" s="1670">
        <f t="shared" ref="BT1087:BT1091" si="648">SUM(AV1087:BS1087)</f>
        <v>1</v>
      </c>
      <c r="BV1087"/>
      <c r="BW1087" s="856" t="s">
        <v>1828</v>
      </c>
    </row>
    <row r="1088" spans="2:75" ht="12.75" customHeight="1" x14ac:dyDescent="0.2">
      <c r="B1088" s="175">
        <f t="shared" ref="B1088:B1091" si="649">B1087+1</f>
        <v>2</v>
      </c>
      <c r="C1088" s="219">
        <v>10</v>
      </c>
      <c r="E1088" s="12" t="s">
        <v>1560</v>
      </c>
      <c r="F1088" s="4" t="s">
        <v>558</v>
      </c>
      <c r="G1088" s="913" t="s">
        <v>1638</v>
      </c>
      <c r="H1088" s="861">
        <v>121082</v>
      </c>
      <c r="I1088" s="197" t="s">
        <v>351</v>
      </c>
      <c r="J1088" s="174"/>
      <c r="K1088" s="174">
        <v>1</v>
      </c>
      <c r="L1088" s="861"/>
      <c r="M1088" s="861">
        <f>K1088+L1088</f>
        <v>1</v>
      </c>
      <c r="N1088" s="836" t="s">
        <v>1326</v>
      </c>
      <c r="O1088" s="1196">
        <v>31650</v>
      </c>
      <c r="P1088" s="1218">
        <f t="shared" ca="1" si="644"/>
        <v>31.1</v>
      </c>
      <c r="Q1088" s="1148">
        <v>30650</v>
      </c>
      <c r="R1088" s="874">
        <f>Q1088*0.1</f>
        <v>3065</v>
      </c>
      <c r="S1088" s="875"/>
      <c r="T1088" s="875">
        <v>3000</v>
      </c>
      <c r="U1088" s="875"/>
      <c r="V1088" s="875"/>
      <c r="W1088" s="875"/>
      <c r="X1088" s="1026">
        <f>(Q1088+R1088+S1088+T1088+U1088+V1088+W1088)*M1088</f>
        <v>36715</v>
      </c>
      <c r="Y1088" s="1512">
        <f>(T1088+U1088)*M1088/(X1088-M1088*(T1088+U1088))</f>
        <v>8.8981165653270064E-2</v>
      </c>
      <c r="Z1088" s="1741">
        <f t="shared" si="645"/>
        <v>1.08898116565327</v>
      </c>
      <c r="AA1088" s="1749">
        <f>SUM(AD1088:AS1088)</f>
        <v>1.1000000000000001</v>
      </c>
      <c r="AB1088" s="1810">
        <f t="shared" si="646"/>
        <v>101.01184801852106</v>
      </c>
      <c r="AC1088" s="876"/>
      <c r="AD1088" s="1525">
        <f t="shared" si="647"/>
        <v>1.1000000000000001</v>
      </c>
      <c r="AE1088" s="1525">
        <f t="shared" si="647"/>
        <v>0</v>
      </c>
      <c r="AF1088" s="1525">
        <f t="shared" si="647"/>
        <v>0</v>
      </c>
      <c r="AG1088" s="1525">
        <f t="shared" si="647"/>
        <v>0</v>
      </c>
      <c r="AH1088" s="1525">
        <f t="shared" si="647"/>
        <v>0</v>
      </c>
      <c r="AI1088" s="1525">
        <f t="shared" si="647"/>
        <v>0</v>
      </c>
      <c r="AJ1088" s="1525">
        <f t="shared" si="647"/>
        <v>0</v>
      </c>
      <c r="AK1088" s="1525">
        <f t="shared" si="647"/>
        <v>0</v>
      </c>
      <c r="AL1088" s="1525">
        <f t="shared" si="647"/>
        <v>0</v>
      </c>
      <c r="AM1088" s="1525">
        <f t="shared" si="647"/>
        <v>0</v>
      </c>
      <c r="AN1088" s="1525">
        <f t="shared" si="647"/>
        <v>0</v>
      </c>
      <c r="AO1088" s="1525">
        <f t="shared" si="647"/>
        <v>0</v>
      </c>
      <c r="AP1088" s="1525">
        <f t="shared" si="647"/>
        <v>0</v>
      </c>
      <c r="AQ1088" s="1525">
        <f t="shared" si="647"/>
        <v>0</v>
      </c>
      <c r="AR1088" s="1525">
        <f t="shared" si="647"/>
        <v>0</v>
      </c>
      <c r="AS1088" s="1525">
        <f t="shared" si="647"/>
        <v>0</v>
      </c>
      <c r="AU1088" s="1525"/>
      <c r="AV1088" s="1291"/>
      <c r="AW1088" s="1292"/>
      <c r="AX1088" s="1292"/>
      <c r="AY1088" s="1292"/>
      <c r="AZ1088" s="1292"/>
      <c r="BA1088" s="1292"/>
      <c r="BB1088" s="1292"/>
      <c r="BC1088" s="1292"/>
      <c r="BD1088" s="1292"/>
      <c r="BE1088" s="1292"/>
      <c r="BF1088" s="1292"/>
      <c r="BG1088" s="1292"/>
      <c r="BH1088" s="1292"/>
      <c r="BI1088" s="1292">
        <v>0.2</v>
      </c>
      <c r="BJ1088" s="1771">
        <v>0.9</v>
      </c>
      <c r="BK1088" s="1292"/>
      <c r="BL1088" s="1292"/>
      <c r="BM1088" s="1292"/>
      <c r="BN1088" s="1292"/>
      <c r="BO1088" s="1292"/>
      <c r="BP1088" s="1292"/>
      <c r="BQ1088" s="1292"/>
      <c r="BR1088" s="1292"/>
      <c r="BS1088" s="1292"/>
      <c r="BT1088" s="1670">
        <f t="shared" si="648"/>
        <v>1.1000000000000001</v>
      </c>
      <c r="BW1088" s="913" t="s">
        <v>1638</v>
      </c>
    </row>
    <row r="1089" spans="2:75" ht="12.75" customHeight="1" x14ac:dyDescent="0.2">
      <c r="B1089" s="175">
        <f t="shared" si="649"/>
        <v>3</v>
      </c>
      <c r="C1089" s="219">
        <v>10</v>
      </c>
      <c r="E1089" s="12" t="s">
        <v>1560</v>
      </c>
      <c r="F1089" s="24" t="s">
        <v>558</v>
      </c>
      <c r="G1089" s="913" t="s">
        <v>1829</v>
      </c>
      <c r="H1089" s="858">
        <v>121086</v>
      </c>
      <c r="I1089" s="200" t="s">
        <v>351</v>
      </c>
      <c r="J1089" s="174"/>
      <c r="K1089" s="174">
        <v>1</v>
      </c>
      <c r="L1089" s="858"/>
      <c r="M1089" s="858">
        <f>K1089+L1089</f>
        <v>1</v>
      </c>
      <c r="N1089" s="836" t="s">
        <v>1326</v>
      </c>
      <c r="O1089" s="1196">
        <v>30778</v>
      </c>
      <c r="P1089" s="1218">
        <f t="shared" ca="1" si="644"/>
        <v>33.488888888888887</v>
      </c>
      <c r="Q1089" s="1148">
        <v>30650</v>
      </c>
      <c r="R1089" s="874">
        <f>Q1089*0.1</f>
        <v>3065</v>
      </c>
      <c r="S1089" s="875"/>
      <c r="T1089" s="875"/>
      <c r="U1089" s="875"/>
      <c r="V1089" s="875"/>
      <c r="W1089" s="875"/>
      <c r="X1089" s="1026">
        <f>(Q1089+R1089+S1089+T1089+U1089+V1089+W1089)*M1089</f>
        <v>33715</v>
      </c>
      <c r="Y1089" s="1512">
        <f>(T1089+U1089)*M1089/(X1089-M1089*(T1089+U1089))</f>
        <v>0</v>
      </c>
      <c r="Z1089" s="1741">
        <f t="shared" si="645"/>
        <v>1</v>
      </c>
      <c r="AA1089" s="1749">
        <f>SUM(AD1089:AS1089)</f>
        <v>1</v>
      </c>
      <c r="AB1089" s="1810">
        <f t="shared" si="646"/>
        <v>100</v>
      </c>
      <c r="AC1089" s="876"/>
      <c r="AD1089" s="1525">
        <f t="shared" si="647"/>
        <v>1</v>
      </c>
      <c r="AE1089" s="1525">
        <f t="shared" si="647"/>
        <v>0</v>
      </c>
      <c r="AF1089" s="1525">
        <f t="shared" si="647"/>
        <v>0</v>
      </c>
      <c r="AG1089" s="1525">
        <f t="shared" si="647"/>
        <v>0</v>
      </c>
      <c r="AH1089" s="1525">
        <f t="shared" si="647"/>
        <v>0</v>
      </c>
      <c r="AI1089" s="1525">
        <f t="shared" si="647"/>
        <v>0</v>
      </c>
      <c r="AJ1089" s="1525">
        <f t="shared" si="647"/>
        <v>0</v>
      </c>
      <c r="AK1089" s="1525">
        <f t="shared" si="647"/>
        <v>0</v>
      </c>
      <c r="AL1089" s="1525">
        <f t="shared" si="647"/>
        <v>0</v>
      </c>
      <c r="AM1089" s="1525">
        <f t="shared" si="647"/>
        <v>0</v>
      </c>
      <c r="AN1089" s="1525">
        <f t="shared" si="647"/>
        <v>0</v>
      </c>
      <c r="AO1089" s="1525">
        <f t="shared" si="647"/>
        <v>0</v>
      </c>
      <c r="AP1089" s="1525">
        <f t="shared" si="647"/>
        <v>0</v>
      </c>
      <c r="AQ1089" s="1525">
        <f t="shared" si="647"/>
        <v>0</v>
      </c>
      <c r="AR1089" s="1525">
        <f t="shared" si="647"/>
        <v>0</v>
      </c>
      <c r="AS1089" s="1525">
        <f t="shared" si="647"/>
        <v>0</v>
      </c>
      <c r="AU1089" s="1525"/>
      <c r="AV1089" s="1291"/>
      <c r="AW1089" s="1292"/>
      <c r="AX1089" s="1292"/>
      <c r="AY1089" s="1292"/>
      <c r="AZ1089" s="1292"/>
      <c r="BA1089" s="1292"/>
      <c r="BB1089" s="1292"/>
      <c r="BC1089" s="1292"/>
      <c r="BD1089" s="1292"/>
      <c r="BE1089" s="1292"/>
      <c r="BF1089" s="1292"/>
      <c r="BG1089" s="1292"/>
      <c r="BH1089" s="1292"/>
      <c r="BI1089" s="1292">
        <v>0.5</v>
      </c>
      <c r="BJ1089" s="1292">
        <v>0.5</v>
      </c>
      <c r="BK1089" s="1292"/>
      <c r="BL1089" s="1292"/>
      <c r="BM1089" s="1292"/>
      <c r="BN1089" s="1292"/>
      <c r="BO1089" s="1292"/>
      <c r="BP1089" s="1292"/>
      <c r="BQ1089" s="1292"/>
      <c r="BR1089" s="1292"/>
      <c r="BS1089" s="1292"/>
      <c r="BT1089" s="1670">
        <f t="shared" si="648"/>
        <v>1</v>
      </c>
      <c r="BW1089" s="913" t="s">
        <v>1829</v>
      </c>
    </row>
    <row r="1090" spans="2:75" ht="12.75" customHeight="1" x14ac:dyDescent="0.2">
      <c r="B1090" s="175">
        <f t="shared" si="649"/>
        <v>4</v>
      </c>
      <c r="C1090" s="219">
        <v>10</v>
      </c>
      <c r="E1090" s="12" t="s">
        <v>1560</v>
      </c>
      <c r="F1090" s="24" t="s">
        <v>558</v>
      </c>
      <c r="G1090" s="913" t="s">
        <v>1807</v>
      </c>
      <c r="H1090" s="858">
        <v>161079</v>
      </c>
      <c r="I1090" s="200" t="s">
        <v>351</v>
      </c>
      <c r="J1090" s="174"/>
      <c r="K1090" s="174">
        <v>1</v>
      </c>
      <c r="L1090" s="858"/>
      <c r="M1090" s="858">
        <v>1</v>
      </c>
      <c r="N1090" s="836" t="s">
        <v>892</v>
      </c>
      <c r="O1090" s="1196">
        <v>33732</v>
      </c>
      <c r="P1090" s="1218">
        <f t="shared" ca="1" si="644"/>
        <v>25.4</v>
      </c>
      <c r="Q1090" s="1148">
        <v>30650</v>
      </c>
      <c r="R1090" s="874"/>
      <c r="S1090" s="875"/>
      <c r="T1090" s="875"/>
      <c r="U1090" s="875"/>
      <c r="V1090" s="875"/>
      <c r="W1090" s="875"/>
      <c r="X1090" s="1026">
        <f>(Q1090+R1090+S1090+T1090+U1090+V1090+W1090)*M1090</f>
        <v>30650</v>
      </c>
      <c r="Y1090" s="1512">
        <f>(T1090+U1090)*M1090/(X1090-M1090*(T1090+U1090))</f>
        <v>0</v>
      </c>
      <c r="Z1090" s="1741">
        <f t="shared" si="645"/>
        <v>1</v>
      </c>
      <c r="AA1090" s="1749">
        <f>SUM(AD1090:AS1090)</f>
        <v>0.5</v>
      </c>
      <c r="AB1090" s="1810">
        <f t="shared" si="646"/>
        <v>50</v>
      </c>
      <c r="AC1090" s="876"/>
      <c r="AD1090" s="1525">
        <f t="shared" si="647"/>
        <v>0</v>
      </c>
      <c r="AE1090" s="1525">
        <f t="shared" si="647"/>
        <v>0</v>
      </c>
      <c r="AF1090" s="1525">
        <f t="shared" si="647"/>
        <v>0.5</v>
      </c>
      <c r="AG1090" s="1525">
        <f t="shared" si="647"/>
        <v>0</v>
      </c>
      <c r="AH1090" s="1525">
        <f t="shared" si="647"/>
        <v>0</v>
      </c>
      <c r="AI1090" s="1525">
        <f t="shared" si="647"/>
        <v>0</v>
      </c>
      <c r="AJ1090" s="1525">
        <f t="shared" si="647"/>
        <v>0</v>
      </c>
      <c r="AK1090" s="1525">
        <f t="shared" si="647"/>
        <v>0</v>
      </c>
      <c r="AL1090" s="1525">
        <f t="shared" si="647"/>
        <v>0</v>
      </c>
      <c r="AM1090" s="1525">
        <f t="shared" si="647"/>
        <v>0</v>
      </c>
      <c r="AN1090" s="1525">
        <f t="shared" si="647"/>
        <v>0</v>
      </c>
      <c r="AO1090" s="1525">
        <f t="shared" si="647"/>
        <v>0</v>
      </c>
      <c r="AP1090" s="1525">
        <f t="shared" si="647"/>
        <v>0</v>
      </c>
      <c r="AQ1090" s="1525">
        <f t="shared" si="647"/>
        <v>0</v>
      </c>
      <c r="AR1090" s="1525">
        <f t="shared" si="647"/>
        <v>0</v>
      </c>
      <c r="AS1090" s="1525">
        <f t="shared" si="647"/>
        <v>0</v>
      </c>
      <c r="AU1090" s="1525"/>
      <c r="AV1090" s="1291"/>
      <c r="AW1090" s="1292"/>
      <c r="AX1090" s="1292"/>
      <c r="AY1090" s="1292">
        <v>0.5</v>
      </c>
      <c r="AZ1090" s="1292"/>
      <c r="BA1090" s="1292"/>
      <c r="BB1090" s="1292"/>
      <c r="BC1090" s="1292"/>
      <c r="BD1090" s="1292"/>
      <c r="BE1090" s="1292"/>
      <c r="BF1090" s="1292"/>
      <c r="BG1090" s="1292"/>
      <c r="BH1090" s="1292"/>
      <c r="BI1090" s="1292"/>
      <c r="BJ1090" s="1292"/>
      <c r="BK1090" s="1292"/>
      <c r="BL1090" s="1292"/>
      <c r="BM1090" s="1292"/>
      <c r="BN1090" s="1292"/>
      <c r="BO1090" s="1292"/>
      <c r="BP1090" s="1292"/>
      <c r="BQ1090" s="1292"/>
      <c r="BR1090" s="1292"/>
      <c r="BS1090" s="1292"/>
      <c r="BT1090" s="1670">
        <f t="shared" si="648"/>
        <v>0.5</v>
      </c>
      <c r="BW1090" s="913" t="s">
        <v>1807</v>
      </c>
    </row>
    <row r="1091" spans="2:75" ht="12.75" customHeight="1" x14ac:dyDescent="0.2">
      <c r="B1091" s="175">
        <f t="shared" si="649"/>
        <v>5</v>
      </c>
      <c r="C1091" s="185">
        <v>14</v>
      </c>
      <c r="D1091" s="184"/>
      <c r="E1091" s="12" t="s">
        <v>1560</v>
      </c>
      <c r="F1091" s="26" t="s">
        <v>626</v>
      </c>
      <c r="G1091" s="945" t="s">
        <v>1769</v>
      </c>
      <c r="H1091" s="873">
        <v>152994</v>
      </c>
      <c r="I1091" s="176" t="s">
        <v>583</v>
      </c>
      <c r="J1091" s="195"/>
      <c r="K1091" s="195">
        <v>1</v>
      </c>
      <c r="L1091" s="873"/>
      <c r="M1091" s="873">
        <f>K1091+L1091</f>
        <v>1</v>
      </c>
      <c r="N1091" s="872" t="s">
        <v>892</v>
      </c>
      <c r="O1091" s="1196">
        <v>33802</v>
      </c>
      <c r="P1091" s="1218">
        <f t="shared" ca="1" si="644"/>
        <v>25.208333333333332</v>
      </c>
      <c r="Q1091" s="1148">
        <v>28000</v>
      </c>
      <c r="R1091" s="874"/>
      <c r="S1091" s="875"/>
      <c r="T1091" s="875"/>
      <c r="U1091" s="875"/>
      <c r="V1091" s="875"/>
      <c r="W1091" s="875"/>
      <c r="X1091" s="1026">
        <f>(Q1091+R1091+S1091+T1091+U1091+V1091+W1091)*M1091</f>
        <v>28000</v>
      </c>
      <c r="Y1091" s="1512">
        <f>(T1091+U1091)*M1091/(X1091-M1091*(T1091+U1091))</f>
        <v>0</v>
      </c>
      <c r="Z1091" s="1741">
        <f t="shared" si="645"/>
        <v>1</v>
      </c>
      <c r="AA1091" s="1749">
        <f>SUM(AD1091:AS1091)</f>
        <v>1</v>
      </c>
      <c r="AB1091" s="1810">
        <f t="shared" si="646"/>
        <v>100</v>
      </c>
      <c r="AC1091" s="876"/>
      <c r="AD1091" s="1525">
        <f t="shared" si="647"/>
        <v>1</v>
      </c>
      <c r="AE1091" s="1525">
        <f t="shared" si="647"/>
        <v>0</v>
      </c>
      <c r="AF1091" s="1525">
        <f t="shared" si="647"/>
        <v>0</v>
      </c>
      <c r="AG1091" s="1525">
        <f t="shared" si="647"/>
        <v>0</v>
      </c>
      <c r="AH1091" s="1525">
        <f t="shared" si="647"/>
        <v>0</v>
      </c>
      <c r="AI1091" s="1525">
        <f t="shared" si="647"/>
        <v>0</v>
      </c>
      <c r="AJ1091" s="1525">
        <f t="shared" si="647"/>
        <v>0</v>
      </c>
      <c r="AK1091" s="1525">
        <f t="shared" si="647"/>
        <v>0</v>
      </c>
      <c r="AL1091" s="1525">
        <f t="shared" si="647"/>
        <v>0</v>
      </c>
      <c r="AM1091" s="1525">
        <f t="shared" si="647"/>
        <v>0</v>
      </c>
      <c r="AN1091" s="1525">
        <f t="shared" si="647"/>
        <v>0</v>
      </c>
      <c r="AO1091" s="1525">
        <f t="shared" si="647"/>
        <v>0</v>
      </c>
      <c r="AP1091" s="1525">
        <f t="shared" si="647"/>
        <v>0</v>
      </c>
      <c r="AQ1091" s="1525">
        <f t="shared" si="647"/>
        <v>0</v>
      </c>
      <c r="AR1091" s="1525">
        <f t="shared" si="647"/>
        <v>0</v>
      </c>
      <c r="AS1091" s="1525">
        <f t="shared" si="647"/>
        <v>0</v>
      </c>
      <c r="AU1091" s="1525"/>
      <c r="AV1091" s="1291"/>
      <c r="AW1091" s="1292"/>
      <c r="AX1091" s="1292"/>
      <c r="AY1091" s="1292"/>
      <c r="AZ1091" s="1292"/>
      <c r="BA1091" s="1292"/>
      <c r="BB1091" s="1292"/>
      <c r="BC1091" s="1292"/>
      <c r="BD1091" s="1292"/>
      <c r="BE1091" s="1292"/>
      <c r="BF1091" s="1292"/>
      <c r="BG1091" s="1292"/>
      <c r="BH1091" s="1292"/>
      <c r="BI1091" s="1292">
        <v>0.5</v>
      </c>
      <c r="BJ1091" s="1292">
        <v>0.5</v>
      </c>
      <c r="BK1091" s="1292"/>
      <c r="BL1091" s="1292"/>
      <c r="BM1091" s="1292"/>
      <c r="BN1091" s="1292"/>
      <c r="BO1091" s="1292"/>
      <c r="BP1091" s="1292"/>
      <c r="BQ1091" s="1292"/>
      <c r="BR1091" s="1292"/>
      <c r="BS1091" s="1292"/>
      <c r="BT1091" s="1670">
        <f t="shared" si="648"/>
        <v>1</v>
      </c>
      <c r="BW1091" s="945" t="s">
        <v>1769</v>
      </c>
    </row>
    <row r="1092" spans="2:75" s="164" customFormat="1" ht="12.75" customHeight="1" x14ac:dyDescent="0.2">
      <c r="B1092" s="175"/>
      <c r="C1092" s="220"/>
      <c r="D1092" s="170"/>
      <c r="E1092" s="447"/>
      <c r="F1092" s="4"/>
      <c r="G1092" s="913"/>
      <c r="H1092" s="1382" t="s">
        <v>1508</v>
      </c>
      <c r="I1092" s="197"/>
      <c r="J1092" s="174"/>
      <c r="K1092" s="783">
        <f>SUM(K1087:K1091)</f>
        <v>5</v>
      </c>
      <c r="L1092" s="783">
        <f>SUM(L1087:L1091)</f>
        <v>0</v>
      </c>
      <c r="M1092" s="783">
        <f>SUM(M1087:M1091)</f>
        <v>5</v>
      </c>
      <c r="N1092" s="836"/>
      <c r="O1092" s="1193"/>
      <c r="P1092" s="1218"/>
      <c r="Q1092" s="1148"/>
      <c r="R1092" s="874"/>
      <c r="S1092" s="875"/>
      <c r="T1092" s="875"/>
      <c r="U1092" s="875"/>
      <c r="V1092" s="875"/>
      <c r="W1092" s="875"/>
      <c r="X1092" s="1026"/>
      <c r="Y1092" s="1754"/>
      <c r="Z1092" s="1755"/>
      <c r="AA1092" s="1775"/>
      <c r="AB1092" s="1814"/>
      <c r="AC1092" s="876"/>
      <c r="AD1092" s="1295"/>
      <c r="AE1092" s="1525"/>
      <c r="AF1092" s="1525"/>
      <c r="AG1092" s="1525"/>
      <c r="AH1092" s="1525"/>
      <c r="AI1092" s="1525"/>
      <c r="AJ1092" s="1525"/>
      <c r="AK1092" s="1525"/>
      <c r="AL1092" s="1525"/>
      <c r="AM1092" s="1525"/>
      <c r="AN1092" s="1525"/>
      <c r="AO1092" s="1525"/>
      <c r="AP1092" s="1525"/>
      <c r="AQ1092" s="1525"/>
      <c r="AR1092" s="1525"/>
      <c r="AS1092" s="1525"/>
      <c r="AU1092" s="1525"/>
      <c r="AV1092" s="1295"/>
      <c r="AW1092" s="1525"/>
      <c r="AX1092" s="1525"/>
      <c r="AY1092" s="1525"/>
      <c r="AZ1092" s="1525"/>
      <c r="BA1092" s="1525"/>
      <c r="BB1092" s="1525"/>
      <c r="BC1092" s="1525"/>
      <c r="BD1092" s="1525"/>
      <c r="BE1092" s="1525"/>
      <c r="BF1092" s="1525"/>
      <c r="BG1092" s="1525"/>
      <c r="BH1092" s="1525"/>
      <c r="BI1092" s="1525"/>
      <c r="BJ1092" s="1525"/>
      <c r="BK1092" s="1525"/>
      <c r="BL1092" s="1525"/>
      <c r="BM1092" s="1525"/>
      <c r="BN1092" s="1525"/>
      <c r="BO1092" s="1525"/>
      <c r="BP1092" s="1525"/>
      <c r="BQ1092" s="1525"/>
      <c r="BR1092" s="1525"/>
      <c r="BS1092" s="1525"/>
      <c r="BT1092" s="1670"/>
      <c r="BV1092"/>
      <c r="BW1092" s="913"/>
    </row>
    <row r="1093" spans="2:75" s="164" customFormat="1" ht="12.75" customHeight="1" x14ac:dyDescent="0.15">
      <c r="B1093" s="175"/>
      <c r="F1093" s="1"/>
      <c r="G1093" s="856"/>
      <c r="H1093" s="1364" t="s">
        <v>1508</v>
      </c>
      <c r="I1093" s="172"/>
      <c r="J1093" s="168"/>
      <c r="K1093" s="168"/>
      <c r="L1093" s="841"/>
      <c r="M1093" s="841"/>
      <c r="N1093" s="855"/>
      <c r="O1093" s="1200"/>
      <c r="P1093" s="550"/>
      <c r="Q1093" s="1148"/>
      <c r="R1093" s="874"/>
      <c r="S1093" s="875"/>
      <c r="T1093" s="875"/>
      <c r="U1093" s="875"/>
      <c r="V1093" s="875"/>
      <c r="W1093" s="875"/>
      <c r="X1093" s="1026"/>
      <c r="Y1093" s="1754"/>
      <c r="Z1093" s="1755"/>
      <c r="AA1093" s="1775"/>
      <c r="AB1093" s="1814"/>
      <c r="AC1093" s="876"/>
      <c r="AD1093" s="1295"/>
      <c r="AE1093" s="1525"/>
      <c r="AF1093" s="1525"/>
      <c r="AG1093" s="1525"/>
      <c r="AH1093" s="1525"/>
      <c r="AI1093" s="1525"/>
      <c r="AJ1093" s="1525"/>
      <c r="AK1093" s="1525"/>
      <c r="AL1093" s="1525"/>
      <c r="AM1093" s="1525"/>
      <c r="AN1093" s="1525"/>
      <c r="AO1093" s="1525"/>
      <c r="AP1093" s="1525"/>
      <c r="AQ1093" s="1525"/>
      <c r="AR1093" s="1525"/>
      <c r="AS1093" s="1525"/>
      <c r="AU1093" s="1525"/>
      <c r="AV1093" s="1295"/>
      <c r="AW1093" s="1525"/>
      <c r="AX1093" s="1525"/>
      <c r="AY1093" s="1525"/>
      <c r="AZ1093" s="1525"/>
      <c r="BA1093" s="1525"/>
      <c r="BB1093" s="1525"/>
      <c r="BC1093" s="1525"/>
      <c r="BD1093" s="1525"/>
      <c r="BE1093" s="1525"/>
      <c r="BF1093" s="1525"/>
      <c r="BG1093" s="1525"/>
      <c r="BH1093" s="1525"/>
      <c r="BI1093" s="1525"/>
      <c r="BJ1093" s="1525"/>
      <c r="BK1093" s="1525"/>
      <c r="BL1093" s="1525"/>
      <c r="BM1093" s="1525"/>
      <c r="BN1093" s="1525"/>
      <c r="BO1093" s="1525"/>
      <c r="BP1093" s="1525"/>
      <c r="BQ1093" s="1525"/>
      <c r="BR1093" s="1525"/>
      <c r="BS1093" s="1525"/>
      <c r="BT1093" s="1670"/>
      <c r="BV1093"/>
      <c r="BW1093" s="856"/>
    </row>
    <row r="1094" spans="2:75" s="164" customFormat="1" ht="12.75" customHeight="1" x14ac:dyDescent="0.15">
      <c r="B1094" s="175"/>
      <c r="F1094" s="21" t="s">
        <v>1658</v>
      </c>
      <c r="G1094" s="859"/>
      <c r="H1094" s="1346" t="s">
        <v>1508</v>
      </c>
      <c r="I1094" s="244"/>
      <c r="J1094" s="233"/>
      <c r="K1094" s="233"/>
      <c r="L1094" s="858"/>
      <c r="M1094" s="858"/>
      <c r="N1094" s="857"/>
      <c r="O1094" s="1200"/>
      <c r="P1094" s="550"/>
      <c r="Q1094" s="1148"/>
      <c r="R1094" s="874"/>
      <c r="S1094" s="875"/>
      <c r="T1094" s="875"/>
      <c r="U1094" s="875"/>
      <c r="V1094" s="875"/>
      <c r="W1094" s="875"/>
      <c r="X1094" s="1026"/>
      <c r="Y1094" s="1754"/>
      <c r="Z1094" s="1755"/>
      <c r="AA1094" s="1775"/>
      <c r="AB1094" s="1814"/>
      <c r="AC1094" s="876"/>
      <c r="AD1094" s="1295"/>
      <c r="AE1094" s="1525"/>
      <c r="AF1094" s="1525"/>
      <c r="AG1094" s="1525"/>
      <c r="AH1094" s="1525"/>
      <c r="AI1094" s="1525"/>
      <c r="AJ1094" s="1525"/>
      <c r="AK1094" s="1525"/>
      <c r="AL1094" s="1525"/>
      <c r="AM1094" s="1525"/>
      <c r="AN1094" s="1525"/>
      <c r="AO1094" s="1525"/>
      <c r="AP1094" s="1525"/>
      <c r="AQ1094" s="1525"/>
      <c r="AR1094" s="1525"/>
      <c r="AS1094" s="1525"/>
      <c r="AU1094" s="1525"/>
      <c r="AV1094" s="1295"/>
      <c r="AW1094" s="1525"/>
      <c r="AX1094" s="1525"/>
      <c r="AY1094" s="1525"/>
      <c r="AZ1094" s="1525"/>
      <c r="BA1094" s="1525"/>
      <c r="BB1094" s="1525"/>
      <c r="BC1094" s="1525"/>
      <c r="BD1094" s="1525"/>
      <c r="BE1094" s="1525"/>
      <c r="BF1094" s="1525"/>
      <c r="BG1094" s="1525"/>
      <c r="BH1094" s="1525"/>
      <c r="BI1094" s="1525"/>
      <c r="BJ1094" s="1525"/>
      <c r="BK1094" s="1525"/>
      <c r="BL1094" s="1525"/>
      <c r="BM1094" s="1525"/>
      <c r="BN1094" s="1525"/>
      <c r="BO1094" s="1525"/>
      <c r="BP1094" s="1525"/>
      <c r="BQ1094" s="1525"/>
      <c r="BR1094" s="1525"/>
      <c r="BS1094" s="1525"/>
      <c r="BT1094" s="1670"/>
      <c r="BV1094"/>
      <c r="BW1094" s="859"/>
    </row>
    <row r="1095" spans="2:75" s="164" customFormat="1" ht="12.75" customHeight="1" x14ac:dyDescent="0.15">
      <c r="B1095" s="175"/>
      <c r="F1095" s="21"/>
      <c r="G1095" s="859"/>
      <c r="H1095" s="1346" t="s">
        <v>1508</v>
      </c>
      <c r="I1095" s="244"/>
      <c r="J1095" s="233"/>
      <c r="K1095" s="233"/>
      <c r="L1095" s="858"/>
      <c r="M1095" s="858"/>
      <c r="N1095" s="857"/>
      <c r="O1095" s="1200"/>
      <c r="P1095" s="550"/>
      <c r="Q1095" s="1148"/>
      <c r="R1095" s="874"/>
      <c r="S1095" s="875"/>
      <c r="T1095" s="875"/>
      <c r="U1095" s="875"/>
      <c r="V1095" s="875"/>
      <c r="W1095" s="875"/>
      <c r="X1095" s="1026"/>
      <c r="Y1095" s="1754"/>
      <c r="Z1095" s="1755"/>
      <c r="AA1095" s="1775"/>
      <c r="AB1095" s="1814"/>
      <c r="AC1095" s="876"/>
      <c r="AD1095" s="1295"/>
      <c r="AE1095" s="1525"/>
      <c r="AF1095" s="1525"/>
      <c r="AG1095" s="1525"/>
      <c r="AH1095" s="1525"/>
      <c r="AI1095" s="1525"/>
      <c r="AJ1095" s="1525"/>
      <c r="AK1095" s="1525"/>
      <c r="AL1095" s="1525"/>
      <c r="AM1095" s="1525"/>
      <c r="AN1095" s="1525"/>
      <c r="AO1095" s="1525"/>
      <c r="AP1095" s="1525"/>
      <c r="AQ1095" s="1525"/>
      <c r="AR1095" s="1525"/>
      <c r="AS1095" s="1525"/>
      <c r="AU1095" s="1525"/>
      <c r="AV1095" s="1295"/>
      <c r="AW1095" s="1525"/>
      <c r="AX1095" s="1525"/>
      <c r="AY1095" s="1525"/>
      <c r="AZ1095" s="1525"/>
      <c r="BA1095" s="1525"/>
      <c r="BB1095" s="1525"/>
      <c r="BC1095" s="1525"/>
      <c r="BD1095" s="1525"/>
      <c r="BE1095" s="1525"/>
      <c r="BF1095" s="1525"/>
      <c r="BG1095" s="1525"/>
      <c r="BH1095" s="1525"/>
      <c r="BI1095" s="1525"/>
      <c r="BJ1095" s="1525"/>
      <c r="BK1095" s="1525"/>
      <c r="BL1095" s="1525"/>
      <c r="BM1095" s="1525"/>
      <c r="BN1095" s="1525"/>
      <c r="BO1095" s="1525"/>
      <c r="BP1095" s="1525"/>
      <c r="BQ1095" s="1525"/>
      <c r="BR1095" s="1525"/>
      <c r="BS1095" s="1525"/>
      <c r="BT1095" s="1670"/>
      <c r="BV1095"/>
      <c r="BW1095" s="859"/>
    </row>
    <row r="1096" spans="2:75" ht="12.75" customHeight="1" x14ac:dyDescent="0.2">
      <c r="B1096" s="175">
        <f>B1095+1</f>
        <v>1</v>
      </c>
      <c r="C1096" s="219">
        <v>5</v>
      </c>
      <c r="E1096" s="12" t="s">
        <v>1560</v>
      </c>
      <c r="F1096" s="24" t="s">
        <v>216</v>
      </c>
      <c r="G1096" s="825" t="s">
        <v>1597</v>
      </c>
      <c r="H1096" s="858">
        <v>121683</v>
      </c>
      <c r="I1096" s="200" t="s">
        <v>351</v>
      </c>
      <c r="J1096" s="189"/>
      <c r="K1096" s="189"/>
      <c r="L1096" s="858">
        <v>1</v>
      </c>
      <c r="M1096" s="858">
        <f>K1096+L1096</f>
        <v>1</v>
      </c>
      <c r="N1096" s="857" t="s">
        <v>892</v>
      </c>
      <c r="O1096" s="1196">
        <v>19179</v>
      </c>
      <c r="P1096" s="1218">
        <f ca="1">YEARFRAC(TODAY(),O1096)</f>
        <v>65.24444444444444</v>
      </c>
      <c r="Q1096" s="1148">
        <v>68200</v>
      </c>
      <c r="R1096" s="874"/>
      <c r="S1096" s="875">
        <v>3000</v>
      </c>
      <c r="T1096" s="875">
        <v>34700</v>
      </c>
      <c r="U1096" s="875">
        <v>15200</v>
      </c>
      <c r="V1096" s="875"/>
      <c r="W1096" s="875"/>
      <c r="X1096" s="1026">
        <f t="shared" ref="X1096:X1101" si="650">(Q1096+R1096+S1096+T1096+U1096+V1096+W1096)*M1096</f>
        <v>121100</v>
      </c>
      <c r="Y1096" s="1512">
        <f t="shared" ref="Y1096:Y1101" si="651">(T1096+U1096)*M1096/(X1096-M1096*(T1096+U1096))</f>
        <v>0.7008426966292135</v>
      </c>
      <c r="Z1096" s="1741">
        <f>M1096*(1+Y1096)</f>
        <v>1.7008426966292136</v>
      </c>
      <c r="AA1096" s="1749">
        <f>SUM(AD1096:AS1096)</f>
        <v>1.1000000000000001</v>
      </c>
      <c r="AB1096" s="1810">
        <f t="shared" ref="AB1096" si="652">100*AA1096/Z1096</f>
        <v>64.673823286540056</v>
      </c>
      <c r="AC1096" s="876"/>
      <c r="AD1096" s="1525">
        <f t="shared" ref="AD1096:AS1099" si="653">SUMIF($AV$6:$BS$6,AD$5,$AV1096:$BS1096)</f>
        <v>1</v>
      </c>
      <c r="AE1096" s="1525">
        <f t="shared" si="653"/>
        <v>0</v>
      </c>
      <c r="AF1096" s="1525">
        <f t="shared" si="653"/>
        <v>0</v>
      </c>
      <c r="AG1096" s="1525">
        <f t="shared" si="653"/>
        <v>0</v>
      </c>
      <c r="AH1096" s="1525">
        <f t="shared" si="653"/>
        <v>0</v>
      </c>
      <c r="AI1096" s="1525">
        <f t="shared" si="653"/>
        <v>0</v>
      </c>
      <c r="AJ1096" s="1525">
        <f t="shared" si="653"/>
        <v>0</v>
      </c>
      <c r="AK1096" s="1525">
        <f t="shared" si="653"/>
        <v>0</v>
      </c>
      <c r="AL1096" s="1525">
        <f t="shared" si="653"/>
        <v>0</v>
      </c>
      <c r="AM1096" s="1525">
        <f t="shared" si="653"/>
        <v>0</v>
      </c>
      <c r="AN1096" s="1525">
        <f t="shared" si="653"/>
        <v>0.1</v>
      </c>
      <c r="AO1096" s="1525">
        <f t="shared" si="653"/>
        <v>0</v>
      </c>
      <c r="AP1096" s="1525">
        <f t="shared" si="653"/>
        <v>0</v>
      </c>
      <c r="AQ1096" s="1525">
        <f t="shared" si="653"/>
        <v>0</v>
      </c>
      <c r="AR1096" s="1525">
        <f t="shared" si="653"/>
        <v>0</v>
      </c>
      <c r="AS1096" s="1525">
        <f t="shared" si="653"/>
        <v>0</v>
      </c>
      <c r="AU1096" s="1525"/>
      <c r="AV1096" s="1291"/>
      <c r="AW1096" s="1292"/>
      <c r="AX1096" s="1292"/>
      <c r="AY1096" s="1292"/>
      <c r="AZ1096" s="1292"/>
      <c r="BA1096" s="1292"/>
      <c r="BB1096" s="1292"/>
      <c r="BC1096" s="1292"/>
      <c r="BD1096" s="1292"/>
      <c r="BE1096" s="1292">
        <v>0.1</v>
      </c>
      <c r="BF1096" s="1292"/>
      <c r="BG1096" s="1292"/>
      <c r="BH1096" s="1292"/>
      <c r="BI1096" s="1292">
        <v>0.5</v>
      </c>
      <c r="BJ1096" s="1292">
        <v>0.5</v>
      </c>
      <c r="BK1096" s="1292"/>
      <c r="BL1096" s="1292"/>
      <c r="BM1096" s="1292"/>
      <c r="BN1096" s="1292"/>
      <c r="BO1096" s="1292"/>
      <c r="BP1096" s="1292"/>
      <c r="BQ1096" s="1292"/>
      <c r="BR1096" s="1292"/>
      <c r="BS1096" s="1292"/>
      <c r="BT1096" s="1670">
        <f t="shared" ref="BT1096:BT1101" si="654">SUM(AV1096:BS1096)</f>
        <v>1.1000000000000001</v>
      </c>
      <c r="BW1096" s="825" t="s">
        <v>1597</v>
      </c>
    </row>
    <row r="1097" spans="2:75" ht="12.75" customHeight="1" x14ac:dyDescent="0.2">
      <c r="B1097" s="175">
        <f t="shared" ref="B1097:B1101" si="655">B1096+1</f>
        <v>2</v>
      </c>
      <c r="C1097" s="219">
        <v>9</v>
      </c>
      <c r="D1097" s="170"/>
      <c r="E1097" s="12" t="s">
        <v>1560</v>
      </c>
      <c r="F1097" s="24" t="s">
        <v>353</v>
      </c>
      <c r="G1097" s="821" t="s">
        <v>2038</v>
      </c>
      <c r="H1097" s="858">
        <v>3082</v>
      </c>
      <c r="I1097" s="200" t="s">
        <v>351</v>
      </c>
      <c r="J1097" s="189"/>
      <c r="K1097" s="189"/>
      <c r="L1097" s="858">
        <v>1</v>
      </c>
      <c r="M1097" s="858">
        <f>K1097+L1097</f>
        <v>1</v>
      </c>
      <c r="N1097" s="857" t="s">
        <v>892</v>
      </c>
      <c r="O1097" s="1196">
        <v>17953</v>
      </c>
      <c r="P1097" s="1218">
        <f t="shared" ref="P1097" ca="1" si="656">YEARFRAC(TODAY(),O1097)</f>
        <v>68.605555555555554</v>
      </c>
      <c r="Q1097" s="1148">
        <v>30000</v>
      </c>
      <c r="R1097" s="874"/>
      <c r="S1097" s="875"/>
      <c r="T1097" s="885"/>
      <c r="U1097" s="885"/>
      <c r="V1097" s="885"/>
      <c r="W1097" s="875"/>
      <c r="X1097" s="1026">
        <f t="shared" si="650"/>
        <v>30000</v>
      </c>
      <c r="Y1097" s="1512">
        <f t="shared" si="651"/>
        <v>0</v>
      </c>
      <c r="Z1097" s="1741">
        <f t="shared" ref="Z1097:Z1099" si="657">M1097*(1+Y1097)</f>
        <v>1</v>
      </c>
      <c r="AA1097" s="1749">
        <f t="shared" ref="AA1097:AA1099" si="658">SUM(AD1097:AS1097)</f>
        <v>0</v>
      </c>
      <c r="AB1097" s="1810">
        <f t="shared" ref="AB1097:AB1099" si="659">100*AA1097/Z1097</f>
        <v>0</v>
      </c>
      <c r="AC1097" s="876"/>
      <c r="AD1097" s="1525">
        <f t="shared" si="653"/>
        <v>0</v>
      </c>
      <c r="AE1097" s="1525">
        <f t="shared" si="653"/>
        <v>0</v>
      </c>
      <c r="AF1097" s="1525">
        <f t="shared" si="653"/>
        <v>0</v>
      </c>
      <c r="AG1097" s="1525">
        <f t="shared" si="653"/>
        <v>0</v>
      </c>
      <c r="AH1097" s="1525">
        <f t="shared" si="653"/>
        <v>0</v>
      </c>
      <c r="AI1097" s="1525">
        <f t="shared" si="653"/>
        <v>0</v>
      </c>
      <c r="AJ1097" s="1525">
        <f t="shared" si="653"/>
        <v>0</v>
      </c>
      <c r="AK1097" s="1525">
        <f t="shared" si="653"/>
        <v>0</v>
      </c>
      <c r="AL1097" s="1525">
        <f t="shared" si="653"/>
        <v>0</v>
      </c>
      <c r="AM1097" s="1525">
        <f t="shared" si="653"/>
        <v>0</v>
      </c>
      <c r="AN1097" s="1525">
        <f t="shared" si="653"/>
        <v>0</v>
      </c>
      <c r="AO1097" s="1525">
        <f t="shared" si="653"/>
        <v>0</v>
      </c>
      <c r="AP1097" s="1525">
        <f t="shared" si="653"/>
        <v>0</v>
      </c>
      <c r="AQ1097" s="1525">
        <f t="shared" si="653"/>
        <v>0</v>
      </c>
      <c r="AR1097" s="1525">
        <f t="shared" si="653"/>
        <v>0</v>
      </c>
      <c r="AS1097" s="1525">
        <f t="shared" si="653"/>
        <v>0</v>
      </c>
      <c r="AU1097" s="224"/>
      <c r="AV1097" s="1292"/>
      <c r="AX1097" s="1292"/>
      <c r="BT1097" s="1671"/>
      <c r="BV1097" s="224"/>
      <c r="BW1097" s="224"/>
    </row>
    <row r="1098" spans="2:75" ht="12.75" customHeight="1" x14ac:dyDescent="0.2">
      <c r="B1098" s="175">
        <f t="shared" si="655"/>
        <v>3</v>
      </c>
      <c r="C1098" s="219">
        <v>9</v>
      </c>
      <c r="E1098" s="12" t="s">
        <v>1560</v>
      </c>
      <c r="F1098" s="1" t="s">
        <v>1476</v>
      </c>
      <c r="G1098" s="821" t="s">
        <v>1306</v>
      </c>
      <c r="H1098" s="858">
        <v>273751</v>
      </c>
      <c r="I1098" s="200" t="s">
        <v>351</v>
      </c>
      <c r="J1098" s="189"/>
      <c r="K1098" s="189"/>
      <c r="L1098" s="858">
        <v>1</v>
      </c>
      <c r="M1098" s="858">
        <f>K1098+L1098</f>
        <v>1</v>
      </c>
      <c r="N1098" s="857" t="s">
        <v>892</v>
      </c>
      <c r="O1098" s="1196">
        <v>31261</v>
      </c>
      <c r="P1098" s="1218">
        <f ca="1">YEARFRAC(TODAY(),O1098)</f>
        <v>32.166666666666664</v>
      </c>
      <c r="Q1098" s="1148">
        <v>33800</v>
      </c>
      <c r="R1098" s="874"/>
      <c r="S1098" s="875"/>
      <c r="T1098" s="885">
        <v>20200</v>
      </c>
      <c r="U1098" s="885"/>
      <c r="V1098" s="885"/>
      <c r="W1098" s="875"/>
      <c r="X1098" s="1026">
        <f t="shared" si="650"/>
        <v>54000</v>
      </c>
      <c r="Y1098" s="1512">
        <f t="shared" si="651"/>
        <v>0.59763313609467461</v>
      </c>
      <c r="Z1098" s="1741">
        <f t="shared" si="657"/>
        <v>1.5976331360946747</v>
      </c>
      <c r="AA1098" s="1749">
        <f t="shared" si="658"/>
        <v>1</v>
      </c>
      <c r="AB1098" s="1810">
        <f t="shared" si="659"/>
        <v>62.592592592592588</v>
      </c>
      <c r="AC1098" s="876"/>
      <c r="AD1098" s="1525">
        <f t="shared" si="653"/>
        <v>1</v>
      </c>
      <c r="AE1098" s="1525">
        <f t="shared" si="653"/>
        <v>0</v>
      </c>
      <c r="AF1098" s="1525">
        <f t="shared" si="653"/>
        <v>0</v>
      </c>
      <c r="AG1098" s="1525">
        <f t="shared" si="653"/>
        <v>0</v>
      </c>
      <c r="AH1098" s="1525">
        <f t="shared" si="653"/>
        <v>0</v>
      </c>
      <c r="AI1098" s="1525">
        <f t="shared" si="653"/>
        <v>0</v>
      </c>
      <c r="AJ1098" s="1525">
        <f t="shared" si="653"/>
        <v>0</v>
      </c>
      <c r="AK1098" s="1525">
        <f t="shared" si="653"/>
        <v>0</v>
      </c>
      <c r="AL1098" s="1525">
        <f t="shared" si="653"/>
        <v>0</v>
      </c>
      <c r="AM1098" s="1525">
        <f t="shared" si="653"/>
        <v>0</v>
      </c>
      <c r="AN1098" s="1525">
        <f t="shared" si="653"/>
        <v>0</v>
      </c>
      <c r="AO1098" s="1525">
        <f t="shared" si="653"/>
        <v>0</v>
      </c>
      <c r="AP1098" s="1525">
        <f t="shared" si="653"/>
        <v>0</v>
      </c>
      <c r="AQ1098" s="1525">
        <f t="shared" si="653"/>
        <v>0</v>
      </c>
      <c r="AR1098" s="1525">
        <f t="shared" si="653"/>
        <v>0</v>
      </c>
      <c r="AS1098" s="1525">
        <f t="shared" si="653"/>
        <v>0</v>
      </c>
      <c r="AU1098" s="1525"/>
      <c r="AV1098" s="1291"/>
      <c r="AW1098" s="1292"/>
      <c r="AX1098" s="1292"/>
      <c r="AY1098" s="1292"/>
      <c r="AZ1098" s="1292"/>
      <c r="BA1098" s="1292"/>
      <c r="BB1098" s="1292"/>
      <c r="BC1098" s="1292"/>
      <c r="BD1098" s="1292"/>
      <c r="BE1098" s="1292"/>
      <c r="BF1098" s="1292"/>
      <c r="BG1098" s="1292"/>
      <c r="BH1098" s="1292"/>
      <c r="BI1098" s="1292"/>
      <c r="BJ1098" s="1292">
        <v>1</v>
      </c>
      <c r="BK1098" s="1292"/>
      <c r="BL1098" s="1292"/>
      <c r="BM1098" s="1292"/>
      <c r="BN1098" s="1292"/>
      <c r="BO1098" s="1292"/>
      <c r="BP1098" s="1292"/>
      <c r="BQ1098" s="1292"/>
      <c r="BR1098" s="1292"/>
      <c r="BS1098" s="1292"/>
      <c r="BT1098" s="1670">
        <f t="shared" si="654"/>
        <v>1</v>
      </c>
      <c r="BW1098" s="821" t="s">
        <v>1306</v>
      </c>
    </row>
    <row r="1099" spans="2:75" ht="12.75" customHeight="1" x14ac:dyDescent="0.2">
      <c r="B1099" s="175">
        <f t="shared" si="655"/>
        <v>4</v>
      </c>
      <c r="C1099" s="219">
        <v>11</v>
      </c>
      <c r="D1099" s="170"/>
      <c r="E1099" s="12" t="s">
        <v>1560</v>
      </c>
      <c r="F1099" s="24" t="s">
        <v>558</v>
      </c>
      <c r="G1099" s="821" t="s">
        <v>2039</v>
      </c>
      <c r="H1099" s="858">
        <v>164535</v>
      </c>
      <c r="I1099" s="200" t="s">
        <v>351</v>
      </c>
      <c r="J1099" s="189"/>
      <c r="K1099" s="189"/>
      <c r="L1099" s="858">
        <v>1</v>
      </c>
      <c r="M1099" s="858">
        <f>K1099+L1099</f>
        <v>1</v>
      </c>
      <c r="N1099" s="857" t="s">
        <v>892</v>
      </c>
      <c r="O1099" s="1196">
        <v>32105</v>
      </c>
      <c r="P1099" s="1218">
        <f t="shared" ref="P1099" ca="1" si="660">YEARFRAC(TODAY(),O1099)</f>
        <v>29.855555555555554</v>
      </c>
      <c r="Q1099" s="1148">
        <v>25000</v>
      </c>
      <c r="R1099" s="874"/>
      <c r="S1099" s="875"/>
      <c r="T1099" s="885"/>
      <c r="U1099" s="885"/>
      <c r="V1099" s="885"/>
      <c r="W1099" s="875"/>
      <c r="X1099" s="1026">
        <f t="shared" si="650"/>
        <v>25000</v>
      </c>
      <c r="Y1099" s="1512">
        <f t="shared" si="651"/>
        <v>0</v>
      </c>
      <c r="Z1099" s="1741">
        <f t="shared" si="657"/>
        <v>1</v>
      </c>
      <c r="AA1099" s="1749">
        <f t="shared" si="658"/>
        <v>0</v>
      </c>
      <c r="AB1099" s="1810">
        <f t="shared" si="659"/>
        <v>0</v>
      </c>
      <c r="AC1099" s="876"/>
      <c r="AD1099" s="1525">
        <f t="shared" si="653"/>
        <v>0</v>
      </c>
      <c r="AE1099" s="1525">
        <f t="shared" si="653"/>
        <v>0</v>
      </c>
      <c r="AF1099" s="1525">
        <f t="shared" si="653"/>
        <v>0</v>
      </c>
      <c r="AG1099" s="1525">
        <f t="shared" si="653"/>
        <v>0</v>
      </c>
      <c r="AH1099" s="1525">
        <f t="shared" si="653"/>
        <v>0</v>
      </c>
      <c r="AI1099" s="1525">
        <f t="shared" si="653"/>
        <v>0</v>
      </c>
      <c r="AJ1099" s="1525">
        <f t="shared" si="653"/>
        <v>0</v>
      </c>
      <c r="AK1099" s="1525">
        <f t="shared" si="653"/>
        <v>0</v>
      </c>
      <c r="AL1099" s="1525">
        <f t="shared" si="653"/>
        <v>0</v>
      </c>
      <c r="AM1099" s="1525">
        <f t="shared" si="653"/>
        <v>0</v>
      </c>
      <c r="AN1099" s="1525">
        <f t="shared" si="653"/>
        <v>0</v>
      </c>
      <c r="AO1099" s="1525">
        <f t="shared" si="653"/>
        <v>0</v>
      </c>
      <c r="AP1099" s="1525">
        <f t="shared" si="653"/>
        <v>0</v>
      </c>
      <c r="AQ1099" s="1525">
        <f t="shared" si="653"/>
        <v>0</v>
      </c>
      <c r="AR1099" s="1525">
        <f t="shared" si="653"/>
        <v>0</v>
      </c>
      <c r="AS1099" s="1525">
        <f t="shared" si="653"/>
        <v>0</v>
      </c>
      <c r="AU1099" s="224"/>
      <c r="AV1099" s="1292"/>
      <c r="AX1099" s="1292"/>
      <c r="BT1099" s="1671"/>
      <c r="BV1099" s="224"/>
      <c r="BW1099" s="224"/>
    </row>
    <row r="1100" spans="2:75" ht="12.75" customHeight="1" x14ac:dyDescent="0.2">
      <c r="B1100" s="175">
        <f t="shared" si="655"/>
        <v>5</v>
      </c>
      <c r="C1100" s="219">
        <v>14</v>
      </c>
      <c r="E1100" s="12" t="s">
        <v>1560</v>
      </c>
      <c r="F1100" s="1" t="s">
        <v>626</v>
      </c>
      <c r="G1100" s="821" t="s">
        <v>520</v>
      </c>
      <c r="H1100" s="858">
        <v>131147</v>
      </c>
      <c r="I1100" s="200" t="s">
        <v>583</v>
      </c>
      <c r="J1100" s="189"/>
      <c r="K1100" s="189"/>
      <c r="L1100" s="858">
        <v>1</v>
      </c>
      <c r="M1100" s="858">
        <v>1</v>
      </c>
      <c r="N1100" s="857" t="s">
        <v>892</v>
      </c>
      <c r="O1100" s="1196">
        <v>31949</v>
      </c>
      <c r="P1100" s="1218">
        <f ca="1">YEARFRAC(TODAY(),O1100)</f>
        <v>30.280555555555555</v>
      </c>
      <c r="Q1100" s="1148">
        <v>26000</v>
      </c>
      <c r="R1100" s="874"/>
      <c r="S1100" s="875"/>
      <c r="T1100" s="885"/>
      <c r="U1100" s="885"/>
      <c r="V1100" s="885"/>
      <c r="W1100" s="875"/>
      <c r="X1100" s="1026">
        <f t="shared" si="650"/>
        <v>26000</v>
      </c>
      <c r="Y1100" s="1512">
        <f t="shared" si="651"/>
        <v>0</v>
      </c>
      <c r="Z1100" s="1741">
        <f>M1100*(1+Y1100)</f>
        <v>1</v>
      </c>
      <c r="AA1100" s="1749">
        <f>SUM(AD1100:AS1100)</f>
        <v>1</v>
      </c>
      <c r="AB1100" s="1810">
        <f t="shared" ref="AB1100:AB1101" si="661">100*AA1100/Z1100</f>
        <v>100</v>
      </c>
      <c r="AC1100" s="876"/>
      <c r="AD1100" s="1525">
        <f t="shared" ref="AD1100:AS1101" si="662">SUMIF($AV$6:$BS$6,AD$5,$AV1100:$BS1100)</f>
        <v>1</v>
      </c>
      <c r="AE1100" s="1525">
        <f t="shared" si="662"/>
        <v>0</v>
      </c>
      <c r="AF1100" s="1525">
        <f t="shared" si="662"/>
        <v>0</v>
      </c>
      <c r="AG1100" s="1525">
        <f t="shared" si="662"/>
        <v>0</v>
      </c>
      <c r="AH1100" s="1525">
        <f t="shared" si="662"/>
        <v>0</v>
      </c>
      <c r="AI1100" s="1525">
        <f t="shared" si="662"/>
        <v>0</v>
      </c>
      <c r="AJ1100" s="1525">
        <f t="shared" si="662"/>
        <v>0</v>
      </c>
      <c r="AK1100" s="1525">
        <f t="shared" si="662"/>
        <v>0</v>
      </c>
      <c r="AL1100" s="1525">
        <f t="shared" si="662"/>
        <v>0</v>
      </c>
      <c r="AM1100" s="1525">
        <f t="shared" si="662"/>
        <v>0</v>
      </c>
      <c r="AN1100" s="1525">
        <f t="shared" si="662"/>
        <v>0</v>
      </c>
      <c r="AO1100" s="1525">
        <f t="shared" si="662"/>
        <v>0</v>
      </c>
      <c r="AP1100" s="1525">
        <f t="shared" si="662"/>
        <v>0</v>
      </c>
      <c r="AQ1100" s="1525">
        <f t="shared" si="662"/>
        <v>0</v>
      </c>
      <c r="AR1100" s="1525">
        <f t="shared" si="662"/>
        <v>0</v>
      </c>
      <c r="AS1100" s="1525">
        <f t="shared" si="662"/>
        <v>0</v>
      </c>
      <c r="AU1100" s="1525"/>
      <c r="AV1100" s="1291"/>
      <c r="AW1100" s="1292"/>
      <c r="AX1100" s="1292"/>
      <c r="AY1100" s="1292"/>
      <c r="AZ1100" s="1292"/>
      <c r="BA1100" s="1292"/>
      <c r="BB1100" s="1292"/>
      <c r="BC1100" s="1292"/>
      <c r="BD1100" s="1292"/>
      <c r="BE1100" s="1292"/>
      <c r="BF1100" s="1292"/>
      <c r="BG1100" s="1292"/>
      <c r="BH1100" s="1292"/>
      <c r="BI1100" s="1292"/>
      <c r="BJ1100" s="1292">
        <v>1</v>
      </c>
      <c r="BK1100" s="1292"/>
      <c r="BL1100" s="1292"/>
      <c r="BM1100" s="1292"/>
      <c r="BN1100" s="1292"/>
      <c r="BO1100" s="1292"/>
      <c r="BP1100" s="1292"/>
      <c r="BQ1100" s="1292"/>
      <c r="BR1100" s="1292"/>
      <c r="BS1100" s="1292"/>
      <c r="BT1100" s="1670">
        <f t="shared" si="654"/>
        <v>1</v>
      </c>
      <c r="BW1100" s="821" t="s">
        <v>520</v>
      </c>
    </row>
    <row r="1101" spans="2:75" s="164" customFormat="1" ht="12.75" customHeight="1" x14ac:dyDescent="0.2">
      <c r="B1101" s="175">
        <f t="shared" si="655"/>
        <v>6</v>
      </c>
      <c r="C1101" s="219">
        <v>17</v>
      </c>
      <c r="E1101" s="12" t="s">
        <v>1560</v>
      </c>
      <c r="F1101" s="26" t="s">
        <v>635</v>
      </c>
      <c r="G1101" s="830" t="s">
        <v>53</v>
      </c>
      <c r="H1101" s="873">
        <v>5203</v>
      </c>
      <c r="I1101" s="176" t="s">
        <v>1442</v>
      </c>
      <c r="J1101" s="177"/>
      <c r="K1101" s="177"/>
      <c r="L1101" s="873">
        <v>0.1</v>
      </c>
      <c r="M1101" s="873">
        <f>K1101+L1101</f>
        <v>0.1</v>
      </c>
      <c r="N1101" s="872" t="s">
        <v>892</v>
      </c>
      <c r="O1101" s="1196">
        <v>19085</v>
      </c>
      <c r="P1101" s="1218">
        <f ca="1">YEARFRAC(TODAY(),O1101)</f>
        <v>65.50277777777778</v>
      </c>
      <c r="Q1101" s="1148">
        <v>11500</v>
      </c>
      <c r="R1101" s="874"/>
      <c r="S1101" s="875"/>
      <c r="T1101" s="877"/>
      <c r="U1101" s="877"/>
      <c r="V1101" s="877"/>
      <c r="W1101" s="875"/>
      <c r="X1101" s="1026">
        <f t="shared" si="650"/>
        <v>1150</v>
      </c>
      <c r="Y1101" s="1512">
        <f t="shared" si="651"/>
        <v>0</v>
      </c>
      <c r="Z1101" s="1741">
        <f>M1101*(1+Y1101)</f>
        <v>0.1</v>
      </c>
      <c r="AA1101" s="1749">
        <f>SUM(AD1101:AS1101)</f>
        <v>0</v>
      </c>
      <c r="AB1101" s="1810">
        <f t="shared" si="661"/>
        <v>0</v>
      </c>
      <c r="AC1101" s="876"/>
      <c r="AD1101" s="1525">
        <f t="shared" si="662"/>
        <v>0</v>
      </c>
      <c r="AE1101" s="1525">
        <f t="shared" si="662"/>
        <v>0</v>
      </c>
      <c r="AF1101" s="1525">
        <f t="shared" si="662"/>
        <v>0</v>
      </c>
      <c r="AG1101" s="1525">
        <f t="shared" si="662"/>
        <v>0</v>
      </c>
      <c r="AH1101" s="1525">
        <f t="shared" si="662"/>
        <v>0</v>
      </c>
      <c r="AI1101" s="1525">
        <f t="shared" si="662"/>
        <v>0</v>
      </c>
      <c r="AJ1101" s="1525">
        <f t="shared" si="662"/>
        <v>0</v>
      </c>
      <c r="AK1101" s="1525">
        <f t="shared" si="662"/>
        <v>0</v>
      </c>
      <c r="AL1101" s="1525">
        <f t="shared" si="662"/>
        <v>0</v>
      </c>
      <c r="AM1101" s="1525">
        <f t="shared" si="662"/>
        <v>0</v>
      </c>
      <c r="AN1101" s="1525">
        <f t="shared" si="662"/>
        <v>0</v>
      </c>
      <c r="AO1101" s="1525">
        <f t="shared" si="662"/>
        <v>0</v>
      </c>
      <c r="AP1101" s="1525">
        <f t="shared" si="662"/>
        <v>0</v>
      </c>
      <c r="AQ1101" s="1525">
        <f t="shared" si="662"/>
        <v>0</v>
      </c>
      <c r="AR1101" s="1525">
        <f t="shared" si="662"/>
        <v>0</v>
      </c>
      <c r="AS1101" s="1525">
        <f t="shared" si="662"/>
        <v>0</v>
      </c>
      <c r="AU1101" s="1525"/>
      <c r="AV1101" s="1295"/>
      <c r="AW1101" s="1525"/>
      <c r="AX1101" s="1525"/>
      <c r="AY1101" s="1525"/>
      <c r="AZ1101" s="1525"/>
      <c r="BA1101" s="1525"/>
      <c r="BB1101" s="1525"/>
      <c r="BC1101" s="1525"/>
      <c r="BD1101" s="1525"/>
      <c r="BE1101" s="1525"/>
      <c r="BF1101" s="1525"/>
      <c r="BG1101" s="1525"/>
      <c r="BH1101" s="1525"/>
      <c r="BI1101" s="1525"/>
      <c r="BJ1101" s="1525"/>
      <c r="BK1101" s="1525"/>
      <c r="BL1101" s="1525"/>
      <c r="BM1101" s="1525"/>
      <c r="BN1101" s="1525"/>
      <c r="BO1101" s="1525"/>
      <c r="BP1101" s="1525"/>
      <c r="BQ1101" s="1525"/>
      <c r="BR1101" s="1525"/>
      <c r="BS1101" s="1525"/>
      <c r="BT1101" s="1670">
        <f t="shared" si="654"/>
        <v>0</v>
      </c>
      <c r="BV1101" t="s">
        <v>2078</v>
      </c>
      <c r="BW1101" s="830" t="s">
        <v>53</v>
      </c>
    </row>
    <row r="1102" spans="2:75" s="164" customFormat="1" ht="12.75" customHeight="1" x14ac:dyDescent="0.2">
      <c r="B1102" s="175"/>
      <c r="C1102" s="219"/>
      <c r="E1102" s="12"/>
      <c r="F1102" s="4"/>
      <c r="G1102" s="825"/>
      <c r="H1102" s="861"/>
      <c r="I1102" s="180"/>
      <c r="J1102" s="173"/>
      <c r="K1102" s="173"/>
      <c r="L1102" s="861"/>
      <c r="M1102" s="861"/>
      <c r="N1102" s="836"/>
      <c r="O1102" s="1196"/>
      <c r="P1102" s="1218"/>
      <c r="Q1102" s="1148"/>
      <c r="R1102" s="874"/>
      <c r="S1102" s="875"/>
      <c r="T1102" s="877"/>
      <c r="U1102" s="877"/>
      <c r="V1102" s="877"/>
      <c r="W1102" s="875"/>
      <c r="X1102" s="1026"/>
      <c r="Y1102" s="1335"/>
      <c r="Z1102" s="1335"/>
      <c r="AA1102" s="1775"/>
      <c r="AB1102" s="1814"/>
      <c r="AC1102" s="876"/>
      <c r="AD1102" s="1525"/>
      <c r="AE1102" s="1525"/>
      <c r="AF1102" s="1525"/>
      <c r="AG1102" s="1525"/>
      <c r="AH1102" s="1525"/>
      <c r="AI1102" s="1525"/>
      <c r="AJ1102" s="1525"/>
      <c r="AK1102" s="1525"/>
      <c r="AL1102" s="1525"/>
      <c r="AM1102" s="1525"/>
      <c r="AN1102" s="1525"/>
      <c r="AO1102" s="1525"/>
      <c r="AP1102" s="1525"/>
      <c r="AQ1102" s="1525"/>
      <c r="AR1102" s="1525"/>
      <c r="AS1102" s="1525"/>
      <c r="AU1102" s="1525"/>
      <c r="AV1102" s="1295"/>
      <c r="AW1102" s="1525"/>
      <c r="AX1102" s="1525"/>
      <c r="AY1102" s="1525"/>
      <c r="AZ1102" s="1525"/>
      <c r="BA1102" s="1525"/>
      <c r="BB1102" s="1525"/>
      <c r="BC1102" s="1525"/>
      <c r="BD1102" s="1525"/>
      <c r="BE1102" s="1525"/>
      <c r="BF1102" s="1525"/>
      <c r="BG1102" s="1525"/>
      <c r="BH1102" s="1525"/>
      <c r="BI1102" s="1525"/>
      <c r="BJ1102" s="1525"/>
      <c r="BK1102" s="1525"/>
      <c r="BL1102" s="1525"/>
      <c r="BM1102" s="1525"/>
      <c r="BN1102" s="1525"/>
      <c r="BO1102" s="1525"/>
      <c r="BP1102" s="1525"/>
      <c r="BQ1102" s="1525"/>
      <c r="BR1102" s="1525"/>
      <c r="BS1102" s="1525"/>
      <c r="BT1102" s="1670"/>
      <c r="BV1102"/>
      <c r="BW1102" s="825"/>
    </row>
    <row r="1103" spans="2:75" s="164" customFormat="1" ht="12.75" customHeight="1" x14ac:dyDescent="0.15">
      <c r="B1103" s="175"/>
      <c r="F1103" s="1115" t="s">
        <v>436</v>
      </c>
      <c r="G1103" s="821"/>
      <c r="H1103" s="1346" t="s">
        <v>1508</v>
      </c>
      <c r="I1103" s="172"/>
      <c r="J1103" s="168"/>
      <c r="K1103" s="168"/>
      <c r="L1103" s="858"/>
      <c r="M1103" s="858"/>
      <c r="N1103" s="857"/>
      <c r="O1103" s="1200"/>
      <c r="P1103" s="550"/>
      <c r="Q1103" s="1148"/>
      <c r="R1103" s="874"/>
      <c r="S1103" s="875"/>
      <c r="T1103" s="875"/>
      <c r="U1103" s="875"/>
      <c r="V1103" s="875"/>
      <c r="W1103" s="875"/>
      <c r="X1103" s="1026"/>
      <c r="Y1103" s="1754"/>
      <c r="Z1103" s="1755"/>
      <c r="AA1103" s="1775"/>
      <c r="AB1103" s="1814"/>
      <c r="AC1103" s="876"/>
      <c r="AD1103" s="1295"/>
      <c r="AE1103" s="1525"/>
      <c r="AF1103" s="1525"/>
      <c r="AG1103" s="1525"/>
      <c r="AH1103" s="1525"/>
      <c r="AI1103" s="1525"/>
      <c r="AJ1103" s="1525"/>
      <c r="AK1103" s="1525"/>
      <c r="AL1103" s="1525"/>
      <c r="AM1103" s="1525"/>
      <c r="AN1103" s="1525"/>
      <c r="AO1103" s="1525"/>
      <c r="AP1103" s="1525"/>
      <c r="AQ1103" s="1525"/>
      <c r="AR1103" s="1525"/>
      <c r="AS1103" s="1525"/>
      <c r="AU1103" s="1525"/>
      <c r="AV1103" s="1295"/>
      <c r="AW1103" s="1525"/>
      <c r="AX1103" s="1525"/>
      <c r="AY1103" s="1525"/>
      <c r="AZ1103" s="1525"/>
      <c r="BA1103" s="1525"/>
      <c r="BB1103" s="1525"/>
      <c r="BC1103" s="1525"/>
      <c r="BD1103" s="1525"/>
      <c r="BE1103" s="1525"/>
      <c r="BF1103" s="1525"/>
      <c r="BG1103" s="1525"/>
      <c r="BH1103" s="1525"/>
      <c r="BI1103" s="1525"/>
      <c r="BJ1103" s="1525"/>
      <c r="BK1103" s="1525"/>
      <c r="BL1103" s="1525"/>
      <c r="BM1103" s="1525"/>
      <c r="BN1103" s="1525"/>
      <c r="BO1103" s="1525"/>
      <c r="BP1103" s="1525"/>
      <c r="BQ1103" s="1525"/>
      <c r="BR1103" s="1525"/>
      <c r="BS1103" s="1525"/>
      <c r="BT1103" s="1670"/>
      <c r="BV1103"/>
      <c r="BW1103" s="821"/>
    </row>
    <row r="1104" spans="2:75" s="164" customFormat="1" ht="12.75" customHeight="1" x14ac:dyDescent="0.2">
      <c r="B1104" s="175">
        <f>B1103+1</f>
        <v>1</v>
      </c>
      <c r="C1104" s="219">
        <v>8</v>
      </c>
      <c r="E1104" s="472" t="s">
        <v>1560</v>
      </c>
      <c r="F1104" s="632" t="s">
        <v>919</v>
      </c>
      <c r="G1104" s="821" t="s">
        <v>235</v>
      </c>
      <c r="H1104" s="858">
        <v>134158</v>
      </c>
      <c r="I1104" s="174" t="s">
        <v>351</v>
      </c>
      <c r="J1104" s="4" t="s">
        <v>1527</v>
      </c>
      <c r="K1104" s="202">
        <v>1</v>
      </c>
      <c r="L1104" s="858"/>
      <c r="M1104" s="858">
        <v>1</v>
      </c>
      <c r="N1104" s="857" t="s">
        <v>892</v>
      </c>
      <c r="O1104" s="1196">
        <v>25972</v>
      </c>
      <c r="P1104" s="1218">
        <f ca="1">YEARFRAC(TODAY(),O1104)</f>
        <v>46.65</v>
      </c>
      <c r="Q1104" s="1148">
        <v>33300</v>
      </c>
      <c r="R1104" s="874"/>
      <c r="S1104" s="875">
        <v>3000</v>
      </c>
      <c r="T1104" s="875">
        <v>5000</v>
      </c>
      <c r="U1104" s="875"/>
      <c r="V1104" s="875"/>
      <c r="W1104" s="875"/>
      <c r="X1104" s="1026">
        <f>(Q1104+R1104+S1104+T1104+U1104+V1104+W1104)*M1104</f>
        <v>41300</v>
      </c>
      <c r="Y1104" s="1512">
        <f>(T1104+U1104)*M1104/(X1104-M1104*(T1104+U1104))</f>
        <v>0.13774104683195593</v>
      </c>
      <c r="Z1104" s="1741">
        <f>M1104*(1+Y1104)</f>
        <v>1.137741046831956</v>
      </c>
      <c r="AA1104" s="1749">
        <f>SUM(AD1104:AS1104)</f>
        <v>1</v>
      </c>
      <c r="AB1104" s="1810">
        <f t="shared" ref="AB1104" si="663">100*AA1104/Z1104</f>
        <v>87.893462469733649</v>
      </c>
      <c r="AC1104" s="876"/>
      <c r="AD1104" s="1525">
        <f t="shared" ref="AD1104:AS1104" si="664">SUMIF($AV$6:$BS$6,AD$5,$AV1104:$BS1104)</f>
        <v>1</v>
      </c>
      <c r="AE1104" s="1525">
        <f t="shared" si="664"/>
        <v>0</v>
      </c>
      <c r="AF1104" s="1525">
        <f t="shared" si="664"/>
        <v>0</v>
      </c>
      <c r="AG1104" s="1525">
        <f t="shared" si="664"/>
        <v>0</v>
      </c>
      <c r="AH1104" s="1525">
        <f t="shared" si="664"/>
        <v>0</v>
      </c>
      <c r="AI1104" s="1525">
        <f t="shared" si="664"/>
        <v>0</v>
      </c>
      <c r="AJ1104" s="1525">
        <f t="shared" si="664"/>
        <v>0</v>
      </c>
      <c r="AK1104" s="1525">
        <f t="shared" si="664"/>
        <v>0</v>
      </c>
      <c r="AL1104" s="1525">
        <f t="shared" si="664"/>
        <v>0</v>
      </c>
      <c r="AM1104" s="1525">
        <f t="shared" si="664"/>
        <v>0</v>
      </c>
      <c r="AN1104" s="1525">
        <f t="shared" si="664"/>
        <v>0</v>
      </c>
      <c r="AO1104" s="1525">
        <f t="shared" si="664"/>
        <v>0</v>
      </c>
      <c r="AP1104" s="1525">
        <f t="shared" si="664"/>
        <v>0</v>
      </c>
      <c r="AQ1104" s="1525">
        <f t="shared" si="664"/>
        <v>0</v>
      </c>
      <c r="AR1104" s="1525">
        <f t="shared" si="664"/>
        <v>0</v>
      </c>
      <c r="AS1104" s="1525">
        <f t="shared" si="664"/>
        <v>0</v>
      </c>
      <c r="AU1104" s="1525"/>
      <c r="AV1104" s="1295"/>
      <c r="AW1104" s="1525"/>
      <c r="AX1104" s="1525"/>
      <c r="AY1104" s="1525"/>
      <c r="AZ1104" s="1525"/>
      <c r="BA1104" s="1525"/>
      <c r="BB1104" s="1525"/>
      <c r="BC1104" s="1525"/>
      <c r="BD1104" s="1525"/>
      <c r="BE1104" s="1525"/>
      <c r="BF1104" s="1525"/>
      <c r="BG1104" s="1525"/>
      <c r="BH1104" s="1525"/>
      <c r="BI1104" s="1525"/>
      <c r="BJ1104" s="1525">
        <v>1</v>
      </c>
      <c r="BK1104" s="1525"/>
      <c r="BL1104" s="1525"/>
      <c r="BM1104" s="1525"/>
      <c r="BN1104" s="1525"/>
      <c r="BO1104" s="1525"/>
      <c r="BP1104" s="1525"/>
      <c r="BQ1104" s="1525"/>
      <c r="BR1104" s="1525"/>
      <c r="BS1104" s="1525"/>
      <c r="BT1104" s="1670">
        <f t="shared" ref="BT1104" si="665">SUM(AV1104:BS1104)</f>
        <v>1</v>
      </c>
      <c r="BV1104"/>
      <c r="BW1104" s="821" t="s">
        <v>235</v>
      </c>
    </row>
    <row r="1105" spans="2:75" s="164" customFormat="1" ht="12.75" customHeight="1" x14ac:dyDescent="0.2">
      <c r="B1105" s="175"/>
      <c r="C1105" s="219"/>
      <c r="E1105" s="12"/>
      <c r="F1105" s="4"/>
      <c r="G1105" s="825"/>
      <c r="H1105" s="861"/>
      <c r="I1105" s="180"/>
      <c r="J1105" s="173"/>
      <c r="K1105" s="173"/>
      <c r="L1105" s="861"/>
      <c r="M1105" s="861"/>
      <c r="N1105" s="836"/>
      <c r="O1105" s="1196"/>
      <c r="P1105" s="1218"/>
      <c r="Q1105" s="1148"/>
      <c r="R1105" s="874"/>
      <c r="S1105" s="875"/>
      <c r="T1105" s="877"/>
      <c r="U1105" s="877"/>
      <c r="V1105" s="877"/>
      <c r="W1105" s="875"/>
      <c r="X1105" s="1026"/>
      <c r="Y1105" s="1335"/>
      <c r="Z1105" s="1335"/>
      <c r="AA1105" s="1775"/>
      <c r="AB1105" s="1814"/>
      <c r="AC1105" s="876"/>
      <c r="AD1105" s="1525"/>
      <c r="AE1105" s="1525"/>
      <c r="AF1105" s="1525"/>
      <c r="AG1105" s="1525"/>
      <c r="AH1105" s="1525"/>
      <c r="AI1105" s="1525"/>
      <c r="AJ1105" s="1525"/>
      <c r="AK1105" s="1525"/>
      <c r="AL1105" s="1525"/>
      <c r="AM1105" s="1525"/>
      <c r="AN1105" s="1525"/>
      <c r="AO1105" s="1525"/>
      <c r="AP1105" s="1525"/>
      <c r="AQ1105" s="1525"/>
      <c r="AR1105" s="1525"/>
      <c r="AS1105" s="1525"/>
      <c r="AU1105" s="1525"/>
      <c r="AV1105" s="1295"/>
      <c r="AW1105" s="1525"/>
      <c r="AX1105" s="1525"/>
      <c r="AY1105" s="1525"/>
      <c r="AZ1105" s="1525"/>
      <c r="BA1105" s="1525"/>
      <c r="BB1105" s="1525"/>
      <c r="BC1105" s="1525"/>
      <c r="BD1105" s="1525"/>
      <c r="BE1105" s="1525"/>
      <c r="BF1105" s="1525"/>
      <c r="BG1105" s="1525"/>
      <c r="BH1105" s="1525"/>
      <c r="BI1105" s="1525"/>
      <c r="BJ1105" s="1525"/>
      <c r="BK1105" s="1525"/>
      <c r="BL1105" s="1525"/>
      <c r="BM1105" s="1525"/>
      <c r="BN1105" s="1525"/>
      <c r="BO1105" s="1525"/>
      <c r="BP1105" s="1525"/>
      <c r="BQ1105" s="1525"/>
      <c r="BR1105" s="1525"/>
      <c r="BS1105" s="1525"/>
      <c r="BT1105" s="1670"/>
      <c r="BV1105"/>
      <c r="BW1105" s="825"/>
    </row>
    <row r="1106" spans="2:75" s="164" customFormat="1" ht="12.75" customHeight="1" x14ac:dyDescent="0.15">
      <c r="B1106" s="175"/>
      <c r="C1106" s="219" t="s">
        <v>1120</v>
      </c>
      <c r="F1106" s="24" t="s">
        <v>553</v>
      </c>
      <c r="G1106" s="821"/>
      <c r="H1106" s="1361" t="s">
        <v>1508</v>
      </c>
      <c r="I1106" s="172"/>
      <c r="J1106" s="168"/>
      <c r="K1106" s="318">
        <f>SUM(K1107:K1107)</f>
        <v>0</v>
      </c>
      <c r="L1106" s="902">
        <f>SUM(L1096:L1105)</f>
        <v>5.0999999999999996</v>
      </c>
      <c r="M1106" s="902">
        <f>SUM(M1096:M1105)</f>
        <v>6.1</v>
      </c>
      <c r="N1106" s="857"/>
      <c r="O1106" s="1200"/>
      <c r="P1106" s="550"/>
      <c r="Q1106" s="1153"/>
      <c r="R1106" s="877"/>
      <c r="S1106" s="875"/>
      <c r="T1106" s="875"/>
      <c r="U1106" s="875"/>
      <c r="V1106" s="875"/>
      <c r="W1106" s="875"/>
      <c r="X1106" s="1026"/>
      <c r="Y1106" s="1335"/>
      <c r="Z1106" s="1335"/>
      <c r="AA1106" s="1775"/>
      <c r="AB1106" s="1814"/>
      <c r="AC1106" s="876"/>
      <c r="AD1106" s="1295"/>
      <c r="AE1106" s="1525"/>
      <c r="AF1106" s="1525"/>
      <c r="AG1106" s="1525"/>
      <c r="AH1106" s="1525"/>
      <c r="AI1106" s="1525"/>
      <c r="AJ1106" s="1525"/>
      <c r="AK1106" s="1525"/>
      <c r="AL1106" s="1525"/>
      <c r="AM1106" s="1525"/>
      <c r="AN1106" s="1525"/>
      <c r="AO1106" s="1525"/>
      <c r="AP1106" s="1525"/>
      <c r="AQ1106" s="1525"/>
      <c r="AR1106" s="1525"/>
      <c r="AS1106" s="1525"/>
      <c r="AU1106" s="1525"/>
      <c r="AV1106" s="1295"/>
      <c r="AW1106" s="1525"/>
      <c r="AX1106" s="1525"/>
      <c r="AY1106" s="1525"/>
      <c r="AZ1106" s="1525"/>
      <c r="BA1106" s="1525"/>
      <c r="BB1106" s="1525"/>
      <c r="BC1106" s="1525"/>
      <c r="BD1106" s="1525"/>
      <c r="BE1106" s="1525"/>
      <c r="BF1106" s="1525"/>
      <c r="BG1106" s="1525"/>
      <c r="BH1106" s="1525"/>
      <c r="BI1106" s="1525"/>
      <c r="BJ1106" s="1525"/>
      <c r="BK1106" s="1525"/>
      <c r="BL1106" s="1525"/>
      <c r="BM1106" s="1525"/>
      <c r="BN1106" s="1525"/>
      <c r="BO1106" s="1525"/>
      <c r="BP1106" s="1525"/>
      <c r="BQ1106" s="1525"/>
      <c r="BR1106" s="1525"/>
      <c r="BS1106" s="1525"/>
      <c r="BT1106" s="1670"/>
      <c r="BV1106"/>
      <c r="BW1106" s="821"/>
    </row>
    <row r="1107" spans="2:75" s="164" customFormat="1" ht="12.75" customHeight="1" x14ac:dyDescent="0.15">
      <c r="B1107" s="175"/>
      <c r="F1107" s="24"/>
      <c r="G1107" s="821"/>
      <c r="H1107" s="1346" t="s">
        <v>1508</v>
      </c>
      <c r="I1107" s="172"/>
      <c r="J1107" s="168"/>
      <c r="K1107" s="168"/>
      <c r="L1107" s="858"/>
      <c r="M1107" s="858"/>
      <c r="N1107" s="857"/>
      <c r="O1107" s="1200"/>
      <c r="P1107" s="550"/>
      <c r="Q1107" s="1148"/>
      <c r="R1107" s="874"/>
      <c r="S1107" s="875"/>
      <c r="T1107" s="875"/>
      <c r="U1107" s="875"/>
      <c r="V1107" s="875"/>
      <c r="W1107" s="875"/>
      <c r="X1107" s="1026"/>
      <c r="Y1107" s="1754"/>
      <c r="Z1107" s="1755"/>
      <c r="AA1107" s="1775"/>
      <c r="AB1107" s="1814"/>
      <c r="AC1107" s="876"/>
      <c r="AD1107" s="1295"/>
      <c r="AE1107" s="1525"/>
      <c r="AF1107" s="1525"/>
      <c r="AG1107" s="1525"/>
      <c r="AH1107" s="1525"/>
      <c r="AI1107" s="1525"/>
      <c r="AJ1107" s="1525"/>
      <c r="AK1107" s="1525"/>
      <c r="AL1107" s="1525"/>
      <c r="AM1107" s="1525"/>
      <c r="AN1107" s="1525"/>
      <c r="AO1107" s="1525"/>
      <c r="AP1107" s="1525"/>
      <c r="AQ1107" s="1525"/>
      <c r="AR1107" s="1525"/>
      <c r="AS1107" s="1525"/>
      <c r="AU1107" s="1525"/>
      <c r="AV1107" s="1295"/>
      <c r="AW1107" s="1525"/>
      <c r="AX1107" s="1525"/>
      <c r="AY1107" s="1525"/>
      <c r="AZ1107" s="1525"/>
      <c r="BA1107" s="1525"/>
      <c r="BB1107" s="1525"/>
      <c r="BC1107" s="1525"/>
      <c r="BD1107" s="1525"/>
      <c r="BE1107" s="1525"/>
      <c r="BF1107" s="1525"/>
      <c r="BG1107" s="1525"/>
      <c r="BH1107" s="1525"/>
      <c r="BI1107" s="1525"/>
      <c r="BJ1107" s="1525"/>
      <c r="BK1107" s="1525"/>
      <c r="BL1107" s="1525"/>
      <c r="BM1107" s="1525"/>
      <c r="BN1107" s="1525"/>
      <c r="BO1107" s="1525"/>
      <c r="BP1107" s="1525"/>
      <c r="BQ1107" s="1525"/>
      <c r="BR1107" s="1525"/>
      <c r="BS1107" s="1525"/>
      <c r="BT1107" s="1670"/>
      <c r="BV1107"/>
      <c r="BW1107" s="821"/>
    </row>
    <row r="1108" spans="2:75" s="164" customFormat="1" ht="12.75" customHeight="1" x14ac:dyDescent="0.15">
      <c r="B1108" s="175"/>
      <c r="F1108" s="21" t="s">
        <v>396</v>
      </c>
      <c r="G1108" s="975"/>
      <c r="H1108" s="1359" t="s">
        <v>1508</v>
      </c>
      <c r="I1108" s="256"/>
      <c r="J1108" s="301"/>
      <c r="K1108" s="301"/>
      <c r="L1108" s="897"/>
      <c r="M1108" s="897"/>
      <c r="N1108" s="799"/>
      <c r="O1108" s="1200"/>
      <c r="P1108" s="550"/>
      <c r="Q1108" s="1148"/>
      <c r="R1108" s="874"/>
      <c r="S1108" s="875"/>
      <c r="T1108" s="875"/>
      <c r="U1108" s="875"/>
      <c r="V1108" s="875"/>
      <c r="W1108" s="875"/>
      <c r="X1108" s="1026"/>
      <c r="Y1108" s="1754"/>
      <c r="Z1108" s="1755"/>
      <c r="AA1108" s="1775"/>
      <c r="AB1108" s="1814"/>
      <c r="AC1108" s="876"/>
      <c r="AD1108" s="1295"/>
      <c r="AE1108" s="1525"/>
      <c r="AF1108" s="1525"/>
      <c r="AG1108" s="1525"/>
      <c r="AH1108" s="1525"/>
      <c r="AI1108" s="1525"/>
      <c r="AJ1108" s="1525"/>
      <c r="AK1108" s="1525"/>
      <c r="AL1108" s="1525"/>
      <c r="AM1108" s="1525"/>
      <c r="AN1108" s="1525"/>
      <c r="AO1108" s="1525"/>
      <c r="AP1108" s="1525"/>
      <c r="AQ1108" s="1525"/>
      <c r="AR1108" s="1525"/>
      <c r="AS1108" s="1525"/>
      <c r="AU1108" s="1525"/>
      <c r="AV1108" s="1295"/>
      <c r="AW1108" s="1525"/>
      <c r="AX1108" s="1525"/>
      <c r="AY1108" s="1525"/>
      <c r="AZ1108" s="1525"/>
      <c r="BA1108" s="1525"/>
      <c r="BB1108" s="1525"/>
      <c r="BC1108" s="1525"/>
      <c r="BD1108" s="1525"/>
      <c r="BE1108" s="1525"/>
      <c r="BF1108" s="1525"/>
      <c r="BG1108" s="1525"/>
      <c r="BH1108" s="1525"/>
      <c r="BI1108" s="1525"/>
      <c r="BJ1108" s="1525"/>
      <c r="BK1108" s="1525"/>
      <c r="BL1108" s="1525"/>
      <c r="BM1108" s="1525"/>
      <c r="BN1108" s="1525"/>
      <c r="BO1108" s="1525"/>
      <c r="BP1108" s="1525"/>
      <c r="BQ1108" s="1525"/>
      <c r="BR1108" s="1525"/>
      <c r="BS1108" s="1525"/>
      <c r="BT1108" s="1670"/>
      <c r="BV1108"/>
      <c r="BW1108" s="975"/>
    </row>
    <row r="1109" spans="2:75" s="164" customFormat="1" ht="12.75" customHeight="1" x14ac:dyDescent="0.15">
      <c r="B1109" s="175"/>
      <c r="F1109" s="4" t="s">
        <v>1659</v>
      </c>
      <c r="G1109" s="1309"/>
      <c r="H1109" s="1383" t="s">
        <v>1508</v>
      </c>
      <c r="I1109" s="1315"/>
      <c r="J1109" s="1319"/>
      <c r="K1109" s="1319"/>
      <c r="L1109" s="1312"/>
      <c r="M1109" s="1312"/>
      <c r="N1109" s="1321"/>
      <c r="O1109" s="1200"/>
      <c r="P1109" s="550"/>
      <c r="Q1109" s="1148"/>
      <c r="R1109" s="874"/>
      <c r="S1109" s="876"/>
      <c r="T1109" s="876"/>
      <c r="U1109" s="876"/>
      <c r="V1109" s="876"/>
      <c r="W1109" s="876"/>
      <c r="X1109" s="1026"/>
      <c r="Y1109" s="1754"/>
      <c r="Z1109" s="1755"/>
      <c r="AA1109" s="1775"/>
      <c r="AB1109" s="1814"/>
      <c r="AC1109" s="876"/>
      <c r="AD1109" s="1295"/>
      <c r="AE1109" s="1525"/>
      <c r="AF1109" s="1525"/>
      <c r="AG1109" s="1525"/>
      <c r="AH1109" s="1525"/>
      <c r="AI1109" s="1525"/>
      <c r="AJ1109" s="1525"/>
      <c r="AK1109" s="1525"/>
      <c r="AL1109" s="1525"/>
      <c r="AM1109" s="1525"/>
      <c r="AN1109" s="1525"/>
      <c r="AO1109" s="1525"/>
      <c r="AP1109" s="1525"/>
      <c r="AQ1109" s="1525"/>
      <c r="AR1109" s="1525"/>
      <c r="AS1109" s="1525"/>
      <c r="AU1109" s="1525"/>
      <c r="AV1109" s="1295"/>
      <c r="AW1109" s="1525"/>
      <c r="AX1109" s="1525"/>
      <c r="AY1109" s="1525"/>
      <c r="AZ1109" s="1525"/>
      <c r="BA1109" s="1525"/>
      <c r="BB1109" s="1525"/>
      <c r="BC1109" s="1525"/>
      <c r="BD1109" s="1525"/>
      <c r="BE1109" s="1525"/>
      <c r="BF1109" s="1525"/>
      <c r="BG1109" s="1525"/>
      <c r="BH1109" s="1525"/>
      <c r="BI1109" s="1525"/>
      <c r="BJ1109" s="1525"/>
      <c r="BK1109" s="1525"/>
      <c r="BL1109" s="1525"/>
      <c r="BM1109" s="1525"/>
      <c r="BN1109" s="1525"/>
      <c r="BO1109" s="1525"/>
      <c r="BP1109" s="1525"/>
      <c r="BQ1109" s="1525"/>
      <c r="BR1109" s="1525"/>
      <c r="BS1109" s="1525"/>
      <c r="BT1109" s="1670"/>
      <c r="BV1109"/>
      <c r="BW1109" s="1309"/>
    </row>
    <row r="1110" spans="2:75" s="164" customFormat="1" ht="12.75" customHeight="1" x14ac:dyDescent="0.15">
      <c r="B1110" s="175"/>
      <c r="F1110" s="24"/>
      <c r="G1110" s="976"/>
      <c r="H1110" s="1359" t="s">
        <v>1508</v>
      </c>
      <c r="I1110" s="256"/>
      <c r="J1110" s="301"/>
      <c r="K1110" s="301"/>
      <c r="L1110" s="897"/>
      <c r="M1110" s="897"/>
      <c r="N1110" s="924"/>
      <c r="O1110" s="1200"/>
      <c r="P1110" s="550"/>
      <c r="Q1110" s="1148"/>
      <c r="R1110" s="874"/>
      <c r="S1110" s="876"/>
      <c r="T1110" s="876"/>
      <c r="U1110" s="876"/>
      <c r="V1110" s="876"/>
      <c r="W1110" s="876"/>
      <c r="X1110" s="1026"/>
      <c r="Y1110" s="1754"/>
      <c r="Z1110" s="1755"/>
      <c r="AA1110" s="1775"/>
      <c r="AB1110" s="1814"/>
      <c r="AC1110" s="876"/>
      <c r="AD1110" s="1295"/>
      <c r="AE1110" s="1525"/>
      <c r="AF1110" s="1525"/>
      <c r="AG1110" s="1525"/>
      <c r="AH1110" s="1525"/>
      <c r="AI1110" s="1525"/>
      <c r="AJ1110" s="1525"/>
      <c r="AK1110" s="1525"/>
      <c r="AL1110" s="1525"/>
      <c r="AM1110" s="1525"/>
      <c r="AN1110" s="1525"/>
      <c r="AO1110" s="1525"/>
      <c r="AP1110" s="1525"/>
      <c r="AQ1110" s="1525"/>
      <c r="AR1110" s="1525"/>
      <c r="AS1110" s="1525"/>
      <c r="AU1110" s="1525"/>
      <c r="AV1110" s="1295"/>
      <c r="AW1110" s="1525"/>
      <c r="AX1110" s="1525"/>
      <c r="AY1110" s="1525"/>
      <c r="AZ1110" s="1525"/>
      <c r="BA1110" s="1525"/>
      <c r="BB1110" s="1525"/>
      <c r="BC1110" s="1525"/>
      <c r="BD1110" s="1525"/>
      <c r="BE1110" s="1525"/>
      <c r="BF1110" s="1525"/>
      <c r="BG1110" s="1525"/>
      <c r="BH1110" s="1525"/>
      <c r="BI1110" s="1525"/>
      <c r="BJ1110" s="1525"/>
      <c r="BK1110" s="1525"/>
      <c r="BL1110" s="1525"/>
      <c r="BM1110" s="1525"/>
      <c r="BN1110" s="1525"/>
      <c r="BO1110" s="1525"/>
      <c r="BP1110" s="1525"/>
      <c r="BQ1110" s="1525"/>
      <c r="BR1110" s="1525"/>
      <c r="BS1110" s="1525"/>
      <c r="BT1110" s="1670"/>
      <c r="BV1110"/>
      <c r="BW1110" s="976"/>
    </row>
    <row r="1111" spans="2:75" ht="12.75" customHeight="1" x14ac:dyDescent="0.2">
      <c r="B1111" s="175">
        <f>B1110+1</f>
        <v>1</v>
      </c>
      <c r="C1111" s="219">
        <v>10</v>
      </c>
      <c r="E1111" s="12" t="s">
        <v>1560</v>
      </c>
      <c r="F1111" s="37" t="s">
        <v>1476</v>
      </c>
      <c r="G1111" s="825" t="s">
        <v>493</v>
      </c>
      <c r="H1111" s="861">
        <v>293381</v>
      </c>
      <c r="I1111" s="197" t="s">
        <v>351</v>
      </c>
      <c r="J1111" s="173"/>
      <c r="K1111" s="173"/>
      <c r="L1111" s="861">
        <v>1</v>
      </c>
      <c r="M1111" s="861">
        <f>K1111+L1111</f>
        <v>1</v>
      </c>
      <c r="N1111" s="836" t="s">
        <v>892</v>
      </c>
      <c r="O1111" s="1196">
        <v>30470</v>
      </c>
      <c r="P1111" s="1218">
        <f ca="1">YEARFRAC(TODAY(),O1111)</f>
        <v>34.330555555555556</v>
      </c>
      <c r="Q1111" s="1148">
        <v>37650</v>
      </c>
      <c r="R1111" s="874"/>
      <c r="S1111" s="876">
        <v>3000</v>
      </c>
      <c r="T1111" s="876">
        <v>19700</v>
      </c>
      <c r="U1111" s="876">
        <v>10000</v>
      </c>
      <c r="V1111" s="876"/>
      <c r="W1111" s="876"/>
      <c r="X1111" s="1026">
        <f>(Q1111+R1111+S1111+T1111+U1111+V1111+W1111)*M1111</f>
        <v>70350</v>
      </c>
      <c r="Y1111" s="1512">
        <f>(T1111+U1111)*M1111/(X1111-M1111*(T1111+U1111))</f>
        <v>0.73062730627306272</v>
      </c>
      <c r="Z1111" s="1741">
        <f>M1111*(1+Y1111)</f>
        <v>1.7306273062730626</v>
      </c>
      <c r="AA1111" s="1749">
        <f>SUM(AD1111:AS1111)</f>
        <v>1</v>
      </c>
      <c r="AB1111" s="1810">
        <f t="shared" ref="AB1111:AB1112" si="666">100*AA1111/Z1111</f>
        <v>57.782515991471222</v>
      </c>
      <c r="AC1111" s="876"/>
      <c r="AD1111" s="1525">
        <f t="shared" ref="AD1111:AS1112" si="667">SUMIF($AV$6:$BS$6,AD$5,$AV1111:$BS1111)</f>
        <v>1</v>
      </c>
      <c r="AE1111" s="1525">
        <f t="shared" si="667"/>
        <v>0</v>
      </c>
      <c r="AF1111" s="1525">
        <f t="shared" si="667"/>
        <v>0</v>
      </c>
      <c r="AG1111" s="1525">
        <f t="shared" si="667"/>
        <v>0</v>
      </c>
      <c r="AH1111" s="1525">
        <f t="shared" si="667"/>
        <v>0</v>
      </c>
      <c r="AI1111" s="1525">
        <f t="shared" si="667"/>
        <v>0</v>
      </c>
      <c r="AJ1111" s="1525">
        <f t="shared" si="667"/>
        <v>0</v>
      </c>
      <c r="AK1111" s="1525">
        <f t="shared" si="667"/>
        <v>0</v>
      </c>
      <c r="AL1111" s="1525">
        <f t="shared" si="667"/>
        <v>0</v>
      </c>
      <c r="AM1111" s="1525">
        <f t="shared" si="667"/>
        <v>0</v>
      </c>
      <c r="AN1111" s="1525">
        <f t="shared" si="667"/>
        <v>0</v>
      </c>
      <c r="AO1111" s="1525">
        <f t="shared" si="667"/>
        <v>0</v>
      </c>
      <c r="AP1111" s="1525">
        <f t="shared" si="667"/>
        <v>0</v>
      </c>
      <c r="AQ1111" s="1525">
        <f t="shared" si="667"/>
        <v>0</v>
      </c>
      <c r="AR1111" s="1525">
        <f t="shared" si="667"/>
        <v>0</v>
      </c>
      <c r="AS1111" s="1525">
        <f t="shared" si="667"/>
        <v>0</v>
      </c>
      <c r="AU1111" s="1525"/>
      <c r="AV1111" s="1291"/>
      <c r="AW1111" s="1292"/>
      <c r="AX1111" s="1292"/>
      <c r="AY1111" s="1292"/>
      <c r="AZ1111" s="1292"/>
      <c r="BA1111" s="1292"/>
      <c r="BB1111" s="1292"/>
      <c r="BC1111" s="1292"/>
      <c r="BD1111" s="1292"/>
      <c r="BE1111" s="1292"/>
      <c r="BF1111" s="1292"/>
      <c r="BG1111" s="1292"/>
      <c r="BH1111" s="1292"/>
      <c r="BI1111" s="1292">
        <v>0.5</v>
      </c>
      <c r="BJ1111" s="1292">
        <v>0.5</v>
      </c>
      <c r="BK1111" s="1292"/>
      <c r="BL1111" s="1292"/>
      <c r="BM1111" s="1292"/>
      <c r="BN1111" s="1292"/>
      <c r="BO1111" s="1292"/>
      <c r="BP1111" s="1292"/>
      <c r="BQ1111" s="1292"/>
      <c r="BR1111" s="1292"/>
      <c r="BS1111" s="1292"/>
      <c r="BT1111" s="1670">
        <f t="shared" ref="BT1111:BT1112" si="668">SUM(AV1111:BS1111)</f>
        <v>1</v>
      </c>
      <c r="BW1111" s="825" t="s">
        <v>493</v>
      </c>
    </row>
    <row r="1112" spans="2:75" ht="12.75" customHeight="1" x14ac:dyDescent="0.2">
      <c r="B1112" s="175">
        <f>B1111+1</f>
        <v>2</v>
      </c>
      <c r="C1112" s="219">
        <v>10</v>
      </c>
      <c r="E1112" s="12" t="s">
        <v>1560</v>
      </c>
      <c r="F1112" s="42" t="s">
        <v>1398</v>
      </c>
      <c r="G1112" s="830" t="s">
        <v>753</v>
      </c>
      <c r="H1112" s="873">
        <v>114341</v>
      </c>
      <c r="I1112" s="196" t="s">
        <v>351</v>
      </c>
      <c r="J1112" s="173"/>
      <c r="K1112" s="177"/>
      <c r="L1112" s="873">
        <v>1</v>
      </c>
      <c r="M1112" s="873">
        <f>K1112+L1112</f>
        <v>1</v>
      </c>
      <c r="N1112" s="872" t="s">
        <v>892</v>
      </c>
      <c r="O1112" s="1211">
        <v>31171</v>
      </c>
      <c r="P1112" s="1218">
        <f ca="1">YEARFRAC(TODAY(),O1112)</f>
        <v>32.411111111111111</v>
      </c>
      <c r="Q1112" s="1148">
        <v>41500</v>
      </c>
      <c r="R1112" s="874"/>
      <c r="S1112" s="876">
        <v>3000</v>
      </c>
      <c r="T1112" s="876">
        <v>28000</v>
      </c>
      <c r="U1112" s="876">
        <v>7800</v>
      </c>
      <c r="V1112" s="876"/>
      <c r="W1112" s="876"/>
      <c r="X1112" s="1026">
        <f>(Q1112+R1112+S1112+T1112+U1112+V1112+W1112)*M1112</f>
        <v>80300</v>
      </c>
      <c r="Y1112" s="1512">
        <f>(T1112+U1112)*M1112/(X1112-M1112*(T1112+U1112))</f>
        <v>0.80449438202247192</v>
      </c>
      <c r="Z1112" s="1741">
        <f>M1112*(1+Y1112)</f>
        <v>1.8044943820224719</v>
      </c>
      <c r="AA1112" s="1749">
        <f>SUM(AD1112:AS1112)</f>
        <v>1</v>
      </c>
      <c r="AB1112" s="1810">
        <f t="shared" si="666"/>
        <v>55.417185554171859</v>
      </c>
      <c r="AC1112" s="876"/>
      <c r="AD1112" s="1525">
        <f t="shared" si="667"/>
        <v>1</v>
      </c>
      <c r="AE1112" s="1525">
        <f t="shared" si="667"/>
        <v>0</v>
      </c>
      <c r="AF1112" s="1525">
        <f t="shared" si="667"/>
        <v>0</v>
      </c>
      <c r="AG1112" s="1525">
        <f t="shared" si="667"/>
        <v>0</v>
      </c>
      <c r="AH1112" s="1525">
        <f t="shared" si="667"/>
        <v>0</v>
      </c>
      <c r="AI1112" s="1525">
        <f t="shared" si="667"/>
        <v>0</v>
      </c>
      <c r="AJ1112" s="1525">
        <f t="shared" si="667"/>
        <v>0</v>
      </c>
      <c r="AK1112" s="1525">
        <f t="shared" si="667"/>
        <v>0</v>
      </c>
      <c r="AL1112" s="1525">
        <f t="shared" si="667"/>
        <v>0</v>
      </c>
      <c r="AM1112" s="1525">
        <f t="shared" si="667"/>
        <v>0</v>
      </c>
      <c r="AN1112" s="1525">
        <f t="shared" si="667"/>
        <v>0</v>
      </c>
      <c r="AO1112" s="1525">
        <f t="shared" si="667"/>
        <v>0</v>
      </c>
      <c r="AP1112" s="1525">
        <f t="shared" si="667"/>
        <v>0</v>
      </c>
      <c r="AQ1112" s="1525">
        <f t="shared" si="667"/>
        <v>0</v>
      </c>
      <c r="AR1112" s="1525">
        <f t="shared" si="667"/>
        <v>0</v>
      </c>
      <c r="AS1112" s="1525">
        <f t="shared" si="667"/>
        <v>0</v>
      </c>
      <c r="AU1112" s="1525"/>
      <c r="AV1112" s="1291"/>
      <c r="AW1112" s="1292"/>
      <c r="AX1112" s="1292"/>
      <c r="AY1112" s="1292"/>
      <c r="AZ1112" s="1292"/>
      <c r="BA1112" s="1292"/>
      <c r="BB1112" s="1292"/>
      <c r="BC1112" s="1292"/>
      <c r="BD1112" s="1292"/>
      <c r="BE1112" s="1292"/>
      <c r="BF1112" s="1292"/>
      <c r="BG1112" s="1292"/>
      <c r="BH1112" s="1292"/>
      <c r="BI1112" s="1292">
        <v>0.5</v>
      </c>
      <c r="BJ1112" s="1292">
        <v>0.5</v>
      </c>
      <c r="BK1112" s="1292"/>
      <c r="BL1112" s="1292"/>
      <c r="BM1112" s="1292"/>
      <c r="BN1112" s="1292"/>
      <c r="BO1112" s="1292"/>
      <c r="BP1112" s="1292"/>
      <c r="BQ1112" s="1292"/>
      <c r="BR1112" s="1292"/>
      <c r="BS1112" s="1292"/>
      <c r="BT1112" s="1670">
        <f t="shared" si="668"/>
        <v>1</v>
      </c>
      <c r="BW1112" s="830" t="s">
        <v>753</v>
      </c>
    </row>
    <row r="1113" spans="2:75" ht="12.75" customHeight="1" x14ac:dyDescent="0.2">
      <c r="B1113" s="175"/>
      <c r="C1113" s="219"/>
      <c r="E1113" s="12"/>
      <c r="F1113" s="37"/>
      <c r="G1113" s="825"/>
      <c r="H1113" s="861"/>
      <c r="I1113" s="197"/>
      <c r="J1113" s="173"/>
      <c r="K1113" s="173"/>
      <c r="L1113" s="861"/>
      <c r="M1113" s="861"/>
      <c r="N1113" s="836"/>
      <c r="O1113" s="1196"/>
      <c r="P1113" s="1218"/>
      <c r="Q1113" s="1148"/>
      <c r="R1113" s="874"/>
      <c r="S1113" s="876"/>
      <c r="T1113" s="876"/>
      <c r="U1113" s="876"/>
      <c r="V1113" s="876"/>
      <c r="W1113" s="876"/>
      <c r="X1113" s="1026"/>
      <c r="Y1113" s="1335"/>
      <c r="Z1113" s="1335"/>
      <c r="AA1113" s="1775"/>
      <c r="AB1113" s="1814"/>
      <c r="AC1113" s="876"/>
      <c r="AD1113" s="1525"/>
      <c r="AE1113" s="1525"/>
      <c r="AF1113" s="1525"/>
      <c r="AG1113" s="1525"/>
      <c r="AH1113" s="1525"/>
      <c r="AI1113" s="1525"/>
      <c r="AJ1113" s="1525"/>
      <c r="AK1113" s="1525"/>
      <c r="AL1113" s="1525"/>
      <c r="AM1113" s="1525"/>
      <c r="AN1113" s="1525"/>
      <c r="AO1113" s="1525"/>
      <c r="AP1113" s="1525"/>
      <c r="AQ1113" s="1525"/>
      <c r="AR1113" s="1525"/>
      <c r="AS1113" s="1525"/>
      <c r="AU1113" s="1525"/>
      <c r="AV1113" s="1291"/>
      <c r="AW1113" s="1292"/>
      <c r="AX1113" s="1292"/>
      <c r="AY1113" s="1292"/>
      <c r="AZ1113" s="1292"/>
      <c r="BA1113" s="1292"/>
      <c r="BB1113" s="1292"/>
      <c r="BC1113" s="1292"/>
      <c r="BD1113" s="1292"/>
      <c r="BE1113" s="1292"/>
      <c r="BF1113" s="1292"/>
      <c r="BG1113" s="1292"/>
      <c r="BH1113" s="1292"/>
      <c r="BI1113" s="1292"/>
      <c r="BJ1113" s="1292"/>
      <c r="BK1113" s="1292"/>
      <c r="BL1113" s="1292"/>
      <c r="BM1113" s="1292"/>
      <c r="BN1113" s="1292"/>
      <c r="BO1113" s="1292"/>
      <c r="BP1113" s="1292"/>
      <c r="BQ1113" s="1292"/>
      <c r="BR1113" s="1292"/>
      <c r="BS1113" s="1292"/>
      <c r="BT1113" s="1670"/>
      <c r="BW1113" s="825"/>
    </row>
    <row r="1114" spans="2:75" s="164" customFormat="1" ht="12.75" customHeight="1" x14ac:dyDescent="0.15">
      <c r="B1114" s="175"/>
      <c r="F1114" s="1115" t="s">
        <v>436</v>
      </c>
      <c r="G1114" s="821"/>
      <c r="H1114" s="1346" t="s">
        <v>1508</v>
      </c>
      <c r="I1114" s="172"/>
      <c r="J1114" s="168"/>
      <c r="K1114" s="168"/>
      <c r="L1114" s="858"/>
      <c r="M1114" s="858"/>
      <c r="N1114" s="857"/>
      <c r="O1114" s="1200"/>
      <c r="P1114" s="550"/>
      <c r="Q1114" s="1148"/>
      <c r="R1114" s="874"/>
      <c r="S1114" s="875"/>
      <c r="T1114" s="875"/>
      <c r="U1114" s="875"/>
      <c r="V1114" s="875"/>
      <c r="W1114" s="875"/>
      <c r="X1114" s="1026"/>
      <c r="Y1114" s="1754"/>
      <c r="Z1114" s="1755"/>
      <c r="AA1114" s="1775"/>
      <c r="AB1114" s="1814"/>
      <c r="AC1114" s="876"/>
      <c r="AD1114" s="1295"/>
      <c r="AE1114" s="1525"/>
      <c r="AF1114" s="1525"/>
      <c r="AG1114" s="1525"/>
      <c r="AH1114" s="1525"/>
      <c r="AI1114" s="1525"/>
      <c r="AJ1114" s="1525"/>
      <c r="AK1114" s="1525"/>
      <c r="AL1114" s="1525"/>
      <c r="AM1114" s="1525"/>
      <c r="AN1114" s="1525"/>
      <c r="AO1114" s="1525"/>
      <c r="AP1114" s="1525"/>
      <c r="AQ1114" s="1525"/>
      <c r="AR1114" s="1525"/>
      <c r="AS1114" s="1525"/>
      <c r="AU1114" s="1525"/>
      <c r="AV1114" s="1295"/>
      <c r="AW1114" s="1525"/>
      <c r="AX1114" s="1525"/>
      <c r="AY1114" s="1525"/>
      <c r="AZ1114" s="1525"/>
      <c r="BA1114" s="1525"/>
      <c r="BB1114" s="1525"/>
      <c r="BC1114" s="1525"/>
      <c r="BD1114" s="1525"/>
      <c r="BE1114" s="1525"/>
      <c r="BF1114" s="1525"/>
      <c r="BG1114" s="1525"/>
      <c r="BH1114" s="1525"/>
      <c r="BI1114" s="1525"/>
      <c r="BJ1114" s="1525"/>
      <c r="BK1114" s="1525"/>
      <c r="BL1114" s="1525"/>
      <c r="BM1114" s="1525"/>
      <c r="BN1114" s="1525"/>
      <c r="BO1114" s="1525"/>
      <c r="BP1114" s="1525"/>
      <c r="BQ1114" s="1525"/>
      <c r="BR1114" s="1525"/>
      <c r="BS1114" s="1525"/>
      <c r="BT1114" s="1670"/>
      <c r="BV1114"/>
      <c r="BW1114" s="821"/>
    </row>
    <row r="1115" spans="2:75" ht="12.75" customHeight="1" x14ac:dyDescent="0.2">
      <c r="B1115" s="175">
        <f>B1114+1</f>
        <v>1</v>
      </c>
      <c r="C1115" s="219">
        <v>8</v>
      </c>
      <c r="E1115" s="166" t="s">
        <v>1560</v>
      </c>
      <c r="F1115" s="4" t="s">
        <v>1527</v>
      </c>
      <c r="G1115" s="859" t="s">
        <v>1528</v>
      </c>
      <c r="H1115" s="858">
        <v>111408</v>
      </c>
      <c r="I1115" s="202" t="s">
        <v>351</v>
      </c>
      <c r="J1115" s="174"/>
      <c r="K1115" s="174">
        <v>1</v>
      </c>
      <c r="L1115" s="861"/>
      <c r="M1115" s="858">
        <v>1</v>
      </c>
      <c r="N1115" s="836" t="s">
        <v>892</v>
      </c>
      <c r="O1115" s="1196">
        <v>26295</v>
      </c>
      <c r="P1115" s="1218">
        <f ca="1">YEARFRAC(TODAY(),O1115)</f>
        <v>45.761111111111113</v>
      </c>
      <c r="Q1115" s="1148">
        <v>33300</v>
      </c>
      <c r="R1115" s="874"/>
      <c r="S1115" s="875">
        <v>3000</v>
      </c>
      <c r="T1115" s="877"/>
      <c r="U1115" s="877"/>
      <c r="V1115" s="877"/>
      <c r="W1115" s="875"/>
      <c r="X1115" s="1026">
        <f>(Q1115+R1115+S1115+T1115+U1115+V1115+W1115)*M1115</f>
        <v>36300</v>
      </c>
      <c r="Y1115" s="1512">
        <f>(T1115+U1115)*M1115/(X1115-M1115*(T1115+U1115))</f>
        <v>0</v>
      </c>
      <c r="Z1115" s="1741">
        <f>M1115*(1+Y1115)</f>
        <v>1</v>
      </c>
      <c r="AA1115" s="1749">
        <f>SUM(AD1115:AS1115)</f>
        <v>1</v>
      </c>
      <c r="AB1115" s="1810">
        <f t="shared" ref="AB1115" si="669">100*AA1115/Z1115</f>
        <v>100</v>
      </c>
      <c r="AC1115" s="876"/>
      <c r="AD1115" s="1525">
        <f t="shared" ref="AD1115:AS1115" si="670">SUMIF($AV$6:$BS$6,AD$5,$AV1115:$BS1115)</f>
        <v>1</v>
      </c>
      <c r="AE1115" s="1525">
        <f t="shared" si="670"/>
        <v>0</v>
      </c>
      <c r="AF1115" s="1525">
        <f t="shared" si="670"/>
        <v>0</v>
      </c>
      <c r="AG1115" s="1525">
        <f t="shared" si="670"/>
        <v>0</v>
      </c>
      <c r="AH1115" s="1525">
        <f t="shared" si="670"/>
        <v>0</v>
      </c>
      <c r="AI1115" s="1525">
        <f t="shared" si="670"/>
        <v>0</v>
      </c>
      <c r="AJ1115" s="1525">
        <f t="shared" si="670"/>
        <v>0</v>
      </c>
      <c r="AK1115" s="1525">
        <f t="shared" si="670"/>
        <v>0</v>
      </c>
      <c r="AL1115" s="1525">
        <f t="shared" si="670"/>
        <v>0</v>
      </c>
      <c r="AM1115" s="1525">
        <f t="shared" si="670"/>
        <v>0</v>
      </c>
      <c r="AN1115" s="1525">
        <f t="shared" si="670"/>
        <v>0</v>
      </c>
      <c r="AO1115" s="1525">
        <f t="shared" si="670"/>
        <v>0</v>
      </c>
      <c r="AP1115" s="1525">
        <f t="shared" si="670"/>
        <v>0</v>
      </c>
      <c r="AQ1115" s="1525">
        <f t="shared" si="670"/>
        <v>0</v>
      </c>
      <c r="AR1115" s="1525">
        <f t="shared" si="670"/>
        <v>0</v>
      </c>
      <c r="AS1115" s="1525">
        <f t="shared" si="670"/>
        <v>0</v>
      </c>
      <c r="AU1115" s="1525"/>
      <c r="AV1115" s="1291"/>
      <c r="AW1115" s="1292"/>
      <c r="AX1115" s="1292"/>
      <c r="AY1115" s="1292"/>
      <c r="AZ1115" s="1292"/>
      <c r="BA1115" s="1292"/>
      <c r="BB1115" s="1292"/>
      <c r="BC1115" s="1292"/>
      <c r="BD1115" s="1292"/>
      <c r="BE1115" s="1292"/>
      <c r="BF1115" s="1292"/>
      <c r="BG1115" s="1292"/>
      <c r="BH1115" s="1292"/>
      <c r="BI1115" s="1292">
        <v>0.5</v>
      </c>
      <c r="BJ1115" s="1292">
        <v>0.5</v>
      </c>
      <c r="BK1115" s="1292"/>
      <c r="BL1115" s="1292"/>
      <c r="BM1115" s="1292"/>
      <c r="BN1115" s="1292"/>
      <c r="BO1115" s="1292"/>
      <c r="BP1115" s="1292"/>
      <c r="BQ1115" s="1292"/>
      <c r="BR1115" s="1292"/>
      <c r="BS1115" s="1292"/>
      <c r="BT1115" s="1670">
        <f t="shared" ref="BT1115" si="671">SUM(AV1115:BS1115)</f>
        <v>1</v>
      </c>
      <c r="BW1115" s="859" t="s">
        <v>1528</v>
      </c>
    </row>
    <row r="1116" spans="2:75" ht="12.75" customHeight="1" x14ac:dyDescent="0.2">
      <c r="B1116" s="175"/>
      <c r="C1116" s="219"/>
      <c r="E1116" s="12"/>
      <c r="F1116" s="37"/>
      <c r="G1116" s="825"/>
      <c r="H1116" s="861"/>
      <c r="I1116" s="197"/>
      <c r="J1116" s="173"/>
      <c r="K1116" s="173"/>
      <c r="L1116" s="861"/>
      <c r="M1116" s="861"/>
      <c r="N1116" s="836"/>
      <c r="O1116" s="1196"/>
      <c r="P1116" s="1218"/>
      <c r="Q1116" s="1148"/>
      <c r="R1116" s="874"/>
      <c r="S1116" s="876"/>
      <c r="T1116" s="876"/>
      <c r="U1116" s="876"/>
      <c r="V1116" s="876"/>
      <c r="W1116" s="876"/>
      <c r="X1116" s="1026"/>
      <c r="Y1116" s="1335"/>
      <c r="Z1116" s="1335"/>
      <c r="AA1116" s="1775"/>
      <c r="AB1116" s="1814"/>
      <c r="AC1116" s="876"/>
      <c r="AD1116" s="1525"/>
      <c r="AE1116" s="1525"/>
      <c r="AF1116" s="1525"/>
      <c r="AG1116" s="1525"/>
      <c r="AH1116" s="1525"/>
      <c r="AI1116" s="1525"/>
      <c r="AJ1116" s="1525"/>
      <c r="AK1116" s="1525"/>
      <c r="AL1116" s="1525"/>
      <c r="AM1116" s="1525"/>
      <c r="AN1116" s="1525"/>
      <c r="AO1116" s="1525"/>
      <c r="AP1116" s="1525"/>
      <c r="AQ1116" s="1525"/>
      <c r="AR1116" s="1525"/>
      <c r="AS1116" s="1525"/>
      <c r="AU1116" s="1525"/>
      <c r="AV1116" s="1291"/>
      <c r="AW1116" s="1292"/>
      <c r="AX1116" s="1292"/>
      <c r="AY1116" s="1292"/>
      <c r="AZ1116" s="1292"/>
      <c r="BA1116" s="1292"/>
      <c r="BB1116" s="1292"/>
      <c r="BC1116" s="1292"/>
      <c r="BD1116" s="1292"/>
      <c r="BE1116" s="1292"/>
      <c r="BF1116" s="1292"/>
      <c r="BG1116" s="1292"/>
      <c r="BH1116" s="1292"/>
      <c r="BI1116" s="1292"/>
      <c r="BJ1116" s="1292"/>
      <c r="BK1116" s="1292"/>
      <c r="BL1116" s="1292"/>
      <c r="BM1116" s="1292"/>
      <c r="BN1116" s="1292"/>
      <c r="BO1116" s="1292"/>
      <c r="BP1116" s="1292"/>
      <c r="BQ1116" s="1292"/>
      <c r="BR1116" s="1292"/>
      <c r="BS1116" s="1292"/>
      <c r="BT1116" s="1670"/>
      <c r="BW1116" s="825"/>
    </row>
    <row r="1117" spans="2:75" s="164" customFormat="1" ht="12.75" customHeight="1" x14ac:dyDescent="0.15">
      <c r="B1117" s="175"/>
      <c r="C1117" s="219" t="s">
        <v>1120</v>
      </c>
      <c r="F1117" s="30" t="s">
        <v>342</v>
      </c>
      <c r="G1117" s="821"/>
      <c r="H1117" s="1361" t="s">
        <v>1508</v>
      </c>
      <c r="I1117" s="257"/>
      <c r="J1117" s="248"/>
      <c r="K1117" s="902">
        <f t="shared" ref="K1117:L1117" si="672">SUM(K1111:K1116)</f>
        <v>1</v>
      </c>
      <c r="L1117" s="902">
        <f t="shared" si="672"/>
        <v>2</v>
      </c>
      <c r="M1117" s="902">
        <f>SUM(M1111:M1116)</f>
        <v>3</v>
      </c>
      <c r="N1117" s="857"/>
      <c r="O1117" s="1200"/>
      <c r="P1117" s="550"/>
      <c r="Q1117" s="1153"/>
      <c r="R1117" s="877"/>
      <c r="S1117" s="875"/>
      <c r="T1117" s="875"/>
      <c r="U1117" s="875"/>
      <c r="V1117" s="875"/>
      <c r="W1117" s="875"/>
      <c r="X1117" s="1026"/>
      <c r="Y1117" s="1335"/>
      <c r="Z1117" s="1335"/>
      <c r="AA1117" s="1775"/>
      <c r="AB1117" s="1814"/>
      <c r="AC1117" s="876"/>
      <c r="AD1117" s="1295"/>
      <c r="AE1117" s="1525"/>
      <c r="AF1117" s="1525"/>
      <c r="AG1117" s="1525"/>
      <c r="AH1117" s="1525"/>
      <c r="AI1117" s="1525"/>
      <c r="AJ1117" s="1525"/>
      <c r="AK1117" s="1525"/>
      <c r="AL1117" s="1525"/>
      <c r="AM1117" s="1525"/>
      <c r="AN1117" s="1525"/>
      <c r="AO1117" s="1525"/>
      <c r="AP1117" s="1525"/>
      <c r="AQ1117" s="1525"/>
      <c r="AR1117" s="1525"/>
      <c r="AS1117" s="1525"/>
      <c r="AU1117" s="1525"/>
      <c r="AV1117" s="1295"/>
      <c r="AW1117" s="1525"/>
      <c r="AX1117" s="1525"/>
      <c r="AY1117" s="1525"/>
      <c r="AZ1117" s="1525"/>
      <c r="BA1117" s="1525"/>
      <c r="BB1117" s="1525"/>
      <c r="BC1117" s="1525"/>
      <c r="BD1117" s="1525"/>
      <c r="BE1117" s="1525"/>
      <c r="BF1117" s="1525"/>
      <c r="BG1117" s="1525"/>
      <c r="BH1117" s="1525"/>
      <c r="BI1117" s="1525"/>
      <c r="BJ1117" s="1525"/>
      <c r="BK1117" s="1525"/>
      <c r="BL1117" s="1525"/>
      <c r="BM1117" s="1525"/>
      <c r="BN1117" s="1525"/>
      <c r="BO1117" s="1525"/>
      <c r="BP1117" s="1525"/>
      <c r="BQ1117" s="1525"/>
      <c r="BR1117" s="1525"/>
      <c r="BS1117" s="1525"/>
      <c r="BT1117" s="1670"/>
      <c r="BV1117"/>
      <c r="BW1117" s="821"/>
    </row>
    <row r="1118" spans="2:75" s="164" customFormat="1" ht="12.75" customHeight="1" x14ac:dyDescent="0.15">
      <c r="B1118" s="175"/>
      <c r="F1118" s="24"/>
      <c r="G1118" s="821"/>
      <c r="H1118" s="1346" t="s">
        <v>1508</v>
      </c>
      <c r="I1118" s="172"/>
      <c r="J1118" s="168"/>
      <c r="K1118" s="168"/>
      <c r="L1118" s="858"/>
      <c r="M1118" s="858"/>
      <c r="N1118" s="857"/>
      <c r="O1118" s="1200"/>
      <c r="P1118" s="550"/>
      <c r="Q1118" s="1148"/>
      <c r="R1118" s="874"/>
      <c r="S1118" s="875"/>
      <c r="T1118" s="875"/>
      <c r="U1118" s="875"/>
      <c r="V1118" s="875"/>
      <c r="W1118" s="875"/>
      <c r="X1118" s="1026"/>
      <c r="Y1118" s="1754"/>
      <c r="Z1118" s="1755"/>
      <c r="AA1118" s="1775"/>
      <c r="AB1118" s="1814"/>
      <c r="AC1118" s="876"/>
      <c r="AD1118" s="1295"/>
      <c r="AE1118" s="1525"/>
      <c r="AF1118" s="1525"/>
      <c r="AG1118" s="1525"/>
      <c r="AH1118" s="1525"/>
      <c r="AI1118" s="1525"/>
      <c r="AJ1118" s="1525"/>
      <c r="AK1118" s="1525"/>
      <c r="AL1118" s="1525"/>
      <c r="AM1118" s="1525"/>
      <c r="AN1118" s="1525"/>
      <c r="AO1118" s="1525"/>
      <c r="AP1118" s="1525"/>
      <c r="AQ1118" s="1525"/>
      <c r="AR1118" s="1525"/>
      <c r="AS1118" s="1525"/>
      <c r="AU1118" s="1525"/>
      <c r="AV1118" s="1295"/>
      <c r="AW1118" s="1525"/>
      <c r="AX1118" s="1525"/>
      <c r="AY1118" s="1525"/>
      <c r="AZ1118" s="1525"/>
      <c r="BA1118" s="1525"/>
      <c r="BB1118" s="1525"/>
      <c r="BC1118" s="1525"/>
      <c r="BD1118" s="1525"/>
      <c r="BE1118" s="1525"/>
      <c r="BF1118" s="1525"/>
      <c r="BG1118" s="1525"/>
      <c r="BH1118" s="1525"/>
      <c r="BI1118" s="1525"/>
      <c r="BJ1118" s="1525"/>
      <c r="BK1118" s="1525"/>
      <c r="BL1118" s="1525"/>
      <c r="BM1118" s="1525"/>
      <c r="BN1118" s="1525"/>
      <c r="BO1118" s="1525"/>
      <c r="BP1118" s="1525"/>
      <c r="BQ1118" s="1525"/>
      <c r="BR1118" s="1525"/>
      <c r="BS1118" s="1525"/>
      <c r="BT1118" s="1670"/>
      <c r="BV1118"/>
      <c r="BW1118" s="821"/>
    </row>
    <row r="1119" spans="2:75" s="164" customFormat="1" ht="12.75" customHeight="1" x14ac:dyDescent="0.15">
      <c r="B1119" s="175"/>
      <c r="F1119" s="21" t="s">
        <v>1433</v>
      </c>
      <c r="G1119" s="859"/>
      <c r="H1119" s="1364" t="s">
        <v>1508</v>
      </c>
      <c r="I1119" s="172"/>
      <c r="J1119" s="168"/>
      <c r="K1119" s="168"/>
      <c r="L1119" s="841"/>
      <c r="M1119" s="841"/>
      <c r="N1119" s="855"/>
      <c r="O1119" s="1200"/>
      <c r="P1119" s="550"/>
      <c r="Q1119" s="1148"/>
      <c r="R1119" s="874"/>
      <c r="S1119" s="875"/>
      <c r="T1119" s="875"/>
      <c r="U1119" s="875"/>
      <c r="V1119" s="875"/>
      <c r="W1119" s="875"/>
      <c r="X1119" s="1026"/>
      <c r="Y1119" s="1754"/>
      <c r="Z1119" s="1755"/>
      <c r="AA1119" s="1775"/>
      <c r="AB1119" s="1814"/>
      <c r="AC1119" s="876"/>
      <c r="AD1119" s="1295"/>
      <c r="AE1119" s="1525"/>
      <c r="AF1119" s="1525"/>
      <c r="AG1119" s="1525"/>
      <c r="AH1119" s="1525"/>
      <c r="AI1119" s="1525"/>
      <c r="AJ1119" s="1525"/>
      <c r="AK1119" s="1525"/>
      <c r="AL1119" s="1525"/>
      <c r="AM1119" s="1525"/>
      <c r="AN1119" s="1525"/>
      <c r="AO1119" s="1525"/>
      <c r="AP1119" s="1525"/>
      <c r="AQ1119" s="1525"/>
      <c r="AR1119" s="1525"/>
      <c r="AS1119" s="1525"/>
      <c r="AU1119" s="1525"/>
      <c r="AV1119" s="1295"/>
      <c r="AW1119" s="1525"/>
      <c r="AX1119" s="1525"/>
      <c r="AY1119" s="1525"/>
      <c r="AZ1119" s="1525"/>
      <c r="BA1119" s="1525"/>
      <c r="BB1119" s="1525"/>
      <c r="BC1119" s="1525"/>
      <c r="BD1119" s="1525"/>
      <c r="BE1119" s="1525"/>
      <c r="BF1119" s="1525"/>
      <c r="BG1119" s="1525"/>
      <c r="BH1119" s="1525"/>
      <c r="BI1119" s="1525"/>
      <c r="BJ1119" s="1525"/>
      <c r="BK1119" s="1525"/>
      <c r="BL1119" s="1525"/>
      <c r="BM1119" s="1525"/>
      <c r="BN1119" s="1525"/>
      <c r="BO1119" s="1525"/>
      <c r="BP1119" s="1525"/>
      <c r="BQ1119" s="1525"/>
      <c r="BR1119" s="1525"/>
      <c r="BS1119" s="1525"/>
      <c r="BT1119" s="1670"/>
      <c r="BV1119"/>
      <c r="BW1119" s="859"/>
    </row>
    <row r="1120" spans="2:75" s="164" customFormat="1" ht="12.75" customHeight="1" x14ac:dyDescent="0.15">
      <c r="B1120" s="175"/>
      <c r="E1120" s="166" t="s">
        <v>1560</v>
      </c>
      <c r="F1120" s="21"/>
      <c r="G1120" s="859"/>
      <c r="H1120" s="1364" t="s">
        <v>1508</v>
      </c>
      <c r="I1120" s="172"/>
      <c r="J1120" s="168"/>
      <c r="K1120" s="168"/>
      <c r="L1120" s="841"/>
      <c r="M1120" s="841"/>
      <c r="N1120" s="855"/>
      <c r="O1120" s="1200"/>
      <c r="P1120" s="550"/>
      <c r="Q1120" s="1148"/>
      <c r="R1120" s="874"/>
      <c r="S1120" s="875"/>
      <c r="T1120" s="875"/>
      <c r="U1120" s="875"/>
      <c r="V1120" s="875"/>
      <c r="W1120" s="875"/>
      <c r="X1120" s="1026"/>
      <c r="Y1120" s="1754"/>
      <c r="Z1120" s="1755"/>
      <c r="AA1120" s="1775"/>
      <c r="AB1120" s="1814"/>
      <c r="AC1120" s="876"/>
      <c r="AD1120" s="1295"/>
      <c r="AE1120" s="1525"/>
      <c r="AF1120" s="1525"/>
      <c r="AG1120" s="1525"/>
      <c r="AH1120" s="1525"/>
      <c r="AI1120" s="1525"/>
      <c r="AJ1120" s="1525"/>
      <c r="AK1120" s="1525"/>
      <c r="AL1120" s="1525"/>
      <c r="AM1120" s="1525"/>
      <c r="AN1120" s="1525"/>
      <c r="AO1120" s="1525"/>
      <c r="AP1120" s="1525"/>
      <c r="AQ1120" s="1525"/>
      <c r="AR1120" s="1525"/>
      <c r="AS1120" s="1525"/>
      <c r="AU1120" s="1525"/>
      <c r="AV1120" s="1295"/>
      <c r="AW1120" s="1525"/>
      <c r="AX1120" s="1525"/>
      <c r="AY1120" s="1525"/>
      <c r="AZ1120" s="1525"/>
      <c r="BA1120" s="1525"/>
      <c r="BB1120" s="1525"/>
      <c r="BC1120" s="1525"/>
      <c r="BD1120" s="1525"/>
      <c r="BE1120" s="1525"/>
      <c r="BF1120" s="1525"/>
      <c r="BG1120" s="1525"/>
      <c r="BH1120" s="1525"/>
      <c r="BI1120" s="1525"/>
      <c r="BJ1120" s="1525"/>
      <c r="BK1120" s="1525"/>
      <c r="BL1120" s="1525"/>
      <c r="BM1120" s="1525"/>
      <c r="BN1120" s="1525"/>
      <c r="BO1120" s="1525"/>
      <c r="BP1120" s="1525"/>
      <c r="BQ1120" s="1525"/>
      <c r="BR1120" s="1525"/>
      <c r="BS1120" s="1525"/>
      <c r="BT1120" s="1670"/>
      <c r="BV1120"/>
      <c r="BW1120" s="859"/>
    </row>
    <row r="1121" spans="2:75" ht="12.75" customHeight="1" x14ac:dyDescent="0.2">
      <c r="B1121" s="175">
        <f>B1120+1</f>
        <v>1</v>
      </c>
      <c r="C1121" s="219">
        <v>10</v>
      </c>
      <c r="E1121" s="164" t="s">
        <v>1560</v>
      </c>
      <c r="F1121" s="24" t="s">
        <v>1396</v>
      </c>
      <c r="G1121" s="856" t="s">
        <v>1629</v>
      </c>
      <c r="H1121" s="858">
        <v>104685</v>
      </c>
      <c r="I1121" s="200" t="s">
        <v>351</v>
      </c>
      <c r="J1121" s="168"/>
      <c r="K1121" s="168"/>
      <c r="L1121" s="841">
        <v>1</v>
      </c>
      <c r="M1121" s="858">
        <v>1</v>
      </c>
      <c r="N1121" s="836" t="s">
        <v>892</v>
      </c>
      <c r="O1121" s="1196">
        <v>31560</v>
      </c>
      <c r="P1121" s="1218">
        <f ca="1">YEARFRAC(TODAY(),O1121)</f>
        <v>31.344444444444445</v>
      </c>
      <c r="Q1121" s="1148">
        <v>29900</v>
      </c>
      <c r="R1121" s="874"/>
      <c r="S1121" s="875"/>
      <c r="T1121" s="875"/>
      <c r="U1121" s="875"/>
      <c r="V1121" s="875"/>
      <c r="W1121" s="875"/>
      <c r="X1121" s="1026">
        <f>(Q1121+R1121+S1121+T1121+U1121+V1121+W1121)*M1121</f>
        <v>29900</v>
      </c>
      <c r="Y1121" s="1512">
        <f>(T1121+U1121)*M1121/(X1121-M1121*(T1121+U1121))</f>
        <v>0</v>
      </c>
      <c r="Z1121" s="1741">
        <f>M1121*(1+Y1121)</f>
        <v>1</v>
      </c>
      <c r="AA1121" s="1749">
        <f>SUM(AD1121:AS1121)</f>
        <v>1</v>
      </c>
      <c r="AB1121" s="1810">
        <f t="shared" ref="AB1121:AB1122" si="673">100*AA1121/Z1121</f>
        <v>100</v>
      </c>
      <c r="AC1121" s="876"/>
      <c r="AD1121" s="1525">
        <f t="shared" ref="AD1121:AS1122" si="674">SUMIF($AV$6:$BS$6,AD$5,$AV1121:$BS1121)</f>
        <v>1</v>
      </c>
      <c r="AE1121" s="1525">
        <f t="shared" si="674"/>
        <v>0</v>
      </c>
      <c r="AF1121" s="1525">
        <f t="shared" si="674"/>
        <v>0</v>
      </c>
      <c r="AG1121" s="1525">
        <f t="shared" si="674"/>
        <v>0</v>
      </c>
      <c r="AH1121" s="1525">
        <f t="shared" si="674"/>
        <v>0</v>
      </c>
      <c r="AI1121" s="1525">
        <f t="shared" si="674"/>
        <v>0</v>
      </c>
      <c r="AJ1121" s="1525">
        <f t="shared" si="674"/>
        <v>0</v>
      </c>
      <c r="AK1121" s="1525">
        <f t="shared" si="674"/>
        <v>0</v>
      </c>
      <c r="AL1121" s="1525">
        <f t="shared" si="674"/>
        <v>0</v>
      </c>
      <c r="AM1121" s="1525">
        <f t="shared" si="674"/>
        <v>0</v>
      </c>
      <c r="AN1121" s="1525">
        <f t="shared" si="674"/>
        <v>0</v>
      </c>
      <c r="AO1121" s="1525">
        <f t="shared" si="674"/>
        <v>0</v>
      </c>
      <c r="AP1121" s="1525">
        <f t="shared" si="674"/>
        <v>0</v>
      </c>
      <c r="AQ1121" s="1525">
        <f t="shared" si="674"/>
        <v>0</v>
      </c>
      <c r="AR1121" s="1525">
        <f t="shared" si="674"/>
        <v>0</v>
      </c>
      <c r="AS1121" s="1525">
        <f t="shared" si="674"/>
        <v>0</v>
      </c>
      <c r="AU1121" s="1525"/>
      <c r="AV1121" s="1291"/>
      <c r="AW1121" s="1292"/>
      <c r="AX1121" s="1292"/>
      <c r="AY1121" s="1292"/>
      <c r="AZ1121" s="1292"/>
      <c r="BA1121" s="1292"/>
      <c r="BB1121" s="1292"/>
      <c r="BC1121" s="1292"/>
      <c r="BD1121" s="1292"/>
      <c r="BE1121" s="1292"/>
      <c r="BF1121" s="1292"/>
      <c r="BG1121" s="1292"/>
      <c r="BH1121" s="1292"/>
      <c r="BI1121" s="1292"/>
      <c r="BJ1121" s="1292">
        <v>1</v>
      </c>
      <c r="BK1121" s="1292"/>
      <c r="BL1121" s="1292"/>
      <c r="BM1121" s="1292"/>
      <c r="BN1121" s="1292"/>
      <c r="BO1121" s="1292"/>
      <c r="BP1121" s="1292"/>
      <c r="BQ1121" s="1292"/>
      <c r="BR1121" s="1292"/>
      <c r="BS1121" s="1292"/>
      <c r="BT1121" s="1670">
        <f t="shared" ref="BT1121:BT1122" si="675">SUM(AV1121:BS1121)</f>
        <v>1</v>
      </c>
      <c r="BW1121" s="856" t="s">
        <v>1629</v>
      </c>
    </row>
    <row r="1122" spans="2:75" ht="12.75" customHeight="1" x14ac:dyDescent="0.2">
      <c r="B1122" s="175">
        <f>B1121+1</f>
        <v>2</v>
      </c>
      <c r="C1122" s="219">
        <v>14</v>
      </c>
      <c r="E1122" s="12" t="s">
        <v>1560</v>
      </c>
      <c r="F1122" s="26" t="s">
        <v>626</v>
      </c>
      <c r="G1122" s="830" t="s">
        <v>68</v>
      </c>
      <c r="H1122" s="873">
        <v>243953</v>
      </c>
      <c r="I1122" s="196" t="s">
        <v>351</v>
      </c>
      <c r="J1122" s="195"/>
      <c r="K1122" s="195"/>
      <c r="L1122" s="873">
        <v>1</v>
      </c>
      <c r="M1122" s="873">
        <f>K1122+L1122</f>
        <v>1</v>
      </c>
      <c r="N1122" s="872" t="s">
        <v>892</v>
      </c>
      <c r="O1122" s="1211">
        <v>29571</v>
      </c>
      <c r="P1122" s="1218">
        <f ca="1">YEARFRAC(TODAY(),O1122)</f>
        <v>36.794444444444444</v>
      </c>
      <c r="Q1122" s="1071">
        <v>15100</v>
      </c>
      <c r="R1122" s="890"/>
      <c r="S1122" s="891"/>
      <c r="T1122" s="1048"/>
      <c r="U1122" s="1048"/>
      <c r="V1122" s="1048"/>
      <c r="W1122" s="891"/>
      <c r="X1122" s="1026">
        <f>(Q1122+R1122+S1122+T1122+U1122+V1122+W1122)*M1122</f>
        <v>15100</v>
      </c>
      <c r="Y1122" s="1512">
        <f>(T1122+U1122)*M1122/(X1122-M1122*(T1122+U1122))</f>
        <v>0</v>
      </c>
      <c r="Z1122" s="1741">
        <f>M1122*(1+Y1122)</f>
        <v>1</v>
      </c>
      <c r="AA1122" s="1749">
        <f>SUM(AD1122:AS1122)</f>
        <v>1</v>
      </c>
      <c r="AB1122" s="1810">
        <f t="shared" si="673"/>
        <v>100</v>
      </c>
      <c r="AC1122" s="876"/>
      <c r="AD1122" s="1525">
        <f t="shared" si="674"/>
        <v>1</v>
      </c>
      <c r="AE1122" s="1525">
        <f t="shared" si="674"/>
        <v>0</v>
      </c>
      <c r="AF1122" s="1525">
        <f t="shared" si="674"/>
        <v>0</v>
      </c>
      <c r="AG1122" s="1525">
        <f t="shared" si="674"/>
        <v>0</v>
      </c>
      <c r="AH1122" s="1525">
        <f t="shared" si="674"/>
        <v>0</v>
      </c>
      <c r="AI1122" s="1525">
        <f t="shared" si="674"/>
        <v>0</v>
      </c>
      <c r="AJ1122" s="1525">
        <f t="shared" si="674"/>
        <v>0</v>
      </c>
      <c r="AK1122" s="1525">
        <f t="shared" si="674"/>
        <v>0</v>
      </c>
      <c r="AL1122" s="1525">
        <f t="shared" si="674"/>
        <v>0</v>
      </c>
      <c r="AM1122" s="1525">
        <f t="shared" si="674"/>
        <v>0</v>
      </c>
      <c r="AN1122" s="1525">
        <f t="shared" si="674"/>
        <v>0</v>
      </c>
      <c r="AO1122" s="1525">
        <f t="shared" si="674"/>
        <v>0</v>
      </c>
      <c r="AP1122" s="1525">
        <f t="shared" si="674"/>
        <v>0</v>
      </c>
      <c r="AQ1122" s="1525">
        <f t="shared" si="674"/>
        <v>0</v>
      </c>
      <c r="AR1122" s="1525">
        <f t="shared" si="674"/>
        <v>0</v>
      </c>
      <c r="AS1122" s="1525">
        <f t="shared" si="674"/>
        <v>0</v>
      </c>
      <c r="AU1122" s="1525"/>
      <c r="AV1122" s="1291"/>
      <c r="AW1122" s="1292"/>
      <c r="AX1122" s="1292"/>
      <c r="AY1122" s="1292"/>
      <c r="AZ1122" s="1292"/>
      <c r="BA1122" s="1292"/>
      <c r="BB1122" s="1292"/>
      <c r="BC1122" s="1292"/>
      <c r="BD1122" s="1292"/>
      <c r="BE1122" s="1292"/>
      <c r="BF1122" s="1292"/>
      <c r="BG1122" s="1292"/>
      <c r="BH1122" s="1292"/>
      <c r="BI1122" s="1292"/>
      <c r="BJ1122" s="1292">
        <v>1</v>
      </c>
      <c r="BK1122" s="1292"/>
      <c r="BL1122" s="1292"/>
      <c r="BM1122" s="1292"/>
      <c r="BN1122" s="1292"/>
      <c r="BO1122" s="1292"/>
      <c r="BP1122" s="1292"/>
      <c r="BQ1122" s="1292"/>
      <c r="BR1122" s="1292"/>
      <c r="BS1122" s="1292"/>
      <c r="BT1122" s="1670">
        <f t="shared" si="675"/>
        <v>1</v>
      </c>
      <c r="BW1122" s="830" t="s">
        <v>68</v>
      </c>
    </row>
    <row r="1123" spans="2:75" ht="12.75" customHeight="1" x14ac:dyDescent="0.2">
      <c r="B1123" s="175"/>
      <c r="C1123" s="219"/>
      <c r="E1123" s="12"/>
      <c r="F1123" s="4"/>
      <c r="G1123" s="825"/>
      <c r="H1123" s="861"/>
      <c r="I1123" s="197"/>
      <c r="J1123" s="174"/>
      <c r="K1123" s="174"/>
      <c r="L1123" s="861"/>
      <c r="M1123" s="861"/>
      <c r="N1123" s="836"/>
      <c r="O1123" s="1196"/>
      <c r="P1123" s="1218"/>
      <c r="Q1123" s="1148"/>
      <c r="R1123" s="874"/>
      <c r="S1123" s="876"/>
      <c r="T1123" s="884"/>
      <c r="U1123" s="884"/>
      <c r="V1123" s="884"/>
      <c r="W1123" s="876"/>
      <c r="X1123" s="1026"/>
      <c r="Y1123" s="1335"/>
      <c r="Z1123" s="1335"/>
      <c r="AA1123" s="1775"/>
      <c r="AB1123" s="1814"/>
      <c r="AC1123" s="876"/>
      <c r="AD1123" s="1525"/>
      <c r="AE1123" s="1525"/>
      <c r="AF1123" s="1525"/>
      <c r="AG1123" s="1525"/>
      <c r="AH1123" s="1525"/>
      <c r="AI1123" s="1525"/>
      <c r="AJ1123" s="1525"/>
      <c r="AK1123" s="1525"/>
      <c r="AL1123" s="1525"/>
      <c r="AM1123" s="1525"/>
      <c r="AN1123" s="1525"/>
      <c r="AO1123" s="1525"/>
      <c r="AP1123" s="1525"/>
      <c r="AQ1123" s="1525"/>
      <c r="AR1123" s="1525"/>
      <c r="AS1123" s="1525"/>
      <c r="AU1123" s="1525"/>
      <c r="AV1123" s="1291"/>
      <c r="AW1123" s="1292"/>
      <c r="AX1123" s="1292"/>
      <c r="AY1123" s="1292"/>
      <c r="AZ1123" s="1292"/>
      <c r="BA1123" s="1292"/>
      <c r="BB1123" s="1292"/>
      <c r="BC1123" s="1292"/>
      <c r="BD1123" s="1292"/>
      <c r="BE1123" s="1292"/>
      <c r="BF1123" s="1292"/>
      <c r="BG1123" s="1292"/>
      <c r="BH1123" s="1292"/>
      <c r="BI1123" s="1292"/>
      <c r="BJ1123" s="1292"/>
      <c r="BK1123" s="1292"/>
      <c r="BL1123" s="1292"/>
      <c r="BM1123" s="1292"/>
      <c r="BN1123" s="1292"/>
      <c r="BO1123" s="1292"/>
      <c r="BP1123" s="1292"/>
      <c r="BQ1123" s="1292"/>
      <c r="BR1123" s="1292"/>
      <c r="BS1123" s="1292"/>
      <c r="BT1123" s="1670"/>
      <c r="BW1123" s="825"/>
    </row>
    <row r="1124" spans="2:75" s="164" customFormat="1" ht="12.75" customHeight="1" x14ac:dyDescent="0.15">
      <c r="B1124" s="175"/>
      <c r="F1124" s="4" t="s">
        <v>269</v>
      </c>
      <c r="G1124" s="825"/>
      <c r="H1124" s="1347" t="s">
        <v>1508</v>
      </c>
      <c r="I1124" s="197"/>
      <c r="J1124" s="174"/>
      <c r="K1124" s="174"/>
      <c r="L1124" s="861"/>
      <c r="M1124" s="861"/>
      <c r="N1124" s="836"/>
      <c r="O1124" s="1200"/>
      <c r="P1124" s="550"/>
      <c r="Q1124" s="1148"/>
      <c r="R1124" s="874"/>
      <c r="S1124" s="875"/>
      <c r="T1124" s="875"/>
      <c r="U1124" s="875"/>
      <c r="V1124" s="875"/>
      <c r="W1124" s="875"/>
      <c r="X1124" s="1026"/>
      <c r="Y1124" s="1754"/>
      <c r="Z1124" s="1755"/>
      <c r="AA1124" s="1775"/>
      <c r="AB1124" s="1814"/>
      <c r="AC1124" s="876"/>
      <c r="AD1124" s="1295"/>
      <c r="AE1124" s="1525"/>
      <c r="AF1124" s="1525"/>
      <c r="AG1124" s="1525"/>
      <c r="AH1124" s="1525"/>
      <c r="AI1124" s="1525"/>
      <c r="AJ1124" s="1525"/>
      <c r="AK1124" s="1525"/>
      <c r="AL1124" s="1525"/>
      <c r="AM1124" s="1525"/>
      <c r="AN1124" s="1525"/>
      <c r="AO1124" s="1525"/>
      <c r="AP1124" s="1525"/>
      <c r="AQ1124" s="1525"/>
      <c r="AR1124" s="1525"/>
      <c r="AS1124" s="1525"/>
      <c r="AU1124" s="1525"/>
      <c r="AV1124" s="1295"/>
      <c r="AW1124" s="1525"/>
      <c r="AX1124" s="1525"/>
      <c r="AY1124" s="1525"/>
      <c r="AZ1124" s="1525"/>
      <c r="BA1124" s="1525"/>
      <c r="BB1124" s="1525"/>
      <c r="BC1124" s="1525"/>
      <c r="BD1124" s="1525"/>
      <c r="BE1124" s="1525"/>
      <c r="BF1124" s="1525"/>
      <c r="BG1124" s="1525"/>
      <c r="BH1124" s="1525"/>
      <c r="BI1124" s="1525"/>
      <c r="BJ1124" s="1525"/>
      <c r="BK1124" s="1525"/>
      <c r="BL1124" s="1525"/>
      <c r="BM1124" s="1525"/>
      <c r="BN1124" s="1525"/>
      <c r="BO1124" s="1525"/>
      <c r="BP1124" s="1525"/>
      <c r="BQ1124" s="1525"/>
      <c r="BR1124" s="1525"/>
      <c r="BS1124" s="1525"/>
      <c r="BT1124" s="1670"/>
      <c r="BV1124"/>
      <c r="BW1124" s="825"/>
    </row>
    <row r="1125" spans="2:75" ht="12.75" customHeight="1" x14ac:dyDescent="0.2">
      <c r="B1125" s="175">
        <f>B1124+1</f>
        <v>1</v>
      </c>
      <c r="C1125" s="219">
        <v>10</v>
      </c>
      <c r="E1125" s="12" t="s">
        <v>1560</v>
      </c>
      <c r="F1125" s="24" t="s">
        <v>1476</v>
      </c>
      <c r="G1125" s="821" t="s">
        <v>1544</v>
      </c>
      <c r="H1125" s="858">
        <v>240518</v>
      </c>
      <c r="I1125" s="200" t="s">
        <v>351</v>
      </c>
      <c r="J1125" s="189"/>
      <c r="K1125" s="189">
        <v>1</v>
      </c>
      <c r="L1125" s="858"/>
      <c r="M1125" s="858">
        <f>K1125+L1125</f>
        <v>1</v>
      </c>
      <c r="N1125" s="857" t="s">
        <v>892</v>
      </c>
      <c r="O1125" s="1196">
        <v>28338</v>
      </c>
      <c r="P1125" s="1218">
        <f ca="1">YEARFRAC(TODAY(),O1125)</f>
        <v>40.169444444444444</v>
      </c>
      <c r="Q1125" s="1148">
        <v>37650</v>
      </c>
      <c r="R1125" s="874"/>
      <c r="S1125" s="875"/>
      <c r="T1125" s="877"/>
      <c r="U1125" s="877"/>
      <c r="V1125" s="877"/>
      <c r="W1125" s="875"/>
      <c r="X1125" s="1026">
        <f>(Q1125+R1125+S1125+T1125+U1125+V1125+W1125)*M1125</f>
        <v>37650</v>
      </c>
      <c r="Y1125" s="1512">
        <f>(T1125+U1125)*M1125/(X1125-M1125*(T1125+U1125))</f>
        <v>0</v>
      </c>
      <c r="Z1125" s="1741">
        <f>M1125*(1+Y1125)</f>
        <v>1</v>
      </c>
      <c r="AA1125" s="1749">
        <f>SUM(AD1125:AS1125)</f>
        <v>1</v>
      </c>
      <c r="AB1125" s="1810">
        <f t="shared" ref="AB1125" si="676">100*AA1125/Z1125</f>
        <v>100</v>
      </c>
      <c r="AC1125" s="876"/>
      <c r="AD1125" s="1525">
        <f t="shared" ref="AD1125:AS1125" si="677">SUMIF($AV$6:$BS$6,AD$5,$AV1125:$BS1125)</f>
        <v>1</v>
      </c>
      <c r="AE1125" s="1525">
        <f t="shared" si="677"/>
        <v>0</v>
      </c>
      <c r="AF1125" s="1525">
        <f t="shared" si="677"/>
        <v>0</v>
      </c>
      <c r="AG1125" s="1525">
        <f t="shared" si="677"/>
        <v>0</v>
      </c>
      <c r="AH1125" s="1525">
        <f t="shared" si="677"/>
        <v>0</v>
      </c>
      <c r="AI1125" s="1525">
        <f t="shared" si="677"/>
        <v>0</v>
      </c>
      <c r="AJ1125" s="1525">
        <f t="shared" si="677"/>
        <v>0</v>
      </c>
      <c r="AK1125" s="1525">
        <f t="shared" si="677"/>
        <v>0</v>
      </c>
      <c r="AL1125" s="1525">
        <f t="shared" si="677"/>
        <v>0</v>
      </c>
      <c r="AM1125" s="1525">
        <f t="shared" si="677"/>
        <v>0</v>
      </c>
      <c r="AN1125" s="1525">
        <f t="shared" si="677"/>
        <v>0</v>
      </c>
      <c r="AO1125" s="1525">
        <f t="shared" si="677"/>
        <v>0</v>
      </c>
      <c r="AP1125" s="1525">
        <f t="shared" si="677"/>
        <v>0</v>
      </c>
      <c r="AQ1125" s="1525">
        <f t="shared" si="677"/>
        <v>0</v>
      </c>
      <c r="AR1125" s="1525">
        <f t="shared" si="677"/>
        <v>0</v>
      </c>
      <c r="AS1125" s="1525">
        <f t="shared" si="677"/>
        <v>0</v>
      </c>
      <c r="AU1125" s="1525"/>
      <c r="AV1125" s="1291"/>
      <c r="AW1125" s="1292"/>
      <c r="AX1125" s="1292"/>
      <c r="AY1125" s="1292"/>
      <c r="AZ1125" s="1292"/>
      <c r="BA1125" s="1292"/>
      <c r="BB1125" s="1292"/>
      <c r="BC1125" s="1292"/>
      <c r="BD1125" s="1292"/>
      <c r="BE1125" s="1292"/>
      <c r="BF1125" s="1292"/>
      <c r="BG1125" s="1292"/>
      <c r="BH1125" s="1292"/>
      <c r="BI1125" s="1292"/>
      <c r="BJ1125" s="1292">
        <v>1</v>
      </c>
      <c r="BK1125" s="1292"/>
      <c r="BL1125" s="1292"/>
      <c r="BM1125" s="1292"/>
      <c r="BN1125" s="1292"/>
      <c r="BO1125" s="1292"/>
      <c r="BP1125" s="1292"/>
      <c r="BQ1125" s="1292"/>
      <c r="BR1125" s="1292"/>
      <c r="BS1125" s="1292"/>
      <c r="BT1125" s="1670">
        <f t="shared" ref="BT1125" si="678">SUM(AV1125:BS1125)</f>
        <v>1</v>
      </c>
      <c r="BW1125" s="821" t="s">
        <v>1544</v>
      </c>
    </row>
    <row r="1126" spans="2:75" ht="12.75" customHeight="1" x14ac:dyDescent="0.2">
      <c r="B1126" s="175"/>
      <c r="C1126" s="219"/>
      <c r="E1126" s="12"/>
      <c r="F1126" s="4"/>
      <c r="G1126" s="825"/>
      <c r="H1126" s="861"/>
      <c r="I1126" s="197"/>
      <c r="J1126" s="174"/>
      <c r="K1126" s="174"/>
      <c r="L1126" s="861"/>
      <c r="M1126" s="861"/>
      <c r="N1126" s="836"/>
      <c r="O1126" s="1196"/>
      <c r="P1126" s="1218"/>
      <c r="Q1126" s="1148"/>
      <c r="R1126" s="874"/>
      <c r="S1126" s="876"/>
      <c r="T1126" s="884"/>
      <c r="U1126" s="884"/>
      <c r="V1126" s="884"/>
      <c r="W1126" s="876"/>
      <c r="X1126" s="1026"/>
      <c r="Y1126" s="1520"/>
      <c r="Z1126" s="1520"/>
      <c r="AA1126" s="1749"/>
      <c r="AB1126" s="1810"/>
      <c r="AC1126" s="876"/>
      <c r="AD1126" s="1525"/>
      <c r="AE1126" s="1525"/>
      <c r="AF1126" s="1525"/>
      <c r="AG1126" s="1525"/>
      <c r="AH1126" s="1525"/>
      <c r="AI1126" s="1525"/>
      <c r="AJ1126" s="1525"/>
      <c r="AK1126" s="1525"/>
      <c r="AL1126" s="1525"/>
      <c r="AM1126" s="1525"/>
      <c r="AN1126" s="1525"/>
      <c r="AO1126" s="1525"/>
      <c r="AP1126" s="1525"/>
      <c r="AQ1126" s="1525"/>
      <c r="AR1126" s="1525"/>
      <c r="AS1126" s="1525"/>
      <c r="AU1126" s="1525"/>
      <c r="AV1126" s="1291"/>
      <c r="AW1126" s="1292"/>
      <c r="AX1126" s="1292"/>
      <c r="AY1126" s="1292"/>
      <c r="AZ1126" s="1292"/>
      <c r="BA1126" s="1292"/>
      <c r="BB1126" s="1292"/>
      <c r="BC1126" s="1292"/>
      <c r="BD1126" s="1292"/>
      <c r="BE1126" s="1292"/>
      <c r="BF1126" s="1292"/>
      <c r="BG1126" s="1292"/>
      <c r="BH1126" s="1292"/>
      <c r="BI1126" s="1292"/>
      <c r="BJ1126" s="1292"/>
      <c r="BK1126" s="1292"/>
      <c r="BL1126" s="1292"/>
      <c r="BM1126" s="1292"/>
      <c r="BN1126" s="1292"/>
      <c r="BO1126" s="1292"/>
      <c r="BP1126" s="1292"/>
      <c r="BQ1126" s="1292"/>
      <c r="BR1126" s="1292"/>
      <c r="BS1126" s="1292"/>
      <c r="BT1126" s="1670"/>
      <c r="BW1126" s="825"/>
    </row>
    <row r="1127" spans="2:75" s="164" customFormat="1" ht="12.75" customHeight="1" x14ac:dyDescent="0.15">
      <c r="B1127" s="175"/>
      <c r="C1127" s="219" t="s">
        <v>1120</v>
      </c>
      <c r="F1127" s="4" t="s">
        <v>268</v>
      </c>
      <c r="G1127" s="825"/>
      <c r="H1127" s="1351" t="s">
        <v>1508</v>
      </c>
      <c r="I1127" s="197"/>
      <c r="J1127" s="174"/>
      <c r="K1127" s="892">
        <f t="shared" ref="K1127:L1127" si="679">SUM(K1121:K1126)</f>
        <v>1</v>
      </c>
      <c r="L1127" s="892">
        <f t="shared" si="679"/>
        <v>2</v>
      </c>
      <c r="M1127" s="892">
        <f>SUM(M1121:M1126)</f>
        <v>3</v>
      </c>
      <c r="N1127" s="836"/>
      <c r="O1127" s="1200"/>
      <c r="P1127" s="550"/>
      <c r="Q1127" s="1153"/>
      <c r="R1127" s="877"/>
      <c r="S1127" s="875"/>
      <c r="T1127" s="875"/>
      <c r="U1127" s="875"/>
      <c r="V1127" s="875"/>
      <c r="W1127" s="875"/>
      <c r="X1127" s="1026"/>
      <c r="Y1127" s="1335"/>
      <c r="Z1127" s="1335"/>
      <c r="AA1127" s="1775"/>
      <c r="AB1127" s="1814"/>
      <c r="AC1127" s="876"/>
      <c r="AD1127" s="1295"/>
      <c r="AE1127" s="1525"/>
      <c r="AF1127" s="1525"/>
      <c r="AG1127" s="1525"/>
      <c r="AH1127" s="1525"/>
      <c r="AI1127" s="1525"/>
      <c r="AJ1127" s="1525"/>
      <c r="AK1127" s="1525"/>
      <c r="AL1127" s="1525"/>
      <c r="AM1127" s="1525"/>
      <c r="AN1127" s="1525"/>
      <c r="AO1127" s="1525"/>
      <c r="AP1127" s="1525"/>
      <c r="AQ1127" s="1525"/>
      <c r="AR1127" s="1525"/>
      <c r="AS1127" s="1525"/>
      <c r="AU1127" s="1525"/>
      <c r="AV1127" s="1295"/>
      <c r="AW1127" s="1525"/>
      <c r="AX1127" s="1525"/>
      <c r="AY1127" s="1525"/>
      <c r="AZ1127" s="1525"/>
      <c r="BA1127" s="1525"/>
      <c r="BB1127" s="1525"/>
      <c r="BC1127" s="1525"/>
      <c r="BD1127" s="1525"/>
      <c r="BE1127" s="1525"/>
      <c r="BF1127" s="1525"/>
      <c r="BG1127" s="1525"/>
      <c r="BH1127" s="1525"/>
      <c r="BI1127" s="1525"/>
      <c r="BJ1127" s="1525"/>
      <c r="BK1127" s="1525"/>
      <c r="BL1127" s="1525"/>
      <c r="BM1127" s="1525"/>
      <c r="BN1127" s="1525"/>
      <c r="BO1127" s="1525"/>
      <c r="BP1127" s="1525"/>
      <c r="BQ1127" s="1525"/>
      <c r="BR1127" s="1525"/>
      <c r="BS1127" s="1525"/>
      <c r="BT1127" s="1670"/>
      <c r="BV1127"/>
      <c r="BW1127" s="825"/>
    </row>
    <row r="1128" spans="2:75" ht="12.75" customHeight="1" x14ac:dyDescent="0.2">
      <c r="B1128" s="175"/>
      <c r="C1128" s="219"/>
      <c r="E1128" s="12"/>
      <c r="F1128" s="24"/>
      <c r="G1128" s="821"/>
      <c r="H1128" s="1346" t="s">
        <v>1508</v>
      </c>
      <c r="I1128" s="200"/>
      <c r="J1128" s="189"/>
      <c r="K1128" s="189"/>
      <c r="L1128" s="858"/>
      <c r="M1128" s="858"/>
      <c r="N1128" s="857"/>
      <c r="O1128" s="1193"/>
      <c r="P1128" s="1218"/>
      <c r="Q1128" s="1148"/>
      <c r="R1128" s="874"/>
      <c r="S1128" s="875"/>
      <c r="T1128" s="877"/>
      <c r="U1128" s="877"/>
      <c r="V1128" s="877"/>
      <c r="W1128" s="875"/>
      <c r="X1128" s="1026"/>
      <c r="Y1128" s="1754"/>
      <c r="Z1128" s="1755"/>
      <c r="AA1128" s="1775"/>
      <c r="AB1128" s="1814"/>
      <c r="AC1128" s="876"/>
      <c r="AD1128" s="1295"/>
      <c r="AE1128" s="1525"/>
      <c r="AF1128" s="1525"/>
      <c r="AG1128" s="1525"/>
      <c r="AH1128" s="1525"/>
      <c r="AI1128" s="1525"/>
      <c r="AJ1128" s="1525"/>
      <c r="AK1128" s="1525"/>
      <c r="AL1128" s="1525"/>
      <c r="AM1128" s="1525"/>
      <c r="AN1128" s="1525"/>
      <c r="AO1128" s="1525"/>
      <c r="AP1128" s="1525"/>
      <c r="AQ1128" s="1525"/>
      <c r="AR1128" s="1525"/>
      <c r="AS1128" s="1525"/>
      <c r="AU1128" s="1525"/>
      <c r="AV1128" s="1291"/>
      <c r="AW1128" s="1292"/>
      <c r="AX1128" s="1292"/>
      <c r="AY1128" s="1292"/>
      <c r="AZ1128" s="1292"/>
      <c r="BA1128" s="1292"/>
      <c r="BB1128" s="1292"/>
      <c r="BC1128" s="1292"/>
      <c r="BD1128" s="1292"/>
      <c r="BE1128" s="1292"/>
      <c r="BF1128" s="1292"/>
      <c r="BG1128" s="1292"/>
      <c r="BH1128" s="1292"/>
      <c r="BI1128" s="1292"/>
      <c r="BJ1128" s="1292"/>
      <c r="BK1128" s="1292"/>
      <c r="BL1128" s="1292"/>
      <c r="BM1128" s="1292"/>
      <c r="BN1128" s="1292"/>
      <c r="BO1128" s="1292"/>
      <c r="BP1128" s="1292"/>
      <c r="BQ1128" s="1292"/>
      <c r="BR1128" s="1292"/>
      <c r="BS1128" s="1292"/>
      <c r="BT1128" s="1670"/>
      <c r="BW1128" s="821"/>
    </row>
    <row r="1129" spans="2:75" ht="12.75" customHeight="1" x14ac:dyDescent="0.2">
      <c r="B1129" s="175"/>
      <c r="C1129" s="219"/>
      <c r="E1129" s="12" t="s">
        <v>1473</v>
      </c>
      <c r="F1129" s="1118" t="s">
        <v>2040</v>
      </c>
      <c r="G1129" s="825"/>
      <c r="H1129" s="1347" t="s">
        <v>1508</v>
      </c>
      <c r="I1129" s="197"/>
      <c r="J1129" s="174"/>
      <c r="K1129" s="174"/>
      <c r="L1129" s="861"/>
      <c r="M1129" s="861"/>
      <c r="N1129" s="836"/>
      <c r="O1129" s="1193"/>
      <c r="P1129" s="1262"/>
      <c r="Q1129" s="1148"/>
      <c r="R1129" s="874"/>
      <c r="S1129" s="876"/>
      <c r="T1129" s="884"/>
      <c r="U1129" s="884"/>
      <c r="V1129" s="884"/>
      <c r="W1129" s="876"/>
      <c r="X1129" s="1026"/>
      <c r="Y1129" s="1754"/>
      <c r="Z1129" s="1755"/>
      <c r="AA1129" s="1775"/>
      <c r="AB1129" s="1814"/>
      <c r="AC1129" s="876"/>
      <c r="AD1129" s="1295"/>
      <c r="AE1129" s="1525"/>
      <c r="AF1129" s="1525"/>
      <c r="AG1129" s="1525"/>
      <c r="AH1129" s="1525"/>
      <c r="AI1129" s="1525"/>
      <c r="AJ1129" s="1525"/>
      <c r="AK1129" s="1525"/>
      <c r="AL1129" s="1525"/>
      <c r="AM1129" s="1525"/>
      <c r="AN1129" s="1525"/>
      <c r="AO1129" s="1525"/>
      <c r="AP1129" s="1525"/>
      <c r="AQ1129" s="1525"/>
      <c r="AR1129" s="1525"/>
      <c r="AS1129" s="1525"/>
      <c r="AU1129" s="1525"/>
      <c r="AV1129" s="1291"/>
      <c r="AW1129" s="1292"/>
      <c r="AX1129" s="1292"/>
      <c r="AY1129" s="1292"/>
      <c r="AZ1129" s="1292"/>
      <c r="BA1129" s="1292"/>
      <c r="BB1129" s="1292"/>
      <c r="BC1129" s="1292"/>
      <c r="BD1129" s="1292"/>
      <c r="BE1129" s="1292"/>
      <c r="BF1129" s="1292"/>
      <c r="BG1129" s="1292"/>
      <c r="BH1129" s="1292"/>
      <c r="BI1129" s="1292"/>
      <c r="BJ1129" s="1292"/>
      <c r="BK1129" s="1292"/>
      <c r="BL1129" s="1292"/>
      <c r="BM1129" s="1292"/>
      <c r="BN1129" s="1292"/>
      <c r="BO1129" s="1292"/>
      <c r="BP1129" s="1292"/>
      <c r="BQ1129" s="1292"/>
      <c r="BR1129" s="1292"/>
      <c r="BS1129" s="1292"/>
      <c r="BT1129" s="1670"/>
      <c r="BW1129" s="825"/>
    </row>
    <row r="1130" spans="2:75" ht="12.75" customHeight="1" x14ac:dyDescent="0.2">
      <c r="B1130" s="175"/>
      <c r="C1130" s="219"/>
      <c r="E1130" s="12"/>
      <c r="F1130" s="24"/>
      <c r="G1130" s="821"/>
      <c r="H1130" s="1346" t="s">
        <v>1508</v>
      </c>
      <c r="I1130" s="200"/>
      <c r="J1130" s="189"/>
      <c r="K1130" s="189"/>
      <c r="L1130" s="858"/>
      <c r="M1130" s="858"/>
      <c r="N1130" s="857"/>
      <c r="O1130" s="1193"/>
      <c r="P1130" s="1218"/>
      <c r="Q1130" s="1148"/>
      <c r="R1130" s="874"/>
      <c r="S1130" s="875"/>
      <c r="T1130" s="877"/>
      <c r="U1130" s="877"/>
      <c r="V1130" s="877"/>
      <c r="W1130" s="875"/>
      <c r="X1130" s="1026"/>
      <c r="Y1130" s="1754"/>
      <c r="Z1130" s="1755"/>
      <c r="AA1130" s="1775"/>
      <c r="AB1130" s="1814"/>
      <c r="AC1130" s="876"/>
      <c r="AD1130" s="1295"/>
      <c r="AE1130" s="1525"/>
      <c r="AF1130" s="1525"/>
      <c r="AG1130" s="1525"/>
      <c r="AH1130" s="1525"/>
      <c r="AI1130" s="1525"/>
      <c r="AJ1130" s="1525"/>
      <c r="AK1130" s="1525"/>
      <c r="AL1130" s="1525"/>
      <c r="AM1130" s="1525"/>
      <c r="AN1130" s="1525"/>
      <c r="AO1130" s="1525"/>
      <c r="AP1130" s="1525"/>
      <c r="AQ1130" s="1525"/>
      <c r="AR1130" s="1525"/>
      <c r="AS1130" s="1525"/>
      <c r="AU1130" s="1525"/>
      <c r="AV1130" s="1291"/>
      <c r="AW1130" s="1292"/>
      <c r="AX1130" s="1292"/>
      <c r="AY1130" s="1292"/>
      <c r="AZ1130" s="1292"/>
      <c r="BA1130" s="1292"/>
      <c r="BB1130" s="1292"/>
      <c r="BC1130" s="1292"/>
      <c r="BD1130" s="1292"/>
      <c r="BE1130" s="1292"/>
      <c r="BF1130" s="1292"/>
      <c r="BG1130" s="1292"/>
      <c r="BH1130" s="1292"/>
      <c r="BI1130" s="1292"/>
      <c r="BJ1130" s="1292"/>
      <c r="BK1130" s="1292"/>
      <c r="BL1130" s="1292"/>
      <c r="BM1130" s="1292"/>
      <c r="BN1130" s="1292"/>
      <c r="BO1130" s="1292"/>
      <c r="BP1130" s="1292"/>
      <c r="BQ1130" s="1292"/>
      <c r="BR1130" s="1292"/>
      <c r="BS1130" s="1292"/>
      <c r="BT1130" s="1670"/>
      <c r="BW1130" s="821"/>
    </row>
    <row r="1131" spans="2:75" ht="12.75" customHeight="1" x14ac:dyDescent="0.2">
      <c r="B1131" s="175">
        <f>B1130+1</f>
        <v>1</v>
      </c>
      <c r="C1131" s="219">
        <v>5</v>
      </c>
      <c r="E1131" s="12" t="s">
        <v>1560</v>
      </c>
      <c r="F1131" s="24" t="s">
        <v>216</v>
      </c>
      <c r="G1131" s="799" t="s">
        <v>545</v>
      </c>
      <c r="H1131" s="858">
        <v>30648</v>
      </c>
      <c r="I1131" s="252" t="s">
        <v>351</v>
      </c>
      <c r="J1131" s="189"/>
      <c r="K1131" s="189"/>
      <c r="L1131" s="858">
        <v>1</v>
      </c>
      <c r="M1131" s="858">
        <v>1</v>
      </c>
      <c r="N1131" s="832" t="s">
        <v>1326</v>
      </c>
      <c r="O1131" s="1196">
        <v>22102</v>
      </c>
      <c r="P1131" s="1218">
        <f ca="1">YEARFRAC(TODAY(),O1131)</f>
        <v>57.241666666666667</v>
      </c>
      <c r="Q1131" s="1148">
        <v>68200</v>
      </c>
      <c r="R1131" s="874">
        <f>Q1131*0.1</f>
        <v>6820</v>
      </c>
      <c r="S1131" s="876">
        <v>7000</v>
      </c>
      <c r="T1131" s="876">
        <v>54700</v>
      </c>
      <c r="U1131" s="876"/>
      <c r="V1131" s="876"/>
      <c r="W1131" s="1045"/>
      <c r="X1131" s="1026">
        <f>(Q1131+R1131+S1131+T1131+U1131+V1131+W1131)*M1131</f>
        <v>136720</v>
      </c>
      <c r="Y1131" s="1512">
        <f>(T1131+U1131)*M1131/(X1131-M1131*(T1131+U1131))</f>
        <v>0.6669105096317971</v>
      </c>
      <c r="Z1131" s="1741">
        <f>M1131*(1+Y1131)</f>
        <v>1.6669105096317971</v>
      </c>
      <c r="AA1131" s="1749">
        <f>SUM(AD1131:AS1131)</f>
        <v>1</v>
      </c>
      <c r="AB1131" s="1810">
        <f t="shared" ref="AB1131:AB1139" si="680">100*AA1131/Z1131</f>
        <v>59.99122293739029</v>
      </c>
      <c r="AC1131" s="876"/>
      <c r="AD1131" s="1525">
        <f t="shared" ref="AD1131:AS1137" si="681">SUMIF($AV$6:$BS$6,AD$5,$AV1131:$BS1131)</f>
        <v>1</v>
      </c>
      <c r="AE1131" s="1525">
        <f t="shared" si="681"/>
        <v>0</v>
      </c>
      <c r="AF1131" s="1525">
        <f t="shared" si="681"/>
        <v>0</v>
      </c>
      <c r="AG1131" s="1525">
        <f t="shared" si="681"/>
        <v>0</v>
      </c>
      <c r="AH1131" s="1525">
        <f t="shared" si="681"/>
        <v>0</v>
      </c>
      <c r="AI1131" s="1525">
        <f t="shared" si="681"/>
        <v>0</v>
      </c>
      <c r="AJ1131" s="1525">
        <f t="shared" si="681"/>
        <v>0</v>
      </c>
      <c r="AK1131" s="1525">
        <f t="shared" si="681"/>
        <v>0</v>
      </c>
      <c r="AL1131" s="1525">
        <f t="shared" si="681"/>
        <v>0</v>
      </c>
      <c r="AM1131" s="1525">
        <f t="shared" si="681"/>
        <v>0</v>
      </c>
      <c r="AN1131" s="1525">
        <f t="shared" si="681"/>
        <v>0</v>
      </c>
      <c r="AO1131" s="1525">
        <f t="shared" si="681"/>
        <v>0</v>
      </c>
      <c r="AP1131" s="1525">
        <f t="shared" si="681"/>
        <v>0</v>
      </c>
      <c r="AQ1131" s="1525">
        <f t="shared" si="681"/>
        <v>0</v>
      </c>
      <c r="AR1131" s="1525">
        <f t="shared" si="681"/>
        <v>0</v>
      </c>
      <c r="AS1131" s="1525">
        <f t="shared" si="681"/>
        <v>0</v>
      </c>
      <c r="AU1131" s="1525"/>
      <c r="AV1131" s="1291"/>
      <c r="AW1131" s="1292"/>
      <c r="AX1131" s="1292"/>
      <c r="AY1131" s="1292"/>
      <c r="AZ1131" s="1292"/>
      <c r="BA1131" s="1292"/>
      <c r="BB1131" s="1292"/>
      <c r="BC1131" s="1292"/>
      <c r="BD1131" s="1292"/>
      <c r="BE1131" s="1292"/>
      <c r="BF1131" s="1292"/>
      <c r="BG1131" s="1292"/>
      <c r="BH1131" s="1292"/>
      <c r="BI1131" s="1292">
        <v>1</v>
      </c>
      <c r="BJ1131" s="1292"/>
      <c r="BK1131" s="1292"/>
      <c r="BL1131" s="1292"/>
      <c r="BM1131" s="1292"/>
      <c r="BN1131" s="1292"/>
      <c r="BO1131" s="1292"/>
      <c r="BP1131" s="1292"/>
      <c r="BQ1131" s="1292"/>
      <c r="BR1131" s="1292"/>
      <c r="BS1131" s="1292"/>
      <c r="BT1131" s="1670">
        <f t="shared" ref="BT1131:BT1134" si="682">SUM(AV1131:BS1131)</f>
        <v>1</v>
      </c>
      <c r="BW1131" s="799" t="s">
        <v>545</v>
      </c>
    </row>
    <row r="1132" spans="2:75" ht="12.75" customHeight="1" x14ac:dyDescent="0.2">
      <c r="B1132" s="175">
        <f t="shared" ref="B1132:B1137" si="683">B1131+1</f>
        <v>2</v>
      </c>
      <c r="C1132" s="219">
        <v>8</v>
      </c>
      <c r="E1132" s="12" t="s">
        <v>1560</v>
      </c>
      <c r="F1132" s="58" t="s">
        <v>353</v>
      </c>
      <c r="G1132" s="799" t="s">
        <v>546</v>
      </c>
      <c r="H1132" s="858">
        <v>16419</v>
      </c>
      <c r="I1132" s="252" t="s">
        <v>351</v>
      </c>
      <c r="J1132" s="189"/>
      <c r="K1132" s="189"/>
      <c r="L1132" s="858">
        <v>1</v>
      </c>
      <c r="M1132" s="858">
        <v>1</v>
      </c>
      <c r="N1132" s="832" t="s">
        <v>1326</v>
      </c>
      <c r="O1132" s="1196">
        <v>22731</v>
      </c>
      <c r="P1132" s="1218">
        <f ca="1">YEARFRAC(TODAY(),O1132)</f>
        <v>55.516666666666666</v>
      </c>
      <c r="Q1132" s="1148">
        <v>37400</v>
      </c>
      <c r="R1132" s="874">
        <f>Q1132*0.1</f>
        <v>3740</v>
      </c>
      <c r="S1132" s="876">
        <v>3000</v>
      </c>
      <c r="T1132" s="876">
        <v>5000</v>
      </c>
      <c r="U1132" s="876"/>
      <c r="V1132" s="876"/>
      <c r="W1132" s="1045"/>
      <c r="X1132" s="1026">
        <f>(Q1132+R1132+S1132+T1132+U1132+V1132+W1132)*M1132</f>
        <v>49140</v>
      </c>
      <c r="Y1132" s="1512">
        <f>(T1132+U1132)*M1132/(X1132-M1132*(T1132+U1132))</f>
        <v>0.11327594019030358</v>
      </c>
      <c r="Z1132" s="1741">
        <f>M1132*(1+Y1132)</f>
        <v>1.1132759401903036</v>
      </c>
      <c r="AA1132" s="1749">
        <f>SUM(AD1132:AS1132)</f>
        <v>1</v>
      </c>
      <c r="AB1132" s="1810">
        <f t="shared" si="680"/>
        <v>89.824989824989828</v>
      </c>
      <c r="AC1132" s="876"/>
      <c r="AD1132" s="1525">
        <f t="shared" si="681"/>
        <v>1</v>
      </c>
      <c r="AE1132" s="1525">
        <f t="shared" si="681"/>
        <v>0</v>
      </c>
      <c r="AF1132" s="1525">
        <f t="shared" si="681"/>
        <v>0</v>
      </c>
      <c r="AG1132" s="1525">
        <f t="shared" si="681"/>
        <v>0</v>
      </c>
      <c r="AH1132" s="1525">
        <f t="shared" si="681"/>
        <v>0</v>
      </c>
      <c r="AI1132" s="1525">
        <f t="shared" si="681"/>
        <v>0</v>
      </c>
      <c r="AJ1132" s="1525">
        <f t="shared" si="681"/>
        <v>0</v>
      </c>
      <c r="AK1132" s="1525">
        <f t="shared" si="681"/>
        <v>0</v>
      </c>
      <c r="AL1132" s="1525">
        <f t="shared" si="681"/>
        <v>0</v>
      </c>
      <c r="AM1132" s="1525">
        <f t="shared" si="681"/>
        <v>0</v>
      </c>
      <c r="AN1132" s="1525">
        <f t="shared" si="681"/>
        <v>0</v>
      </c>
      <c r="AO1132" s="1525">
        <f t="shared" si="681"/>
        <v>0</v>
      </c>
      <c r="AP1132" s="1525">
        <f t="shared" si="681"/>
        <v>0</v>
      </c>
      <c r="AQ1132" s="1525">
        <f t="shared" si="681"/>
        <v>0</v>
      </c>
      <c r="AR1132" s="1525">
        <f t="shared" si="681"/>
        <v>0</v>
      </c>
      <c r="AS1132" s="1525">
        <f t="shared" si="681"/>
        <v>0</v>
      </c>
      <c r="AU1132" s="1525"/>
      <c r="AV1132" s="1291"/>
      <c r="AW1132" s="1292"/>
      <c r="AX1132" s="1292"/>
      <c r="AY1132" s="1292"/>
      <c r="AZ1132" s="1292"/>
      <c r="BA1132" s="1292"/>
      <c r="BB1132" s="1292"/>
      <c r="BC1132" s="1292"/>
      <c r="BD1132" s="1292"/>
      <c r="BE1132" s="1292"/>
      <c r="BF1132" s="1292"/>
      <c r="BG1132" s="1292"/>
      <c r="BH1132" s="1292"/>
      <c r="BI1132" s="1292">
        <v>1</v>
      </c>
      <c r="BJ1132" s="1292"/>
      <c r="BK1132" s="1292"/>
      <c r="BL1132" s="1292"/>
      <c r="BM1132" s="1292"/>
      <c r="BN1132" s="1292"/>
      <c r="BO1132" s="1292"/>
      <c r="BP1132" s="1292"/>
      <c r="BQ1132" s="1292"/>
      <c r="BR1132" s="1292"/>
      <c r="BS1132" s="1292"/>
      <c r="BT1132" s="1670">
        <f t="shared" si="682"/>
        <v>1</v>
      </c>
      <c r="BW1132" s="799" t="s">
        <v>546</v>
      </c>
    </row>
    <row r="1133" spans="2:75" ht="12.75" customHeight="1" x14ac:dyDescent="0.2">
      <c r="B1133" s="175">
        <f t="shared" si="683"/>
        <v>3</v>
      </c>
      <c r="C1133" s="219">
        <v>2</v>
      </c>
      <c r="E1133" s="12" t="s">
        <v>1560</v>
      </c>
      <c r="F1133" s="17" t="s">
        <v>231</v>
      </c>
      <c r="G1133" s="844" t="s">
        <v>1703</v>
      </c>
      <c r="H1133" s="858">
        <v>145080</v>
      </c>
      <c r="I1133" s="252" t="s">
        <v>351</v>
      </c>
      <c r="J1133" s="189"/>
      <c r="K1133" s="189"/>
      <c r="L1133" s="858">
        <v>0.5</v>
      </c>
      <c r="M1133" s="858">
        <v>0.5</v>
      </c>
      <c r="N1133" s="832" t="s">
        <v>1326</v>
      </c>
      <c r="O1133" s="1196">
        <v>31903</v>
      </c>
      <c r="P1133" s="1218">
        <f ca="1">YEARFRAC(TODAY(),O1133)</f>
        <v>30.405555555555555</v>
      </c>
      <c r="Q1133" s="1148">
        <v>45550</v>
      </c>
      <c r="R1133" s="874">
        <f>Q1133*0.1</f>
        <v>4555</v>
      </c>
      <c r="S1133" s="876">
        <v>3000</v>
      </c>
      <c r="T1133" s="876">
        <v>27500</v>
      </c>
      <c r="U1133" s="876"/>
      <c r="V1133" s="876"/>
      <c r="W1133" s="1045"/>
      <c r="X1133" s="1026">
        <f>(Q1133+R1133+S1133+T1133+U1133+V1133+W1133)*M1133</f>
        <v>40302.5</v>
      </c>
      <c r="Y1133" s="1512">
        <f>(T1133+U1133)*M1133/(X1133-M1133*(T1133+U1133))</f>
        <v>0.517842011110065</v>
      </c>
      <c r="Z1133" s="1741">
        <f>M1133*(1+Y1133)</f>
        <v>0.7589210055550325</v>
      </c>
      <c r="AA1133" s="1749">
        <f>SUM(AD1133:AS1133)</f>
        <v>0</v>
      </c>
      <c r="AB1133" s="1810">
        <f t="shared" si="680"/>
        <v>0</v>
      </c>
      <c r="AC1133" s="876"/>
      <c r="AD1133" s="1525">
        <f t="shared" si="681"/>
        <v>0</v>
      </c>
      <c r="AE1133" s="1525">
        <f t="shared" si="681"/>
        <v>0</v>
      </c>
      <c r="AF1133" s="1525">
        <f t="shared" si="681"/>
        <v>0</v>
      </c>
      <c r="AG1133" s="1525">
        <f t="shared" si="681"/>
        <v>0</v>
      </c>
      <c r="AH1133" s="1525">
        <f t="shared" si="681"/>
        <v>0</v>
      </c>
      <c r="AI1133" s="1525">
        <f t="shared" si="681"/>
        <v>0</v>
      </c>
      <c r="AJ1133" s="1525">
        <f t="shared" si="681"/>
        <v>0</v>
      </c>
      <c r="AK1133" s="1525">
        <f t="shared" si="681"/>
        <v>0</v>
      </c>
      <c r="AL1133" s="1525">
        <f t="shared" si="681"/>
        <v>0</v>
      </c>
      <c r="AM1133" s="1525">
        <f t="shared" si="681"/>
        <v>0</v>
      </c>
      <c r="AN1133" s="1525">
        <f t="shared" si="681"/>
        <v>0</v>
      </c>
      <c r="AO1133" s="1525">
        <f t="shared" si="681"/>
        <v>0</v>
      </c>
      <c r="AP1133" s="1525">
        <f t="shared" si="681"/>
        <v>0</v>
      </c>
      <c r="AQ1133" s="1525">
        <f t="shared" si="681"/>
        <v>0</v>
      </c>
      <c r="AR1133" s="1525">
        <f t="shared" si="681"/>
        <v>0</v>
      </c>
      <c r="AS1133" s="1525">
        <f t="shared" si="681"/>
        <v>0</v>
      </c>
      <c r="AU1133" s="1525"/>
      <c r="AV1133" s="1291"/>
      <c r="AW1133" s="1292"/>
      <c r="AX1133" s="1292"/>
      <c r="AY1133" s="1292"/>
      <c r="AZ1133" s="1292"/>
      <c r="BA1133" s="1292"/>
      <c r="BB1133" s="1292"/>
      <c r="BC1133" s="1292"/>
      <c r="BD1133" s="1292"/>
      <c r="BE1133" s="1292"/>
      <c r="BF1133" s="1292"/>
      <c r="BG1133" s="1292"/>
      <c r="BH1133" s="1292"/>
      <c r="BI1133" s="1292"/>
      <c r="BJ1133" s="1292"/>
      <c r="BK1133" s="1292"/>
      <c r="BL1133" s="1292"/>
      <c r="BM1133" s="1292"/>
      <c r="BN1133" s="1292"/>
      <c r="BO1133" s="1292"/>
      <c r="BP1133" s="1292"/>
      <c r="BQ1133" s="1292"/>
      <c r="BR1133" s="1292"/>
      <c r="BS1133" s="1292"/>
      <c r="BT1133" s="1670">
        <f t="shared" si="682"/>
        <v>0</v>
      </c>
      <c r="BW1133" s="844" t="s">
        <v>1703</v>
      </c>
    </row>
    <row r="1134" spans="2:75" ht="12" customHeight="1" x14ac:dyDescent="0.2">
      <c r="B1134" s="175">
        <f t="shared" si="683"/>
        <v>4</v>
      </c>
      <c r="C1134" s="219">
        <v>10</v>
      </c>
      <c r="E1134" s="12" t="s">
        <v>1560</v>
      </c>
      <c r="F1134" s="65" t="s">
        <v>1396</v>
      </c>
      <c r="G1134" s="844" t="s">
        <v>547</v>
      </c>
      <c r="H1134" s="861">
        <v>294643</v>
      </c>
      <c r="I1134" s="252" t="s">
        <v>351</v>
      </c>
      <c r="J1134" s="189"/>
      <c r="K1134" s="174"/>
      <c r="L1134" s="861">
        <v>1</v>
      </c>
      <c r="M1134" s="861">
        <v>1</v>
      </c>
      <c r="N1134" s="832" t="s">
        <v>1326</v>
      </c>
      <c r="O1134" s="1196">
        <v>28260</v>
      </c>
      <c r="P1134" s="1218">
        <f ca="1">YEARFRAC(TODAY(),O1134)</f>
        <v>40.380555555555553</v>
      </c>
      <c r="Q1134" s="1148">
        <v>29900</v>
      </c>
      <c r="R1134" s="874">
        <f>Q1134*0.1</f>
        <v>2990</v>
      </c>
      <c r="S1134" s="1044"/>
      <c r="T1134" s="876">
        <v>2600</v>
      </c>
      <c r="U1134" s="876"/>
      <c r="V1134" s="876"/>
      <c r="W1134" s="1044"/>
      <c r="X1134" s="1026">
        <f>(Q1134+R1134+S1134+T1134+U1134+V1134+W1134)*M1134</f>
        <v>35490</v>
      </c>
      <c r="Y1134" s="1512">
        <f>(T1134+U1134)*M1134/(X1134-M1134*(T1134+U1134))</f>
        <v>7.9051383399209488E-2</v>
      </c>
      <c r="Z1134" s="1741">
        <f>M1134*(1+Y1134)</f>
        <v>1.0790513833992095</v>
      </c>
      <c r="AA1134" s="1749">
        <f>SUM(AD1134:AS1134)</f>
        <v>1</v>
      </c>
      <c r="AB1134" s="1810">
        <f t="shared" si="680"/>
        <v>92.673992673992672</v>
      </c>
      <c r="AC1134" s="876"/>
      <c r="AD1134" s="1525">
        <f t="shared" si="681"/>
        <v>1</v>
      </c>
      <c r="AE1134" s="1525">
        <f t="shared" si="681"/>
        <v>0</v>
      </c>
      <c r="AF1134" s="1525">
        <f t="shared" si="681"/>
        <v>0</v>
      </c>
      <c r="AG1134" s="1525">
        <f t="shared" si="681"/>
        <v>0</v>
      </c>
      <c r="AH1134" s="1525">
        <f t="shared" si="681"/>
        <v>0</v>
      </c>
      <c r="AI1134" s="1525">
        <f t="shared" si="681"/>
        <v>0</v>
      </c>
      <c r="AJ1134" s="1525">
        <f t="shared" si="681"/>
        <v>0</v>
      </c>
      <c r="AK1134" s="1525">
        <f t="shared" si="681"/>
        <v>0</v>
      </c>
      <c r="AL1134" s="1525">
        <f t="shared" si="681"/>
        <v>0</v>
      </c>
      <c r="AM1134" s="1525">
        <f t="shared" si="681"/>
        <v>0</v>
      </c>
      <c r="AN1134" s="1525">
        <f t="shared" si="681"/>
        <v>0</v>
      </c>
      <c r="AO1134" s="1525">
        <f t="shared" si="681"/>
        <v>0</v>
      </c>
      <c r="AP1134" s="1525">
        <f t="shared" si="681"/>
        <v>0</v>
      </c>
      <c r="AQ1134" s="1525">
        <f t="shared" si="681"/>
        <v>0</v>
      </c>
      <c r="AR1134" s="1525">
        <f t="shared" si="681"/>
        <v>0</v>
      </c>
      <c r="AS1134" s="1525">
        <f t="shared" si="681"/>
        <v>0</v>
      </c>
      <c r="AU1134" s="1525"/>
      <c r="AV1134" s="1291"/>
      <c r="AW1134" s="1292"/>
      <c r="AX1134" s="1292"/>
      <c r="AY1134" s="1292"/>
      <c r="AZ1134" s="1292"/>
      <c r="BA1134" s="1292"/>
      <c r="BB1134" s="1292"/>
      <c r="BC1134" s="1292"/>
      <c r="BD1134" s="1292"/>
      <c r="BE1134" s="1292"/>
      <c r="BF1134" s="1292"/>
      <c r="BG1134" s="1292"/>
      <c r="BH1134" s="1292"/>
      <c r="BI1134" s="1292">
        <v>1</v>
      </c>
      <c r="BJ1134" s="1292"/>
      <c r="BK1134" s="1292"/>
      <c r="BL1134" s="1292"/>
      <c r="BM1134" s="1292"/>
      <c r="BN1134" s="1292"/>
      <c r="BO1134" s="1292"/>
      <c r="BP1134" s="1292"/>
      <c r="BQ1134" s="1292"/>
      <c r="BR1134" s="1292"/>
      <c r="BS1134" s="1292"/>
      <c r="BT1134" s="1670">
        <f t="shared" si="682"/>
        <v>1</v>
      </c>
      <c r="BW1134" s="844" t="s">
        <v>547</v>
      </c>
    </row>
    <row r="1135" spans="2:75" ht="12.75" customHeight="1" x14ac:dyDescent="0.2">
      <c r="B1135" s="175">
        <f t="shared" si="683"/>
        <v>5</v>
      </c>
      <c r="C1135" s="219">
        <v>11</v>
      </c>
      <c r="D1135" s="170"/>
      <c r="E1135" s="12" t="s">
        <v>1560</v>
      </c>
      <c r="F1135" s="1128" t="s">
        <v>558</v>
      </c>
      <c r="G1135" s="844" t="s">
        <v>2041</v>
      </c>
      <c r="H1135" s="861">
        <v>164684</v>
      </c>
      <c r="I1135" s="252" t="s">
        <v>351</v>
      </c>
      <c r="J1135" s="189"/>
      <c r="K1135" s="174"/>
      <c r="L1135" s="861">
        <v>1</v>
      </c>
      <c r="M1135" s="861">
        <v>1</v>
      </c>
      <c r="N1135" s="832" t="s">
        <v>892</v>
      </c>
      <c r="O1135" s="1196">
        <v>32010</v>
      </c>
      <c r="P1135" s="1218">
        <f t="shared" ref="P1135:P1139" ca="1" si="684">YEARFRAC(TODAY(),O1135)</f>
        <v>30.113888888888887</v>
      </c>
      <c r="Q1135" s="1148">
        <v>30650</v>
      </c>
      <c r="R1135" s="874"/>
      <c r="S1135" s="1044"/>
      <c r="T1135" s="876">
        <v>5000</v>
      </c>
      <c r="U1135" s="876">
        <v>8000</v>
      </c>
      <c r="V1135" s="876"/>
      <c r="W1135" s="1044"/>
      <c r="X1135" s="1026">
        <f t="shared" ref="X1135:X1139" si="685">(Q1135+R1135+S1135+T1135+U1135+V1135+W1135)*M1135</f>
        <v>43650</v>
      </c>
      <c r="Y1135" s="1512">
        <f t="shared" ref="Y1135:Y1139" si="686">(T1135+U1135)*M1135/(X1135-M1135*(T1135+U1135))</f>
        <v>0.42414355628058725</v>
      </c>
      <c r="Z1135" s="1741">
        <f t="shared" ref="Z1135:Z1137" si="687">M1135*(1+Y1135)</f>
        <v>1.4241435562805873</v>
      </c>
      <c r="AA1135" s="1749">
        <f t="shared" ref="AA1135:AA1139" si="688">SUM(AD1135:AS1135)</f>
        <v>0</v>
      </c>
      <c r="AB1135" s="1810">
        <f t="shared" si="680"/>
        <v>0</v>
      </c>
      <c r="AC1135" s="224"/>
      <c r="AD1135" s="1525">
        <f t="shared" si="681"/>
        <v>0</v>
      </c>
      <c r="AE1135" s="1525">
        <f t="shared" si="681"/>
        <v>0</v>
      </c>
      <c r="AF1135" s="1525">
        <f t="shared" si="681"/>
        <v>0</v>
      </c>
      <c r="AG1135" s="1525">
        <f t="shared" si="681"/>
        <v>0</v>
      </c>
      <c r="AH1135" s="1525">
        <f t="shared" si="681"/>
        <v>0</v>
      </c>
      <c r="AI1135" s="1525">
        <f t="shared" si="681"/>
        <v>0</v>
      </c>
      <c r="AJ1135" s="1525">
        <f t="shared" si="681"/>
        <v>0</v>
      </c>
      <c r="AK1135" s="1525">
        <f t="shared" si="681"/>
        <v>0</v>
      </c>
      <c r="AL1135" s="1525">
        <f t="shared" si="681"/>
        <v>0</v>
      </c>
      <c r="AM1135" s="1525">
        <f t="shared" si="681"/>
        <v>0</v>
      </c>
      <c r="AN1135" s="1525">
        <f t="shared" si="681"/>
        <v>0</v>
      </c>
      <c r="AO1135" s="1525">
        <f t="shared" si="681"/>
        <v>0</v>
      </c>
      <c r="AP1135" s="1525">
        <f t="shared" si="681"/>
        <v>0</v>
      </c>
      <c r="AQ1135" s="1525">
        <f t="shared" si="681"/>
        <v>0</v>
      </c>
      <c r="AR1135" s="1525">
        <f t="shared" si="681"/>
        <v>0</v>
      </c>
      <c r="AS1135" s="1525">
        <f t="shared" si="681"/>
        <v>0</v>
      </c>
      <c r="AU1135" s="224"/>
      <c r="AV1135" s="1292"/>
      <c r="AX1135" s="1292"/>
      <c r="BT1135" s="1671"/>
      <c r="BV1135" s="224"/>
      <c r="BW1135" s="224"/>
    </row>
    <row r="1136" spans="2:75" ht="12.75" customHeight="1" x14ac:dyDescent="0.2">
      <c r="B1136" s="175">
        <f t="shared" si="683"/>
        <v>6</v>
      </c>
      <c r="C1136" s="219">
        <v>11</v>
      </c>
      <c r="D1136" s="170"/>
      <c r="E1136" s="12" t="s">
        <v>1560</v>
      </c>
      <c r="F1136" s="1128" t="s">
        <v>558</v>
      </c>
      <c r="G1136" s="844" t="s">
        <v>2042</v>
      </c>
      <c r="H1136" s="861">
        <v>283781</v>
      </c>
      <c r="I1136" s="252" t="s">
        <v>351</v>
      </c>
      <c r="J1136" s="189"/>
      <c r="K1136" s="174"/>
      <c r="L1136" s="861">
        <v>1</v>
      </c>
      <c r="M1136" s="861">
        <v>1</v>
      </c>
      <c r="N1136" s="832" t="s">
        <v>892</v>
      </c>
      <c r="O1136" s="1196">
        <v>31771</v>
      </c>
      <c r="P1136" s="1218">
        <f t="shared" ca="1" si="684"/>
        <v>30.769444444444446</v>
      </c>
      <c r="Q1136" s="1148">
        <v>34250</v>
      </c>
      <c r="R1136" s="874"/>
      <c r="S1136" s="1044"/>
      <c r="T1136" s="876">
        <v>1000</v>
      </c>
      <c r="U1136" s="876"/>
      <c r="V1136" s="876"/>
      <c r="W1136" s="1044"/>
      <c r="X1136" s="1026">
        <f t="shared" si="685"/>
        <v>35250</v>
      </c>
      <c r="Y1136" s="1512">
        <f t="shared" si="686"/>
        <v>2.9197080291970802E-2</v>
      </c>
      <c r="Z1136" s="1741">
        <f t="shared" si="687"/>
        <v>1.0291970802919708</v>
      </c>
      <c r="AA1136" s="1749">
        <f t="shared" si="688"/>
        <v>0</v>
      </c>
      <c r="AB1136" s="1810">
        <f t="shared" si="680"/>
        <v>0</v>
      </c>
      <c r="AC1136" s="224"/>
      <c r="AD1136" s="1525">
        <f t="shared" si="681"/>
        <v>0</v>
      </c>
      <c r="AE1136" s="1525">
        <f t="shared" si="681"/>
        <v>0</v>
      </c>
      <c r="AF1136" s="1525">
        <f t="shared" si="681"/>
        <v>0</v>
      </c>
      <c r="AG1136" s="1525">
        <f t="shared" si="681"/>
        <v>0</v>
      </c>
      <c r="AH1136" s="1525">
        <f t="shared" si="681"/>
        <v>0</v>
      </c>
      <c r="AI1136" s="1525">
        <f t="shared" si="681"/>
        <v>0</v>
      </c>
      <c r="AJ1136" s="1525">
        <f t="shared" si="681"/>
        <v>0</v>
      </c>
      <c r="AK1136" s="1525">
        <f t="shared" si="681"/>
        <v>0</v>
      </c>
      <c r="AL1136" s="1525">
        <f t="shared" si="681"/>
        <v>0</v>
      </c>
      <c r="AM1136" s="1525">
        <f t="shared" si="681"/>
        <v>0</v>
      </c>
      <c r="AN1136" s="1525">
        <f t="shared" si="681"/>
        <v>0</v>
      </c>
      <c r="AO1136" s="1525">
        <f t="shared" si="681"/>
        <v>0</v>
      </c>
      <c r="AP1136" s="1525">
        <f t="shared" si="681"/>
        <v>0</v>
      </c>
      <c r="AQ1136" s="1525">
        <f t="shared" si="681"/>
        <v>0</v>
      </c>
      <c r="AR1136" s="1525">
        <f t="shared" si="681"/>
        <v>0</v>
      </c>
      <c r="AS1136" s="1525">
        <f t="shared" si="681"/>
        <v>0</v>
      </c>
      <c r="AU1136" s="224"/>
      <c r="AV1136" s="1292"/>
      <c r="AX1136" s="1292"/>
      <c r="BT1136" s="1671"/>
      <c r="BV1136" s="224"/>
      <c r="BW1136" s="224"/>
    </row>
    <row r="1137" spans="1:75" ht="12.75" customHeight="1" x14ac:dyDescent="0.2">
      <c r="B1137" s="175">
        <f t="shared" si="683"/>
        <v>7</v>
      </c>
      <c r="C1137" s="219">
        <v>11</v>
      </c>
      <c r="D1137" s="170"/>
      <c r="E1137" s="12" t="s">
        <v>1560</v>
      </c>
      <c r="F1137" s="1128" t="s">
        <v>558</v>
      </c>
      <c r="G1137" s="844" t="s">
        <v>2043</v>
      </c>
      <c r="H1137" s="861">
        <v>170276</v>
      </c>
      <c r="I1137" s="252" t="s">
        <v>351</v>
      </c>
      <c r="J1137" s="189"/>
      <c r="K1137" s="174"/>
      <c r="L1137" s="861">
        <v>1</v>
      </c>
      <c r="M1137" s="861">
        <v>1</v>
      </c>
      <c r="N1137" s="832" t="s">
        <v>892</v>
      </c>
      <c r="O1137" s="1196">
        <v>31000</v>
      </c>
      <c r="P1137" s="1218">
        <f t="shared" ca="1" si="684"/>
        <v>32.883333333333333</v>
      </c>
      <c r="Q1137" s="1148">
        <v>30650</v>
      </c>
      <c r="R1137" s="874"/>
      <c r="S1137" s="1044"/>
      <c r="T1137" s="876"/>
      <c r="U1137" s="876"/>
      <c r="V1137" s="876"/>
      <c r="W1137" s="1044"/>
      <c r="X1137" s="1026">
        <f t="shared" si="685"/>
        <v>30650</v>
      </c>
      <c r="Y1137" s="1512">
        <f t="shared" si="686"/>
        <v>0</v>
      </c>
      <c r="Z1137" s="1741">
        <f t="shared" si="687"/>
        <v>1</v>
      </c>
      <c r="AA1137" s="1749">
        <f t="shared" si="688"/>
        <v>0</v>
      </c>
      <c r="AB1137" s="1810">
        <f t="shared" si="680"/>
        <v>0</v>
      </c>
      <c r="AC1137" s="224"/>
      <c r="AD1137" s="1525">
        <f t="shared" si="681"/>
        <v>0</v>
      </c>
      <c r="AE1137" s="1525">
        <f t="shared" si="681"/>
        <v>0</v>
      </c>
      <c r="AF1137" s="1525">
        <f t="shared" si="681"/>
        <v>0</v>
      </c>
      <c r="AG1137" s="1525">
        <f t="shared" si="681"/>
        <v>0</v>
      </c>
      <c r="AH1137" s="1525">
        <f t="shared" si="681"/>
        <v>0</v>
      </c>
      <c r="AI1137" s="1525">
        <f t="shared" si="681"/>
        <v>0</v>
      </c>
      <c r="AJ1137" s="1525">
        <f t="shared" si="681"/>
        <v>0</v>
      </c>
      <c r="AK1137" s="1525">
        <f t="shared" si="681"/>
        <v>0</v>
      </c>
      <c r="AL1137" s="1525">
        <f t="shared" si="681"/>
        <v>0</v>
      </c>
      <c r="AM1137" s="1525">
        <f t="shared" si="681"/>
        <v>0</v>
      </c>
      <c r="AN1137" s="1525">
        <f t="shared" si="681"/>
        <v>0</v>
      </c>
      <c r="AO1137" s="1525">
        <f t="shared" si="681"/>
        <v>0</v>
      </c>
      <c r="AP1137" s="1525">
        <f t="shared" si="681"/>
        <v>0</v>
      </c>
      <c r="AQ1137" s="1525">
        <f t="shared" si="681"/>
        <v>0</v>
      </c>
      <c r="AR1137" s="1525">
        <f t="shared" si="681"/>
        <v>0</v>
      </c>
      <c r="AS1137" s="1525">
        <f t="shared" si="681"/>
        <v>0</v>
      </c>
      <c r="AU1137" s="224"/>
      <c r="AV1137" s="1292"/>
      <c r="AX1137" s="1292"/>
      <c r="BT1137" s="1671"/>
      <c r="BV1137" s="224"/>
      <c r="BW1137" s="224"/>
    </row>
    <row r="1138" spans="1:75" ht="12.75" customHeight="1" x14ac:dyDescent="0.2">
      <c r="B1138" s="175">
        <f>B1132+1</f>
        <v>3</v>
      </c>
      <c r="C1138" s="219">
        <v>14</v>
      </c>
      <c r="E1138" s="12" t="s">
        <v>1560</v>
      </c>
      <c r="F1138" s="65" t="s">
        <v>626</v>
      </c>
      <c r="G1138" s="844" t="s">
        <v>1748</v>
      </c>
      <c r="H1138" s="861">
        <v>153753</v>
      </c>
      <c r="I1138" s="252"/>
      <c r="J1138" s="174"/>
      <c r="K1138" s="174"/>
      <c r="L1138" s="861">
        <v>1</v>
      </c>
      <c r="M1138" s="861">
        <v>1</v>
      </c>
      <c r="N1138" s="832" t="s">
        <v>892</v>
      </c>
      <c r="O1138" s="1196">
        <v>33171</v>
      </c>
      <c r="P1138" s="1218">
        <f ca="1">YEARFRAC(TODAY(),O1138)</f>
        <v>26.93611111111111</v>
      </c>
      <c r="Q1138" s="1148">
        <v>28000</v>
      </c>
      <c r="R1138" s="874"/>
      <c r="S1138" s="1044"/>
      <c r="T1138" s="876"/>
      <c r="U1138" s="876">
        <v>3000</v>
      </c>
      <c r="V1138" s="876"/>
      <c r="W1138" s="1044"/>
      <c r="X1138" s="1026">
        <f t="shared" si="685"/>
        <v>31000</v>
      </c>
      <c r="Y1138" s="1512">
        <f t="shared" si="686"/>
        <v>0.10714285714285714</v>
      </c>
      <c r="Z1138" s="1741">
        <f>M1138*(1+Y1138)</f>
        <v>1.1071428571428572</v>
      </c>
      <c r="AA1138" s="1749">
        <f t="shared" si="688"/>
        <v>1</v>
      </c>
      <c r="AB1138" s="1810">
        <f t="shared" si="680"/>
        <v>90.322580645161281</v>
      </c>
      <c r="AC1138" s="876"/>
      <c r="AD1138" s="1525">
        <f t="shared" ref="AD1138:AS1138" si="689">SUMIF($AV$6:$BS$6,AD$5,$AV1138:$BS1138)</f>
        <v>1</v>
      </c>
      <c r="AE1138" s="1525">
        <f t="shared" si="689"/>
        <v>0</v>
      </c>
      <c r="AF1138" s="1525">
        <f t="shared" si="689"/>
        <v>0</v>
      </c>
      <c r="AG1138" s="1525">
        <f t="shared" si="689"/>
        <v>0</v>
      </c>
      <c r="AH1138" s="1525">
        <f t="shared" si="689"/>
        <v>0</v>
      </c>
      <c r="AI1138" s="1525">
        <f t="shared" si="689"/>
        <v>0</v>
      </c>
      <c r="AJ1138" s="1525">
        <f t="shared" si="689"/>
        <v>0</v>
      </c>
      <c r="AK1138" s="1525">
        <f t="shared" si="689"/>
        <v>0</v>
      </c>
      <c r="AL1138" s="1525">
        <f t="shared" si="689"/>
        <v>0</v>
      </c>
      <c r="AM1138" s="1525">
        <f t="shared" si="689"/>
        <v>0</v>
      </c>
      <c r="AN1138" s="1525">
        <f t="shared" si="689"/>
        <v>0</v>
      </c>
      <c r="AO1138" s="1525">
        <f t="shared" si="689"/>
        <v>0</v>
      </c>
      <c r="AP1138" s="1525">
        <f t="shared" si="689"/>
        <v>0</v>
      </c>
      <c r="AQ1138" s="1525">
        <f t="shared" si="689"/>
        <v>0</v>
      </c>
      <c r="AR1138" s="1525">
        <f t="shared" si="689"/>
        <v>0</v>
      </c>
      <c r="AS1138" s="1525">
        <f t="shared" si="689"/>
        <v>0</v>
      </c>
      <c r="AU1138" s="1525"/>
      <c r="AV1138" s="1291"/>
      <c r="AW1138" s="1292"/>
      <c r="AX1138" s="1292"/>
      <c r="AY1138" s="1292"/>
      <c r="AZ1138" s="1292"/>
      <c r="BA1138" s="1292"/>
      <c r="BB1138" s="1292"/>
      <c r="BC1138" s="1292"/>
      <c r="BD1138" s="1292"/>
      <c r="BE1138" s="1292"/>
      <c r="BF1138" s="1292"/>
      <c r="BG1138" s="1292"/>
      <c r="BH1138" s="1292"/>
      <c r="BI1138" s="1292">
        <v>1</v>
      </c>
      <c r="BJ1138" s="1292"/>
      <c r="BK1138" s="1292"/>
      <c r="BL1138" s="1292"/>
      <c r="BM1138" s="1292"/>
      <c r="BN1138" s="1292"/>
      <c r="BO1138" s="1292"/>
      <c r="BP1138" s="1292"/>
      <c r="BQ1138" s="1292"/>
      <c r="BR1138" s="1292"/>
      <c r="BS1138" s="1292"/>
      <c r="BT1138" s="1670">
        <f t="shared" ref="BT1138" si="690">SUM(AV1138:BS1138)</f>
        <v>1</v>
      </c>
      <c r="BW1138" s="894" t="s">
        <v>1748</v>
      </c>
    </row>
    <row r="1139" spans="1:75" ht="12.75" customHeight="1" x14ac:dyDescent="0.2">
      <c r="A1139" s="170"/>
      <c r="B1139" s="175">
        <f>B1137+1</f>
        <v>8</v>
      </c>
      <c r="C1139" s="220">
        <v>14</v>
      </c>
      <c r="D1139" s="170"/>
      <c r="E1139" s="447" t="s">
        <v>1560</v>
      </c>
      <c r="F1139" s="65" t="s">
        <v>626</v>
      </c>
      <c r="G1139" s="844" t="s">
        <v>2044</v>
      </c>
      <c r="H1139" s="861">
        <v>164595</v>
      </c>
      <c r="I1139" s="252" t="s">
        <v>583</v>
      </c>
      <c r="J1139" s="174"/>
      <c r="K1139" s="174"/>
      <c r="L1139" s="861">
        <v>1</v>
      </c>
      <c r="M1139" s="861">
        <v>1</v>
      </c>
      <c r="N1139" s="832" t="s">
        <v>892</v>
      </c>
      <c r="O1139" s="1196">
        <v>30442</v>
      </c>
      <c r="P1139" s="1262">
        <f t="shared" ca="1" si="684"/>
        <v>34.405555555555559</v>
      </c>
      <c r="Q1139" s="874">
        <v>20000</v>
      </c>
      <c r="R1139" s="874"/>
      <c r="S1139" s="1045"/>
      <c r="T1139" s="876"/>
      <c r="U1139" s="876"/>
      <c r="V1139" s="876"/>
      <c r="W1139" s="1045"/>
      <c r="X1139" s="1026">
        <f t="shared" si="685"/>
        <v>20000</v>
      </c>
      <c r="Y1139" s="1512">
        <f t="shared" si="686"/>
        <v>0</v>
      </c>
      <c r="Z1139" s="1741">
        <f>M1139*(1+Y1139)</f>
        <v>1</v>
      </c>
      <c r="AA1139" s="1749">
        <f t="shared" si="688"/>
        <v>0</v>
      </c>
      <c r="AB1139" s="1810">
        <f t="shared" si="680"/>
        <v>0</v>
      </c>
      <c r="AC1139" s="224"/>
      <c r="AD1139" s="1525"/>
      <c r="AE1139" s="1525"/>
      <c r="AF1139" s="1525"/>
      <c r="AG1139" s="1525"/>
      <c r="AH1139" s="1525"/>
      <c r="AI1139" s="1525"/>
      <c r="AJ1139" s="1525"/>
      <c r="AK1139" s="1525"/>
      <c r="AL1139" s="1525"/>
      <c r="AM1139" s="1525"/>
      <c r="AN1139" s="1525"/>
      <c r="AO1139" s="1525"/>
      <c r="AP1139" s="1525"/>
      <c r="AQ1139" s="1292"/>
      <c r="AR1139" s="1292"/>
      <c r="AS1139" s="1292"/>
      <c r="AU1139" s="224"/>
      <c r="AV1139" s="1292"/>
      <c r="AX1139" s="1292"/>
      <c r="BT1139" s="1671"/>
      <c r="BV1139" s="224"/>
      <c r="BW1139" s="224"/>
    </row>
    <row r="1140" spans="1:75" ht="12.75" customHeight="1" x14ac:dyDescent="0.2">
      <c r="A1140" s="170"/>
      <c r="B1140" s="175"/>
      <c r="C1140" s="220"/>
      <c r="D1140" s="170"/>
      <c r="E1140" s="447"/>
      <c r="F1140" s="65"/>
      <c r="G1140" s="844"/>
      <c r="H1140" s="861"/>
      <c r="I1140" s="252"/>
      <c r="J1140" s="174"/>
      <c r="K1140" s="174"/>
      <c r="L1140" s="861"/>
      <c r="M1140" s="861"/>
      <c r="N1140" s="832"/>
      <c r="O1140" s="1196"/>
      <c r="P1140" s="1262"/>
      <c r="Q1140" s="874"/>
      <c r="R1140" s="874"/>
      <c r="S1140" s="1045"/>
      <c r="T1140" s="876"/>
      <c r="U1140" s="876"/>
      <c r="V1140" s="876"/>
      <c r="W1140" s="1045"/>
      <c r="X1140" s="1692"/>
      <c r="Y1140" s="876"/>
      <c r="Z1140" s="170"/>
      <c r="AA1140" s="1750"/>
      <c r="AB1140" s="1760"/>
      <c r="AC1140" s="224"/>
      <c r="AD1140" s="1525"/>
      <c r="AE1140" s="1525"/>
      <c r="AF1140" s="1525"/>
      <c r="AG1140" s="1525"/>
      <c r="AH1140" s="1525"/>
      <c r="AI1140" s="1525"/>
      <c r="AJ1140" s="1525"/>
      <c r="AK1140" s="1525"/>
      <c r="AL1140" s="1525"/>
      <c r="AM1140" s="1525"/>
      <c r="AN1140" s="1525"/>
      <c r="AO1140" s="1525"/>
      <c r="AP1140" s="1525"/>
      <c r="AQ1140" s="1292"/>
      <c r="AR1140" s="1292"/>
      <c r="AS1140" s="1292"/>
      <c r="AU1140" s="224"/>
      <c r="AV1140" s="1292"/>
      <c r="AX1140" s="1292"/>
      <c r="BT1140" s="1671"/>
      <c r="BV1140" s="224"/>
      <c r="BW1140" s="224"/>
    </row>
    <row r="1141" spans="1:75" ht="12.75" customHeight="1" x14ac:dyDescent="0.2">
      <c r="B1141" s="175"/>
      <c r="C1141" s="220"/>
      <c r="D1141" s="170"/>
      <c r="E1141" s="12"/>
      <c r="F1141" s="1117" t="s">
        <v>436</v>
      </c>
      <c r="G1141" s="825"/>
      <c r="H1141" s="1347" t="s">
        <v>1508</v>
      </c>
      <c r="I1141" s="197"/>
      <c r="J1141" s="174"/>
      <c r="K1141" s="174"/>
      <c r="L1141" s="861"/>
      <c r="M1141" s="861"/>
      <c r="N1141" s="836"/>
      <c r="O1141" s="1193"/>
      <c r="P1141" s="1262"/>
      <c r="Q1141" s="1148"/>
      <c r="R1141" s="874"/>
      <c r="S1141" s="876"/>
      <c r="T1141" s="884"/>
      <c r="U1141" s="884"/>
      <c r="V1141" s="884"/>
      <c r="W1141" s="876"/>
      <c r="X1141" s="1026"/>
      <c r="Y1141" s="1562"/>
      <c r="Z1141" s="1742"/>
      <c r="AA1141" s="1749"/>
      <c r="AB1141" s="1814"/>
      <c r="AC1141" s="876"/>
      <c r="AD1141" s="1295"/>
      <c r="AE1141" s="1525"/>
      <c r="AF1141" s="1525"/>
      <c r="AG1141" s="1525"/>
      <c r="AH1141" s="1525"/>
      <c r="AI1141" s="1525"/>
      <c r="AJ1141" s="1525"/>
      <c r="AK1141" s="1525"/>
      <c r="AL1141" s="1525"/>
      <c r="AM1141" s="1525"/>
      <c r="AN1141" s="1525"/>
      <c r="AO1141" s="1525"/>
      <c r="AP1141" s="1525"/>
      <c r="AQ1141" s="1525"/>
      <c r="AR1141" s="1525"/>
      <c r="AS1141" s="1525"/>
      <c r="AU1141" s="1525"/>
      <c r="AV1141" s="1291"/>
      <c r="AW1141" s="1292"/>
      <c r="AX1141" s="1292"/>
      <c r="AY1141" s="1292"/>
      <c r="AZ1141" s="1292"/>
      <c r="BA1141" s="1292"/>
      <c r="BB1141" s="1292"/>
      <c r="BC1141" s="1292"/>
      <c r="BD1141" s="1292"/>
      <c r="BE1141" s="1292"/>
      <c r="BF1141" s="1292"/>
      <c r="BG1141" s="1292"/>
      <c r="BH1141" s="1292"/>
      <c r="BI1141" s="1292"/>
      <c r="BJ1141" s="1292"/>
      <c r="BK1141" s="1292"/>
      <c r="BL1141" s="1292"/>
      <c r="BM1141" s="1292"/>
      <c r="BN1141" s="1292"/>
      <c r="BO1141" s="1292"/>
      <c r="BP1141" s="1292"/>
      <c r="BQ1141" s="1292"/>
      <c r="BR1141" s="1292"/>
      <c r="BS1141" s="1292"/>
      <c r="BT1141" s="1670"/>
      <c r="BW1141" s="825"/>
    </row>
    <row r="1142" spans="1:75" ht="12.75" customHeight="1" x14ac:dyDescent="0.2">
      <c r="B1142" s="175">
        <f>B1141+1</f>
        <v>1</v>
      </c>
      <c r="C1142" s="219">
        <v>10</v>
      </c>
      <c r="E1142" s="12" t="s">
        <v>1560</v>
      </c>
      <c r="F1142" s="1128" t="s">
        <v>1396</v>
      </c>
      <c r="G1142" s="825" t="s">
        <v>816</v>
      </c>
      <c r="H1142" s="861">
        <v>290643</v>
      </c>
      <c r="I1142" s="197" t="s">
        <v>351</v>
      </c>
      <c r="J1142" s="189"/>
      <c r="K1142" s="174">
        <v>1</v>
      </c>
      <c r="L1142" s="861"/>
      <c r="M1142" s="861">
        <v>1</v>
      </c>
      <c r="N1142" s="836" t="s">
        <v>1402</v>
      </c>
      <c r="O1142" s="1196">
        <v>30405</v>
      </c>
      <c r="P1142" s="1218">
        <f ca="1">YEARFRAC(TODAY(),O1142)</f>
        <v>34.505555555555553</v>
      </c>
      <c r="Q1142" s="1148">
        <v>29900</v>
      </c>
      <c r="R1142" s="874">
        <f>Q1142*0.1</f>
        <v>2990</v>
      </c>
      <c r="S1142" s="875"/>
      <c r="T1142" s="877"/>
      <c r="U1142" s="877"/>
      <c r="V1142" s="877"/>
      <c r="W1142" s="875"/>
      <c r="X1142" s="1026">
        <f>(Q1142+R1142+S1142+T1142+U1142+V1142+W1142)*M1142</f>
        <v>32890</v>
      </c>
      <c r="Y1142" s="1512">
        <f>(T1142+U1142)*M1142/(X1142-M1142*(T1142+U1142))</f>
        <v>0</v>
      </c>
      <c r="Z1142" s="1741">
        <f>M1142*(1+Y1142)</f>
        <v>1</v>
      </c>
      <c r="AA1142" s="1749">
        <f>SUM(AD1142:AS1142)</f>
        <v>1</v>
      </c>
      <c r="AB1142" s="1810">
        <f t="shared" ref="AB1142" si="691">100*AA1142/Z1142</f>
        <v>100</v>
      </c>
      <c r="AC1142" s="876"/>
      <c r="AD1142" s="1525">
        <f t="shared" ref="AD1142:AS1142" si="692">SUMIF($AV$6:$BS$6,AD$5,$AV1142:$BS1142)</f>
        <v>1</v>
      </c>
      <c r="AE1142" s="1525">
        <f t="shared" si="692"/>
        <v>0</v>
      </c>
      <c r="AF1142" s="1525">
        <f t="shared" si="692"/>
        <v>0</v>
      </c>
      <c r="AG1142" s="1525">
        <f t="shared" si="692"/>
        <v>0</v>
      </c>
      <c r="AH1142" s="1525">
        <f t="shared" si="692"/>
        <v>0</v>
      </c>
      <c r="AI1142" s="1525">
        <f t="shared" si="692"/>
        <v>0</v>
      </c>
      <c r="AJ1142" s="1525">
        <f t="shared" si="692"/>
        <v>0</v>
      </c>
      <c r="AK1142" s="1525">
        <f t="shared" si="692"/>
        <v>0</v>
      </c>
      <c r="AL1142" s="1525">
        <f t="shared" si="692"/>
        <v>0</v>
      </c>
      <c r="AM1142" s="1525">
        <f t="shared" si="692"/>
        <v>0</v>
      </c>
      <c r="AN1142" s="1525">
        <f t="shared" si="692"/>
        <v>0</v>
      </c>
      <c r="AO1142" s="1525">
        <f t="shared" si="692"/>
        <v>0</v>
      </c>
      <c r="AP1142" s="1525">
        <f t="shared" si="692"/>
        <v>0</v>
      </c>
      <c r="AQ1142" s="1525">
        <f t="shared" si="692"/>
        <v>0</v>
      </c>
      <c r="AR1142" s="1525">
        <f t="shared" si="692"/>
        <v>0</v>
      </c>
      <c r="AS1142" s="1525">
        <f t="shared" si="692"/>
        <v>0</v>
      </c>
      <c r="AU1142" s="1525"/>
      <c r="AV1142" s="1291"/>
      <c r="AW1142" s="1292"/>
      <c r="AX1142" s="1292"/>
      <c r="AY1142" s="1292"/>
      <c r="AZ1142" s="1292"/>
      <c r="BA1142" s="1292"/>
      <c r="BB1142" s="1292"/>
      <c r="BC1142" s="1292"/>
      <c r="BD1142" s="1292"/>
      <c r="BE1142" s="1292"/>
      <c r="BF1142" s="1292"/>
      <c r="BG1142" s="1292"/>
      <c r="BH1142" s="1292"/>
      <c r="BI1142" s="1292">
        <v>1</v>
      </c>
      <c r="BJ1142" s="1292"/>
      <c r="BK1142" s="1292"/>
      <c r="BL1142" s="1292"/>
      <c r="BM1142" s="1292"/>
      <c r="BN1142" s="1292"/>
      <c r="BO1142" s="1292"/>
      <c r="BP1142" s="1292"/>
      <c r="BQ1142" s="1292"/>
      <c r="BR1142" s="1292"/>
      <c r="BS1142" s="1292"/>
      <c r="BT1142" s="1670">
        <f t="shared" ref="BT1142" si="693">SUM(AV1142:BS1142)</f>
        <v>1</v>
      </c>
      <c r="BW1142" s="825" t="s">
        <v>816</v>
      </c>
    </row>
    <row r="1143" spans="1:75" ht="12.75" customHeight="1" x14ac:dyDescent="0.2">
      <c r="A1143" s="170"/>
      <c r="B1143" s="175"/>
      <c r="C1143" s="220"/>
      <c r="D1143" s="170"/>
      <c r="E1143" s="447"/>
      <c r="F1143" s="65"/>
      <c r="G1143" s="844"/>
      <c r="H1143" s="861"/>
      <c r="I1143" s="252"/>
      <c r="J1143" s="174"/>
      <c r="K1143" s="174"/>
      <c r="L1143" s="861"/>
      <c r="M1143" s="861"/>
      <c r="N1143" s="832"/>
      <c r="O1143" s="1196"/>
      <c r="P1143" s="1262"/>
      <c r="Q1143" s="874"/>
      <c r="R1143" s="874"/>
      <c r="S1143" s="1045"/>
      <c r="T1143" s="876"/>
      <c r="U1143" s="876"/>
      <c r="V1143" s="876"/>
      <c r="W1143" s="1045"/>
      <c r="X1143" s="1692"/>
      <c r="Y1143" s="876"/>
      <c r="Z1143" s="224"/>
      <c r="AA1143" s="1763"/>
      <c r="AB1143" s="1760"/>
      <c r="AC1143" s="224"/>
      <c r="AD1143" s="1525"/>
      <c r="AE1143" s="1525"/>
      <c r="AF1143" s="1525"/>
      <c r="AG1143" s="1525"/>
      <c r="AH1143" s="1525"/>
      <c r="AI1143" s="1525"/>
      <c r="AJ1143" s="1525"/>
      <c r="AK1143" s="1525"/>
      <c r="AL1143" s="1525"/>
      <c r="AM1143" s="1525"/>
      <c r="AN1143" s="1525"/>
      <c r="AO1143" s="1525"/>
      <c r="AP1143" s="1525"/>
      <c r="AQ1143" s="1292"/>
      <c r="AR1143" s="1292"/>
      <c r="AS1143" s="1292"/>
      <c r="AU1143" s="224"/>
      <c r="AV1143" s="1292"/>
      <c r="AX1143" s="1292"/>
      <c r="BT1143" s="1671"/>
      <c r="BV1143" s="224"/>
      <c r="BW1143" s="224"/>
    </row>
    <row r="1144" spans="1:75" ht="12.75" customHeight="1" x14ac:dyDescent="0.2">
      <c r="B1144" s="175"/>
      <c r="C1144" s="219" t="s">
        <v>1120</v>
      </c>
      <c r="E1144" s="12"/>
      <c r="F1144" s="330" t="s">
        <v>553</v>
      </c>
      <c r="G1144" s="904"/>
      <c r="H1144" s="1353" t="s">
        <v>1508</v>
      </c>
      <c r="I1144" s="331"/>
      <c r="J1144" s="329"/>
      <c r="K1144" s="1324">
        <f t="shared" ref="K1144:L1144" si="694">SUM(K1131:K1142)</f>
        <v>1</v>
      </c>
      <c r="L1144" s="1324">
        <f t="shared" si="694"/>
        <v>8.5</v>
      </c>
      <c r="M1144" s="1324">
        <f>SUM(M1131:M1142)</f>
        <v>9.5</v>
      </c>
      <c r="N1144" s="905"/>
      <c r="O1144" s="1576"/>
      <c r="P1144" s="1577"/>
      <c r="Q1144" s="874"/>
      <c r="R1144" s="874"/>
      <c r="S1144" s="875"/>
      <c r="T1144" s="877"/>
      <c r="U1144" s="877"/>
      <c r="V1144" s="877"/>
      <c r="W1144" s="875"/>
      <c r="X1144" s="1026"/>
      <c r="Y1144" s="1335"/>
      <c r="Z1144" s="1335"/>
      <c r="AA1144" s="1775"/>
      <c r="AB1144" s="1814"/>
      <c r="AC1144" s="876"/>
      <c r="AD1144" s="1295"/>
      <c r="AE1144" s="1525"/>
      <c r="AF1144" s="1525"/>
      <c r="AG1144" s="1525"/>
      <c r="AH1144" s="1525"/>
      <c r="AI1144" s="1525"/>
      <c r="AJ1144" s="1525"/>
      <c r="AK1144" s="1525"/>
      <c r="AL1144" s="1525"/>
      <c r="AM1144" s="1525"/>
      <c r="AN1144" s="1525"/>
      <c r="AO1144" s="1525"/>
      <c r="AP1144" s="1525"/>
      <c r="AQ1144" s="1525"/>
      <c r="AR1144" s="1525"/>
      <c r="AS1144" s="1525"/>
      <c r="AU1144" s="1525"/>
      <c r="AV1144" s="1291"/>
      <c r="AW1144" s="1292"/>
      <c r="AX1144" s="1292"/>
      <c r="AY1144" s="1292"/>
      <c r="AZ1144" s="1292"/>
      <c r="BA1144" s="1292"/>
      <c r="BB1144" s="1292"/>
      <c r="BC1144" s="1292"/>
      <c r="BD1144" s="1292"/>
      <c r="BE1144" s="1292"/>
      <c r="BF1144" s="1292"/>
      <c r="BG1144" s="1292"/>
      <c r="BH1144" s="1292"/>
      <c r="BI1144" s="1292"/>
      <c r="BJ1144" s="1292"/>
      <c r="BK1144" s="1292"/>
      <c r="BL1144" s="1292"/>
      <c r="BM1144" s="1292"/>
      <c r="BN1144" s="1292"/>
      <c r="BO1144" s="1292"/>
      <c r="BP1144" s="1292"/>
      <c r="BQ1144" s="1292"/>
      <c r="BR1144" s="1292"/>
      <c r="BS1144" s="1292"/>
      <c r="BT1144" s="1670"/>
      <c r="BW1144" s="821"/>
    </row>
    <row r="1145" spans="1:75" ht="12.75" customHeight="1" x14ac:dyDescent="0.2">
      <c r="B1145" s="175"/>
      <c r="C1145" s="220"/>
      <c r="D1145" s="170"/>
      <c r="E1145" s="447"/>
      <c r="F1145" s="4"/>
      <c r="G1145" s="825"/>
      <c r="H1145" s="1347" t="s">
        <v>1508</v>
      </c>
      <c r="I1145" s="197"/>
      <c r="J1145" s="174"/>
      <c r="K1145" s="174"/>
      <c r="L1145" s="861"/>
      <c r="M1145" s="861"/>
      <c r="N1145" s="836"/>
      <c r="O1145" s="1193"/>
      <c r="P1145" s="1262"/>
      <c r="Q1145" s="1148"/>
      <c r="R1145" s="874"/>
      <c r="S1145" s="876"/>
      <c r="T1145" s="884"/>
      <c r="U1145" s="884"/>
      <c r="V1145" s="884"/>
      <c r="W1145" s="876"/>
      <c r="X1145" s="1026"/>
      <c r="Y1145" s="1754"/>
      <c r="Z1145" s="1755"/>
      <c r="AA1145" s="1775"/>
      <c r="AB1145" s="1814"/>
      <c r="AC1145" s="876"/>
      <c r="AD1145" s="1295"/>
      <c r="AE1145" s="1525"/>
      <c r="AF1145" s="1525"/>
      <c r="AG1145" s="1525"/>
      <c r="AH1145" s="1525"/>
      <c r="AI1145" s="1525"/>
      <c r="AJ1145" s="1525"/>
      <c r="AK1145" s="1525"/>
      <c r="AL1145" s="1525"/>
      <c r="AM1145" s="1525"/>
      <c r="AN1145" s="1525"/>
      <c r="AO1145" s="1525"/>
      <c r="AP1145" s="1525"/>
      <c r="AQ1145" s="1525"/>
      <c r="AR1145" s="1525"/>
      <c r="AS1145" s="1525"/>
      <c r="AU1145" s="1525"/>
      <c r="AV1145" s="1291"/>
      <c r="AW1145" s="1292"/>
      <c r="AX1145" s="1292"/>
      <c r="AY1145" s="1292"/>
      <c r="AZ1145" s="1292"/>
      <c r="BA1145" s="1292"/>
      <c r="BB1145" s="1292"/>
      <c r="BC1145" s="1292"/>
      <c r="BD1145" s="1292"/>
      <c r="BE1145" s="1292"/>
      <c r="BF1145" s="1292"/>
      <c r="BG1145" s="1292"/>
      <c r="BH1145" s="1292"/>
      <c r="BI1145" s="1292"/>
      <c r="BJ1145" s="1292"/>
      <c r="BK1145" s="1292"/>
      <c r="BL1145" s="1292"/>
      <c r="BM1145" s="1292"/>
      <c r="BN1145" s="1292"/>
      <c r="BO1145" s="1292"/>
      <c r="BP1145" s="1292"/>
      <c r="BQ1145" s="1292"/>
      <c r="BR1145" s="1292"/>
      <c r="BS1145" s="1292"/>
      <c r="BT1145" s="1670"/>
      <c r="BW1145" s="825"/>
    </row>
    <row r="1146" spans="1:75" s="164" customFormat="1" ht="12.75" customHeight="1" x14ac:dyDescent="0.15">
      <c r="B1146" s="175"/>
      <c r="C1146" s="219"/>
      <c r="E1146" s="12"/>
      <c r="F1146" s="1118" t="s">
        <v>2045</v>
      </c>
      <c r="G1146" s="1130"/>
      <c r="H1146" s="1346" t="s">
        <v>1508</v>
      </c>
      <c r="I1146" s="1129"/>
      <c r="J1146" s="174"/>
      <c r="K1146" s="174"/>
      <c r="L1146" s="861"/>
      <c r="M1146" s="858"/>
      <c r="N1146" s="836"/>
      <c r="O1146" s="1199"/>
      <c r="P1146" s="1245"/>
      <c r="Q1146" s="1148"/>
      <c r="R1146" s="874"/>
      <c r="S1146" s="875"/>
      <c r="T1146" s="877"/>
      <c r="U1146" s="877"/>
      <c r="V1146" s="877"/>
      <c r="W1146" s="875"/>
      <c r="X1146" s="1026"/>
      <c r="Y1146" s="1754"/>
      <c r="Z1146" s="1755"/>
      <c r="AA1146" s="1775"/>
      <c r="AB1146" s="1814"/>
      <c r="AC1146" s="876"/>
      <c r="AD1146" s="1295"/>
      <c r="AE1146" s="1525"/>
      <c r="AF1146" s="1525"/>
      <c r="AG1146" s="1525"/>
      <c r="AH1146" s="1525"/>
      <c r="AI1146" s="1525"/>
      <c r="AJ1146" s="1525"/>
      <c r="AK1146" s="1525"/>
      <c r="AL1146" s="1525"/>
      <c r="AM1146" s="1525"/>
      <c r="AN1146" s="1525"/>
      <c r="AO1146" s="1525"/>
      <c r="AP1146" s="1525"/>
      <c r="AQ1146" s="1525"/>
      <c r="AR1146" s="1525"/>
      <c r="AS1146" s="1525"/>
      <c r="AU1146" s="1525"/>
      <c r="AV1146" s="1295"/>
      <c r="AW1146" s="1525"/>
      <c r="AX1146" s="1525"/>
      <c r="AY1146" s="1525"/>
      <c r="AZ1146" s="1525"/>
      <c r="BA1146" s="1525"/>
      <c r="BB1146" s="1525"/>
      <c r="BC1146" s="1525"/>
      <c r="BD1146" s="1525"/>
      <c r="BE1146" s="1525"/>
      <c r="BF1146" s="1525"/>
      <c r="BG1146" s="1525"/>
      <c r="BH1146" s="1525"/>
      <c r="BI1146" s="1525"/>
      <c r="BJ1146" s="1525"/>
      <c r="BK1146" s="1525"/>
      <c r="BL1146" s="1525"/>
      <c r="BM1146" s="1525"/>
      <c r="BN1146" s="1525"/>
      <c r="BO1146" s="1525"/>
      <c r="BP1146" s="1525"/>
      <c r="BQ1146" s="1525"/>
      <c r="BR1146" s="1525"/>
      <c r="BS1146" s="1525"/>
      <c r="BT1146" s="1670"/>
      <c r="BV1146"/>
      <c r="BW1146" s="1130"/>
    </row>
    <row r="1147" spans="1:75" s="164" customFormat="1" ht="12.75" customHeight="1" x14ac:dyDescent="0.2">
      <c r="B1147" s="175">
        <f>B1146+1</f>
        <v>1</v>
      </c>
      <c r="C1147" s="219">
        <v>5</v>
      </c>
      <c r="E1147" s="12" t="s">
        <v>1560</v>
      </c>
      <c r="F1147" s="24" t="s">
        <v>216</v>
      </c>
      <c r="G1147" s="856" t="s">
        <v>1619</v>
      </c>
      <c r="H1147" s="858">
        <v>96549</v>
      </c>
      <c r="I1147" s="200" t="s">
        <v>351</v>
      </c>
      <c r="J1147" s="174"/>
      <c r="K1147" s="174"/>
      <c r="L1147" s="861">
        <v>1</v>
      </c>
      <c r="M1147" s="858">
        <v>1</v>
      </c>
      <c r="N1147" s="855" t="s">
        <v>1326</v>
      </c>
      <c r="O1147" s="1196">
        <v>23695</v>
      </c>
      <c r="P1147" s="1218">
        <f ca="1">YEARFRAC(TODAY(),O1147)</f>
        <v>52.883333333333333</v>
      </c>
      <c r="Q1147" s="1148">
        <v>56500</v>
      </c>
      <c r="R1147" s="874">
        <f>Q1147*0.1</f>
        <v>5650</v>
      </c>
      <c r="S1147" s="875">
        <v>3000</v>
      </c>
      <c r="T1147" s="877">
        <v>40000</v>
      </c>
      <c r="U1147" s="877"/>
      <c r="V1147" s="877"/>
      <c r="W1147" s="875"/>
      <c r="X1147" s="1026">
        <f>(Q1147+R1147+S1147+T1147+U1147+V1147+W1147)*M1147</f>
        <v>105150</v>
      </c>
      <c r="Y1147" s="1512">
        <f>(T1147+U1147)*M1147/(X1147-M1147*(T1147+U1147))</f>
        <v>0.61396776669224862</v>
      </c>
      <c r="Z1147" s="1741">
        <f>M1147*(1+Y1147)</f>
        <v>1.6139677666922485</v>
      </c>
      <c r="AA1147" s="1749">
        <f>SUM(AD1147:AS1147)</f>
        <v>1.2</v>
      </c>
      <c r="AB1147" s="1810">
        <f t="shared" ref="AB1147:AB1151" si="695">100*AA1147/Z1147</f>
        <v>74.350927246790306</v>
      </c>
      <c r="AC1147" s="876"/>
      <c r="AD1147" s="1525">
        <f t="shared" ref="AD1147:AS1151" si="696">SUMIF($AV$6:$BS$6,AD$5,$AV1147:$BS1147)</f>
        <v>1</v>
      </c>
      <c r="AE1147" s="1525">
        <f t="shared" si="696"/>
        <v>0</v>
      </c>
      <c r="AF1147" s="1525">
        <f t="shared" si="696"/>
        <v>0</v>
      </c>
      <c r="AG1147" s="1525">
        <f t="shared" si="696"/>
        <v>0</v>
      </c>
      <c r="AH1147" s="1525">
        <f t="shared" si="696"/>
        <v>0</v>
      </c>
      <c r="AI1147" s="1525">
        <f t="shared" si="696"/>
        <v>0</v>
      </c>
      <c r="AJ1147" s="1525">
        <f t="shared" si="696"/>
        <v>0.2</v>
      </c>
      <c r="AK1147" s="1525">
        <f t="shared" si="696"/>
        <v>0</v>
      </c>
      <c r="AL1147" s="1525">
        <f t="shared" si="696"/>
        <v>0</v>
      </c>
      <c r="AM1147" s="1525">
        <f t="shared" si="696"/>
        <v>0</v>
      </c>
      <c r="AN1147" s="1525">
        <f t="shared" si="696"/>
        <v>0</v>
      </c>
      <c r="AO1147" s="1525">
        <f t="shared" si="696"/>
        <v>0</v>
      </c>
      <c r="AP1147" s="1525">
        <f t="shared" si="696"/>
        <v>0</v>
      </c>
      <c r="AQ1147" s="1525">
        <f t="shared" si="696"/>
        <v>0</v>
      </c>
      <c r="AR1147" s="1525">
        <f t="shared" si="696"/>
        <v>0</v>
      </c>
      <c r="AS1147" s="1525">
        <f t="shared" si="696"/>
        <v>0</v>
      </c>
      <c r="AU1147" s="1525"/>
      <c r="AV1147" s="1295"/>
      <c r="AW1147" s="1525"/>
      <c r="AX1147" s="1525"/>
      <c r="AY1147" s="1525"/>
      <c r="AZ1147" s="1525"/>
      <c r="BA1147" s="1525"/>
      <c r="BB1147" s="1525">
        <v>0.2</v>
      </c>
      <c r="BC1147" s="1525"/>
      <c r="BD1147" s="1525"/>
      <c r="BE1147" s="1525"/>
      <c r="BF1147" s="1525"/>
      <c r="BG1147" s="1525"/>
      <c r="BH1147" s="1525"/>
      <c r="BI1147" s="1525"/>
      <c r="BJ1147" s="1525">
        <v>1</v>
      </c>
      <c r="BK1147" s="1525"/>
      <c r="BL1147" s="1525"/>
      <c r="BM1147" s="1525"/>
      <c r="BN1147" s="1525"/>
      <c r="BO1147" s="1525"/>
      <c r="BP1147" s="1525"/>
      <c r="BQ1147" s="1525"/>
      <c r="BR1147" s="1525"/>
      <c r="BS1147" s="1525"/>
      <c r="BT1147" s="1670">
        <f t="shared" ref="BT1147:BT1151" si="697">SUM(AV1147:BS1147)</f>
        <v>1.2</v>
      </c>
      <c r="BV1147"/>
      <c r="BW1147" s="856" t="s">
        <v>1619</v>
      </c>
    </row>
    <row r="1148" spans="1:75" s="164" customFormat="1" ht="12.75" customHeight="1" x14ac:dyDescent="0.2">
      <c r="B1148" s="175">
        <f t="shared" ref="B1148:B1151" si="698">B1147+1</f>
        <v>2</v>
      </c>
      <c r="C1148" s="219">
        <v>8</v>
      </c>
      <c r="E1148" s="12" t="s">
        <v>1560</v>
      </c>
      <c r="F1148" s="58" t="s">
        <v>353</v>
      </c>
      <c r="G1148" s="825" t="s">
        <v>535</v>
      </c>
      <c r="H1148" s="858">
        <v>60628</v>
      </c>
      <c r="I1148" s="252" t="s">
        <v>351</v>
      </c>
      <c r="J1148" s="174"/>
      <c r="K1148" s="174"/>
      <c r="L1148" s="861">
        <v>1</v>
      </c>
      <c r="M1148" s="858">
        <v>1</v>
      </c>
      <c r="N1148" s="836" t="s">
        <v>892</v>
      </c>
      <c r="O1148" s="1196">
        <v>23095</v>
      </c>
      <c r="P1148" s="1218">
        <f ca="1">YEARFRAC(TODAY(),O1148)</f>
        <v>54.519444444444446</v>
      </c>
      <c r="Q1148" s="1148">
        <v>52300</v>
      </c>
      <c r="R1148" s="874"/>
      <c r="S1148" s="875">
        <v>3000</v>
      </c>
      <c r="T1148" s="877">
        <v>17200</v>
      </c>
      <c r="U1148" s="877">
        <v>11500</v>
      </c>
      <c r="V1148" s="877"/>
      <c r="W1148" s="875"/>
      <c r="X1148" s="1026">
        <f>(Q1148+R1148+S1148+T1148+U1148+V1148+W1148)*M1148</f>
        <v>84000</v>
      </c>
      <c r="Y1148" s="1512">
        <f>(T1148+U1148)*M1148/(X1148-M1148*(T1148+U1148))</f>
        <v>0.51898734177215189</v>
      </c>
      <c r="Z1148" s="1741">
        <f>M1148*(1+Y1148)</f>
        <v>1.518987341772152</v>
      </c>
      <c r="AA1148" s="1749">
        <f>SUM(AD1148:AS1148)</f>
        <v>1.3</v>
      </c>
      <c r="AB1148" s="1810">
        <f t="shared" si="695"/>
        <v>85.583333333333329</v>
      </c>
      <c r="AC1148" s="876"/>
      <c r="AD1148" s="1525">
        <f t="shared" si="696"/>
        <v>1</v>
      </c>
      <c r="AE1148" s="1525">
        <f t="shared" si="696"/>
        <v>0</v>
      </c>
      <c r="AF1148" s="1525">
        <f t="shared" si="696"/>
        <v>0</v>
      </c>
      <c r="AG1148" s="1525">
        <f t="shared" si="696"/>
        <v>0</v>
      </c>
      <c r="AH1148" s="1525">
        <f t="shared" si="696"/>
        <v>0</v>
      </c>
      <c r="AI1148" s="1525">
        <f t="shared" si="696"/>
        <v>0</v>
      </c>
      <c r="AJ1148" s="1525">
        <f t="shared" si="696"/>
        <v>0</v>
      </c>
      <c r="AK1148" s="1525">
        <f t="shared" si="696"/>
        <v>0</v>
      </c>
      <c r="AL1148" s="1525">
        <f t="shared" si="696"/>
        <v>0</v>
      </c>
      <c r="AM1148" s="1525">
        <f t="shared" si="696"/>
        <v>0</v>
      </c>
      <c r="AN1148" s="1525">
        <f t="shared" si="696"/>
        <v>0.2</v>
      </c>
      <c r="AO1148" s="1525">
        <f t="shared" si="696"/>
        <v>0</v>
      </c>
      <c r="AP1148" s="1525">
        <f t="shared" si="696"/>
        <v>0.1</v>
      </c>
      <c r="AQ1148" s="1525">
        <f t="shared" si="696"/>
        <v>0</v>
      </c>
      <c r="AR1148" s="1525">
        <f t="shared" si="696"/>
        <v>0</v>
      </c>
      <c r="AS1148" s="1525">
        <f t="shared" si="696"/>
        <v>0</v>
      </c>
      <c r="AU1148" s="1525"/>
      <c r="AV1148" s="1295"/>
      <c r="AW1148" s="1525"/>
      <c r="AX1148" s="1525">
        <v>0.1</v>
      </c>
      <c r="AY1148" s="1525"/>
      <c r="AZ1148" s="1525"/>
      <c r="BA1148" s="1525"/>
      <c r="BB1148" s="1525"/>
      <c r="BC1148" s="1525"/>
      <c r="BD1148" s="1525"/>
      <c r="BE1148" s="1525">
        <v>0.2</v>
      </c>
      <c r="BF1148" s="1525"/>
      <c r="BG1148" s="1525"/>
      <c r="BH1148" s="1525"/>
      <c r="BI1148" s="1525">
        <v>0.5</v>
      </c>
      <c r="BJ1148" s="1525">
        <v>0.5</v>
      </c>
      <c r="BK1148" s="1525"/>
      <c r="BL1148" s="1525"/>
      <c r="BM1148" s="1525"/>
      <c r="BN1148" s="1525"/>
      <c r="BO1148" s="1525"/>
      <c r="BP1148" s="1525"/>
      <c r="BQ1148" s="1525"/>
      <c r="BR1148" s="1525"/>
      <c r="BS1148" s="1525"/>
      <c r="BT1148" s="1670">
        <f t="shared" si="697"/>
        <v>1.3</v>
      </c>
      <c r="BV1148"/>
      <c r="BW1148" s="825" t="s">
        <v>535</v>
      </c>
    </row>
    <row r="1149" spans="1:75" s="164" customFormat="1" ht="12.75" customHeight="1" x14ac:dyDescent="0.2">
      <c r="B1149" s="175">
        <f t="shared" si="698"/>
        <v>3</v>
      </c>
      <c r="C1149" s="219">
        <v>10</v>
      </c>
      <c r="E1149" s="12" t="s">
        <v>1560</v>
      </c>
      <c r="F1149" s="1128" t="s">
        <v>1396</v>
      </c>
      <c r="G1149" s="856" t="s">
        <v>24</v>
      </c>
      <c r="H1149" s="858">
        <v>97652</v>
      </c>
      <c r="I1149" s="1129"/>
      <c r="J1149" s="174"/>
      <c r="K1149" s="174"/>
      <c r="L1149" s="861">
        <v>1</v>
      </c>
      <c r="M1149" s="858">
        <v>1</v>
      </c>
      <c r="N1149" s="857" t="s">
        <v>892</v>
      </c>
      <c r="O1149" s="1196">
        <v>23789</v>
      </c>
      <c r="P1149" s="1218">
        <f ca="1">YEARFRAC(TODAY(),O1149)</f>
        <v>52.62777777777778</v>
      </c>
      <c r="Q1149" s="1148">
        <v>29900</v>
      </c>
      <c r="R1149" s="874"/>
      <c r="S1149" s="875"/>
      <c r="T1149" s="877">
        <v>4000</v>
      </c>
      <c r="U1149" s="877"/>
      <c r="V1149" s="877"/>
      <c r="W1149" s="875"/>
      <c r="X1149" s="1026">
        <f>(Q1149+R1149+S1149+T1149+U1149+V1149+W1149)*M1149</f>
        <v>33900</v>
      </c>
      <c r="Y1149" s="1512">
        <f>(T1149+U1149)*M1149/(X1149-M1149*(T1149+U1149))</f>
        <v>0.13377926421404682</v>
      </c>
      <c r="Z1149" s="1741">
        <f>M1149*(1+Y1149)</f>
        <v>1.1337792642140467</v>
      </c>
      <c r="AA1149" s="1749">
        <f>SUM(AD1149:AS1149)</f>
        <v>1</v>
      </c>
      <c r="AB1149" s="1810">
        <f t="shared" si="695"/>
        <v>88.200589970501483</v>
      </c>
      <c r="AC1149" s="876"/>
      <c r="AD1149" s="1525">
        <f t="shared" si="696"/>
        <v>1</v>
      </c>
      <c r="AE1149" s="1525">
        <f t="shared" si="696"/>
        <v>0</v>
      </c>
      <c r="AF1149" s="1525">
        <f t="shared" si="696"/>
        <v>0</v>
      </c>
      <c r="AG1149" s="1525">
        <f t="shared" si="696"/>
        <v>0</v>
      </c>
      <c r="AH1149" s="1525">
        <f t="shared" si="696"/>
        <v>0</v>
      </c>
      <c r="AI1149" s="1525">
        <f t="shared" si="696"/>
        <v>0</v>
      </c>
      <c r="AJ1149" s="1525">
        <f t="shared" si="696"/>
        <v>0</v>
      </c>
      <c r="AK1149" s="1525">
        <f t="shared" si="696"/>
        <v>0</v>
      </c>
      <c r="AL1149" s="1525">
        <f t="shared" si="696"/>
        <v>0</v>
      </c>
      <c r="AM1149" s="1525">
        <f t="shared" si="696"/>
        <v>0</v>
      </c>
      <c r="AN1149" s="1525">
        <f t="shared" si="696"/>
        <v>0</v>
      </c>
      <c r="AO1149" s="1525">
        <f t="shared" si="696"/>
        <v>0</v>
      </c>
      <c r="AP1149" s="1525">
        <f t="shared" si="696"/>
        <v>0</v>
      </c>
      <c r="AQ1149" s="1525">
        <f t="shared" si="696"/>
        <v>0</v>
      </c>
      <c r="AR1149" s="1525">
        <f t="shared" si="696"/>
        <v>0</v>
      </c>
      <c r="AS1149" s="1525">
        <f t="shared" si="696"/>
        <v>0</v>
      </c>
      <c r="AU1149" s="1525"/>
      <c r="AV1149" s="1295"/>
      <c r="AW1149" s="1525"/>
      <c r="AX1149" s="1525"/>
      <c r="AY1149" s="1525"/>
      <c r="AZ1149" s="1525"/>
      <c r="BA1149" s="1525"/>
      <c r="BB1149" s="1525"/>
      <c r="BC1149" s="1525"/>
      <c r="BD1149" s="1525"/>
      <c r="BE1149" s="1525"/>
      <c r="BF1149" s="1525"/>
      <c r="BG1149" s="1525"/>
      <c r="BH1149" s="1525"/>
      <c r="BI1149" s="1525">
        <v>0.2</v>
      </c>
      <c r="BJ1149" s="1525">
        <v>0.8</v>
      </c>
      <c r="BK1149" s="1525"/>
      <c r="BL1149" s="1525"/>
      <c r="BM1149" s="1525"/>
      <c r="BN1149" s="1525"/>
      <c r="BO1149" s="1525"/>
      <c r="BP1149" s="1525"/>
      <c r="BQ1149" s="1525"/>
      <c r="BR1149" s="1525"/>
      <c r="BS1149" s="1525"/>
      <c r="BT1149" s="1670">
        <f t="shared" si="697"/>
        <v>1</v>
      </c>
      <c r="BV1149"/>
      <c r="BW1149" s="856" t="s">
        <v>24</v>
      </c>
    </row>
    <row r="1150" spans="1:75" s="164" customFormat="1" ht="12.75" customHeight="1" x14ac:dyDescent="0.2">
      <c r="B1150" s="175">
        <f t="shared" si="698"/>
        <v>4</v>
      </c>
      <c r="C1150" s="219">
        <v>26</v>
      </c>
      <c r="E1150" s="12" t="s">
        <v>1560</v>
      </c>
      <c r="F1150" s="1" t="s">
        <v>41</v>
      </c>
      <c r="G1150" s="856" t="s">
        <v>1622</v>
      </c>
      <c r="H1150" s="858">
        <v>38600</v>
      </c>
      <c r="I1150" s="172" t="s">
        <v>583</v>
      </c>
      <c r="J1150" s="174"/>
      <c r="K1150" s="174"/>
      <c r="L1150" s="861">
        <v>1</v>
      </c>
      <c r="M1150" s="858">
        <v>1</v>
      </c>
      <c r="N1150" s="857" t="s">
        <v>892</v>
      </c>
      <c r="O1150" s="1196">
        <v>23026</v>
      </c>
      <c r="P1150" s="1218">
        <f ca="1">YEARFRAC(TODAY(),O1150)</f>
        <v>54.713888888888889</v>
      </c>
      <c r="Q1150" s="1148">
        <v>21000</v>
      </c>
      <c r="R1150" s="874"/>
      <c r="S1150" s="875"/>
      <c r="T1150" s="877"/>
      <c r="U1150" s="877"/>
      <c r="V1150" s="877"/>
      <c r="W1150" s="875"/>
      <c r="X1150" s="1026">
        <f>(Q1150+R1150+S1150+T1150+U1150+V1150+W1150)*M1150</f>
        <v>21000</v>
      </c>
      <c r="Y1150" s="1512">
        <f>(T1150+U1150)*M1150/(X1150-M1150*(T1150+U1150))</f>
        <v>0</v>
      </c>
      <c r="Z1150" s="1741">
        <f>M1150*(1+Y1150)</f>
        <v>1</v>
      </c>
      <c r="AA1150" s="1749">
        <f>SUM(AD1150:AS1150)</f>
        <v>1</v>
      </c>
      <c r="AB1150" s="1810">
        <f t="shared" si="695"/>
        <v>100</v>
      </c>
      <c r="AC1150" s="876"/>
      <c r="AD1150" s="1525">
        <f t="shared" si="696"/>
        <v>1</v>
      </c>
      <c r="AE1150" s="1525">
        <f t="shared" si="696"/>
        <v>0</v>
      </c>
      <c r="AF1150" s="1525">
        <f t="shared" si="696"/>
        <v>0</v>
      </c>
      <c r="AG1150" s="1525">
        <f t="shared" si="696"/>
        <v>0</v>
      </c>
      <c r="AH1150" s="1525">
        <f t="shared" si="696"/>
        <v>0</v>
      </c>
      <c r="AI1150" s="1525">
        <f t="shared" si="696"/>
        <v>0</v>
      </c>
      <c r="AJ1150" s="1525">
        <f t="shared" si="696"/>
        <v>0</v>
      </c>
      <c r="AK1150" s="1525">
        <f t="shared" si="696"/>
        <v>0</v>
      </c>
      <c r="AL1150" s="1525">
        <f t="shared" si="696"/>
        <v>0</v>
      </c>
      <c r="AM1150" s="1525">
        <f t="shared" si="696"/>
        <v>0</v>
      </c>
      <c r="AN1150" s="1525">
        <f t="shared" si="696"/>
        <v>0</v>
      </c>
      <c r="AO1150" s="1525">
        <f t="shared" si="696"/>
        <v>0</v>
      </c>
      <c r="AP1150" s="1525">
        <f t="shared" si="696"/>
        <v>0</v>
      </c>
      <c r="AQ1150" s="1525">
        <f t="shared" si="696"/>
        <v>0</v>
      </c>
      <c r="AR1150" s="1525">
        <f t="shared" si="696"/>
        <v>0</v>
      </c>
      <c r="AS1150" s="1525">
        <f t="shared" si="696"/>
        <v>0</v>
      </c>
      <c r="AU1150" s="1525"/>
      <c r="AV1150" s="1295"/>
      <c r="AW1150" s="1525"/>
      <c r="AX1150" s="1525"/>
      <c r="AY1150" s="1525"/>
      <c r="AZ1150" s="1525"/>
      <c r="BA1150" s="1525"/>
      <c r="BB1150" s="1525"/>
      <c r="BC1150" s="1525"/>
      <c r="BD1150" s="1525"/>
      <c r="BE1150" s="1525"/>
      <c r="BF1150" s="1525"/>
      <c r="BG1150" s="1525"/>
      <c r="BH1150" s="1525"/>
      <c r="BI1150" s="1525"/>
      <c r="BJ1150" s="1525">
        <v>1</v>
      </c>
      <c r="BK1150" s="1525"/>
      <c r="BL1150" s="1525"/>
      <c r="BM1150" s="1525"/>
      <c r="BN1150" s="1525"/>
      <c r="BO1150" s="1525"/>
      <c r="BP1150" s="1525"/>
      <c r="BQ1150" s="1525"/>
      <c r="BR1150" s="1525"/>
      <c r="BS1150" s="1525"/>
      <c r="BT1150" s="1670">
        <f t="shared" si="697"/>
        <v>1</v>
      </c>
      <c r="BV1150"/>
      <c r="BW1150" s="856" t="s">
        <v>1622</v>
      </c>
    </row>
    <row r="1151" spans="1:75" s="164" customFormat="1" ht="12.75" customHeight="1" x14ac:dyDescent="0.2">
      <c r="B1151" s="175">
        <f t="shared" si="698"/>
        <v>5</v>
      </c>
      <c r="C1151" s="219">
        <v>14</v>
      </c>
      <c r="E1151" s="12" t="s">
        <v>1560</v>
      </c>
      <c r="F1151" s="1128" t="s">
        <v>626</v>
      </c>
      <c r="G1151" s="856" t="s">
        <v>1756</v>
      </c>
      <c r="H1151" s="858">
        <v>153050</v>
      </c>
      <c r="I1151" s="172" t="s">
        <v>583</v>
      </c>
      <c r="J1151" s="174"/>
      <c r="K1151" s="174"/>
      <c r="L1151" s="861">
        <v>1</v>
      </c>
      <c r="M1151" s="858">
        <v>1</v>
      </c>
      <c r="N1151" s="857" t="s">
        <v>892</v>
      </c>
      <c r="O1151" s="1196">
        <v>33334</v>
      </c>
      <c r="P1151" s="1218">
        <f ca="1">YEARFRAC(TODAY(),O1151)</f>
        <v>26.488888888888887</v>
      </c>
      <c r="Q1151" s="1148">
        <v>28000</v>
      </c>
      <c r="R1151" s="874"/>
      <c r="S1151" s="875"/>
      <c r="T1151" s="877"/>
      <c r="U1151" s="877"/>
      <c r="V1151" s="877"/>
      <c r="W1151" s="875"/>
      <c r="X1151" s="1026">
        <f>(Q1151+R1151+S1151+T1151+U1151+V1151+W1151)*M1151</f>
        <v>28000</v>
      </c>
      <c r="Y1151" s="1512">
        <f>(T1151+U1151)*M1151/(X1151-M1151*(T1151+U1151))</f>
        <v>0</v>
      </c>
      <c r="Z1151" s="1741">
        <f>M1151*(1+Y1151)</f>
        <v>1</v>
      </c>
      <c r="AA1151" s="1749">
        <f>SUM(AD1151:AS1151)</f>
        <v>1</v>
      </c>
      <c r="AB1151" s="1810">
        <f t="shared" si="695"/>
        <v>100</v>
      </c>
      <c r="AC1151" s="876"/>
      <c r="AD1151" s="1525">
        <f t="shared" si="696"/>
        <v>1</v>
      </c>
      <c r="AE1151" s="1525">
        <f t="shared" si="696"/>
        <v>0</v>
      </c>
      <c r="AF1151" s="1525">
        <f t="shared" si="696"/>
        <v>0</v>
      </c>
      <c r="AG1151" s="1525">
        <f t="shared" si="696"/>
        <v>0</v>
      </c>
      <c r="AH1151" s="1525">
        <f t="shared" si="696"/>
        <v>0</v>
      </c>
      <c r="AI1151" s="1525">
        <f t="shared" si="696"/>
        <v>0</v>
      </c>
      <c r="AJ1151" s="1525">
        <f t="shared" si="696"/>
        <v>0</v>
      </c>
      <c r="AK1151" s="1525">
        <f t="shared" si="696"/>
        <v>0</v>
      </c>
      <c r="AL1151" s="1525">
        <f t="shared" si="696"/>
        <v>0</v>
      </c>
      <c r="AM1151" s="1525">
        <f t="shared" si="696"/>
        <v>0</v>
      </c>
      <c r="AN1151" s="1525">
        <f t="shared" si="696"/>
        <v>0</v>
      </c>
      <c r="AO1151" s="1525">
        <f t="shared" si="696"/>
        <v>0</v>
      </c>
      <c r="AP1151" s="1525">
        <f t="shared" si="696"/>
        <v>0</v>
      </c>
      <c r="AQ1151" s="1525">
        <f t="shared" si="696"/>
        <v>0</v>
      </c>
      <c r="AR1151" s="1525">
        <f t="shared" si="696"/>
        <v>0</v>
      </c>
      <c r="AS1151" s="1525">
        <f t="shared" si="696"/>
        <v>0</v>
      </c>
      <c r="AU1151" s="1525"/>
      <c r="AV1151" s="1295"/>
      <c r="AW1151" s="1525"/>
      <c r="AX1151" s="1525"/>
      <c r="AY1151" s="1525"/>
      <c r="AZ1151" s="1525"/>
      <c r="BA1151" s="1525"/>
      <c r="BB1151" s="1525"/>
      <c r="BC1151" s="1525"/>
      <c r="BD1151" s="1525"/>
      <c r="BE1151" s="1525"/>
      <c r="BF1151" s="1525"/>
      <c r="BG1151" s="1525"/>
      <c r="BH1151" s="1525"/>
      <c r="BI1151" s="1525"/>
      <c r="BJ1151" s="1525">
        <v>1</v>
      </c>
      <c r="BK1151" s="1525"/>
      <c r="BL1151" s="1525"/>
      <c r="BM1151" s="1525"/>
      <c r="BN1151" s="1525"/>
      <c r="BO1151" s="1525"/>
      <c r="BP1151" s="1525"/>
      <c r="BQ1151" s="1525"/>
      <c r="BR1151" s="1525"/>
      <c r="BS1151" s="1525"/>
      <c r="BT1151" s="1670">
        <f t="shared" si="697"/>
        <v>1</v>
      </c>
      <c r="BV1151"/>
      <c r="BW1151" s="856" t="s">
        <v>1756</v>
      </c>
    </row>
    <row r="1152" spans="1:75" s="164" customFormat="1" ht="12.75" customHeight="1" x14ac:dyDescent="0.2">
      <c r="B1152" s="175"/>
      <c r="C1152" s="219"/>
      <c r="E1152" s="12"/>
      <c r="F1152" s="1128"/>
      <c r="G1152" s="856"/>
      <c r="H1152" s="858"/>
      <c r="I1152" s="172"/>
      <c r="J1152" s="174"/>
      <c r="K1152" s="174"/>
      <c r="L1152" s="861"/>
      <c r="M1152" s="858"/>
      <c r="N1152" s="857"/>
      <c r="O1152" s="1196"/>
      <c r="P1152" s="1218"/>
      <c r="Q1152" s="1148"/>
      <c r="R1152" s="874"/>
      <c r="S1152" s="875"/>
      <c r="T1152" s="877"/>
      <c r="U1152" s="877"/>
      <c r="V1152" s="877"/>
      <c r="W1152" s="875"/>
      <c r="X1152" s="1026"/>
      <c r="Y1152" s="1754"/>
      <c r="Z1152" s="1755"/>
      <c r="AA1152" s="1775"/>
      <c r="AB1152" s="1814"/>
      <c r="AC1152" s="876"/>
      <c r="AD1152" s="1525"/>
      <c r="AE1152" s="1525"/>
      <c r="AF1152" s="1525"/>
      <c r="AG1152" s="1525"/>
      <c r="AH1152" s="1525"/>
      <c r="AI1152" s="1525"/>
      <c r="AJ1152" s="1525"/>
      <c r="AK1152" s="1525"/>
      <c r="AL1152" s="1525"/>
      <c r="AM1152" s="1525"/>
      <c r="AN1152" s="1525"/>
      <c r="AO1152" s="1525"/>
      <c r="AP1152" s="1525"/>
      <c r="AQ1152" s="1525"/>
      <c r="AR1152" s="1525"/>
      <c r="AS1152" s="1525"/>
      <c r="AU1152" s="1525"/>
      <c r="AV1152" s="1295"/>
      <c r="AW1152" s="1525"/>
      <c r="AX1152" s="1525"/>
      <c r="AY1152" s="1525"/>
      <c r="AZ1152" s="1525"/>
      <c r="BA1152" s="1525"/>
      <c r="BB1152" s="1525"/>
      <c r="BC1152" s="1525"/>
      <c r="BD1152" s="1525"/>
      <c r="BE1152" s="1525"/>
      <c r="BF1152" s="1525"/>
      <c r="BG1152" s="1525"/>
      <c r="BH1152" s="1525"/>
      <c r="BI1152" s="1525"/>
      <c r="BJ1152" s="1525"/>
      <c r="BK1152" s="1525"/>
      <c r="BL1152" s="1525"/>
      <c r="BM1152" s="1525"/>
      <c r="BN1152" s="1525"/>
      <c r="BO1152" s="1525"/>
      <c r="BP1152" s="1525"/>
      <c r="BQ1152" s="1525"/>
      <c r="BR1152" s="1525"/>
      <c r="BS1152" s="1525"/>
      <c r="BT1152" s="1670"/>
      <c r="BV1152"/>
      <c r="BW1152" s="856"/>
    </row>
    <row r="1153" spans="2:75" s="164" customFormat="1" ht="12.75" customHeight="1" x14ac:dyDescent="0.15">
      <c r="B1153" s="320"/>
      <c r="C1153" s="219"/>
      <c r="E1153" s="12"/>
      <c r="F1153" s="1117" t="s">
        <v>436</v>
      </c>
      <c r="G1153" s="856"/>
      <c r="H1153" s="1346" t="s">
        <v>1508</v>
      </c>
      <c r="I1153" s="172"/>
      <c r="J1153" s="174"/>
      <c r="K1153" s="174"/>
      <c r="L1153" s="861"/>
      <c r="M1153" s="858"/>
      <c r="N1153" s="857"/>
      <c r="O1153" s="1199"/>
      <c r="P1153" s="1245"/>
      <c r="Q1153" s="1148"/>
      <c r="R1153" s="874"/>
      <c r="S1153" s="875"/>
      <c r="T1153" s="877"/>
      <c r="U1153" s="877"/>
      <c r="V1153" s="877"/>
      <c r="W1153" s="875"/>
      <c r="X1153" s="1026"/>
      <c r="Y1153" s="1754"/>
      <c r="Z1153" s="1755"/>
      <c r="AA1153" s="1775"/>
      <c r="AB1153" s="1814"/>
      <c r="AC1153" s="876"/>
      <c r="AD1153" s="1295"/>
      <c r="AE1153" s="1525"/>
      <c r="AF1153" s="1525"/>
      <c r="AG1153" s="1525"/>
      <c r="AH1153" s="1525"/>
      <c r="AI1153" s="1525"/>
      <c r="AJ1153" s="1525"/>
      <c r="AK1153" s="1525"/>
      <c r="AL1153" s="1525"/>
      <c r="AM1153" s="1525"/>
      <c r="AN1153" s="1525"/>
      <c r="AO1153" s="1525"/>
      <c r="AP1153" s="1525"/>
      <c r="AQ1153" s="1525"/>
      <c r="AR1153" s="1525"/>
      <c r="AS1153" s="1525"/>
      <c r="AU1153" s="1525"/>
      <c r="AV1153" s="1295"/>
      <c r="AW1153" s="1525"/>
      <c r="AX1153" s="1525"/>
      <c r="AY1153" s="1525"/>
      <c r="AZ1153" s="1525"/>
      <c r="BA1153" s="1525"/>
      <c r="BB1153" s="1525"/>
      <c r="BC1153" s="1525"/>
      <c r="BD1153" s="1525"/>
      <c r="BE1153" s="1525"/>
      <c r="BF1153" s="1525"/>
      <c r="BG1153" s="1525"/>
      <c r="BH1153" s="1525"/>
      <c r="BI1153" s="1525"/>
      <c r="BJ1153" s="1525"/>
      <c r="BK1153" s="1525"/>
      <c r="BL1153" s="1525"/>
      <c r="BM1153" s="1525"/>
      <c r="BN1153" s="1525"/>
      <c r="BO1153" s="1525"/>
      <c r="BP1153" s="1525"/>
      <c r="BQ1153" s="1525"/>
      <c r="BR1153" s="1525"/>
      <c r="BS1153" s="1525"/>
      <c r="BT1153" s="1670"/>
      <c r="BV1153"/>
      <c r="BW1153" s="856"/>
    </row>
    <row r="1154" spans="2:75" s="164" customFormat="1" ht="12.75" customHeight="1" x14ac:dyDescent="0.2">
      <c r="B1154" s="175">
        <f>B1153+1</f>
        <v>1</v>
      </c>
      <c r="C1154" s="219">
        <v>11</v>
      </c>
      <c r="E1154" s="12" t="s">
        <v>1560</v>
      </c>
      <c r="F1154" s="24" t="s">
        <v>558</v>
      </c>
      <c r="G1154" s="856" t="s">
        <v>49</v>
      </c>
      <c r="H1154" s="858">
        <v>124181</v>
      </c>
      <c r="I1154" s="200" t="s">
        <v>351</v>
      </c>
      <c r="J1154" s="174"/>
      <c r="K1154" s="174">
        <v>1</v>
      </c>
      <c r="L1154" s="861"/>
      <c r="M1154" s="858">
        <v>1</v>
      </c>
      <c r="N1154" s="857" t="s">
        <v>892</v>
      </c>
      <c r="O1154" s="1196">
        <v>33129</v>
      </c>
      <c r="P1154" s="1218">
        <f ca="1">YEARFRAC(TODAY(),O1154)</f>
        <v>27.052777777777777</v>
      </c>
      <c r="Q1154" s="1148">
        <v>34250</v>
      </c>
      <c r="R1154" s="874"/>
      <c r="S1154" s="875"/>
      <c r="T1154" s="877"/>
      <c r="U1154" s="877"/>
      <c r="V1154" s="877"/>
      <c r="W1154" s="875"/>
      <c r="X1154" s="1026">
        <f>(Q1154+R1154+S1154+T1154+U1154+V1154+W1154)*M1154</f>
        <v>34250</v>
      </c>
      <c r="Y1154" s="1512">
        <f>(T1154+U1154)*M1154/(X1154-M1154*(T1154+U1154))</f>
        <v>0</v>
      </c>
      <c r="Z1154" s="1741">
        <f>M1154*(1+Y1154)</f>
        <v>1</v>
      </c>
      <c r="AA1154" s="1749">
        <f>SUM(AD1154:AS1154)</f>
        <v>1.2</v>
      </c>
      <c r="AB1154" s="1810">
        <f t="shared" ref="AB1154:AB1158" si="699">100*AA1154/Z1154</f>
        <v>120</v>
      </c>
      <c r="AC1154" s="876"/>
      <c r="AD1154" s="1525">
        <f t="shared" ref="AD1154:AS1157" si="700">SUMIF($AV$6:$BS$6,AD$5,$AV1154:$BS1154)</f>
        <v>1</v>
      </c>
      <c r="AE1154" s="1525">
        <f t="shared" si="700"/>
        <v>0</v>
      </c>
      <c r="AF1154" s="1525">
        <f t="shared" si="700"/>
        <v>0</v>
      </c>
      <c r="AG1154" s="1525">
        <f t="shared" si="700"/>
        <v>0</v>
      </c>
      <c r="AH1154" s="1525">
        <f t="shared" si="700"/>
        <v>0</v>
      </c>
      <c r="AI1154" s="1525">
        <f t="shared" si="700"/>
        <v>0</v>
      </c>
      <c r="AJ1154" s="1525">
        <f t="shared" si="700"/>
        <v>0.2</v>
      </c>
      <c r="AK1154" s="1525">
        <f t="shared" si="700"/>
        <v>0</v>
      </c>
      <c r="AL1154" s="1525">
        <f t="shared" si="700"/>
        <v>0</v>
      </c>
      <c r="AM1154" s="1525">
        <f t="shared" si="700"/>
        <v>0</v>
      </c>
      <c r="AN1154" s="1525">
        <f t="shared" si="700"/>
        <v>0</v>
      </c>
      <c r="AO1154" s="1525">
        <f t="shared" si="700"/>
        <v>0</v>
      </c>
      <c r="AP1154" s="1525">
        <f t="shared" si="700"/>
        <v>0</v>
      </c>
      <c r="AQ1154" s="1525">
        <f t="shared" si="700"/>
        <v>0</v>
      </c>
      <c r="AR1154" s="1525">
        <f t="shared" si="700"/>
        <v>0</v>
      </c>
      <c r="AS1154" s="1525">
        <f t="shared" si="700"/>
        <v>0</v>
      </c>
      <c r="AU1154" s="1525"/>
      <c r="AV1154" s="1295"/>
      <c r="AW1154" s="1525"/>
      <c r="AX1154" s="1525"/>
      <c r="AY1154" s="1525"/>
      <c r="AZ1154" s="1525"/>
      <c r="BA1154" s="1525"/>
      <c r="BB1154" s="1525">
        <v>0.2</v>
      </c>
      <c r="BC1154" s="1525"/>
      <c r="BD1154" s="1525"/>
      <c r="BE1154" s="1525"/>
      <c r="BF1154" s="1525"/>
      <c r="BG1154" s="1525"/>
      <c r="BH1154" s="1525"/>
      <c r="BI1154" s="1525"/>
      <c r="BJ1154" s="1525">
        <v>1</v>
      </c>
      <c r="BK1154" s="1525"/>
      <c r="BL1154" s="1525"/>
      <c r="BM1154" s="1525"/>
      <c r="BN1154" s="1525"/>
      <c r="BO1154" s="1525"/>
      <c r="BP1154" s="1525"/>
      <c r="BQ1154" s="1525"/>
      <c r="BR1154" s="1525"/>
      <c r="BS1154" s="1525"/>
      <c r="BT1154" s="1670">
        <f t="shared" ref="BT1154:BT1158" si="701">SUM(AV1154:BS1154)</f>
        <v>1.2</v>
      </c>
      <c r="BV1154"/>
      <c r="BW1154" s="856" t="s">
        <v>49</v>
      </c>
    </row>
    <row r="1155" spans="2:75" s="164" customFormat="1" ht="12.75" customHeight="1" x14ac:dyDescent="0.2">
      <c r="B1155" s="175">
        <f t="shared" ref="B1155:B1158" si="702">B1154+1</f>
        <v>2</v>
      </c>
      <c r="C1155" s="219">
        <v>11</v>
      </c>
      <c r="E1155" s="12" t="s">
        <v>1560</v>
      </c>
      <c r="F1155" s="24" t="s">
        <v>558</v>
      </c>
      <c r="G1155" s="913" t="s">
        <v>1913</v>
      </c>
      <c r="H1155" s="858">
        <v>121084</v>
      </c>
      <c r="I1155" s="200" t="s">
        <v>351</v>
      </c>
      <c r="J1155" s="174"/>
      <c r="K1155" s="174">
        <v>1</v>
      </c>
      <c r="L1155" s="861"/>
      <c r="M1155" s="858">
        <v>1</v>
      </c>
      <c r="N1155" s="836" t="s">
        <v>892</v>
      </c>
      <c r="O1155" s="1196">
        <v>32467</v>
      </c>
      <c r="P1155" s="1218">
        <f ca="1">YEARFRAC(TODAY(),O1155)</f>
        <v>28.866666666666667</v>
      </c>
      <c r="Q1155" s="1148">
        <v>30650</v>
      </c>
      <c r="R1155" s="874"/>
      <c r="S1155" s="875"/>
      <c r="T1155" s="877"/>
      <c r="U1155" s="877"/>
      <c r="V1155" s="877"/>
      <c r="W1155" s="875"/>
      <c r="X1155" s="1026">
        <f>(Q1155+R1155+S1155+T1155+U1155+V1155+W1155)*M1155</f>
        <v>30650</v>
      </c>
      <c r="Y1155" s="1512">
        <f>(T1155+U1155)*M1155/(X1155-M1155*(T1155+U1155))</f>
        <v>0</v>
      </c>
      <c r="Z1155" s="1741">
        <f>M1155*(1+Y1155)</f>
        <v>1</v>
      </c>
      <c r="AA1155" s="1749">
        <f>SUM(AD1155:AS1155)</f>
        <v>1</v>
      </c>
      <c r="AB1155" s="1810">
        <f t="shared" si="699"/>
        <v>100</v>
      </c>
      <c r="AC1155" s="876"/>
      <c r="AD1155" s="1525">
        <f t="shared" si="700"/>
        <v>1</v>
      </c>
      <c r="AE1155" s="1525">
        <f t="shared" si="700"/>
        <v>0</v>
      </c>
      <c r="AF1155" s="1525">
        <f t="shared" si="700"/>
        <v>0</v>
      </c>
      <c r="AG1155" s="1525">
        <f t="shared" si="700"/>
        <v>0</v>
      </c>
      <c r="AH1155" s="1525">
        <f t="shared" si="700"/>
        <v>0</v>
      </c>
      <c r="AI1155" s="1525">
        <f t="shared" si="700"/>
        <v>0</v>
      </c>
      <c r="AJ1155" s="1525">
        <f t="shared" si="700"/>
        <v>0</v>
      </c>
      <c r="AK1155" s="1525">
        <f t="shared" si="700"/>
        <v>0</v>
      </c>
      <c r="AL1155" s="1525">
        <f t="shared" si="700"/>
        <v>0</v>
      </c>
      <c r="AM1155" s="1525">
        <f t="shared" si="700"/>
        <v>0</v>
      </c>
      <c r="AN1155" s="1525">
        <f t="shared" si="700"/>
        <v>0</v>
      </c>
      <c r="AO1155" s="1525">
        <f t="shared" si="700"/>
        <v>0</v>
      </c>
      <c r="AP1155" s="1525">
        <f t="shared" si="700"/>
        <v>0</v>
      </c>
      <c r="AQ1155" s="1525">
        <f t="shared" si="700"/>
        <v>0</v>
      </c>
      <c r="AR1155" s="1525">
        <f t="shared" si="700"/>
        <v>0</v>
      </c>
      <c r="AS1155" s="1525">
        <f t="shared" si="700"/>
        <v>0</v>
      </c>
      <c r="AU1155" s="1525"/>
      <c r="AV1155" s="1295"/>
      <c r="AW1155" s="1525"/>
      <c r="AX1155" s="1525"/>
      <c r="AY1155" s="1525"/>
      <c r="AZ1155" s="1525"/>
      <c r="BA1155" s="1525"/>
      <c r="BB1155" s="1525"/>
      <c r="BC1155" s="1525"/>
      <c r="BD1155" s="1525"/>
      <c r="BE1155" s="1525"/>
      <c r="BF1155" s="1525"/>
      <c r="BG1155" s="1525"/>
      <c r="BH1155" s="1525"/>
      <c r="BI1155" s="1525"/>
      <c r="BJ1155" s="1525">
        <v>1</v>
      </c>
      <c r="BK1155" s="1525"/>
      <c r="BL1155" s="1525"/>
      <c r="BM1155" s="1525"/>
      <c r="BN1155" s="1525"/>
      <c r="BO1155" s="1525"/>
      <c r="BP1155" s="1525"/>
      <c r="BQ1155" s="1525"/>
      <c r="BR1155" s="1525"/>
      <c r="BS1155" s="1525"/>
      <c r="BT1155" s="1670">
        <f t="shared" si="701"/>
        <v>1</v>
      </c>
      <c r="BV1155"/>
      <c r="BW1155" s="913" t="s">
        <v>1913</v>
      </c>
    </row>
    <row r="1156" spans="2:75" s="164" customFormat="1" ht="12.75" customHeight="1" x14ac:dyDescent="0.2">
      <c r="B1156" s="175">
        <f t="shared" si="702"/>
        <v>3</v>
      </c>
      <c r="C1156" s="219">
        <v>11</v>
      </c>
      <c r="E1156" s="12" t="s">
        <v>1560</v>
      </c>
      <c r="F1156" s="24" t="s">
        <v>558</v>
      </c>
      <c r="G1156" s="913" t="s">
        <v>114</v>
      </c>
      <c r="H1156" s="858">
        <v>121085</v>
      </c>
      <c r="I1156" s="200" t="s">
        <v>351</v>
      </c>
      <c r="J1156" s="174"/>
      <c r="K1156" s="174">
        <v>1</v>
      </c>
      <c r="L1156" s="861"/>
      <c r="M1156" s="858">
        <v>1</v>
      </c>
      <c r="N1156" s="836" t="s">
        <v>892</v>
      </c>
      <c r="O1156" s="1196">
        <v>32485</v>
      </c>
      <c r="P1156" s="1218">
        <f ca="1">YEARFRAC(TODAY(),O1156)</f>
        <v>28.816666666666666</v>
      </c>
      <c r="Q1156" s="1148">
        <v>30650</v>
      </c>
      <c r="R1156" s="874"/>
      <c r="S1156" s="875"/>
      <c r="T1156" s="877"/>
      <c r="U1156" s="877"/>
      <c r="V1156" s="877"/>
      <c r="W1156" s="875"/>
      <c r="X1156" s="1026">
        <f>(Q1156+R1156+S1156+T1156+U1156+V1156+W1156)*M1156</f>
        <v>30650</v>
      </c>
      <c r="Y1156" s="1512">
        <f>(T1156+U1156)*M1156/(X1156-M1156*(T1156+U1156))</f>
        <v>0</v>
      </c>
      <c r="Z1156" s="1741">
        <f>M1156*(1+Y1156)</f>
        <v>1</v>
      </c>
      <c r="AA1156" s="1749">
        <f>SUM(AD1156:AS1156)</f>
        <v>1</v>
      </c>
      <c r="AB1156" s="1810">
        <f t="shared" si="699"/>
        <v>100</v>
      </c>
      <c r="AC1156" s="876"/>
      <c r="AD1156" s="1525">
        <f t="shared" si="700"/>
        <v>1</v>
      </c>
      <c r="AE1156" s="1525">
        <f t="shared" si="700"/>
        <v>0</v>
      </c>
      <c r="AF1156" s="1525">
        <f t="shared" si="700"/>
        <v>0</v>
      </c>
      <c r="AG1156" s="1525">
        <f t="shared" si="700"/>
        <v>0</v>
      </c>
      <c r="AH1156" s="1525">
        <f t="shared" si="700"/>
        <v>0</v>
      </c>
      <c r="AI1156" s="1525">
        <f t="shared" si="700"/>
        <v>0</v>
      </c>
      <c r="AJ1156" s="1525">
        <f t="shared" si="700"/>
        <v>0</v>
      </c>
      <c r="AK1156" s="1525">
        <f t="shared" si="700"/>
        <v>0</v>
      </c>
      <c r="AL1156" s="1525">
        <f t="shared" si="700"/>
        <v>0</v>
      </c>
      <c r="AM1156" s="1525">
        <f t="shared" si="700"/>
        <v>0</v>
      </c>
      <c r="AN1156" s="1525">
        <f t="shared" si="700"/>
        <v>0</v>
      </c>
      <c r="AO1156" s="1525">
        <f t="shared" si="700"/>
        <v>0</v>
      </c>
      <c r="AP1156" s="1525">
        <f t="shared" si="700"/>
        <v>0</v>
      </c>
      <c r="AQ1156" s="1525">
        <f t="shared" si="700"/>
        <v>0</v>
      </c>
      <c r="AR1156" s="1525">
        <f t="shared" si="700"/>
        <v>0</v>
      </c>
      <c r="AS1156" s="1525">
        <f t="shared" si="700"/>
        <v>0</v>
      </c>
      <c r="AU1156" s="1525"/>
      <c r="AV1156" s="1295"/>
      <c r="AW1156" s="1525"/>
      <c r="AX1156" s="1525"/>
      <c r="AY1156" s="1525"/>
      <c r="AZ1156" s="1525"/>
      <c r="BA1156" s="1525"/>
      <c r="BB1156" s="1525"/>
      <c r="BC1156" s="1525"/>
      <c r="BD1156" s="1525"/>
      <c r="BE1156" s="1525"/>
      <c r="BF1156" s="1525"/>
      <c r="BG1156" s="1525"/>
      <c r="BH1156" s="1525"/>
      <c r="BI1156" s="1525"/>
      <c r="BJ1156" s="1525">
        <v>1</v>
      </c>
      <c r="BK1156" s="1525"/>
      <c r="BL1156" s="1525"/>
      <c r="BM1156" s="1525"/>
      <c r="BN1156" s="1525"/>
      <c r="BO1156" s="1525"/>
      <c r="BP1156" s="1525"/>
      <c r="BQ1156" s="1525"/>
      <c r="BR1156" s="1525"/>
      <c r="BS1156" s="1525"/>
      <c r="BT1156" s="1670">
        <f t="shared" si="701"/>
        <v>1</v>
      </c>
      <c r="BV1156"/>
      <c r="BW1156" s="913" t="s">
        <v>114</v>
      </c>
    </row>
    <row r="1157" spans="2:75" ht="12.75" customHeight="1" x14ac:dyDescent="0.2">
      <c r="B1157" s="175">
        <f t="shared" si="702"/>
        <v>4</v>
      </c>
      <c r="C1157" s="219">
        <v>11</v>
      </c>
      <c r="D1157" s="170"/>
      <c r="E1157" s="12" t="s">
        <v>1560</v>
      </c>
      <c r="F1157" s="24" t="s">
        <v>558</v>
      </c>
      <c r="G1157" s="913" t="s">
        <v>113</v>
      </c>
      <c r="H1157" s="858">
        <v>121083</v>
      </c>
      <c r="I1157" s="200" t="s">
        <v>351</v>
      </c>
      <c r="J1157" s="174"/>
      <c r="K1157" s="174">
        <v>1</v>
      </c>
      <c r="L1157" s="858"/>
      <c r="M1157" s="858">
        <f>K1157+L1157</f>
        <v>1</v>
      </c>
      <c r="N1157" s="836" t="s">
        <v>892</v>
      </c>
      <c r="O1157" s="1196">
        <v>32354</v>
      </c>
      <c r="P1157" s="1218">
        <f ca="1">YEARFRAC(TODAY(),O1157)</f>
        <v>29.172222222222221</v>
      </c>
      <c r="Q1157" s="1148">
        <v>30650</v>
      </c>
      <c r="R1157" s="874"/>
      <c r="S1157" s="875"/>
      <c r="T1157" s="875"/>
      <c r="U1157" s="875"/>
      <c r="V1157" s="875"/>
      <c r="W1157" s="875"/>
      <c r="X1157" s="1026">
        <f>(Q1157+R1157+S1157+T1157+U1157+V1157+W1157)*M1157</f>
        <v>30650</v>
      </c>
      <c r="Y1157" s="1512">
        <f>(T1157+U1157)*M1157/(X1157-M1157*(T1157+U1157))</f>
        <v>0</v>
      </c>
      <c r="Z1157" s="1741">
        <f>M1157*(1+Y1157)</f>
        <v>1</v>
      </c>
      <c r="AA1157" s="1749">
        <f>SUM(AD1157:AS1157)</f>
        <v>1</v>
      </c>
      <c r="AB1157" s="1810">
        <f t="shared" si="699"/>
        <v>100</v>
      </c>
      <c r="AC1157" s="224"/>
      <c r="AD1157" s="1525">
        <f t="shared" si="700"/>
        <v>1</v>
      </c>
      <c r="AE1157" s="1525">
        <f t="shared" si="700"/>
        <v>0</v>
      </c>
      <c r="AF1157" s="1525">
        <f t="shared" si="700"/>
        <v>0</v>
      </c>
      <c r="AG1157" s="1525">
        <f t="shared" si="700"/>
        <v>0</v>
      </c>
      <c r="AH1157" s="1525">
        <f t="shared" si="700"/>
        <v>0</v>
      </c>
      <c r="AI1157" s="1525">
        <f t="shared" si="700"/>
        <v>0</v>
      </c>
      <c r="AJ1157" s="1525">
        <f t="shared" si="700"/>
        <v>0</v>
      </c>
      <c r="AK1157" s="1525">
        <f t="shared" si="700"/>
        <v>0</v>
      </c>
      <c r="AL1157" s="1525">
        <f t="shared" si="700"/>
        <v>0</v>
      </c>
      <c r="AM1157" s="1525">
        <f t="shared" si="700"/>
        <v>0</v>
      </c>
      <c r="AN1157" s="1525">
        <f t="shared" si="700"/>
        <v>0</v>
      </c>
      <c r="AO1157" s="1525">
        <f t="shared" si="700"/>
        <v>0</v>
      </c>
      <c r="AP1157" s="1525">
        <f t="shared" si="700"/>
        <v>0</v>
      </c>
      <c r="AQ1157" s="1525">
        <f t="shared" si="700"/>
        <v>0</v>
      </c>
      <c r="AR1157" s="1525">
        <f t="shared" si="700"/>
        <v>0</v>
      </c>
      <c r="AS1157" s="1525">
        <f t="shared" si="700"/>
        <v>0</v>
      </c>
      <c r="AU1157" s="1525"/>
      <c r="AV1157" s="1292"/>
      <c r="AX1157" s="1292"/>
      <c r="BJ1157" s="1292">
        <v>1</v>
      </c>
      <c r="BT1157" s="1670">
        <f t="shared" si="701"/>
        <v>1</v>
      </c>
      <c r="BV1157" s="224"/>
      <c r="BW1157" s="224" t="s">
        <v>113</v>
      </c>
    </row>
    <row r="1158" spans="2:75" s="164" customFormat="1" ht="12.75" customHeight="1" x14ac:dyDescent="0.2">
      <c r="B1158" s="175">
        <f t="shared" si="702"/>
        <v>5</v>
      </c>
      <c r="C1158" s="219">
        <v>11</v>
      </c>
      <c r="E1158" s="12" t="s">
        <v>1560</v>
      </c>
      <c r="F1158" s="24" t="s">
        <v>558</v>
      </c>
      <c r="G1158" s="913" t="s">
        <v>112</v>
      </c>
      <c r="H1158" s="858">
        <v>121081</v>
      </c>
      <c r="I1158" s="200" t="s">
        <v>351</v>
      </c>
      <c r="J1158" s="174"/>
      <c r="K1158" s="174">
        <v>1</v>
      </c>
      <c r="L1158" s="861"/>
      <c r="M1158" s="858">
        <v>1</v>
      </c>
      <c r="N1158" s="836" t="s">
        <v>892</v>
      </c>
      <c r="O1158" s="1196">
        <v>32106</v>
      </c>
      <c r="P1158" s="1218">
        <f ca="1">YEARFRAC(TODAY(),O1158)</f>
        <v>29.852777777777778</v>
      </c>
      <c r="Q1158" s="1148">
        <v>30650</v>
      </c>
      <c r="R1158" s="874"/>
      <c r="S1158" s="875"/>
      <c r="T1158" s="877"/>
      <c r="U1158" s="877"/>
      <c r="V1158" s="877"/>
      <c r="W1158" s="875"/>
      <c r="X1158" s="1026">
        <f>(Q1158+R1158+S1158+T1158+U1158+V1158+W1158)*M1158</f>
        <v>30650</v>
      </c>
      <c r="Y1158" s="1512">
        <f>(T1158+U1158)*M1158/(X1158-M1158*(T1158+U1158))</f>
        <v>0</v>
      </c>
      <c r="Z1158" s="1741">
        <f>M1158*(1+Y1158)</f>
        <v>1</v>
      </c>
      <c r="AA1158" s="1749">
        <f>SUM(AD1158:AS1158)</f>
        <v>1</v>
      </c>
      <c r="AB1158" s="1810">
        <f t="shared" si="699"/>
        <v>100</v>
      </c>
      <c r="AC1158" s="876"/>
      <c r="AD1158" s="1525">
        <f>SUMIF($AV$6:$BS$6,AD$5,$AV1158:$BS1158)</f>
        <v>1</v>
      </c>
      <c r="AE1158" s="1525">
        <f t="shared" ref="AE1158:AS1158" si="703">SUMIF($AV$6:$BS$6,AE$5,$AV1158:$BS1158)</f>
        <v>0</v>
      </c>
      <c r="AF1158" s="1525">
        <f t="shared" si="703"/>
        <v>0</v>
      </c>
      <c r="AG1158" s="1525">
        <f t="shared" si="703"/>
        <v>0</v>
      </c>
      <c r="AH1158" s="1525">
        <f t="shared" si="703"/>
        <v>0</v>
      </c>
      <c r="AI1158" s="1525">
        <f t="shared" si="703"/>
        <v>0</v>
      </c>
      <c r="AJ1158" s="1525">
        <f t="shared" si="703"/>
        <v>0</v>
      </c>
      <c r="AK1158" s="1525">
        <f t="shared" si="703"/>
        <v>0</v>
      </c>
      <c r="AL1158" s="1525">
        <f t="shared" si="703"/>
        <v>0</v>
      </c>
      <c r="AM1158" s="1525">
        <f t="shared" si="703"/>
        <v>0</v>
      </c>
      <c r="AN1158" s="1525">
        <f t="shared" si="703"/>
        <v>0</v>
      </c>
      <c r="AO1158" s="1525">
        <f t="shared" si="703"/>
        <v>0</v>
      </c>
      <c r="AP1158" s="1525">
        <f t="shared" si="703"/>
        <v>0</v>
      </c>
      <c r="AQ1158" s="1525">
        <f t="shared" si="703"/>
        <v>0</v>
      </c>
      <c r="AR1158" s="1525">
        <f t="shared" si="703"/>
        <v>0</v>
      </c>
      <c r="AS1158" s="1525">
        <f t="shared" si="703"/>
        <v>0</v>
      </c>
      <c r="AU1158" s="1525"/>
      <c r="AV1158" s="1295"/>
      <c r="AW1158" s="1525"/>
      <c r="AX1158" s="1525"/>
      <c r="AY1158" s="1525"/>
      <c r="AZ1158" s="1525"/>
      <c r="BA1158" s="1525"/>
      <c r="BB1158" s="1525"/>
      <c r="BC1158" s="1525"/>
      <c r="BD1158" s="1525"/>
      <c r="BE1158" s="1525"/>
      <c r="BF1158" s="1525"/>
      <c r="BG1158" s="1525"/>
      <c r="BH1158" s="1525"/>
      <c r="BI1158" s="1525"/>
      <c r="BJ1158" s="1525">
        <v>1</v>
      </c>
      <c r="BK1158" s="1525"/>
      <c r="BL1158" s="1525"/>
      <c r="BM1158" s="1525"/>
      <c r="BN1158" s="1525"/>
      <c r="BO1158" s="1525"/>
      <c r="BP1158" s="1525"/>
      <c r="BQ1158" s="1525"/>
      <c r="BR1158" s="1525"/>
      <c r="BS1158" s="1525"/>
      <c r="BT1158" s="1670">
        <f t="shared" si="701"/>
        <v>1</v>
      </c>
      <c r="BV1158"/>
      <c r="BW1158" s="913" t="s">
        <v>112</v>
      </c>
    </row>
    <row r="1159" spans="2:75" s="164" customFormat="1" ht="12.75" customHeight="1" x14ac:dyDescent="0.2">
      <c r="B1159" s="175"/>
      <c r="C1159" s="219"/>
      <c r="E1159" s="12"/>
      <c r="F1159" s="1128"/>
      <c r="G1159" s="856"/>
      <c r="H1159" s="858"/>
      <c r="I1159" s="172"/>
      <c r="J1159" s="174"/>
      <c r="K1159" s="174"/>
      <c r="L1159" s="861"/>
      <c r="M1159" s="858"/>
      <c r="N1159" s="857"/>
      <c r="O1159" s="1196"/>
      <c r="P1159" s="1218"/>
      <c r="Q1159" s="1148"/>
      <c r="R1159" s="874"/>
      <c r="S1159" s="875"/>
      <c r="T1159" s="877"/>
      <c r="U1159" s="877"/>
      <c r="V1159" s="877"/>
      <c r="W1159" s="875"/>
      <c r="X1159" s="1026"/>
      <c r="Y1159" s="1754"/>
      <c r="Z1159" s="1755"/>
      <c r="AA1159" s="1775"/>
      <c r="AB1159" s="1814"/>
      <c r="AC1159" s="876"/>
      <c r="AD1159" s="1525"/>
      <c r="AE1159" s="1525"/>
      <c r="AF1159" s="1525"/>
      <c r="AG1159" s="1525"/>
      <c r="AH1159" s="1525"/>
      <c r="AI1159" s="1525"/>
      <c r="AJ1159" s="1525"/>
      <c r="AK1159" s="1525"/>
      <c r="AL1159" s="1525"/>
      <c r="AM1159" s="1525"/>
      <c r="AN1159" s="1525"/>
      <c r="AO1159" s="1525"/>
      <c r="AP1159" s="1525"/>
      <c r="AQ1159" s="1525"/>
      <c r="AR1159" s="1525"/>
      <c r="AS1159" s="1525"/>
      <c r="AU1159" s="1525"/>
      <c r="AV1159" s="1295"/>
      <c r="AW1159" s="1525"/>
      <c r="AX1159" s="1525"/>
      <c r="AY1159" s="1525"/>
      <c r="AZ1159" s="1525"/>
      <c r="BA1159" s="1525"/>
      <c r="BB1159" s="1525"/>
      <c r="BC1159" s="1525"/>
      <c r="BD1159" s="1525"/>
      <c r="BE1159" s="1525"/>
      <c r="BF1159" s="1525"/>
      <c r="BG1159" s="1525"/>
      <c r="BH1159" s="1525"/>
      <c r="BI1159" s="1525"/>
      <c r="BJ1159" s="1525"/>
      <c r="BK1159" s="1525"/>
      <c r="BL1159" s="1525"/>
      <c r="BM1159" s="1525"/>
      <c r="BN1159" s="1525"/>
      <c r="BO1159" s="1525"/>
      <c r="BP1159" s="1525"/>
      <c r="BQ1159" s="1525"/>
      <c r="BR1159" s="1525"/>
      <c r="BS1159" s="1525"/>
      <c r="BT1159" s="1670"/>
      <c r="BV1159"/>
      <c r="BW1159" s="856"/>
    </row>
    <row r="1160" spans="2:75" s="164" customFormat="1" ht="12.75" customHeight="1" x14ac:dyDescent="0.15">
      <c r="B1160" s="175"/>
      <c r="C1160" s="219"/>
      <c r="E1160" s="12"/>
      <c r="F1160" s="330" t="s">
        <v>553</v>
      </c>
      <c r="G1160" s="904"/>
      <c r="H1160" s="1353" t="s">
        <v>1508</v>
      </c>
      <c r="I1160" s="331"/>
      <c r="J1160" s="329"/>
      <c r="K1160" s="1324">
        <f t="shared" ref="K1160:L1160" si="704">SUM(K1147:K1158)</f>
        <v>5</v>
      </c>
      <c r="L1160" s="1324">
        <f t="shared" si="704"/>
        <v>5</v>
      </c>
      <c r="M1160" s="1324">
        <f>SUM(M1147:M1158)</f>
        <v>10</v>
      </c>
      <c r="N1160" s="857"/>
      <c r="O1160" s="1199"/>
      <c r="P1160" s="1245"/>
      <c r="Q1160" s="1148"/>
      <c r="R1160" s="874"/>
      <c r="S1160" s="875"/>
      <c r="T1160" s="877"/>
      <c r="U1160" s="877"/>
      <c r="V1160" s="877"/>
      <c r="W1160" s="875"/>
      <c r="X1160" s="1026"/>
      <c r="Y1160" s="1754"/>
      <c r="Z1160" s="1755"/>
      <c r="AA1160" s="1775"/>
      <c r="AB1160" s="1814"/>
      <c r="AC1160" s="876"/>
      <c r="AD1160" s="1295"/>
      <c r="AE1160" s="1525"/>
      <c r="AF1160" s="1525"/>
      <c r="AG1160" s="1525"/>
      <c r="AH1160" s="1525"/>
      <c r="AI1160" s="1525"/>
      <c r="AJ1160" s="1525"/>
      <c r="AK1160" s="1525"/>
      <c r="AL1160" s="1525"/>
      <c r="AM1160" s="1525"/>
      <c r="AN1160" s="1525"/>
      <c r="AO1160" s="1525"/>
      <c r="AP1160" s="1525"/>
      <c r="AQ1160" s="1525"/>
      <c r="AR1160" s="1525"/>
      <c r="AS1160" s="1525"/>
      <c r="AU1160" s="1525"/>
      <c r="AV1160" s="1295"/>
      <c r="AW1160" s="1525"/>
      <c r="AX1160" s="1525"/>
      <c r="AY1160" s="1525"/>
      <c r="AZ1160" s="1525"/>
      <c r="BA1160" s="1525"/>
      <c r="BB1160" s="1525"/>
      <c r="BC1160" s="1525"/>
      <c r="BD1160" s="1525"/>
      <c r="BE1160" s="1525"/>
      <c r="BF1160" s="1525"/>
      <c r="BG1160" s="1525"/>
      <c r="BH1160" s="1525"/>
      <c r="BI1160" s="1525"/>
      <c r="BJ1160" s="1525"/>
      <c r="BK1160" s="1525"/>
      <c r="BL1160" s="1525"/>
      <c r="BM1160" s="1525"/>
      <c r="BN1160" s="1525"/>
      <c r="BO1160" s="1525"/>
      <c r="BP1160" s="1525"/>
      <c r="BQ1160" s="1525"/>
      <c r="BR1160" s="1525"/>
      <c r="BS1160" s="1525"/>
      <c r="BT1160" s="1670"/>
      <c r="BV1160"/>
      <c r="BW1160" s="856"/>
    </row>
    <row r="1161" spans="2:75" s="164" customFormat="1" ht="12.75" customHeight="1" x14ac:dyDescent="0.15">
      <c r="B1161" s="175"/>
      <c r="F1161" s="37"/>
      <c r="G1161" s="913"/>
      <c r="H1161" s="1358" t="s">
        <v>1508</v>
      </c>
      <c r="I1161" s="180"/>
      <c r="J1161" s="173"/>
      <c r="K1161" s="173"/>
      <c r="L1161" s="893"/>
      <c r="M1161" s="893"/>
      <c r="N1161" s="832"/>
      <c r="O1161" s="1199"/>
      <c r="P1161" s="1245"/>
      <c r="Q1161" s="1148"/>
      <c r="R1161" s="874"/>
      <c r="S1161" s="875"/>
      <c r="T1161" s="875"/>
      <c r="U1161" s="875"/>
      <c r="V1161" s="875"/>
      <c r="W1161" s="875"/>
      <c r="X1161" s="1026"/>
      <c r="Y1161" s="1757"/>
      <c r="Z1161" s="1756"/>
      <c r="AA1161" s="1775"/>
      <c r="AB1161" s="1814"/>
      <c r="AC1161" s="876"/>
      <c r="AD1161" s="1295"/>
      <c r="AE1161" s="1525"/>
      <c r="AF1161" s="1525"/>
      <c r="AG1161" s="1525"/>
      <c r="AH1161" s="1525"/>
      <c r="AI1161" s="1525"/>
      <c r="AJ1161" s="1525"/>
      <c r="AK1161" s="1525"/>
      <c r="AL1161" s="1525"/>
      <c r="AM1161" s="1525"/>
      <c r="AN1161" s="1525"/>
      <c r="AO1161" s="1525"/>
      <c r="AP1161" s="1525"/>
      <c r="AQ1161" s="1525"/>
      <c r="AR1161" s="1525"/>
      <c r="AS1161" s="1525"/>
      <c r="AU1161" s="1525"/>
      <c r="AV1161" s="1295"/>
      <c r="AW1161" s="1525"/>
      <c r="AX1161" s="1525"/>
      <c r="AY1161" s="1525"/>
      <c r="AZ1161" s="1525"/>
      <c r="BA1161" s="1525"/>
      <c r="BB1161" s="1525"/>
      <c r="BC1161" s="1525"/>
      <c r="BD1161" s="1525"/>
      <c r="BE1161" s="1525"/>
      <c r="BF1161" s="1525"/>
      <c r="BG1161" s="1525"/>
      <c r="BH1161" s="1525"/>
      <c r="BI1161" s="1525"/>
      <c r="BJ1161" s="1525"/>
      <c r="BK1161" s="1525"/>
      <c r="BL1161" s="1525"/>
      <c r="BM1161" s="1525"/>
      <c r="BN1161" s="1525"/>
      <c r="BO1161" s="1525"/>
      <c r="BP1161" s="1525"/>
      <c r="BQ1161" s="1525"/>
      <c r="BR1161" s="1525"/>
      <c r="BS1161" s="1525"/>
      <c r="BT1161" s="1670"/>
      <c r="BV1161"/>
      <c r="BW1161" s="913"/>
    </row>
    <row r="1162" spans="2:75" s="164" customFormat="1" ht="12.75" customHeight="1" x14ac:dyDescent="0.15">
      <c r="B1162" s="175"/>
      <c r="C1162" s="644" t="s">
        <v>344</v>
      </c>
      <c r="D1162" s="577" t="s">
        <v>346</v>
      </c>
      <c r="E1162" s="368" t="s">
        <v>1560</v>
      </c>
      <c r="F1162" s="370" t="s">
        <v>921</v>
      </c>
      <c r="G1162" s="863">
        <f>COUNTA(G1028:G1161)</f>
        <v>82</v>
      </c>
      <c r="H1162" s="1348" t="s">
        <v>1508</v>
      </c>
      <c r="I1162" s="372"/>
      <c r="J1162" s="371"/>
      <c r="K1162" s="863">
        <f t="shared" ref="K1162:L1162" si="705">K1033+K1061+K1084+K1092+K1106+K1117+K1127+K1144+K1160</f>
        <v>15</v>
      </c>
      <c r="L1162" s="863">
        <f t="shared" si="705"/>
        <v>63.1</v>
      </c>
      <c r="M1162" s="863">
        <f>M1033+M1061+M1084+M1092+M1106+M1117+M1127+M1144+M1160</f>
        <v>78.099999999999994</v>
      </c>
      <c r="N1162" s="955"/>
      <c r="O1162" s="955"/>
      <c r="P1162" s="1246"/>
      <c r="Q1162" s="1168"/>
      <c r="R1162" s="1046"/>
      <c r="S1162" s="1047"/>
      <c r="T1162" s="1047"/>
      <c r="U1162" s="1047"/>
      <c r="V1162" s="1047"/>
      <c r="W1162" s="1047"/>
      <c r="X1162" s="1279">
        <f>SUM(X1028:X1161)</f>
        <v>3683742.5</v>
      </c>
      <c r="Y1162" s="1334"/>
      <c r="Z1162" s="1653">
        <f>SUM(Z1028:Z1161)</f>
        <v>97.31138643436951</v>
      </c>
      <c r="AA1162" s="1821">
        <f>SUM(AA1028:AA1161)</f>
        <v>65.800000000000011</v>
      </c>
      <c r="AB1162" s="1813">
        <f t="shared" ref="AB1162" si="706">100*AA1162/Z1162</f>
        <v>67.617986353917615</v>
      </c>
      <c r="AC1162" s="1721"/>
      <c r="AD1162" s="1291"/>
      <c r="AE1162" s="1292"/>
      <c r="AF1162" s="1525"/>
      <c r="AG1162" s="1525"/>
      <c r="AH1162" s="1525"/>
      <c r="AI1162" s="1525"/>
      <c r="AJ1162" s="1525"/>
      <c r="AK1162" s="1525"/>
      <c r="AL1162" s="1525"/>
      <c r="AM1162" s="1525"/>
      <c r="AN1162" s="1525"/>
      <c r="AO1162" s="1525"/>
      <c r="AP1162" s="1525"/>
      <c r="AQ1162" s="1525"/>
      <c r="AR1162" s="1525"/>
      <c r="AS1162" s="1525"/>
      <c r="AU1162" s="1525"/>
      <c r="AV1162" s="1295"/>
      <c r="AW1162" s="1525"/>
      <c r="AX1162" s="1525"/>
      <c r="AY1162" s="1525"/>
      <c r="AZ1162" s="1525"/>
      <c r="BA1162" s="1525"/>
      <c r="BB1162" s="1525"/>
      <c r="BC1162" s="1525"/>
      <c r="BD1162" s="1525"/>
      <c r="BE1162" s="1525"/>
      <c r="BF1162" s="1525"/>
      <c r="BG1162" s="1525"/>
      <c r="BH1162" s="1525"/>
      <c r="BI1162" s="1525"/>
      <c r="BJ1162" s="1525"/>
      <c r="BK1162" s="1525"/>
      <c r="BL1162" s="1525"/>
      <c r="BM1162" s="1525"/>
      <c r="BN1162" s="1525"/>
      <c r="BO1162" s="1525"/>
      <c r="BP1162" s="1525"/>
      <c r="BQ1162" s="1525"/>
      <c r="BR1162" s="1525"/>
      <c r="BS1162" s="1525"/>
      <c r="BT1162" s="1670"/>
      <c r="BV1162"/>
      <c r="BW1162" s="839"/>
    </row>
    <row r="1163" spans="2:75" s="164" customFormat="1" ht="12.75" customHeight="1" x14ac:dyDescent="0.15">
      <c r="B1163" s="175"/>
      <c r="C1163" s="508" t="s">
        <v>136</v>
      </c>
      <c r="D1163" s="508"/>
      <c r="E1163" s="509" t="s">
        <v>1560</v>
      </c>
      <c r="F1163" s="509" t="s">
        <v>893</v>
      </c>
      <c r="G1163" s="937"/>
      <c r="H1163" s="1362" t="s">
        <v>1508</v>
      </c>
      <c r="I1163" s="510"/>
      <c r="J1163" s="511"/>
      <c r="K1163" s="511"/>
      <c r="L1163" s="903"/>
      <c r="M1163" s="903"/>
      <c r="N1163" s="926"/>
      <c r="O1163" s="926"/>
      <c r="P1163" s="1247"/>
      <c r="Q1163" s="1158"/>
      <c r="R1163" s="1027"/>
      <c r="S1163" s="1028"/>
      <c r="T1163" s="1028"/>
      <c r="U1163" s="1028"/>
      <c r="V1163" s="1028"/>
      <c r="W1163" s="1028"/>
      <c r="X1163" s="1697">
        <v>140500</v>
      </c>
      <c r="Y1163" s="1028"/>
      <c r="Z1163" s="1028"/>
      <c r="AA1163" s="1775"/>
      <c r="AB1163" s="1812"/>
      <c r="AC1163" s="876"/>
      <c r="AD1163" s="1295"/>
      <c r="AE1163" s="1525"/>
      <c r="AF1163" s="1525"/>
      <c r="AG1163" s="1525"/>
      <c r="AH1163" s="1525"/>
      <c r="AI1163" s="1525"/>
      <c r="AJ1163" s="1525"/>
      <c r="AK1163" s="1525"/>
      <c r="AL1163" s="1525"/>
      <c r="AM1163" s="1525"/>
      <c r="AN1163" s="1525"/>
      <c r="AO1163" s="1525"/>
      <c r="AP1163" s="1525"/>
      <c r="AQ1163" s="1525"/>
      <c r="AR1163" s="1525"/>
      <c r="AS1163" s="1525"/>
      <c r="AU1163" s="1525"/>
      <c r="AV1163" s="1295"/>
      <c r="AW1163" s="1525"/>
      <c r="AX1163" s="1525"/>
      <c r="AY1163" s="1525"/>
      <c r="AZ1163" s="1525"/>
      <c r="BA1163" s="1525"/>
      <c r="BB1163" s="1525"/>
      <c r="BC1163" s="1525"/>
      <c r="BD1163" s="1525"/>
      <c r="BE1163" s="1525"/>
      <c r="BF1163" s="1525"/>
      <c r="BG1163" s="1525"/>
      <c r="BH1163" s="1525"/>
      <c r="BI1163" s="1525"/>
      <c r="BJ1163" s="1525"/>
      <c r="BK1163" s="1525"/>
      <c r="BL1163" s="1525"/>
      <c r="BM1163" s="1525"/>
      <c r="BN1163" s="1525"/>
      <c r="BO1163" s="1525"/>
      <c r="BP1163" s="1525"/>
      <c r="BQ1163" s="1525"/>
      <c r="BR1163" s="1525"/>
      <c r="BS1163" s="1525"/>
      <c r="BT1163" s="1670"/>
      <c r="BV1163"/>
      <c r="BW1163" s="937"/>
    </row>
    <row r="1164" spans="2:75" s="210" customFormat="1" ht="12.75" customHeight="1" x14ac:dyDescent="0.15">
      <c r="B1164" s="175"/>
      <c r="C1164" s="1454" t="s">
        <v>794</v>
      </c>
      <c r="D1164" s="1454"/>
      <c r="E1164" s="1455" t="s">
        <v>1560</v>
      </c>
      <c r="F1164" s="1455" t="s">
        <v>884</v>
      </c>
      <c r="G1164" s="1443"/>
      <c r="H1164" s="1444" t="s">
        <v>1508</v>
      </c>
      <c r="I1164" s="1456"/>
      <c r="J1164" s="1457"/>
      <c r="K1164" s="1457"/>
      <c r="L1164" s="1447"/>
      <c r="M1164" s="1447"/>
      <c r="N1164" s="1458"/>
      <c r="O1164" s="1458"/>
      <c r="P1164" s="1459"/>
      <c r="Q1164" s="1460"/>
      <c r="R1164" s="1461"/>
      <c r="S1164" s="1462"/>
      <c r="T1164" s="1462"/>
      <c r="U1164" s="1462"/>
      <c r="V1164" s="1462"/>
      <c r="W1164" s="1462"/>
      <c r="X1164" s="1718"/>
      <c r="Y1164" s="1487"/>
      <c r="Z1164" s="1487"/>
      <c r="AA1164" s="1775"/>
      <c r="AB1164" s="1814"/>
      <c r="AC1164" s="876"/>
      <c r="AD1164" s="1291"/>
      <c r="AE1164" s="1292"/>
      <c r="AF1164" s="1292"/>
      <c r="AG1164" s="1292"/>
      <c r="AH1164" s="1292"/>
      <c r="AI1164" s="1292"/>
      <c r="AJ1164" s="1292"/>
      <c r="AK1164" s="1292"/>
      <c r="AL1164" s="1292"/>
      <c r="AM1164" s="1292"/>
      <c r="AN1164" s="1292"/>
      <c r="AO1164" s="1292"/>
      <c r="AP1164" s="1292"/>
      <c r="AQ1164" s="1292"/>
      <c r="AR1164" s="1292"/>
      <c r="AS1164" s="1292"/>
      <c r="AU1164" s="1292"/>
      <c r="AV1164" s="1291"/>
      <c r="AW1164" s="1292"/>
      <c r="AX1164" s="1292"/>
      <c r="AY1164" s="1292"/>
      <c r="AZ1164" s="1292"/>
      <c r="BA1164" s="1292"/>
      <c r="BB1164" s="1292"/>
      <c r="BC1164" s="1292"/>
      <c r="BD1164" s="1292"/>
      <c r="BE1164" s="1292"/>
      <c r="BF1164" s="1292"/>
      <c r="BG1164" s="1292"/>
      <c r="BH1164" s="1292"/>
      <c r="BI1164" s="1292"/>
      <c r="BJ1164" s="1292"/>
      <c r="BK1164" s="1292"/>
      <c r="BL1164" s="1292"/>
      <c r="BM1164" s="1292"/>
      <c r="BN1164" s="1292"/>
      <c r="BO1164" s="1292"/>
      <c r="BP1164" s="1292"/>
      <c r="BQ1164" s="1292"/>
      <c r="BR1164" s="1292"/>
      <c r="BS1164" s="1292"/>
      <c r="BT1164" s="1670"/>
      <c r="BV1164"/>
      <c r="BW1164" s="1443"/>
    </row>
    <row r="1165" spans="2:75" s="164" customFormat="1" ht="12.75" customHeight="1" x14ac:dyDescent="0.15">
      <c r="B1165" s="175"/>
      <c r="C1165" s="547"/>
      <c r="D1165" s="547"/>
      <c r="E1165" s="4"/>
      <c r="F1165" s="4"/>
      <c r="G1165" s="862"/>
      <c r="H1165" s="1347" t="s">
        <v>1508</v>
      </c>
      <c r="I1165" s="197"/>
      <c r="J1165" s="174"/>
      <c r="K1165" s="174"/>
      <c r="L1165" s="861"/>
      <c r="M1165" s="861"/>
      <c r="N1165" s="836"/>
      <c r="O1165" s="1198"/>
      <c r="P1165" s="1245"/>
      <c r="Q1165" s="1153"/>
      <c r="R1165" s="884"/>
      <c r="S1165" s="876"/>
      <c r="T1165" s="876"/>
      <c r="U1165" s="876"/>
      <c r="V1165" s="876"/>
      <c r="W1165" s="876"/>
      <c r="X1165" s="1026"/>
      <c r="Y1165" s="1757"/>
      <c r="Z1165" s="1756"/>
      <c r="AA1165" s="1775"/>
      <c r="AB1165" s="1814"/>
      <c r="AC1165" s="876"/>
      <c r="AD1165" s="1295"/>
      <c r="AE1165" s="1525"/>
      <c r="AF1165" s="1525"/>
      <c r="AG1165" s="1525"/>
      <c r="AH1165" s="1525"/>
      <c r="AI1165" s="1525"/>
      <c r="AJ1165" s="1525"/>
      <c r="AK1165" s="1525"/>
      <c r="AL1165" s="1525"/>
      <c r="AM1165" s="1525"/>
      <c r="AN1165" s="1525"/>
      <c r="AO1165" s="1525"/>
      <c r="AP1165" s="1525"/>
      <c r="AQ1165" s="1525"/>
      <c r="AR1165" s="1525"/>
      <c r="AS1165" s="1525"/>
      <c r="AU1165" s="1525"/>
      <c r="AV1165" s="1295"/>
      <c r="AW1165" s="1525"/>
      <c r="AX1165" s="1525"/>
      <c r="AY1165" s="1525"/>
      <c r="AZ1165" s="1525"/>
      <c r="BA1165" s="1525"/>
      <c r="BB1165" s="1525"/>
      <c r="BC1165" s="1525"/>
      <c r="BD1165" s="1525"/>
      <c r="BE1165" s="1525"/>
      <c r="BF1165" s="1525"/>
      <c r="BG1165" s="1525"/>
      <c r="BH1165" s="1525"/>
      <c r="BI1165" s="1525"/>
      <c r="BJ1165" s="1525"/>
      <c r="BK1165" s="1525"/>
      <c r="BL1165" s="1525"/>
      <c r="BM1165" s="1525"/>
      <c r="BN1165" s="1525"/>
      <c r="BO1165" s="1525"/>
      <c r="BP1165" s="1525"/>
      <c r="BQ1165" s="1525"/>
      <c r="BR1165" s="1525"/>
      <c r="BS1165" s="1525"/>
      <c r="BT1165" s="1670"/>
      <c r="BV1165"/>
      <c r="BW1165" s="862"/>
    </row>
    <row r="1166" spans="2:75" s="164" customFormat="1" ht="12.75" customHeight="1" x14ac:dyDescent="0.15">
      <c r="B1166" s="175"/>
      <c r="C1166" s="547"/>
      <c r="D1166" s="547"/>
      <c r="E1166" s="4"/>
      <c r="F1166" s="4"/>
      <c r="G1166" s="862"/>
      <c r="H1166" s="1347" t="s">
        <v>1508</v>
      </c>
      <c r="I1166" s="197"/>
      <c r="J1166" s="174"/>
      <c r="K1166" s="174"/>
      <c r="L1166" s="861"/>
      <c r="M1166" s="861"/>
      <c r="N1166" s="836"/>
      <c r="O1166" s="1198"/>
      <c r="P1166" s="1245"/>
      <c r="Q1166" s="1153"/>
      <c r="R1166" s="884"/>
      <c r="S1166" s="876"/>
      <c r="T1166" s="876"/>
      <c r="U1166" s="876"/>
      <c r="V1166" s="876"/>
      <c r="W1166" s="876"/>
      <c r="X1166" s="1026"/>
      <c r="Y1166" s="1757"/>
      <c r="Z1166" s="1756"/>
      <c r="AA1166" s="1775"/>
      <c r="AB1166" s="1814"/>
      <c r="AC1166" s="876"/>
      <c r="AD1166" s="1295"/>
      <c r="AE1166" s="1525"/>
      <c r="AF1166" s="1525"/>
      <c r="AG1166" s="1525"/>
      <c r="AH1166" s="1525"/>
      <c r="AI1166" s="1525"/>
      <c r="AJ1166" s="1525"/>
      <c r="AK1166" s="1525"/>
      <c r="AL1166" s="1525"/>
      <c r="AM1166" s="1525"/>
      <c r="AN1166" s="1525"/>
      <c r="AO1166" s="1525"/>
      <c r="AP1166" s="1525"/>
      <c r="AQ1166" s="1525"/>
      <c r="AR1166" s="1525"/>
      <c r="AS1166" s="1525"/>
      <c r="AU1166" s="1525"/>
      <c r="AV1166" s="1295"/>
      <c r="AW1166" s="1525"/>
      <c r="AX1166" s="1525"/>
      <c r="AY1166" s="1525"/>
      <c r="AZ1166" s="1525"/>
      <c r="BA1166" s="1525"/>
      <c r="BB1166" s="1525"/>
      <c r="BC1166" s="1525"/>
      <c r="BD1166" s="1525"/>
      <c r="BE1166" s="1525"/>
      <c r="BF1166" s="1525"/>
      <c r="BG1166" s="1525"/>
      <c r="BH1166" s="1525"/>
      <c r="BI1166" s="1525"/>
      <c r="BJ1166" s="1525"/>
      <c r="BK1166" s="1525"/>
      <c r="BL1166" s="1525"/>
      <c r="BM1166" s="1525"/>
      <c r="BN1166" s="1525"/>
      <c r="BO1166" s="1525"/>
      <c r="BP1166" s="1525"/>
      <c r="BQ1166" s="1525"/>
      <c r="BR1166" s="1525"/>
      <c r="BS1166" s="1525"/>
      <c r="BT1166" s="1670"/>
      <c r="BV1166"/>
      <c r="BW1166" s="862"/>
    </row>
    <row r="1167" spans="2:75" s="164" customFormat="1" ht="12.75" customHeight="1" x14ac:dyDescent="0.15">
      <c r="B1167" s="175"/>
      <c r="C1167" s="547"/>
      <c r="D1167" s="547"/>
      <c r="E1167" s="170" t="s">
        <v>1102</v>
      </c>
      <c r="F1167" s="18" t="s">
        <v>1160</v>
      </c>
      <c r="G1167" s="862"/>
      <c r="H1167" s="1347" t="s">
        <v>1508</v>
      </c>
      <c r="I1167" s="197"/>
      <c r="J1167" s="174"/>
      <c r="K1167" s="174"/>
      <c r="L1167" s="861"/>
      <c r="M1167" s="861"/>
      <c r="N1167" s="836"/>
      <c r="O1167" s="1198"/>
      <c r="P1167" s="1245"/>
      <c r="Q1167" s="1153"/>
      <c r="R1167" s="884"/>
      <c r="S1167" s="876"/>
      <c r="T1167" s="876"/>
      <c r="U1167" s="876"/>
      <c r="V1167" s="876"/>
      <c r="W1167" s="876"/>
      <c r="X1167" s="1026"/>
      <c r="Y1167" s="1757"/>
      <c r="Z1167" s="1756"/>
      <c r="AA1167" s="1775"/>
      <c r="AB1167" s="1814"/>
      <c r="AC1167" s="876"/>
      <c r="AD1167" s="1295"/>
      <c r="AE1167" s="1525"/>
      <c r="AF1167" s="1525"/>
      <c r="AG1167" s="1525"/>
      <c r="AH1167" s="1525"/>
      <c r="AI1167" s="1525"/>
      <c r="AJ1167" s="1525"/>
      <c r="AK1167" s="1525"/>
      <c r="AL1167" s="1525"/>
      <c r="AM1167" s="1525"/>
      <c r="AN1167" s="1525"/>
      <c r="AO1167" s="1525"/>
      <c r="AP1167" s="1525"/>
      <c r="AQ1167" s="1525"/>
      <c r="AR1167" s="1525"/>
      <c r="AS1167" s="1525"/>
      <c r="AU1167" s="1525"/>
      <c r="AV1167" s="1295"/>
      <c r="AW1167" s="1525"/>
      <c r="AX1167" s="1525"/>
      <c r="AY1167" s="1525"/>
      <c r="AZ1167" s="1525"/>
      <c r="BA1167" s="1525"/>
      <c r="BB1167" s="1525"/>
      <c r="BC1167" s="1525"/>
      <c r="BD1167" s="1525"/>
      <c r="BE1167" s="1525"/>
      <c r="BF1167" s="1525"/>
      <c r="BG1167" s="1525"/>
      <c r="BH1167" s="1525"/>
      <c r="BI1167" s="1525"/>
      <c r="BJ1167" s="1525"/>
      <c r="BK1167" s="1525"/>
      <c r="BL1167" s="1525"/>
      <c r="BM1167" s="1525"/>
      <c r="BN1167" s="1525"/>
      <c r="BO1167" s="1525"/>
      <c r="BP1167" s="1525"/>
      <c r="BQ1167" s="1525"/>
      <c r="BR1167" s="1525"/>
      <c r="BS1167" s="1525"/>
      <c r="BT1167" s="1670"/>
      <c r="BV1167"/>
      <c r="BW1167" s="862"/>
    </row>
    <row r="1168" spans="2:75" s="164" customFormat="1" ht="12.75" customHeight="1" x14ac:dyDescent="0.15">
      <c r="B1168" s="175"/>
      <c r="C1168" s="547"/>
      <c r="D1168" s="547"/>
      <c r="E1168" s="4"/>
      <c r="F1168" s="4"/>
      <c r="G1168" s="862"/>
      <c r="H1168" s="1347" t="s">
        <v>1508</v>
      </c>
      <c r="I1168" s="197"/>
      <c r="J1168" s="174"/>
      <c r="K1168" s="174"/>
      <c r="L1168" s="861"/>
      <c r="M1168" s="861"/>
      <c r="N1168" s="836"/>
      <c r="O1168" s="1198"/>
      <c r="P1168" s="1245"/>
      <c r="Q1168" s="1153"/>
      <c r="R1168" s="884"/>
      <c r="S1168" s="876"/>
      <c r="T1168" s="876"/>
      <c r="U1168" s="876"/>
      <c r="V1168" s="876"/>
      <c r="W1168" s="876"/>
      <c r="X1168" s="1026"/>
      <c r="Y1168" s="1757"/>
      <c r="Z1168" s="1756"/>
      <c r="AA1168" s="1775"/>
      <c r="AB1168" s="1814"/>
      <c r="AC1168" s="876"/>
      <c r="AD1168" s="1295"/>
      <c r="AE1168" s="1525"/>
      <c r="AF1168" s="1525"/>
      <c r="AG1168" s="1525"/>
      <c r="AH1168" s="1525"/>
      <c r="AI1168" s="1525"/>
      <c r="AJ1168" s="1525"/>
      <c r="AK1168" s="1525"/>
      <c r="AL1168" s="1525"/>
      <c r="AM1168" s="1525"/>
      <c r="AN1168" s="1525"/>
      <c r="AO1168" s="1525"/>
      <c r="AP1168" s="1525"/>
      <c r="AQ1168" s="1525"/>
      <c r="AR1168" s="1525"/>
      <c r="AS1168" s="1525"/>
      <c r="AU1168" s="1525"/>
      <c r="AV1168" s="1295"/>
      <c r="AW1168" s="1525"/>
      <c r="AX1168" s="1525"/>
      <c r="AY1168" s="1525"/>
      <c r="AZ1168" s="1525"/>
      <c r="BA1168" s="1525"/>
      <c r="BB1168" s="1525"/>
      <c r="BC1168" s="1525"/>
      <c r="BD1168" s="1525"/>
      <c r="BE1168" s="1525"/>
      <c r="BF1168" s="1525"/>
      <c r="BG1168" s="1525"/>
      <c r="BH1168" s="1525"/>
      <c r="BI1168" s="1525"/>
      <c r="BJ1168" s="1525"/>
      <c r="BK1168" s="1525"/>
      <c r="BL1168" s="1525"/>
      <c r="BM1168" s="1525"/>
      <c r="BN1168" s="1525"/>
      <c r="BO1168" s="1525"/>
      <c r="BP1168" s="1525"/>
      <c r="BQ1168" s="1525"/>
      <c r="BR1168" s="1525"/>
      <c r="BS1168" s="1525"/>
      <c r="BT1168" s="1670"/>
      <c r="BV1168"/>
      <c r="BW1168" s="862"/>
    </row>
    <row r="1169" spans="2:75" ht="12.75" customHeight="1" x14ac:dyDescent="0.2">
      <c r="B1169" s="175">
        <f>B1168+1</f>
        <v>1</v>
      </c>
      <c r="C1169" s="219">
        <v>27</v>
      </c>
      <c r="E1169" s="12" t="s">
        <v>1252</v>
      </c>
      <c r="F1169" s="28" t="s">
        <v>1060</v>
      </c>
      <c r="G1169" s="834" t="s">
        <v>1127</v>
      </c>
      <c r="H1169" s="861">
        <v>30037</v>
      </c>
      <c r="I1169" s="231" t="s">
        <v>161</v>
      </c>
      <c r="J1169" s="268"/>
      <c r="K1169" s="268"/>
      <c r="L1169" s="950">
        <v>1</v>
      </c>
      <c r="M1169" s="861">
        <f>K1169+L1169</f>
        <v>1</v>
      </c>
      <c r="N1169" s="832" t="s">
        <v>1326</v>
      </c>
      <c r="O1169" s="1196">
        <v>20662</v>
      </c>
      <c r="P1169" s="1218">
        <f ca="1">YEARFRAC(TODAY(),O1169)</f>
        <v>61.18333333333333</v>
      </c>
      <c r="Q1169" s="1148">
        <v>44500</v>
      </c>
      <c r="R1169" s="874">
        <f>Q1169*0.1</f>
        <v>4450</v>
      </c>
      <c r="S1169" s="876">
        <v>3000</v>
      </c>
      <c r="T1169" s="884">
        <v>5000</v>
      </c>
      <c r="U1169" s="884"/>
      <c r="V1169" s="884"/>
      <c r="W1169" s="876"/>
      <c r="X1169" s="1026">
        <f>(Q1169+R1169+S1169+T1169+U1169+V1169+W1169)*M1169</f>
        <v>56950</v>
      </c>
      <c r="Y1169" s="1512">
        <f>(T1169+U1169)*M1169/(X1169-M1169*(T1169+U1169))</f>
        <v>9.6246390760346481E-2</v>
      </c>
      <c r="Z1169" s="1741">
        <f>M1169*(1+Y1169)</f>
        <v>1.0962463907603466</v>
      </c>
      <c r="AA1169" s="1749">
        <f>SUM(AD1169:AS1169)</f>
        <v>1</v>
      </c>
      <c r="AB1169" s="1810">
        <f t="shared" ref="AB1169:AB1171" si="707">100*AA1169/Z1169</f>
        <v>91.220368744512726</v>
      </c>
      <c r="AC1169" s="876"/>
      <c r="AD1169" s="1525">
        <f t="shared" ref="AD1169:AS1171" si="708">SUMIF($AV$6:$BS$6,AD$5,$AV1169:$BS1169)</f>
        <v>0.5</v>
      </c>
      <c r="AE1169" s="1525">
        <f t="shared" si="708"/>
        <v>0</v>
      </c>
      <c r="AF1169" s="1525">
        <f t="shared" si="708"/>
        <v>0.5</v>
      </c>
      <c r="AG1169" s="1525">
        <f t="shared" si="708"/>
        <v>0</v>
      </c>
      <c r="AH1169" s="1525">
        <f t="shared" si="708"/>
        <v>0</v>
      </c>
      <c r="AI1169" s="1525">
        <f t="shared" si="708"/>
        <v>0</v>
      </c>
      <c r="AJ1169" s="1525">
        <f t="shared" si="708"/>
        <v>0</v>
      </c>
      <c r="AK1169" s="1525">
        <f t="shared" si="708"/>
        <v>0</v>
      </c>
      <c r="AL1169" s="1525">
        <f t="shared" si="708"/>
        <v>0</v>
      </c>
      <c r="AM1169" s="1525">
        <f t="shared" si="708"/>
        <v>0</v>
      </c>
      <c r="AN1169" s="1525">
        <f t="shared" si="708"/>
        <v>0</v>
      </c>
      <c r="AO1169" s="1525">
        <f t="shared" si="708"/>
        <v>0</v>
      </c>
      <c r="AP1169" s="1525">
        <f t="shared" si="708"/>
        <v>0</v>
      </c>
      <c r="AQ1169" s="1525">
        <f t="shared" si="708"/>
        <v>0</v>
      </c>
      <c r="AR1169" s="1525">
        <f t="shared" si="708"/>
        <v>0</v>
      </c>
      <c r="AS1169" s="1525">
        <f t="shared" si="708"/>
        <v>0</v>
      </c>
      <c r="AU1169" s="1525"/>
      <c r="AV1169" s="1291"/>
      <c r="AW1169" s="1292"/>
      <c r="AX1169" s="1292"/>
      <c r="AY1169" s="1292">
        <v>0.5</v>
      </c>
      <c r="AZ1169" s="1292"/>
      <c r="BA1169" s="1292"/>
      <c r="BB1169" s="1292"/>
      <c r="BC1169" s="1292"/>
      <c r="BD1169" s="1292"/>
      <c r="BE1169" s="1292"/>
      <c r="BF1169" s="1292"/>
      <c r="BG1169" s="1292"/>
      <c r="BH1169" s="1292"/>
      <c r="BI1169" s="1292">
        <v>0.5</v>
      </c>
      <c r="BJ1169" s="1292"/>
      <c r="BK1169" s="1292"/>
      <c r="BL1169" s="1292"/>
      <c r="BM1169" s="1292"/>
      <c r="BN1169" s="1292"/>
      <c r="BO1169" s="1292"/>
      <c r="BP1169" s="1292"/>
      <c r="BQ1169" s="1292"/>
      <c r="BR1169" s="1292"/>
      <c r="BS1169" s="1292"/>
      <c r="BT1169" s="1670">
        <f t="shared" ref="BT1169:BT1171" si="709">SUM(AV1169:BS1169)</f>
        <v>1</v>
      </c>
      <c r="BW1169" s="834" t="s">
        <v>1127</v>
      </c>
    </row>
    <row r="1170" spans="2:75" ht="12.75" customHeight="1" x14ac:dyDescent="0.2">
      <c r="B1170" s="175">
        <f t="shared" ref="B1170:B1171" si="710">B1169+1</f>
        <v>2</v>
      </c>
      <c r="C1170" s="219">
        <v>14</v>
      </c>
      <c r="E1170" s="12" t="s">
        <v>1252</v>
      </c>
      <c r="F1170" s="61" t="s">
        <v>626</v>
      </c>
      <c r="G1170" s="977" t="s">
        <v>354</v>
      </c>
      <c r="H1170" s="858">
        <v>6922</v>
      </c>
      <c r="I1170" s="283" t="s">
        <v>583</v>
      </c>
      <c r="J1170" s="237"/>
      <c r="K1170" s="237"/>
      <c r="L1170" s="843">
        <v>1</v>
      </c>
      <c r="M1170" s="858">
        <f>K1170+L1170</f>
        <v>1</v>
      </c>
      <c r="N1170" s="855" t="s">
        <v>892</v>
      </c>
      <c r="O1170" s="1196">
        <v>20768</v>
      </c>
      <c r="P1170" s="1218">
        <f ca="1">YEARFRAC(TODAY(),O1170)</f>
        <v>60.897222222222226</v>
      </c>
      <c r="Q1170" s="1148">
        <v>27600</v>
      </c>
      <c r="R1170" s="874"/>
      <c r="S1170" s="875"/>
      <c r="T1170" s="877"/>
      <c r="U1170" s="877"/>
      <c r="V1170" s="877"/>
      <c r="W1170" s="875"/>
      <c r="X1170" s="1026">
        <f>(Q1170+R1170+S1170+T1170+U1170+V1170+W1170)*M1170</f>
        <v>27600</v>
      </c>
      <c r="Y1170" s="1512">
        <f>(T1170+U1170)*M1170/(X1170-M1170*(T1170+U1170))</f>
        <v>0</v>
      </c>
      <c r="Z1170" s="1741">
        <f>M1170*(1+Y1170)</f>
        <v>1</v>
      </c>
      <c r="AA1170" s="1749">
        <f>SUM(AD1170:AS1170)</f>
        <v>0</v>
      </c>
      <c r="AB1170" s="1810">
        <f t="shared" si="707"/>
        <v>0</v>
      </c>
      <c r="AC1170" s="876"/>
      <c r="AD1170" s="1525">
        <f t="shared" si="708"/>
        <v>0</v>
      </c>
      <c r="AE1170" s="1525">
        <f t="shared" si="708"/>
        <v>0</v>
      </c>
      <c r="AF1170" s="1525">
        <f t="shared" si="708"/>
        <v>0</v>
      </c>
      <c r="AG1170" s="1525">
        <f t="shared" si="708"/>
        <v>0</v>
      </c>
      <c r="AH1170" s="1525">
        <f t="shared" si="708"/>
        <v>0</v>
      </c>
      <c r="AI1170" s="1525">
        <f t="shared" si="708"/>
        <v>0</v>
      </c>
      <c r="AJ1170" s="1525">
        <f t="shared" si="708"/>
        <v>0</v>
      </c>
      <c r="AK1170" s="1525">
        <f t="shared" si="708"/>
        <v>0</v>
      </c>
      <c r="AL1170" s="1525">
        <f t="shared" si="708"/>
        <v>0</v>
      </c>
      <c r="AM1170" s="1525">
        <f t="shared" si="708"/>
        <v>0</v>
      </c>
      <c r="AN1170" s="1525">
        <f t="shared" si="708"/>
        <v>0</v>
      </c>
      <c r="AO1170" s="1525">
        <f t="shared" si="708"/>
        <v>0</v>
      </c>
      <c r="AP1170" s="1525">
        <f t="shared" si="708"/>
        <v>0</v>
      </c>
      <c r="AQ1170" s="1525">
        <f t="shared" si="708"/>
        <v>0</v>
      </c>
      <c r="AR1170" s="1525">
        <f t="shared" si="708"/>
        <v>0</v>
      </c>
      <c r="AS1170" s="1525">
        <f t="shared" si="708"/>
        <v>0</v>
      </c>
      <c r="AU1170" s="1525"/>
      <c r="AV1170" s="1291"/>
      <c r="AW1170" s="1292"/>
      <c r="AX1170" s="1292"/>
      <c r="AY1170" s="1292"/>
      <c r="AZ1170" s="1292"/>
      <c r="BA1170" s="1292"/>
      <c r="BB1170" s="1292"/>
      <c r="BC1170" s="1292"/>
      <c r="BD1170" s="1292"/>
      <c r="BE1170" s="1292"/>
      <c r="BF1170" s="1292"/>
      <c r="BG1170" s="1292"/>
      <c r="BH1170" s="1292"/>
      <c r="BI1170" s="1292"/>
      <c r="BJ1170" s="1292"/>
      <c r="BK1170" s="1292"/>
      <c r="BL1170" s="1292"/>
      <c r="BM1170" s="1292"/>
      <c r="BN1170" s="1292"/>
      <c r="BO1170" s="1292"/>
      <c r="BP1170" s="1292"/>
      <c r="BQ1170" s="1292"/>
      <c r="BR1170" s="1292"/>
      <c r="BS1170" s="1292"/>
      <c r="BT1170" s="1670">
        <f t="shared" si="709"/>
        <v>0</v>
      </c>
      <c r="BW1170" s="977" t="s">
        <v>354</v>
      </c>
    </row>
    <row r="1171" spans="2:75" ht="12.75" customHeight="1" x14ac:dyDescent="0.2">
      <c r="B1171" s="175">
        <f t="shared" si="710"/>
        <v>3</v>
      </c>
      <c r="C1171" s="219">
        <v>22</v>
      </c>
      <c r="E1171" s="12" t="s">
        <v>1252</v>
      </c>
      <c r="F1171" s="82" t="s">
        <v>1586</v>
      </c>
      <c r="G1171" s="978" t="s">
        <v>1938</v>
      </c>
      <c r="H1171" s="873">
        <v>6930</v>
      </c>
      <c r="I1171" s="386" t="s">
        <v>583</v>
      </c>
      <c r="J1171" s="261"/>
      <c r="K1171" s="261"/>
      <c r="L1171" s="951">
        <v>0.5</v>
      </c>
      <c r="M1171" s="873">
        <f>K1171+L1171</f>
        <v>0.5</v>
      </c>
      <c r="N1171" s="940" t="s">
        <v>892</v>
      </c>
      <c r="O1171" s="1211">
        <v>15434</v>
      </c>
      <c r="P1171" s="1218">
        <f ca="1">YEARFRAC(TODAY(),O1171)</f>
        <v>75.49722222222222</v>
      </c>
      <c r="Q1171" s="1148">
        <v>23000</v>
      </c>
      <c r="R1171" s="874"/>
      <c r="S1171" s="875"/>
      <c r="T1171" s="877">
        <v>4000</v>
      </c>
      <c r="U1171" s="877"/>
      <c r="V1171" s="877"/>
      <c r="W1171" s="875"/>
      <c r="X1171" s="1026">
        <f>(Q1171+R1171+S1171+T1171+U1171+V1171+W1171)*M1171</f>
        <v>13500</v>
      </c>
      <c r="Y1171" s="1512">
        <f>(T1171+U1171)*M1171/(X1171-M1171*(T1171+U1171))</f>
        <v>0.17391304347826086</v>
      </c>
      <c r="Z1171" s="1741">
        <f>M1171*(1+Y1171)</f>
        <v>0.58695652173913038</v>
      </c>
      <c r="AA1171" s="1749">
        <f>SUM(AD1171:AS1171)</f>
        <v>0</v>
      </c>
      <c r="AB1171" s="1810">
        <f t="shared" si="707"/>
        <v>0</v>
      </c>
      <c r="AC1171" s="876"/>
      <c r="AD1171" s="1525">
        <f t="shared" si="708"/>
        <v>0</v>
      </c>
      <c r="AE1171" s="1525">
        <f t="shared" si="708"/>
        <v>0</v>
      </c>
      <c r="AF1171" s="1525">
        <f t="shared" si="708"/>
        <v>0</v>
      </c>
      <c r="AG1171" s="1525">
        <f t="shared" si="708"/>
        <v>0</v>
      </c>
      <c r="AH1171" s="1525">
        <f t="shared" si="708"/>
        <v>0</v>
      </c>
      <c r="AI1171" s="1525">
        <f t="shared" si="708"/>
        <v>0</v>
      </c>
      <c r="AJ1171" s="1525">
        <f t="shared" si="708"/>
        <v>0</v>
      </c>
      <c r="AK1171" s="1525">
        <f t="shared" si="708"/>
        <v>0</v>
      </c>
      <c r="AL1171" s="1525">
        <f t="shared" si="708"/>
        <v>0</v>
      </c>
      <c r="AM1171" s="1525">
        <f t="shared" si="708"/>
        <v>0</v>
      </c>
      <c r="AN1171" s="1525">
        <f t="shared" si="708"/>
        <v>0</v>
      </c>
      <c r="AO1171" s="1525">
        <f t="shared" si="708"/>
        <v>0</v>
      </c>
      <c r="AP1171" s="1525">
        <f t="shared" si="708"/>
        <v>0</v>
      </c>
      <c r="AQ1171" s="1525">
        <f t="shared" si="708"/>
        <v>0</v>
      </c>
      <c r="AR1171" s="1525">
        <f t="shared" si="708"/>
        <v>0</v>
      </c>
      <c r="AS1171" s="1525">
        <f t="shared" si="708"/>
        <v>0</v>
      </c>
      <c r="AU1171" s="1525"/>
      <c r="AV1171" s="1291"/>
      <c r="AW1171" s="1292"/>
      <c r="AX1171" s="1292"/>
      <c r="AY1171" s="1292"/>
      <c r="AZ1171" s="1292"/>
      <c r="BA1171" s="1292"/>
      <c r="BB1171" s="1292"/>
      <c r="BC1171" s="1292"/>
      <c r="BD1171" s="1292"/>
      <c r="BE1171" s="1292"/>
      <c r="BF1171" s="1292"/>
      <c r="BG1171" s="1292"/>
      <c r="BH1171" s="1292"/>
      <c r="BI1171" s="1292"/>
      <c r="BJ1171" s="1292"/>
      <c r="BK1171" s="1292"/>
      <c r="BL1171" s="1292"/>
      <c r="BM1171" s="1292"/>
      <c r="BN1171" s="1292"/>
      <c r="BO1171" s="1292"/>
      <c r="BP1171" s="1292"/>
      <c r="BQ1171" s="1292"/>
      <c r="BR1171" s="1292"/>
      <c r="BS1171" s="1292"/>
      <c r="BT1171" s="1670">
        <f t="shared" si="709"/>
        <v>0</v>
      </c>
      <c r="BW1171" s="978" t="s">
        <v>1938</v>
      </c>
    </row>
    <row r="1172" spans="2:75" s="164" customFormat="1" ht="12.75" customHeight="1" x14ac:dyDescent="0.15">
      <c r="B1172" s="175"/>
      <c r="C1172" s="219" t="s">
        <v>1120</v>
      </c>
      <c r="E1172" s="170"/>
      <c r="F1172" s="60" t="s">
        <v>1038</v>
      </c>
      <c r="G1172" s="832"/>
      <c r="H1172" s="1384" t="s">
        <v>1508</v>
      </c>
      <c r="I1172" s="1313"/>
      <c r="J1172" s="1317"/>
      <c r="K1172" s="1320">
        <f>SUM(K1169:K1171)</f>
        <v>0</v>
      </c>
      <c r="L1172" s="1011">
        <f>SUM(L1169:L1171)</f>
        <v>2.5</v>
      </c>
      <c r="M1172" s="1011">
        <f>SUM(M1169:M1171)</f>
        <v>2.5</v>
      </c>
      <c r="N1172" s="832"/>
      <c r="O1172" s="1198"/>
      <c r="P1172" s="1245"/>
      <c r="Q1172" s="1153"/>
      <c r="R1172" s="884"/>
      <c r="S1172" s="876"/>
      <c r="T1172" s="876"/>
      <c r="U1172" s="876"/>
      <c r="V1172" s="876"/>
      <c r="W1172" s="876"/>
      <c r="X1172" s="1026"/>
      <c r="Y1172" s="1335"/>
      <c r="Z1172" s="1335"/>
      <c r="AA1172" s="1775"/>
      <c r="AB1172" s="1814"/>
      <c r="AC1172" s="876"/>
      <c r="AD1172" s="1295"/>
      <c r="AE1172" s="1525"/>
      <c r="AF1172" s="1525"/>
      <c r="AG1172" s="1525"/>
      <c r="AH1172" s="1525"/>
      <c r="AI1172" s="1525"/>
      <c r="AJ1172" s="1525"/>
      <c r="AK1172" s="1525"/>
      <c r="AL1172" s="1525"/>
      <c r="AM1172" s="1525"/>
      <c r="AN1172" s="1525"/>
      <c r="AO1172" s="1525"/>
      <c r="AP1172" s="1525"/>
      <c r="AQ1172" s="1525"/>
      <c r="AR1172" s="1525"/>
      <c r="AS1172" s="1525"/>
      <c r="AU1172" s="1525"/>
      <c r="AV1172" s="1295"/>
      <c r="AW1172" s="1525"/>
      <c r="AX1172" s="1525"/>
      <c r="AY1172" s="1525"/>
      <c r="AZ1172" s="1525"/>
      <c r="BA1172" s="1525"/>
      <c r="BB1172" s="1525"/>
      <c r="BC1172" s="1525"/>
      <c r="BD1172" s="1525"/>
      <c r="BE1172" s="1525"/>
      <c r="BF1172" s="1525"/>
      <c r="BG1172" s="1525"/>
      <c r="BH1172" s="1525"/>
      <c r="BI1172" s="1525"/>
      <c r="BJ1172" s="1525"/>
      <c r="BK1172" s="1525"/>
      <c r="BL1172" s="1525"/>
      <c r="BM1172" s="1525"/>
      <c r="BN1172" s="1525"/>
      <c r="BO1172" s="1525"/>
      <c r="BP1172" s="1525"/>
      <c r="BQ1172" s="1525"/>
      <c r="BR1172" s="1525"/>
      <c r="BS1172" s="1525"/>
      <c r="BT1172" s="1670"/>
      <c r="BV1172"/>
      <c r="BW1172" s="832"/>
    </row>
    <row r="1173" spans="2:75" s="164" customFormat="1" ht="12.75" customHeight="1" x14ac:dyDescent="0.15">
      <c r="B1173" s="175"/>
      <c r="F1173" s="60"/>
      <c r="G1173" s="855"/>
      <c r="H1173" s="1341" t="s">
        <v>1508</v>
      </c>
      <c r="I1173" s="284"/>
      <c r="J1173" s="234"/>
      <c r="K1173" s="234"/>
      <c r="L1173" s="843"/>
      <c r="M1173" s="843"/>
      <c r="N1173" s="855"/>
      <c r="O1173" s="1198"/>
      <c r="P1173" s="1245"/>
      <c r="Q1173" s="1148"/>
      <c r="R1173" s="874"/>
      <c r="S1173" s="875"/>
      <c r="T1173" s="875"/>
      <c r="U1173" s="875"/>
      <c r="V1173" s="875"/>
      <c r="W1173" s="875"/>
      <c r="X1173" s="1026"/>
      <c r="Y1173" s="1754"/>
      <c r="Z1173" s="1755"/>
      <c r="AA1173" s="1775"/>
      <c r="AB1173" s="1814"/>
      <c r="AC1173" s="876"/>
      <c r="AD1173" s="1295"/>
      <c r="AE1173" s="1525"/>
      <c r="AF1173" s="1525"/>
      <c r="AG1173" s="1525"/>
      <c r="AH1173" s="1525"/>
      <c r="AI1173" s="1525"/>
      <c r="AJ1173" s="1525"/>
      <c r="AK1173" s="1525"/>
      <c r="AL1173" s="1525"/>
      <c r="AM1173" s="1525"/>
      <c r="AN1173" s="1525"/>
      <c r="AO1173" s="1525"/>
      <c r="AP1173" s="1525"/>
      <c r="AQ1173" s="1525"/>
      <c r="AR1173" s="1525"/>
      <c r="AS1173" s="1525"/>
      <c r="AU1173" s="1525"/>
      <c r="AV1173" s="1295"/>
      <c r="AW1173" s="1525"/>
      <c r="AX1173" s="1525"/>
      <c r="AY1173" s="1525"/>
      <c r="AZ1173" s="1525"/>
      <c r="BA1173" s="1525"/>
      <c r="BB1173" s="1525"/>
      <c r="BC1173" s="1525"/>
      <c r="BD1173" s="1525"/>
      <c r="BE1173" s="1525"/>
      <c r="BF1173" s="1525"/>
      <c r="BG1173" s="1525"/>
      <c r="BH1173" s="1525"/>
      <c r="BI1173" s="1525"/>
      <c r="BJ1173" s="1525"/>
      <c r="BK1173" s="1525"/>
      <c r="BL1173" s="1525"/>
      <c r="BM1173" s="1525"/>
      <c r="BN1173" s="1525"/>
      <c r="BO1173" s="1525"/>
      <c r="BP1173" s="1525"/>
      <c r="BQ1173" s="1525"/>
      <c r="BR1173" s="1525"/>
      <c r="BS1173" s="1525"/>
      <c r="BT1173" s="1670"/>
      <c r="BV1173"/>
      <c r="BW1173" s="855"/>
    </row>
    <row r="1174" spans="2:75" s="164" customFormat="1" ht="12.75" customHeight="1" x14ac:dyDescent="0.15">
      <c r="B1174" s="175"/>
      <c r="F1174" s="63" t="s">
        <v>355</v>
      </c>
      <c r="G1174" s="981"/>
      <c r="H1174" s="1385" t="s">
        <v>1508</v>
      </c>
      <c r="I1174" s="270"/>
      <c r="J1174" s="265"/>
      <c r="K1174" s="265"/>
      <c r="L1174" s="980"/>
      <c r="M1174" s="980"/>
      <c r="N1174" s="855"/>
      <c r="O1174" s="1198"/>
      <c r="P1174" s="1245"/>
      <c r="Q1174" s="1148"/>
      <c r="R1174" s="874"/>
      <c r="S1174" s="875"/>
      <c r="T1174" s="875"/>
      <c r="U1174" s="875"/>
      <c r="V1174" s="875"/>
      <c r="W1174" s="875"/>
      <c r="X1174" s="1026"/>
      <c r="Y1174" s="1754"/>
      <c r="Z1174" s="1755"/>
      <c r="AA1174" s="1775"/>
      <c r="AB1174" s="1814"/>
      <c r="AC1174" s="876"/>
      <c r="AD1174" s="1295"/>
      <c r="AE1174" s="1525"/>
      <c r="AF1174" s="1525"/>
      <c r="AG1174" s="1525"/>
      <c r="AH1174" s="1525"/>
      <c r="AI1174" s="1525"/>
      <c r="AJ1174" s="1525"/>
      <c r="AK1174" s="1525"/>
      <c r="AL1174" s="1525"/>
      <c r="AM1174" s="1525"/>
      <c r="AN1174" s="1525"/>
      <c r="AO1174" s="1525"/>
      <c r="AP1174" s="1525"/>
      <c r="AQ1174" s="1525"/>
      <c r="AR1174" s="1525"/>
      <c r="AS1174" s="1525"/>
      <c r="AU1174" s="1525"/>
      <c r="AV1174" s="1295"/>
      <c r="AW1174" s="1525"/>
      <c r="AX1174" s="1525"/>
      <c r="AY1174" s="1525"/>
      <c r="AZ1174" s="1525"/>
      <c r="BA1174" s="1525"/>
      <c r="BB1174" s="1525"/>
      <c r="BC1174" s="1525"/>
      <c r="BD1174" s="1525"/>
      <c r="BE1174" s="1525"/>
      <c r="BF1174" s="1525"/>
      <c r="BG1174" s="1525"/>
      <c r="BH1174" s="1525"/>
      <c r="BI1174" s="1525"/>
      <c r="BJ1174" s="1525"/>
      <c r="BK1174" s="1525"/>
      <c r="BL1174" s="1525"/>
      <c r="BM1174" s="1525"/>
      <c r="BN1174" s="1525"/>
      <c r="BO1174" s="1525"/>
      <c r="BP1174" s="1525"/>
      <c r="BQ1174" s="1525"/>
      <c r="BR1174" s="1525"/>
      <c r="BS1174" s="1525"/>
      <c r="BT1174" s="1670"/>
      <c r="BV1174"/>
      <c r="BW1174" s="981"/>
    </row>
    <row r="1175" spans="2:75" s="164" customFormat="1" ht="12.75" customHeight="1" x14ac:dyDescent="0.15">
      <c r="B1175" s="175"/>
      <c r="F1175" s="63"/>
      <c r="G1175" s="855"/>
      <c r="H1175" s="1386" t="s">
        <v>1508</v>
      </c>
      <c r="I1175" s="276"/>
      <c r="J1175" s="269"/>
      <c r="K1175" s="269"/>
      <c r="L1175" s="982"/>
      <c r="M1175" s="982"/>
      <c r="N1175" s="855"/>
      <c r="O1175" s="1198"/>
      <c r="P1175" s="1245"/>
      <c r="Q1175" s="1148"/>
      <c r="R1175" s="874"/>
      <c r="S1175" s="875"/>
      <c r="T1175" s="875"/>
      <c r="U1175" s="875"/>
      <c r="V1175" s="875"/>
      <c r="W1175" s="875"/>
      <c r="X1175" s="1026"/>
      <c r="Y1175" s="1754"/>
      <c r="Z1175" s="1755"/>
      <c r="AA1175" s="1775"/>
      <c r="AB1175" s="1814"/>
      <c r="AC1175" s="876"/>
      <c r="AD1175" s="1295"/>
      <c r="AE1175" s="1525"/>
      <c r="AF1175" s="1525"/>
      <c r="AG1175" s="1525"/>
      <c r="AH1175" s="1525"/>
      <c r="AI1175" s="1525"/>
      <c r="AJ1175" s="1525"/>
      <c r="AK1175" s="1525"/>
      <c r="AL1175" s="1525"/>
      <c r="AM1175" s="1525"/>
      <c r="AN1175" s="1525"/>
      <c r="AO1175" s="1525"/>
      <c r="AP1175" s="1525"/>
      <c r="AQ1175" s="1525"/>
      <c r="AR1175" s="1525"/>
      <c r="AS1175" s="1525"/>
      <c r="AU1175" s="1525"/>
      <c r="AV1175" s="1295"/>
      <c r="AW1175" s="1525"/>
      <c r="AX1175" s="1525"/>
      <c r="AY1175" s="1525"/>
      <c r="AZ1175" s="1525"/>
      <c r="BA1175" s="1525"/>
      <c r="BB1175" s="1525"/>
      <c r="BC1175" s="1525"/>
      <c r="BD1175" s="1525"/>
      <c r="BE1175" s="1525"/>
      <c r="BF1175" s="1525"/>
      <c r="BG1175" s="1525"/>
      <c r="BH1175" s="1525"/>
      <c r="BI1175" s="1525"/>
      <c r="BJ1175" s="1525"/>
      <c r="BK1175" s="1525"/>
      <c r="BL1175" s="1525"/>
      <c r="BM1175" s="1525"/>
      <c r="BN1175" s="1525"/>
      <c r="BO1175" s="1525"/>
      <c r="BP1175" s="1525"/>
      <c r="BQ1175" s="1525"/>
      <c r="BR1175" s="1525"/>
      <c r="BS1175" s="1525"/>
      <c r="BT1175" s="1670"/>
      <c r="BV1175"/>
      <c r="BW1175" s="855"/>
    </row>
    <row r="1176" spans="2:75" ht="12.75" customHeight="1" x14ac:dyDescent="0.2">
      <c r="B1176" s="175">
        <f>B1175+1</f>
        <v>1</v>
      </c>
      <c r="C1176" s="219">
        <v>5</v>
      </c>
      <c r="E1176" s="12" t="s">
        <v>1252</v>
      </c>
      <c r="F1176" s="28" t="s">
        <v>166</v>
      </c>
      <c r="G1176" s="834" t="s">
        <v>356</v>
      </c>
      <c r="H1176" s="861">
        <v>6918</v>
      </c>
      <c r="I1176" s="197" t="s">
        <v>351</v>
      </c>
      <c r="J1176" s="268"/>
      <c r="K1176" s="268"/>
      <c r="L1176" s="950">
        <v>1</v>
      </c>
      <c r="M1176" s="861">
        <f>K1176+L1176</f>
        <v>1</v>
      </c>
      <c r="N1176" s="832" t="s">
        <v>1326</v>
      </c>
      <c r="O1176" s="1196">
        <v>18019</v>
      </c>
      <c r="P1176" s="1218">
        <f ca="1">YEARFRAC(TODAY(),O1176)</f>
        <v>68.419444444444451</v>
      </c>
      <c r="Q1176" s="1148">
        <v>52100</v>
      </c>
      <c r="R1176" s="874">
        <f>Q1176*0.1</f>
        <v>5210</v>
      </c>
      <c r="S1176" s="876">
        <v>3000</v>
      </c>
      <c r="T1176" s="874"/>
      <c r="U1176" s="874"/>
      <c r="V1176" s="874"/>
      <c r="W1176" s="876"/>
      <c r="X1176" s="1026">
        <f>(Q1176+R1176+S1176+T1176+U1176+V1176+W1176)*M1176</f>
        <v>60310</v>
      </c>
      <c r="Y1176" s="1512">
        <f>(T1176+U1176)*M1176/(X1176-M1176*(T1176+U1176))</f>
        <v>0</v>
      </c>
      <c r="Z1176" s="1741">
        <f>M1176*(1+Y1176)</f>
        <v>1</v>
      </c>
      <c r="AA1176" s="1749">
        <f>SUM(AD1176:AS1176)</f>
        <v>1</v>
      </c>
      <c r="AB1176" s="1810">
        <f t="shared" ref="AB1176:AB1177" si="711">100*AA1176/Z1176</f>
        <v>100</v>
      </c>
      <c r="AC1176" s="876"/>
      <c r="AD1176" s="1525">
        <f t="shared" ref="AD1176:AS1177" si="712">SUMIF($AV$6:$BS$6,AD$5,$AV1176:$BS1176)</f>
        <v>0.9</v>
      </c>
      <c r="AE1176" s="1525">
        <f t="shared" si="712"/>
        <v>0</v>
      </c>
      <c r="AF1176" s="1525">
        <f t="shared" si="712"/>
        <v>0</v>
      </c>
      <c r="AG1176" s="1525">
        <f t="shared" si="712"/>
        <v>0</v>
      </c>
      <c r="AH1176" s="1525">
        <f t="shared" si="712"/>
        <v>0</v>
      </c>
      <c r="AI1176" s="1525">
        <f t="shared" si="712"/>
        <v>0.05</v>
      </c>
      <c r="AJ1176" s="1525">
        <f t="shared" si="712"/>
        <v>0</v>
      </c>
      <c r="AK1176" s="1525">
        <f t="shared" si="712"/>
        <v>0.05</v>
      </c>
      <c r="AL1176" s="1525">
        <f t="shared" si="712"/>
        <v>0</v>
      </c>
      <c r="AM1176" s="1525">
        <f t="shared" si="712"/>
        <v>0</v>
      </c>
      <c r="AN1176" s="1525">
        <f t="shared" si="712"/>
        <v>0</v>
      </c>
      <c r="AO1176" s="1525">
        <f t="shared" si="712"/>
        <v>0</v>
      </c>
      <c r="AP1176" s="1525">
        <f t="shared" si="712"/>
        <v>0</v>
      </c>
      <c r="AQ1176" s="1525">
        <f t="shared" si="712"/>
        <v>0</v>
      </c>
      <c r="AR1176" s="1525">
        <f t="shared" si="712"/>
        <v>0</v>
      </c>
      <c r="AS1176" s="1525">
        <f t="shared" si="712"/>
        <v>0</v>
      </c>
      <c r="AU1176" s="1525"/>
      <c r="AV1176" s="1291"/>
      <c r="AW1176" s="1292">
        <v>0.05</v>
      </c>
      <c r="AX1176" s="1292"/>
      <c r="AY1176" s="1292"/>
      <c r="AZ1176" s="1292"/>
      <c r="BA1176" s="1292"/>
      <c r="BB1176" s="1292"/>
      <c r="BC1176" s="1292"/>
      <c r="BD1176" s="1292"/>
      <c r="BE1176" s="1292"/>
      <c r="BF1176" s="1292"/>
      <c r="BG1176" s="1292"/>
      <c r="BH1176" s="1292"/>
      <c r="BI1176" s="1292">
        <v>0.9</v>
      </c>
      <c r="BJ1176" s="1292"/>
      <c r="BK1176" s="1292"/>
      <c r="BL1176" s="1292"/>
      <c r="BM1176" s="1292">
        <v>0.05</v>
      </c>
      <c r="BN1176" s="1292"/>
      <c r="BO1176" s="1292"/>
      <c r="BP1176" s="1292"/>
      <c r="BQ1176" s="1292"/>
      <c r="BR1176" s="1292"/>
      <c r="BS1176" s="1292"/>
      <c r="BT1176" s="1670">
        <f t="shared" ref="BT1176:BT1177" si="713">SUM(AV1176:BS1176)</f>
        <v>1</v>
      </c>
      <c r="BW1176" s="834" t="s">
        <v>356</v>
      </c>
    </row>
    <row r="1177" spans="2:75" ht="12.75" customHeight="1" x14ac:dyDescent="0.2">
      <c r="B1177" s="175">
        <f>B1176+1</f>
        <v>2</v>
      </c>
      <c r="C1177" s="219">
        <v>9</v>
      </c>
      <c r="E1177" s="12" t="s">
        <v>1252</v>
      </c>
      <c r="F1177" s="469" t="s">
        <v>1396</v>
      </c>
      <c r="G1177" s="912" t="s">
        <v>818</v>
      </c>
      <c r="H1177" s="951">
        <v>290290</v>
      </c>
      <c r="I1177" s="196" t="s">
        <v>351</v>
      </c>
      <c r="J1177" s="285">
        <v>2</v>
      </c>
      <c r="K1177" s="285"/>
      <c r="L1177" s="951">
        <v>0.5</v>
      </c>
      <c r="M1177" s="951">
        <v>0.5</v>
      </c>
      <c r="N1177" s="940" t="s">
        <v>1326</v>
      </c>
      <c r="O1177" s="1211">
        <v>21882</v>
      </c>
      <c r="P1177" s="1218">
        <f ca="1">YEARFRAC(TODAY(),O1177)</f>
        <v>57.844444444444441</v>
      </c>
      <c r="Q1177" s="1092">
        <v>33800</v>
      </c>
      <c r="R1177" s="874">
        <f>Q1177*0.1</f>
        <v>3380</v>
      </c>
      <c r="S1177" s="891"/>
      <c r="T1177" s="891">
        <v>5000</v>
      </c>
      <c r="U1177" s="891"/>
      <c r="V1177" s="891"/>
      <c r="W1177" s="891"/>
      <c r="X1177" s="1026">
        <f>(Q1177+R1177+S1177+T1177+U1177+V1177+W1177)*M1177</f>
        <v>21090</v>
      </c>
      <c r="Y1177" s="1512">
        <f>(T1177+U1177)*M1177/(X1177-M1177*(T1177+U1177))</f>
        <v>0.13448090371167296</v>
      </c>
      <c r="Z1177" s="1741">
        <f>M1177*(1+Y1177)</f>
        <v>0.56724045185583649</v>
      </c>
      <c r="AA1177" s="1749">
        <f>SUM(AD1177:AS1177)</f>
        <v>0.5</v>
      </c>
      <c r="AB1177" s="1810">
        <f t="shared" si="711"/>
        <v>88.146040777619717</v>
      </c>
      <c r="AC1177" s="876"/>
      <c r="AD1177" s="1525">
        <f t="shared" si="712"/>
        <v>0.5</v>
      </c>
      <c r="AE1177" s="1525">
        <f t="shared" si="712"/>
        <v>0</v>
      </c>
      <c r="AF1177" s="1525">
        <f t="shared" si="712"/>
        <v>0</v>
      </c>
      <c r="AG1177" s="1525">
        <f t="shared" si="712"/>
        <v>0</v>
      </c>
      <c r="AH1177" s="1525">
        <f t="shared" si="712"/>
        <v>0</v>
      </c>
      <c r="AI1177" s="1525">
        <f t="shared" si="712"/>
        <v>0</v>
      </c>
      <c r="AJ1177" s="1525">
        <f t="shared" si="712"/>
        <v>0</v>
      </c>
      <c r="AK1177" s="1525">
        <f t="shared" si="712"/>
        <v>0</v>
      </c>
      <c r="AL1177" s="1525">
        <f t="shared" si="712"/>
        <v>0</v>
      </c>
      <c r="AM1177" s="1525">
        <f t="shared" si="712"/>
        <v>0</v>
      </c>
      <c r="AN1177" s="1525">
        <f t="shared" si="712"/>
        <v>0</v>
      </c>
      <c r="AO1177" s="1525">
        <f t="shared" si="712"/>
        <v>0</v>
      </c>
      <c r="AP1177" s="1525">
        <f t="shared" si="712"/>
        <v>0</v>
      </c>
      <c r="AQ1177" s="1525">
        <f t="shared" si="712"/>
        <v>0</v>
      </c>
      <c r="AR1177" s="1525">
        <f t="shared" si="712"/>
        <v>0</v>
      </c>
      <c r="AS1177" s="1525">
        <f t="shared" si="712"/>
        <v>0</v>
      </c>
      <c r="AU1177" s="1525"/>
      <c r="AV1177" s="1291"/>
      <c r="AW1177" s="1292"/>
      <c r="AX1177" s="1292"/>
      <c r="AY1177" s="1292"/>
      <c r="AZ1177" s="1292"/>
      <c r="BA1177" s="1292"/>
      <c r="BB1177" s="1292"/>
      <c r="BC1177" s="1292"/>
      <c r="BD1177" s="1292"/>
      <c r="BE1177" s="1292"/>
      <c r="BF1177" s="1292"/>
      <c r="BG1177" s="1292"/>
      <c r="BH1177" s="1292"/>
      <c r="BI1177" s="1292">
        <v>0.5</v>
      </c>
      <c r="BJ1177" s="1292"/>
      <c r="BK1177" s="1292"/>
      <c r="BL1177" s="1292"/>
      <c r="BM1177" s="1292"/>
      <c r="BN1177" s="1292"/>
      <c r="BO1177" s="1292"/>
      <c r="BP1177" s="1292"/>
      <c r="BQ1177" s="1292"/>
      <c r="BR1177" s="1292"/>
      <c r="BS1177" s="1292"/>
      <c r="BT1177" s="1670">
        <f t="shared" si="713"/>
        <v>0.5</v>
      </c>
      <c r="BW1177" s="912" t="s">
        <v>818</v>
      </c>
    </row>
    <row r="1178" spans="2:75" s="164" customFormat="1" ht="12.75" customHeight="1" x14ac:dyDescent="0.15">
      <c r="B1178" s="175"/>
      <c r="C1178" s="219" t="s">
        <v>1120</v>
      </c>
      <c r="F1178" s="61" t="s">
        <v>1038</v>
      </c>
      <c r="G1178" s="823"/>
      <c r="H1178" s="1341" t="s">
        <v>1508</v>
      </c>
      <c r="I1178" s="270"/>
      <c r="J1178" s="265"/>
      <c r="K1178" s="1655">
        <f>SUM(K1176)</f>
        <v>0</v>
      </c>
      <c r="L1178" s="1656">
        <f>SUM(L1176:L1177)</f>
        <v>1.5</v>
      </c>
      <c r="M1178" s="1656">
        <f>SUM(M1176:M1177)</f>
        <v>1.5</v>
      </c>
      <c r="N1178" s="855"/>
      <c r="O1178" s="1198"/>
      <c r="P1178" s="1245"/>
      <c r="Q1178" s="1153"/>
      <c r="R1178" s="877"/>
      <c r="S1178" s="875"/>
      <c r="T1178" s="875"/>
      <c r="U1178" s="875"/>
      <c r="V1178" s="875"/>
      <c r="W1178" s="875"/>
      <c r="X1178" s="1026"/>
      <c r="Y1178" s="1335"/>
      <c r="Z1178" s="1335"/>
      <c r="AA1178" s="1775"/>
      <c r="AB1178" s="1814"/>
      <c r="AC1178" s="876"/>
      <c r="AD1178" s="1295"/>
      <c r="AE1178" s="1525"/>
      <c r="AF1178" s="1525"/>
      <c r="AG1178" s="1525"/>
      <c r="AH1178" s="1525"/>
      <c r="AI1178" s="1525"/>
      <c r="AJ1178" s="1525"/>
      <c r="AK1178" s="1525"/>
      <c r="AL1178" s="1525"/>
      <c r="AM1178" s="1525"/>
      <c r="AN1178" s="1525"/>
      <c r="AO1178" s="1525"/>
      <c r="AP1178" s="1525"/>
      <c r="AQ1178" s="1525"/>
      <c r="AR1178" s="1525"/>
      <c r="AS1178" s="1525"/>
      <c r="AU1178" s="1525"/>
      <c r="AV1178" s="1295"/>
      <c r="AW1178" s="1525"/>
      <c r="AX1178" s="1525"/>
      <c r="AY1178" s="1525"/>
      <c r="AZ1178" s="1525"/>
      <c r="BA1178" s="1525"/>
      <c r="BB1178" s="1525"/>
      <c r="BC1178" s="1525"/>
      <c r="BD1178" s="1525"/>
      <c r="BE1178" s="1525"/>
      <c r="BF1178" s="1525"/>
      <c r="BG1178" s="1525"/>
      <c r="BH1178" s="1525"/>
      <c r="BI1178" s="1525"/>
      <c r="BJ1178" s="1525"/>
      <c r="BK1178" s="1525"/>
      <c r="BL1178" s="1525"/>
      <c r="BM1178" s="1525"/>
      <c r="BN1178" s="1525"/>
      <c r="BO1178" s="1525"/>
      <c r="BP1178" s="1525"/>
      <c r="BQ1178" s="1525"/>
      <c r="BR1178" s="1525"/>
      <c r="BS1178" s="1525"/>
      <c r="BT1178" s="1670"/>
      <c r="BV1178"/>
      <c r="BW1178" s="823"/>
    </row>
    <row r="1179" spans="2:75" s="164" customFormat="1" ht="12.75" customHeight="1" x14ac:dyDescent="0.15">
      <c r="B1179" s="175"/>
      <c r="F1179" s="9"/>
      <c r="G1179" s="855"/>
      <c r="H1179" s="1386" t="s">
        <v>1508</v>
      </c>
      <c r="I1179" s="284"/>
      <c r="J1179" s="234"/>
      <c r="K1179" s="234"/>
      <c r="L1179" s="982"/>
      <c r="M1179" s="982"/>
      <c r="N1179" s="855"/>
      <c r="O1179" s="1198"/>
      <c r="P1179" s="1245"/>
      <c r="Q1179" s="1148"/>
      <c r="R1179" s="874"/>
      <c r="S1179" s="875"/>
      <c r="T1179" s="875"/>
      <c r="U1179" s="875"/>
      <c r="V1179" s="875"/>
      <c r="W1179" s="875"/>
      <c r="X1179" s="1026"/>
      <c r="Y1179" s="1754"/>
      <c r="Z1179" s="1755"/>
      <c r="AA1179" s="1775"/>
      <c r="AB1179" s="1814"/>
      <c r="AC1179" s="876"/>
      <c r="AD1179" s="1295"/>
      <c r="AE1179" s="1525"/>
      <c r="AF1179" s="1525"/>
      <c r="AG1179" s="1525"/>
      <c r="AH1179" s="1525"/>
      <c r="AI1179" s="1525"/>
      <c r="AJ1179" s="1525"/>
      <c r="AK1179" s="1525"/>
      <c r="AL1179" s="1525"/>
      <c r="AM1179" s="1525"/>
      <c r="AN1179" s="1525"/>
      <c r="AO1179" s="1525"/>
      <c r="AP1179" s="1525"/>
      <c r="AQ1179" s="1525"/>
      <c r="AR1179" s="1525"/>
      <c r="AS1179" s="1525"/>
      <c r="AU1179" s="1525"/>
      <c r="AV1179" s="1295"/>
      <c r="AW1179" s="1525"/>
      <c r="AX1179" s="1525"/>
      <c r="AY1179" s="1525"/>
      <c r="AZ1179" s="1525"/>
      <c r="BA1179" s="1525"/>
      <c r="BB1179" s="1525"/>
      <c r="BC1179" s="1525"/>
      <c r="BD1179" s="1525"/>
      <c r="BE1179" s="1525"/>
      <c r="BF1179" s="1525"/>
      <c r="BG1179" s="1525"/>
      <c r="BH1179" s="1525"/>
      <c r="BI1179" s="1525"/>
      <c r="BJ1179" s="1525"/>
      <c r="BK1179" s="1525"/>
      <c r="BL1179" s="1525"/>
      <c r="BM1179" s="1525"/>
      <c r="BN1179" s="1525"/>
      <c r="BO1179" s="1525"/>
      <c r="BP1179" s="1525"/>
      <c r="BQ1179" s="1525"/>
      <c r="BR1179" s="1525"/>
      <c r="BS1179" s="1525"/>
      <c r="BT1179" s="1670"/>
      <c r="BV1179"/>
      <c r="BW1179" s="855"/>
    </row>
    <row r="1180" spans="2:75" s="164" customFormat="1" ht="12.75" customHeight="1" x14ac:dyDescent="0.15">
      <c r="B1180" s="175"/>
      <c r="F1180" s="61" t="s">
        <v>357</v>
      </c>
      <c r="G1180" s="855"/>
      <c r="H1180" s="1386" t="s">
        <v>1508</v>
      </c>
      <c r="I1180" s="270"/>
      <c r="J1180" s="265"/>
      <c r="K1180" s="265"/>
      <c r="L1180" s="982"/>
      <c r="M1180" s="982"/>
      <c r="N1180" s="855"/>
      <c r="O1180" s="1198"/>
      <c r="P1180" s="1245"/>
      <c r="Q1180" s="1148"/>
      <c r="R1180" s="874"/>
      <c r="S1180" s="875"/>
      <c r="T1180" s="875"/>
      <c r="U1180" s="875"/>
      <c r="V1180" s="875"/>
      <c r="W1180" s="875"/>
      <c r="X1180" s="1026"/>
      <c r="Y1180" s="1754"/>
      <c r="Z1180" s="1755"/>
      <c r="AA1180" s="1775"/>
      <c r="AB1180" s="1814"/>
      <c r="AC1180" s="876"/>
      <c r="AD1180" s="1295"/>
      <c r="AE1180" s="1525"/>
      <c r="AF1180" s="1525"/>
      <c r="AG1180" s="1525"/>
      <c r="AH1180" s="1525"/>
      <c r="AI1180" s="1525"/>
      <c r="AJ1180" s="1525"/>
      <c r="AK1180" s="1525"/>
      <c r="AL1180" s="1525"/>
      <c r="AM1180" s="1525"/>
      <c r="AN1180" s="1525"/>
      <c r="AO1180" s="1525"/>
      <c r="AP1180" s="1525"/>
      <c r="AQ1180" s="1525"/>
      <c r="AR1180" s="1525"/>
      <c r="AS1180" s="1525"/>
      <c r="AU1180" s="1525"/>
      <c r="AV1180" s="1295"/>
      <c r="AW1180" s="1525"/>
      <c r="AX1180" s="1525"/>
      <c r="AY1180" s="1525"/>
      <c r="AZ1180" s="1525"/>
      <c r="BA1180" s="1525"/>
      <c r="BB1180" s="1525"/>
      <c r="BC1180" s="1525"/>
      <c r="BD1180" s="1525"/>
      <c r="BE1180" s="1525"/>
      <c r="BF1180" s="1525"/>
      <c r="BG1180" s="1525"/>
      <c r="BH1180" s="1525"/>
      <c r="BI1180" s="1525"/>
      <c r="BJ1180" s="1525"/>
      <c r="BK1180" s="1525"/>
      <c r="BL1180" s="1525"/>
      <c r="BM1180" s="1525"/>
      <c r="BN1180" s="1525"/>
      <c r="BO1180" s="1525"/>
      <c r="BP1180" s="1525"/>
      <c r="BQ1180" s="1525"/>
      <c r="BR1180" s="1525"/>
      <c r="BS1180" s="1525"/>
      <c r="BT1180" s="1670"/>
      <c r="BV1180"/>
      <c r="BW1180" s="855"/>
    </row>
    <row r="1181" spans="2:75" s="164" customFormat="1" ht="12.75" customHeight="1" x14ac:dyDescent="0.15">
      <c r="B1181" s="175"/>
      <c r="F1181" s="18"/>
      <c r="G1181" s="834"/>
      <c r="H1181" s="1387" t="s">
        <v>1508</v>
      </c>
      <c r="I1181" s="280"/>
      <c r="J1181" s="239"/>
      <c r="K1181" s="239"/>
      <c r="L1181" s="983"/>
      <c r="M1181" s="983"/>
      <c r="N1181" s="832"/>
      <c r="O1181" s="1198"/>
      <c r="P1181" s="1245"/>
      <c r="Q1181" s="1148"/>
      <c r="R1181" s="874"/>
      <c r="S1181" s="875"/>
      <c r="T1181" s="875"/>
      <c r="U1181" s="875"/>
      <c r="V1181" s="875"/>
      <c r="W1181" s="875"/>
      <c r="X1181" s="1026"/>
      <c r="Y1181" s="1754"/>
      <c r="Z1181" s="1755"/>
      <c r="AA1181" s="1775"/>
      <c r="AB1181" s="1814"/>
      <c r="AC1181" s="876"/>
      <c r="AD1181" s="1295"/>
      <c r="AE1181" s="1525"/>
      <c r="AF1181" s="1525"/>
      <c r="AG1181" s="1525"/>
      <c r="AH1181" s="1525"/>
      <c r="AI1181" s="1525"/>
      <c r="AJ1181" s="1525"/>
      <c r="AK1181" s="1525"/>
      <c r="AL1181" s="1525"/>
      <c r="AM1181" s="1525"/>
      <c r="AN1181" s="1525"/>
      <c r="AO1181" s="1525"/>
      <c r="AP1181" s="1525"/>
      <c r="AQ1181" s="1525"/>
      <c r="AR1181" s="1525"/>
      <c r="AS1181" s="1525"/>
      <c r="AU1181" s="1525"/>
      <c r="AV1181" s="1295"/>
      <c r="AW1181" s="1525"/>
      <c r="AX1181" s="1525"/>
      <c r="AY1181" s="1525"/>
      <c r="AZ1181" s="1525"/>
      <c r="BA1181" s="1525"/>
      <c r="BB1181" s="1525"/>
      <c r="BC1181" s="1525"/>
      <c r="BD1181" s="1525"/>
      <c r="BE1181" s="1525"/>
      <c r="BF1181" s="1525"/>
      <c r="BG1181" s="1525"/>
      <c r="BH1181" s="1525"/>
      <c r="BI1181" s="1525"/>
      <c r="BJ1181" s="1525"/>
      <c r="BK1181" s="1525"/>
      <c r="BL1181" s="1525"/>
      <c r="BM1181" s="1525"/>
      <c r="BN1181" s="1525"/>
      <c r="BO1181" s="1525"/>
      <c r="BP1181" s="1525"/>
      <c r="BQ1181" s="1525"/>
      <c r="BR1181" s="1525"/>
      <c r="BS1181" s="1525"/>
      <c r="BT1181" s="1670"/>
      <c r="BV1181"/>
      <c r="BW1181" s="834"/>
    </row>
    <row r="1182" spans="2:75" ht="12.75" customHeight="1" x14ac:dyDescent="0.2">
      <c r="B1182" s="175">
        <f>B1181+1</f>
        <v>1</v>
      </c>
      <c r="C1182" s="219">
        <v>11</v>
      </c>
      <c r="E1182" s="12" t="s">
        <v>1252</v>
      </c>
      <c r="F1182" t="s">
        <v>824</v>
      </c>
      <c r="G1182" s="984" t="s">
        <v>1933</v>
      </c>
      <c r="H1182" s="858">
        <v>6944</v>
      </c>
      <c r="I1182" s="232" t="s">
        <v>161</v>
      </c>
      <c r="L1182" s="950">
        <v>1</v>
      </c>
      <c r="M1182" s="858">
        <f>K1182+L1182</f>
        <v>1</v>
      </c>
      <c r="N1182" s="833" t="s">
        <v>1326</v>
      </c>
      <c r="O1182" s="1196">
        <v>19245</v>
      </c>
      <c r="P1182" s="1218">
        <f t="shared" ref="P1182:P1188" ca="1" si="714">YEARFRAC(TODAY(),O1182)</f>
        <v>65.066666666666663</v>
      </c>
      <c r="Q1182" s="1148">
        <v>37000</v>
      </c>
      <c r="R1182" s="874">
        <f>Q1182*0.1</f>
        <v>3700</v>
      </c>
      <c r="S1182" s="875"/>
      <c r="T1182" s="877">
        <v>4000</v>
      </c>
      <c r="U1182" s="877"/>
      <c r="V1182" s="877"/>
      <c r="W1182" s="875"/>
      <c r="X1182" s="1026">
        <f t="shared" ref="X1182:X1188" si="715">(Q1182+R1182+S1182+T1182+U1182+V1182+W1182)*M1182</f>
        <v>44700</v>
      </c>
      <c r="Y1182" s="1512">
        <f t="shared" ref="Y1182:Y1188" si="716">(T1182+U1182)*M1182/(X1182-M1182*(T1182+U1182))</f>
        <v>9.8280098280098274E-2</v>
      </c>
      <c r="Z1182" s="1741">
        <f t="shared" ref="Z1182:Z1188" si="717">M1182*(1+Y1182)</f>
        <v>1.0982800982800982</v>
      </c>
      <c r="AA1182" s="1749">
        <f t="shared" ref="AA1182:AA1188" si="718">SUM(AD1182:AS1182)</f>
        <v>1</v>
      </c>
      <c r="AB1182" s="1810">
        <f t="shared" ref="AB1182:AB1188" si="719">100*AA1182/Z1182</f>
        <v>91.051454138702468</v>
      </c>
      <c r="AC1182" s="876"/>
      <c r="AD1182" s="1525">
        <f t="shared" ref="AD1182:AS1188" si="720">SUMIF($AV$6:$BS$6,AD$5,$AV1182:$BS1182)</f>
        <v>0.9</v>
      </c>
      <c r="AE1182" s="1525">
        <f t="shared" si="720"/>
        <v>0</v>
      </c>
      <c r="AF1182" s="1525">
        <f t="shared" si="720"/>
        <v>0</v>
      </c>
      <c r="AG1182" s="1525">
        <f t="shared" si="720"/>
        <v>0</v>
      </c>
      <c r="AH1182" s="1525">
        <f t="shared" si="720"/>
        <v>0</v>
      </c>
      <c r="AI1182" s="1525">
        <f t="shared" si="720"/>
        <v>0.05</v>
      </c>
      <c r="AJ1182" s="1525">
        <f t="shared" si="720"/>
        <v>0</v>
      </c>
      <c r="AK1182" s="1525">
        <f t="shared" si="720"/>
        <v>0.05</v>
      </c>
      <c r="AL1182" s="1525">
        <f t="shared" si="720"/>
        <v>0</v>
      </c>
      <c r="AM1182" s="1525">
        <f t="shared" si="720"/>
        <v>0</v>
      </c>
      <c r="AN1182" s="1525">
        <f t="shared" si="720"/>
        <v>0</v>
      </c>
      <c r="AO1182" s="1525">
        <f t="shared" si="720"/>
        <v>0</v>
      </c>
      <c r="AP1182" s="1525">
        <f t="shared" si="720"/>
        <v>0</v>
      </c>
      <c r="AQ1182" s="1525">
        <f t="shared" si="720"/>
        <v>0</v>
      </c>
      <c r="AR1182" s="1525">
        <f t="shared" si="720"/>
        <v>0</v>
      </c>
      <c r="AS1182" s="1525">
        <f t="shared" si="720"/>
        <v>0</v>
      </c>
      <c r="AU1182" s="1525"/>
      <c r="AV1182" s="1291"/>
      <c r="AW1182" s="1292">
        <v>0.05</v>
      </c>
      <c r="AX1182" s="1292"/>
      <c r="AY1182" s="1292"/>
      <c r="AZ1182" s="1292"/>
      <c r="BA1182" s="1292"/>
      <c r="BB1182" s="1292"/>
      <c r="BC1182" s="1292"/>
      <c r="BD1182" s="1292"/>
      <c r="BE1182" s="1292"/>
      <c r="BF1182" s="1292"/>
      <c r="BG1182" s="1292"/>
      <c r="BH1182" s="1292"/>
      <c r="BI1182" s="1292">
        <v>0.9</v>
      </c>
      <c r="BJ1182" s="1292"/>
      <c r="BK1182" s="1292"/>
      <c r="BL1182" s="1292"/>
      <c r="BM1182" s="1292">
        <v>0.05</v>
      </c>
      <c r="BN1182" s="1292"/>
      <c r="BO1182" s="1292"/>
      <c r="BP1182" s="1292"/>
      <c r="BQ1182" s="1292"/>
      <c r="BR1182" s="1292"/>
      <c r="BS1182" s="1292"/>
      <c r="BT1182" s="1670">
        <f t="shared" ref="BT1182:BT1188" si="721">SUM(AV1182:BS1182)</f>
        <v>1</v>
      </c>
      <c r="BW1182" s="984" t="s">
        <v>1933</v>
      </c>
    </row>
    <row r="1183" spans="2:75" s="164" customFormat="1" ht="12.75" customHeight="1" x14ac:dyDescent="0.2">
      <c r="B1183" s="175">
        <f t="shared" ref="B1183:B1188" si="722">B1182+1</f>
        <v>2</v>
      </c>
      <c r="C1183" s="219">
        <v>7</v>
      </c>
      <c r="E1183" s="12" t="s">
        <v>1252</v>
      </c>
      <c r="F1183" s="28" t="s">
        <v>1334</v>
      </c>
      <c r="G1183" s="834" t="s">
        <v>1926</v>
      </c>
      <c r="H1183" s="858">
        <v>6885</v>
      </c>
      <c r="I1183" s="200" t="s">
        <v>351</v>
      </c>
      <c r="J1183" s="268"/>
      <c r="K1183" s="268"/>
      <c r="L1183" s="950">
        <v>1</v>
      </c>
      <c r="M1183" s="858">
        <f>K1183+L1183</f>
        <v>1</v>
      </c>
      <c r="N1183" s="832" t="s">
        <v>1326</v>
      </c>
      <c r="O1183" s="1196">
        <v>15518</v>
      </c>
      <c r="P1183" s="1218">
        <f t="shared" ca="1" si="714"/>
        <v>75.266666666666666</v>
      </c>
      <c r="Q1183" s="1148">
        <v>22600</v>
      </c>
      <c r="R1183" s="874">
        <f>Q1183*0.1</f>
        <v>2260</v>
      </c>
      <c r="S1183" s="875">
        <v>3000</v>
      </c>
      <c r="T1183" s="877">
        <v>6500</v>
      </c>
      <c r="U1183" s="877"/>
      <c r="V1183" s="877"/>
      <c r="W1183" s="875"/>
      <c r="X1183" s="1026">
        <f t="shared" si="715"/>
        <v>34360</v>
      </c>
      <c r="Y1183" s="1512">
        <f t="shared" si="716"/>
        <v>0.23330940416367552</v>
      </c>
      <c r="Z1183" s="1741">
        <f t="shared" si="717"/>
        <v>1.2333094041636756</v>
      </c>
      <c r="AA1183" s="1749">
        <f t="shared" si="718"/>
        <v>1</v>
      </c>
      <c r="AB1183" s="1810">
        <f t="shared" si="719"/>
        <v>81.08265424912689</v>
      </c>
      <c r="AC1183" s="876"/>
      <c r="AD1183" s="1525">
        <f t="shared" si="720"/>
        <v>0.8</v>
      </c>
      <c r="AE1183" s="1525">
        <f t="shared" si="720"/>
        <v>0</v>
      </c>
      <c r="AF1183" s="1525">
        <f t="shared" si="720"/>
        <v>0</v>
      </c>
      <c r="AG1183" s="1525">
        <f t="shared" si="720"/>
        <v>0</v>
      </c>
      <c r="AH1183" s="1525">
        <f t="shared" si="720"/>
        <v>0</v>
      </c>
      <c r="AI1183" s="1525">
        <f t="shared" si="720"/>
        <v>0.2</v>
      </c>
      <c r="AJ1183" s="1525">
        <f t="shared" si="720"/>
        <v>0</v>
      </c>
      <c r="AK1183" s="1525">
        <f t="shared" si="720"/>
        <v>0</v>
      </c>
      <c r="AL1183" s="1525">
        <f t="shared" si="720"/>
        <v>0</v>
      </c>
      <c r="AM1183" s="1525">
        <f t="shared" si="720"/>
        <v>0</v>
      </c>
      <c r="AN1183" s="1525">
        <f t="shared" si="720"/>
        <v>0</v>
      </c>
      <c r="AO1183" s="1525">
        <f t="shared" si="720"/>
        <v>0</v>
      </c>
      <c r="AP1183" s="1525">
        <f t="shared" si="720"/>
        <v>0</v>
      </c>
      <c r="AQ1183" s="1525">
        <f t="shared" si="720"/>
        <v>0</v>
      </c>
      <c r="AR1183" s="1525">
        <f t="shared" si="720"/>
        <v>0</v>
      </c>
      <c r="AS1183" s="1525">
        <f t="shared" si="720"/>
        <v>0</v>
      </c>
      <c r="AU1183" s="1525"/>
      <c r="AV1183" s="1295"/>
      <c r="AW1183" s="1525"/>
      <c r="AX1183" s="1525"/>
      <c r="AY1183" s="1525"/>
      <c r="AZ1183" s="1525"/>
      <c r="BA1183" s="1525"/>
      <c r="BB1183" s="1525"/>
      <c r="BC1183" s="1525"/>
      <c r="BD1183" s="1525"/>
      <c r="BE1183" s="1525"/>
      <c r="BF1183" s="1525"/>
      <c r="BG1183" s="1525"/>
      <c r="BH1183" s="1525"/>
      <c r="BI1183" s="1525">
        <v>0.8</v>
      </c>
      <c r="BJ1183" s="1525"/>
      <c r="BK1183" s="1525"/>
      <c r="BL1183" s="1525"/>
      <c r="BM1183" s="1525">
        <v>0.2</v>
      </c>
      <c r="BN1183" s="1525"/>
      <c r="BO1183" s="1525"/>
      <c r="BP1183" s="1525"/>
      <c r="BQ1183" s="1525"/>
      <c r="BR1183" s="1525"/>
      <c r="BS1183" s="1525"/>
      <c r="BT1183" s="1670">
        <f t="shared" si="721"/>
        <v>1</v>
      </c>
      <c r="BV1183"/>
      <c r="BW1183" s="834" t="s">
        <v>1926</v>
      </c>
    </row>
    <row r="1184" spans="2:75" ht="12.75" customHeight="1" x14ac:dyDescent="0.2">
      <c r="B1184" s="175">
        <f t="shared" si="722"/>
        <v>3</v>
      </c>
      <c r="C1184" s="219">
        <v>8</v>
      </c>
      <c r="E1184" s="12" t="s">
        <v>1252</v>
      </c>
      <c r="F1184" s="58" t="s">
        <v>353</v>
      </c>
      <c r="G1184" s="834" t="s">
        <v>524</v>
      </c>
      <c r="H1184" s="858">
        <v>212279</v>
      </c>
      <c r="I1184" s="200" t="s">
        <v>351</v>
      </c>
      <c r="J1184" s="260"/>
      <c r="K1184" s="260"/>
      <c r="L1184" s="950">
        <v>0.5</v>
      </c>
      <c r="M1184" s="858">
        <f>K1184+L1184</f>
        <v>0.5</v>
      </c>
      <c r="N1184" s="832" t="s">
        <v>1326</v>
      </c>
      <c r="O1184" s="1196">
        <v>26071</v>
      </c>
      <c r="P1184" s="1218">
        <f t="shared" ca="1" si="714"/>
        <v>46.37222222222222</v>
      </c>
      <c r="Q1184" s="1148">
        <v>25600</v>
      </c>
      <c r="R1184" s="874">
        <f>Q1184*0.1</f>
        <v>2560</v>
      </c>
      <c r="S1184" s="875"/>
      <c r="T1184" s="877"/>
      <c r="U1184" s="877"/>
      <c r="V1184" s="877"/>
      <c r="W1184" s="875"/>
      <c r="X1184" s="1026">
        <f t="shared" si="715"/>
        <v>14080</v>
      </c>
      <c r="Y1184" s="1512">
        <f t="shared" si="716"/>
        <v>0</v>
      </c>
      <c r="Z1184" s="1741">
        <f t="shared" si="717"/>
        <v>0.5</v>
      </c>
      <c r="AA1184" s="1749">
        <f t="shared" si="718"/>
        <v>0.5</v>
      </c>
      <c r="AB1184" s="1810">
        <f t="shared" si="719"/>
        <v>100</v>
      </c>
      <c r="AC1184" s="876"/>
      <c r="AD1184" s="1525">
        <f t="shared" si="720"/>
        <v>0.5</v>
      </c>
      <c r="AE1184" s="1525">
        <f t="shared" si="720"/>
        <v>0</v>
      </c>
      <c r="AF1184" s="1525">
        <f t="shared" si="720"/>
        <v>0</v>
      </c>
      <c r="AG1184" s="1525">
        <f t="shared" si="720"/>
        <v>0</v>
      </c>
      <c r="AH1184" s="1525">
        <f t="shared" si="720"/>
        <v>0</v>
      </c>
      <c r="AI1184" s="1525">
        <f t="shared" si="720"/>
        <v>0</v>
      </c>
      <c r="AJ1184" s="1525">
        <f t="shared" si="720"/>
        <v>0</v>
      </c>
      <c r="AK1184" s="1525">
        <f t="shared" si="720"/>
        <v>0</v>
      </c>
      <c r="AL1184" s="1525">
        <f t="shared" si="720"/>
        <v>0</v>
      </c>
      <c r="AM1184" s="1525">
        <f t="shared" si="720"/>
        <v>0</v>
      </c>
      <c r="AN1184" s="1525">
        <f t="shared" si="720"/>
        <v>0</v>
      </c>
      <c r="AO1184" s="1525">
        <f t="shared" si="720"/>
        <v>0</v>
      </c>
      <c r="AP1184" s="1525">
        <f t="shared" si="720"/>
        <v>0</v>
      </c>
      <c r="AQ1184" s="1525">
        <f t="shared" si="720"/>
        <v>0</v>
      </c>
      <c r="AR1184" s="1525">
        <f t="shared" si="720"/>
        <v>0</v>
      </c>
      <c r="AS1184" s="1525">
        <f t="shared" si="720"/>
        <v>0</v>
      </c>
      <c r="AU1184" s="1525"/>
      <c r="AV1184" s="1291"/>
      <c r="AW1184" s="1292"/>
      <c r="AX1184" s="1292"/>
      <c r="AY1184" s="1292"/>
      <c r="AZ1184" s="1292"/>
      <c r="BA1184" s="1292"/>
      <c r="BB1184" s="1292"/>
      <c r="BC1184" s="1292"/>
      <c r="BD1184" s="1292"/>
      <c r="BE1184" s="1292"/>
      <c r="BF1184" s="1292"/>
      <c r="BG1184" s="1292"/>
      <c r="BH1184" s="1292"/>
      <c r="BI1184" s="1292">
        <v>0.5</v>
      </c>
      <c r="BJ1184" s="1292"/>
      <c r="BK1184" s="1292"/>
      <c r="BL1184" s="1292"/>
      <c r="BM1184" s="1292"/>
      <c r="BN1184" s="1292"/>
      <c r="BO1184" s="1292"/>
      <c r="BP1184" s="1292"/>
      <c r="BQ1184" s="1292"/>
      <c r="BR1184" s="1292"/>
      <c r="BS1184" s="1292"/>
      <c r="BT1184" s="1670">
        <f t="shared" si="721"/>
        <v>0.5</v>
      </c>
      <c r="BW1184" s="834" t="s">
        <v>524</v>
      </c>
    </row>
    <row r="1185" spans="2:75" ht="12.75" customHeight="1" x14ac:dyDescent="0.2">
      <c r="B1185" s="175">
        <f t="shared" si="722"/>
        <v>4</v>
      </c>
      <c r="C1185" s="219">
        <v>8</v>
      </c>
      <c r="E1185" s="12" t="s">
        <v>1252</v>
      </c>
      <c r="F1185" s="58" t="s">
        <v>353</v>
      </c>
      <c r="G1185" s="834" t="s">
        <v>1726</v>
      </c>
      <c r="H1185" s="858">
        <v>150854</v>
      </c>
      <c r="I1185" s="200" t="s">
        <v>351</v>
      </c>
      <c r="J1185" s="260"/>
      <c r="K1185" s="260"/>
      <c r="L1185" s="950">
        <v>0.5</v>
      </c>
      <c r="M1185" s="858">
        <v>0.5</v>
      </c>
      <c r="N1185" s="832" t="s">
        <v>1326</v>
      </c>
      <c r="O1185" s="1196">
        <v>27463</v>
      </c>
      <c r="P1185" s="1218">
        <f t="shared" ca="1" si="714"/>
        <v>42.56111111111111</v>
      </c>
      <c r="Q1185" s="1148">
        <v>41450</v>
      </c>
      <c r="R1185" s="874">
        <f>Q1185*0.1</f>
        <v>4145</v>
      </c>
      <c r="S1185" s="875"/>
      <c r="T1185" s="877">
        <v>3000</v>
      </c>
      <c r="U1185" s="877"/>
      <c r="V1185" s="877"/>
      <c r="W1185" s="875"/>
      <c r="X1185" s="1026">
        <f t="shared" si="715"/>
        <v>24297.5</v>
      </c>
      <c r="Y1185" s="1512">
        <f t="shared" si="716"/>
        <v>6.5796688233358921E-2</v>
      </c>
      <c r="Z1185" s="1741">
        <f t="shared" si="717"/>
        <v>0.53289834411667947</v>
      </c>
      <c r="AA1185" s="1749">
        <f t="shared" si="718"/>
        <v>0.5</v>
      </c>
      <c r="AB1185" s="1810">
        <f t="shared" si="719"/>
        <v>93.82652536269164</v>
      </c>
      <c r="AC1185" s="876"/>
      <c r="AD1185" s="1525">
        <f t="shared" si="720"/>
        <v>0.5</v>
      </c>
      <c r="AE1185" s="1525">
        <f t="shared" si="720"/>
        <v>0</v>
      </c>
      <c r="AF1185" s="1525">
        <f t="shared" si="720"/>
        <v>0</v>
      </c>
      <c r="AG1185" s="1525">
        <f t="shared" si="720"/>
        <v>0</v>
      </c>
      <c r="AH1185" s="1525">
        <f t="shared" si="720"/>
        <v>0</v>
      </c>
      <c r="AI1185" s="1525">
        <f t="shared" si="720"/>
        <v>0</v>
      </c>
      <c r="AJ1185" s="1525">
        <f t="shared" si="720"/>
        <v>0</v>
      </c>
      <c r="AK1185" s="1525">
        <f t="shared" si="720"/>
        <v>0</v>
      </c>
      <c r="AL1185" s="1525">
        <f t="shared" si="720"/>
        <v>0</v>
      </c>
      <c r="AM1185" s="1525">
        <f t="shared" si="720"/>
        <v>0</v>
      </c>
      <c r="AN1185" s="1525">
        <f t="shared" si="720"/>
        <v>0</v>
      </c>
      <c r="AO1185" s="1525">
        <f t="shared" si="720"/>
        <v>0</v>
      </c>
      <c r="AP1185" s="1525">
        <f t="shared" si="720"/>
        <v>0</v>
      </c>
      <c r="AQ1185" s="1525">
        <f t="shared" si="720"/>
        <v>0</v>
      </c>
      <c r="AR1185" s="1525">
        <f t="shared" si="720"/>
        <v>0</v>
      </c>
      <c r="AS1185" s="1525">
        <f t="shared" si="720"/>
        <v>0</v>
      </c>
      <c r="AU1185" s="1525"/>
      <c r="AV1185" s="1291"/>
      <c r="AW1185" s="1292"/>
      <c r="AX1185" s="1292"/>
      <c r="AY1185" s="1292"/>
      <c r="AZ1185" s="1292"/>
      <c r="BA1185" s="1292"/>
      <c r="BB1185" s="1292"/>
      <c r="BC1185" s="1292"/>
      <c r="BD1185" s="1292"/>
      <c r="BE1185" s="1292"/>
      <c r="BF1185" s="1292"/>
      <c r="BG1185" s="1292"/>
      <c r="BH1185" s="1292"/>
      <c r="BI1185" s="1292">
        <v>0.5</v>
      </c>
      <c r="BJ1185" s="1292"/>
      <c r="BK1185" s="1292"/>
      <c r="BL1185" s="1292"/>
      <c r="BM1185" s="1292"/>
      <c r="BN1185" s="1292"/>
      <c r="BO1185" s="1292"/>
      <c r="BP1185" s="1292"/>
      <c r="BQ1185" s="1292"/>
      <c r="BR1185" s="1292"/>
      <c r="BS1185" s="1292"/>
      <c r="BT1185" s="1670">
        <f t="shared" si="721"/>
        <v>0.5</v>
      </c>
      <c r="BW1185" s="834" t="s">
        <v>1726</v>
      </c>
    </row>
    <row r="1186" spans="2:75" ht="12.75" customHeight="1" x14ac:dyDescent="0.2">
      <c r="B1186" s="175">
        <f t="shared" si="722"/>
        <v>5</v>
      </c>
      <c r="C1186" s="219">
        <v>8</v>
      </c>
      <c r="E1186" s="12" t="s">
        <v>1252</v>
      </c>
      <c r="F1186" s="58" t="s">
        <v>353</v>
      </c>
      <c r="G1186" s="834" t="s">
        <v>1808</v>
      </c>
      <c r="H1186" s="858">
        <v>162270</v>
      </c>
      <c r="I1186" s="200" t="s">
        <v>351</v>
      </c>
      <c r="J1186" s="260"/>
      <c r="K1186" s="260"/>
      <c r="L1186" s="950">
        <v>1</v>
      </c>
      <c r="M1186" s="858">
        <v>1</v>
      </c>
      <c r="N1186" s="832" t="s">
        <v>1326</v>
      </c>
      <c r="O1186" s="1196">
        <v>23218</v>
      </c>
      <c r="P1186" s="1218">
        <f t="shared" ca="1" si="714"/>
        <v>54.18333333333333</v>
      </c>
      <c r="Q1186" s="1148">
        <v>30000</v>
      </c>
      <c r="R1186" s="874">
        <f>Q1186*0.1</f>
        <v>3000</v>
      </c>
      <c r="S1186" s="875">
        <v>3000</v>
      </c>
      <c r="T1186" s="877"/>
      <c r="U1186" s="877"/>
      <c r="V1186" s="877"/>
      <c r="W1186" s="875"/>
      <c r="X1186" s="1026">
        <f t="shared" si="715"/>
        <v>36000</v>
      </c>
      <c r="Y1186" s="1512">
        <f t="shared" si="716"/>
        <v>0</v>
      </c>
      <c r="Z1186" s="1741">
        <f t="shared" si="717"/>
        <v>1</v>
      </c>
      <c r="AA1186" s="1749">
        <f t="shared" si="718"/>
        <v>1</v>
      </c>
      <c r="AB1186" s="1810">
        <f t="shared" si="719"/>
        <v>100</v>
      </c>
      <c r="AC1186" s="876"/>
      <c r="AD1186" s="1525">
        <f t="shared" si="720"/>
        <v>1</v>
      </c>
      <c r="AE1186" s="1525">
        <f t="shared" si="720"/>
        <v>0</v>
      </c>
      <c r="AF1186" s="1525">
        <f t="shared" si="720"/>
        <v>0</v>
      </c>
      <c r="AG1186" s="1525">
        <f t="shared" si="720"/>
        <v>0</v>
      </c>
      <c r="AH1186" s="1525">
        <f t="shared" si="720"/>
        <v>0</v>
      </c>
      <c r="AI1186" s="1525">
        <f t="shared" si="720"/>
        <v>0</v>
      </c>
      <c r="AJ1186" s="1525">
        <f t="shared" si="720"/>
        <v>0</v>
      </c>
      <c r="AK1186" s="1525">
        <f t="shared" si="720"/>
        <v>0</v>
      </c>
      <c r="AL1186" s="1525">
        <f t="shared" si="720"/>
        <v>0</v>
      </c>
      <c r="AM1186" s="1525">
        <f t="shared" si="720"/>
        <v>0</v>
      </c>
      <c r="AN1186" s="1525">
        <f t="shared" si="720"/>
        <v>0</v>
      </c>
      <c r="AO1186" s="1525">
        <f t="shared" si="720"/>
        <v>0</v>
      </c>
      <c r="AP1186" s="1525">
        <f t="shared" si="720"/>
        <v>0</v>
      </c>
      <c r="AQ1186" s="1525">
        <f t="shared" si="720"/>
        <v>0</v>
      </c>
      <c r="AR1186" s="1525">
        <f t="shared" si="720"/>
        <v>0</v>
      </c>
      <c r="AS1186" s="1525">
        <f t="shared" si="720"/>
        <v>0</v>
      </c>
      <c r="AU1186" s="1525"/>
      <c r="AV1186" s="1291"/>
      <c r="AW1186" s="1292"/>
      <c r="AX1186" s="1292"/>
      <c r="AY1186" s="1292"/>
      <c r="AZ1186" s="1292"/>
      <c r="BA1186" s="1292"/>
      <c r="BB1186" s="1292"/>
      <c r="BC1186" s="1292"/>
      <c r="BD1186" s="1292"/>
      <c r="BE1186" s="1292"/>
      <c r="BF1186" s="1292"/>
      <c r="BG1186" s="1292"/>
      <c r="BH1186" s="1292"/>
      <c r="BI1186" s="1292">
        <v>1</v>
      </c>
      <c r="BJ1186" s="1292"/>
      <c r="BK1186" s="1292"/>
      <c r="BL1186" s="1292"/>
      <c r="BM1186" s="1292"/>
      <c r="BN1186" s="1292"/>
      <c r="BO1186" s="1292"/>
      <c r="BP1186" s="1292"/>
      <c r="BQ1186" s="1292"/>
      <c r="BR1186" s="1292"/>
      <c r="BS1186" s="1292"/>
      <c r="BT1186" s="1670">
        <f t="shared" si="721"/>
        <v>1</v>
      </c>
      <c r="BW1186" s="834" t="s">
        <v>1808</v>
      </c>
    </row>
    <row r="1187" spans="2:75" ht="12.75" customHeight="1" x14ac:dyDescent="0.2">
      <c r="B1187" s="175">
        <f t="shared" si="722"/>
        <v>6</v>
      </c>
      <c r="C1187" s="219">
        <v>14</v>
      </c>
      <c r="E1187" s="12" t="s">
        <v>1252</v>
      </c>
      <c r="F1187" s="23" t="s">
        <v>626</v>
      </c>
      <c r="G1187" s="834" t="s">
        <v>526</v>
      </c>
      <c r="H1187" s="858">
        <v>284397</v>
      </c>
      <c r="I1187" s="200" t="s">
        <v>583</v>
      </c>
      <c r="J1187" s="260"/>
      <c r="K1187" s="260"/>
      <c r="L1187" s="950">
        <v>0.4</v>
      </c>
      <c r="M1187" s="858">
        <v>0.4</v>
      </c>
      <c r="N1187" s="855" t="s">
        <v>892</v>
      </c>
      <c r="O1187" s="1196">
        <v>17176</v>
      </c>
      <c r="P1187" s="1218">
        <f t="shared" ca="1" si="714"/>
        <v>70.730555555555554</v>
      </c>
      <c r="Q1187" s="1148">
        <v>22000</v>
      </c>
      <c r="R1187" s="874"/>
      <c r="S1187" s="875"/>
      <c r="T1187" s="877">
        <v>4200</v>
      </c>
      <c r="U1187" s="877"/>
      <c r="V1187" s="877"/>
      <c r="W1187" s="875"/>
      <c r="X1187" s="1026">
        <f t="shared" si="715"/>
        <v>10480</v>
      </c>
      <c r="Y1187" s="1512">
        <f t="shared" si="716"/>
        <v>0.19090909090909092</v>
      </c>
      <c r="Z1187" s="1741">
        <f t="shared" si="717"/>
        <v>0.47636363636363638</v>
      </c>
      <c r="AA1187" s="1749">
        <f t="shared" si="718"/>
        <v>0</v>
      </c>
      <c r="AB1187" s="1810">
        <f t="shared" si="719"/>
        <v>0</v>
      </c>
      <c r="AC1187" s="876"/>
      <c r="AD1187" s="1525">
        <f t="shared" si="720"/>
        <v>0</v>
      </c>
      <c r="AE1187" s="1525">
        <f t="shared" si="720"/>
        <v>0</v>
      </c>
      <c r="AF1187" s="1525">
        <f t="shared" si="720"/>
        <v>0</v>
      </c>
      <c r="AG1187" s="1525">
        <f t="shared" si="720"/>
        <v>0</v>
      </c>
      <c r="AH1187" s="1525">
        <f t="shared" si="720"/>
        <v>0</v>
      </c>
      <c r="AI1187" s="1525">
        <f t="shared" si="720"/>
        <v>0</v>
      </c>
      <c r="AJ1187" s="1525">
        <f t="shared" si="720"/>
        <v>0</v>
      </c>
      <c r="AK1187" s="1525">
        <f t="shared" si="720"/>
        <v>0</v>
      </c>
      <c r="AL1187" s="1525">
        <f t="shared" si="720"/>
        <v>0</v>
      </c>
      <c r="AM1187" s="1525">
        <f t="shared" si="720"/>
        <v>0</v>
      </c>
      <c r="AN1187" s="1525">
        <f t="shared" si="720"/>
        <v>0</v>
      </c>
      <c r="AO1187" s="1525">
        <f t="shared" si="720"/>
        <v>0</v>
      </c>
      <c r="AP1187" s="1525">
        <f t="shared" si="720"/>
        <v>0</v>
      </c>
      <c r="AQ1187" s="1525">
        <f t="shared" si="720"/>
        <v>0</v>
      </c>
      <c r="AR1187" s="1525">
        <f t="shared" si="720"/>
        <v>0</v>
      </c>
      <c r="AS1187" s="1525">
        <f t="shared" si="720"/>
        <v>0</v>
      </c>
      <c r="AU1187" s="1525"/>
      <c r="AV1187" s="1291"/>
      <c r="AW1187" s="1292"/>
      <c r="AX1187" s="1292"/>
      <c r="AY1187" s="1292"/>
      <c r="AZ1187" s="1292"/>
      <c r="BA1187" s="1292"/>
      <c r="BB1187" s="1292"/>
      <c r="BC1187" s="1292"/>
      <c r="BD1187" s="1292"/>
      <c r="BE1187" s="1292"/>
      <c r="BF1187" s="1292"/>
      <c r="BG1187" s="1292"/>
      <c r="BH1187" s="1292"/>
      <c r="BI1187" s="1292"/>
      <c r="BJ1187" s="1292"/>
      <c r="BK1187" s="1292"/>
      <c r="BL1187" s="1292"/>
      <c r="BM1187" s="1292"/>
      <c r="BN1187" s="1292"/>
      <c r="BO1187" s="1292"/>
      <c r="BP1187" s="1292"/>
      <c r="BQ1187" s="1292"/>
      <c r="BR1187" s="1292"/>
      <c r="BS1187" s="1292"/>
      <c r="BT1187" s="1670">
        <f t="shared" si="721"/>
        <v>0</v>
      </c>
      <c r="BW1187" s="834" t="s">
        <v>526</v>
      </c>
    </row>
    <row r="1188" spans="2:75" ht="12.75" customHeight="1" x14ac:dyDescent="0.2">
      <c r="B1188" s="175">
        <f t="shared" si="722"/>
        <v>7</v>
      </c>
      <c r="C1188" s="219">
        <v>12</v>
      </c>
      <c r="E1188" s="12" t="s">
        <v>1252</v>
      </c>
      <c r="F1188" s="17" t="s">
        <v>1235</v>
      </c>
      <c r="G1188" s="834" t="s">
        <v>1936</v>
      </c>
      <c r="H1188" s="858">
        <v>6925</v>
      </c>
      <c r="I1188" s="283" t="s">
        <v>583</v>
      </c>
      <c r="J1188" s="237"/>
      <c r="K1188" s="237"/>
      <c r="L1188" s="950">
        <v>0.5</v>
      </c>
      <c r="M1188" s="858">
        <f>K1188+L1188</f>
        <v>0.5</v>
      </c>
      <c r="N1188" s="832" t="s">
        <v>1326</v>
      </c>
      <c r="O1188" s="1196">
        <v>13019</v>
      </c>
      <c r="P1188" s="1218">
        <f t="shared" ca="1" si="714"/>
        <v>82.108333333333334</v>
      </c>
      <c r="Q1188" s="1148">
        <v>27500</v>
      </c>
      <c r="R1188" s="874">
        <f>Q1188*0.1</f>
        <v>2750</v>
      </c>
      <c r="S1188" s="875"/>
      <c r="T1188" s="877">
        <v>3500</v>
      </c>
      <c r="U1188" s="877"/>
      <c r="V1188" s="877"/>
      <c r="W1188" s="875"/>
      <c r="X1188" s="1026">
        <f t="shared" si="715"/>
        <v>16875</v>
      </c>
      <c r="Y1188" s="1512">
        <f t="shared" si="716"/>
        <v>0.11570247933884298</v>
      </c>
      <c r="Z1188" s="1741">
        <f t="shared" si="717"/>
        <v>0.55785123966942152</v>
      </c>
      <c r="AA1188" s="1749">
        <f t="shared" si="718"/>
        <v>0.4</v>
      </c>
      <c r="AB1188" s="1810">
        <f t="shared" si="719"/>
        <v>71.703703703703695</v>
      </c>
      <c r="AC1188" s="876"/>
      <c r="AD1188" s="1525">
        <f t="shared" si="720"/>
        <v>0</v>
      </c>
      <c r="AE1188" s="1525">
        <f t="shared" si="720"/>
        <v>0</v>
      </c>
      <c r="AF1188" s="1525">
        <f t="shared" si="720"/>
        <v>0</v>
      </c>
      <c r="AG1188" s="1525">
        <f t="shared" si="720"/>
        <v>0</v>
      </c>
      <c r="AH1188" s="1525">
        <f t="shared" si="720"/>
        <v>0</v>
      </c>
      <c r="AI1188" s="1525">
        <f t="shared" si="720"/>
        <v>0.4</v>
      </c>
      <c r="AJ1188" s="1525">
        <f t="shared" si="720"/>
        <v>0</v>
      </c>
      <c r="AK1188" s="1525">
        <f t="shared" si="720"/>
        <v>0</v>
      </c>
      <c r="AL1188" s="1525">
        <f t="shared" si="720"/>
        <v>0</v>
      </c>
      <c r="AM1188" s="1525">
        <f t="shared" si="720"/>
        <v>0</v>
      </c>
      <c r="AN1188" s="1525">
        <f t="shared" si="720"/>
        <v>0</v>
      </c>
      <c r="AO1188" s="1525">
        <f t="shared" si="720"/>
        <v>0</v>
      </c>
      <c r="AP1188" s="1525">
        <f t="shared" si="720"/>
        <v>0</v>
      </c>
      <c r="AQ1188" s="1525">
        <f t="shared" si="720"/>
        <v>0</v>
      </c>
      <c r="AR1188" s="1525">
        <f t="shared" si="720"/>
        <v>0</v>
      </c>
      <c r="AS1188" s="1525">
        <f t="shared" si="720"/>
        <v>0</v>
      </c>
      <c r="AU1188" s="1525"/>
      <c r="AV1188" s="1291"/>
      <c r="AW1188" s="1292"/>
      <c r="AX1188" s="1292"/>
      <c r="AY1188" s="1292"/>
      <c r="AZ1188" s="1292"/>
      <c r="BA1188" s="1292"/>
      <c r="BB1188" s="1292"/>
      <c r="BC1188" s="1292"/>
      <c r="BD1188" s="1292"/>
      <c r="BE1188" s="1292"/>
      <c r="BF1188" s="1292"/>
      <c r="BG1188" s="1292"/>
      <c r="BH1188" s="1292"/>
      <c r="BI1188" s="1292"/>
      <c r="BJ1188" s="1292"/>
      <c r="BK1188" s="1292"/>
      <c r="BL1188" s="1292"/>
      <c r="BM1188" s="1292">
        <v>0.4</v>
      </c>
      <c r="BN1188" s="1292"/>
      <c r="BO1188" s="1292"/>
      <c r="BP1188" s="1292"/>
      <c r="BQ1188" s="1292"/>
      <c r="BR1188" s="1292"/>
      <c r="BS1188" s="1292"/>
      <c r="BT1188" s="1670">
        <f t="shared" si="721"/>
        <v>0.4</v>
      </c>
      <c r="BW1188" s="834" t="s">
        <v>1936</v>
      </c>
    </row>
    <row r="1189" spans="2:75" s="164" customFormat="1" ht="12.75" customHeight="1" x14ac:dyDescent="0.15">
      <c r="B1189" s="175"/>
      <c r="C1189" s="219"/>
      <c r="E1189" s="12"/>
      <c r="F1189" s="82"/>
      <c r="G1189" s="912"/>
      <c r="H1189" s="1354" t="s">
        <v>1508</v>
      </c>
      <c r="I1189" s="386"/>
      <c r="J1189" s="261"/>
      <c r="K1189" s="261"/>
      <c r="L1189" s="951"/>
      <c r="M1189" s="873"/>
      <c r="N1189" s="940"/>
      <c r="O1189" s="1214"/>
      <c r="P1189" s="1248"/>
      <c r="Q1189" s="1071"/>
      <c r="R1189" s="890"/>
      <c r="S1189" s="891"/>
      <c r="T1189" s="1048"/>
      <c r="U1189" s="1048"/>
      <c r="V1189" s="1048"/>
      <c r="W1189" s="891"/>
      <c r="X1189" s="1026"/>
      <c r="Y1189" s="1754"/>
      <c r="Z1189" s="1755"/>
      <c r="AA1189" s="1775"/>
      <c r="AB1189" s="1814"/>
      <c r="AC1189" s="876"/>
      <c r="AD1189" s="1295"/>
      <c r="AE1189" s="1525"/>
      <c r="AF1189" s="1525"/>
      <c r="AG1189" s="1525"/>
      <c r="AH1189" s="1525"/>
      <c r="AI1189" s="1525"/>
      <c r="AJ1189" s="1525"/>
      <c r="AK1189" s="1525"/>
      <c r="AL1189" s="1525"/>
      <c r="AM1189" s="1525"/>
      <c r="AN1189" s="1525"/>
      <c r="AO1189" s="1525"/>
      <c r="AP1189" s="1525"/>
      <c r="AQ1189" s="1525"/>
      <c r="AR1189" s="1525"/>
      <c r="AS1189" s="1525"/>
      <c r="AU1189" s="1525"/>
      <c r="AV1189" s="1295"/>
      <c r="AW1189" s="1525"/>
      <c r="AX1189" s="1525"/>
      <c r="AY1189" s="1525"/>
      <c r="AZ1189" s="1525"/>
      <c r="BA1189" s="1525"/>
      <c r="BB1189" s="1525"/>
      <c r="BC1189" s="1525"/>
      <c r="BD1189" s="1525"/>
      <c r="BE1189" s="1525"/>
      <c r="BF1189" s="1525"/>
      <c r="BG1189" s="1525"/>
      <c r="BH1189" s="1525"/>
      <c r="BI1189" s="1525"/>
      <c r="BJ1189" s="1525"/>
      <c r="BK1189" s="1525"/>
      <c r="BL1189" s="1525"/>
      <c r="BM1189" s="1525"/>
      <c r="BN1189" s="1525"/>
      <c r="BO1189" s="1525"/>
      <c r="BP1189" s="1525"/>
      <c r="BQ1189" s="1525"/>
      <c r="BR1189" s="1525"/>
      <c r="BS1189" s="1525"/>
      <c r="BT1189" s="1670"/>
      <c r="BV1189"/>
      <c r="BW1189" s="912"/>
    </row>
    <row r="1190" spans="2:75" s="164" customFormat="1" ht="12.75" customHeight="1" x14ac:dyDescent="0.15">
      <c r="B1190" s="175"/>
      <c r="C1190" s="219" t="s">
        <v>1120</v>
      </c>
      <c r="F1190" s="60" t="s">
        <v>1238</v>
      </c>
      <c r="G1190" s="834"/>
      <c r="H1190" s="1358" t="s">
        <v>1508</v>
      </c>
      <c r="I1190" s="286"/>
      <c r="J1190" s="262"/>
      <c r="K1190" s="1651">
        <f>SUM(K1182:K1189)</f>
        <v>0</v>
      </c>
      <c r="L1190" s="1133">
        <f>SUM(L1182:L1189)</f>
        <v>4.9000000000000004</v>
      </c>
      <c r="M1190" s="1133">
        <f>SUM(M1182:M1189)</f>
        <v>4.9000000000000004</v>
      </c>
      <c r="N1190" s="832"/>
      <c r="O1190" s="1198"/>
      <c r="P1190" s="1245"/>
      <c r="Q1190" s="1148"/>
      <c r="R1190" s="877"/>
      <c r="S1190" s="875"/>
      <c r="T1190" s="875"/>
      <c r="U1190" s="875"/>
      <c r="V1190" s="875"/>
      <c r="W1190" s="875"/>
      <c r="X1190" s="1026"/>
      <c r="Y1190" s="1335"/>
      <c r="Z1190" s="1335"/>
      <c r="AA1190" s="1775"/>
      <c r="AB1190" s="1814"/>
      <c r="AC1190" s="876"/>
      <c r="AD1190" s="1295"/>
      <c r="AE1190" s="1525"/>
      <c r="AF1190" s="1525"/>
      <c r="AG1190" s="1525"/>
      <c r="AH1190" s="1525"/>
      <c r="AI1190" s="1525"/>
      <c r="AJ1190" s="1525"/>
      <c r="AK1190" s="1525"/>
      <c r="AL1190" s="1525"/>
      <c r="AM1190" s="1525"/>
      <c r="AN1190" s="1525"/>
      <c r="AO1190" s="1525"/>
      <c r="AP1190" s="1525"/>
      <c r="AQ1190" s="1525"/>
      <c r="AR1190" s="1525"/>
      <c r="AS1190" s="1525"/>
      <c r="AU1190" s="1525"/>
      <c r="AV1190" s="1295"/>
      <c r="AW1190" s="1525"/>
      <c r="AX1190" s="1525"/>
      <c r="AY1190" s="1525"/>
      <c r="AZ1190" s="1525"/>
      <c r="BA1190" s="1525"/>
      <c r="BB1190" s="1525"/>
      <c r="BC1190" s="1525"/>
      <c r="BD1190" s="1525"/>
      <c r="BE1190" s="1525"/>
      <c r="BF1190" s="1525"/>
      <c r="BG1190" s="1525"/>
      <c r="BH1190" s="1525"/>
      <c r="BI1190" s="1525"/>
      <c r="BJ1190" s="1525"/>
      <c r="BK1190" s="1525"/>
      <c r="BL1190" s="1525"/>
      <c r="BM1190" s="1525"/>
      <c r="BN1190" s="1525"/>
      <c r="BO1190" s="1525"/>
      <c r="BP1190" s="1525"/>
      <c r="BQ1190" s="1525"/>
      <c r="BR1190" s="1525"/>
      <c r="BS1190" s="1525"/>
      <c r="BT1190" s="1670"/>
      <c r="BV1190"/>
      <c r="BW1190" s="834"/>
    </row>
    <row r="1191" spans="2:75" s="164" customFormat="1" ht="12.75" customHeight="1" x14ac:dyDescent="0.15">
      <c r="B1191" s="175"/>
      <c r="C1191" s="219"/>
      <c r="F1191" s="60"/>
      <c r="G1191" s="855"/>
      <c r="H1191" s="1341" t="s">
        <v>1508</v>
      </c>
      <c r="I1191" s="286"/>
      <c r="J1191" s="262"/>
      <c r="K1191" s="179"/>
      <c r="L1191" s="893"/>
      <c r="M1191" s="843"/>
      <c r="N1191" s="855"/>
      <c r="O1191" s="1198"/>
      <c r="P1191" s="1245"/>
      <c r="Q1191" s="1148"/>
      <c r="R1191" s="874"/>
      <c r="S1191" s="875"/>
      <c r="T1191" s="875"/>
      <c r="U1191" s="875"/>
      <c r="V1191" s="875"/>
      <c r="W1191" s="875"/>
      <c r="X1191" s="1026"/>
      <c r="Y1191" s="1754"/>
      <c r="Z1191" s="1755"/>
      <c r="AA1191" s="1775"/>
      <c r="AB1191" s="1814"/>
      <c r="AC1191" s="876"/>
      <c r="AD1191" s="1295"/>
      <c r="AE1191" s="1525"/>
      <c r="AF1191" s="1525"/>
      <c r="AG1191" s="1525"/>
      <c r="AH1191" s="1525"/>
      <c r="AI1191" s="1525"/>
      <c r="AJ1191" s="1525"/>
      <c r="AK1191" s="1525"/>
      <c r="AL1191" s="1525"/>
      <c r="AM1191" s="1525"/>
      <c r="AN1191" s="1525"/>
      <c r="AO1191" s="1525"/>
      <c r="AP1191" s="1525"/>
      <c r="AQ1191" s="1525"/>
      <c r="AR1191" s="1525"/>
      <c r="AS1191" s="1525"/>
      <c r="AU1191" s="1525"/>
      <c r="AV1191" s="1295"/>
      <c r="AW1191" s="1525"/>
      <c r="AX1191" s="1525"/>
      <c r="AY1191" s="1525"/>
      <c r="AZ1191" s="1525"/>
      <c r="BA1191" s="1525"/>
      <c r="BB1191" s="1525"/>
      <c r="BC1191" s="1525"/>
      <c r="BD1191" s="1525"/>
      <c r="BE1191" s="1525"/>
      <c r="BF1191" s="1525"/>
      <c r="BG1191" s="1525"/>
      <c r="BH1191" s="1525"/>
      <c r="BI1191" s="1525"/>
      <c r="BJ1191" s="1525"/>
      <c r="BK1191" s="1525"/>
      <c r="BL1191" s="1525"/>
      <c r="BM1191" s="1525"/>
      <c r="BN1191" s="1525"/>
      <c r="BO1191" s="1525"/>
      <c r="BP1191" s="1525"/>
      <c r="BQ1191" s="1525"/>
      <c r="BR1191" s="1525"/>
      <c r="BS1191" s="1525"/>
      <c r="BT1191" s="1670"/>
      <c r="BV1191"/>
      <c r="BW1191" s="855"/>
    </row>
    <row r="1192" spans="2:75" s="164" customFormat="1" ht="12.75" customHeight="1" x14ac:dyDescent="0.15">
      <c r="B1192" s="175"/>
      <c r="F1192" s="11" t="s">
        <v>1578</v>
      </c>
      <c r="G1192" s="855"/>
      <c r="H1192" s="1341" t="s">
        <v>1508</v>
      </c>
      <c r="I1192" s="242"/>
      <c r="J1192" s="236"/>
      <c r="K1192" s="236"/>
      <c r="L1192" s="843"/>
      <c r="M1192" s="843"/>
      <c r="N1192" s="924"/>
      <c r="O1192" s="1198"/>
      <c r="P1192" s="1245"/>
      <c r="Q1192" s="1148"/>
      <c r="R1192" s="874"/>
      <c r="S1192" s="875"/>
      <c r="T1192" s="875"/>
      <c r="U1192" s="875"/>
      <c r="V1192" s="875"/>
      <c r="W1192" s="875"/>
      <c r="X1192" s="1026"/>
      <c r="Y1192" s="1754"/>
      <c r="Z1192" s="1755"/>
      <c r="AA1192" s="1775"/>
      <c r="AB1192" s="1814"/>
      <c r="AC1192" s="876"/>
      <c r="AD1192" s="1295"/>
      <c r="AE1192" s="1525"/>
      <c r="AF1192" s="1525"/>
      <c r="AG1192" s="1525"/>
      <c r="AH1192" s="1525"/>
      <c r="AI1192" s="1525"/>
      <c r="AJ1192" s="1525"/>
      <c r="AK1192" s="1525"/>
      <c r="AL1192" s="1525"/>
      <c r="AM1192" s="1525"/>
      <c r="AN1192" s="1525"/>
      <c r="AO1192" s="1525"/>
      <c r="AP1192" s="1525"/>
      <c r="AQ1192" s="1525"/>
      <c r="AR1192" s="1525"/>
      <c r="AS1192" s="1525"/>
      <c r="AU1192" s="1525"/>
      <c r="AV1192" s="1295"/>
      <c r="AW1192" s="1525"/>
      <c r="AX1192" s="1525"/>
      <c r="AY1192" s="1525"/>
      <c r="AZ1192" s="1525"/>
      <c r="BA1192" s="1525"/>
      <c r="BB1192" s="1525"/>
      <c r="BC1192" s="1525"/>
      <c r="BD1192" s="1525"/>
      <c r="BE1192" s="1525"/>
      <c r="BF1192" s="1525"/>
      <c r="BG1192" s="1525"/>
      <c r="BH1192" s="1525"/>
      <c r="BI1192" s="1525"/>
      <c r="BJ1192" s="1525"/>
      <c r="BK1192" s="1525"/>
      <c r="BL1192" s="1525"/>
      <c r="BM1192" s="1525"/>
      <c r="BN1192" s="1525"/>
      <c r="BO1192" s="1525"/>
      <c r="BP1192" s="1525"/>
      <c r="BQ1192" s="1525"/>
      <c r="BR1192" s="1525"/>
      <c r="BS1192" s="1525"/>
      <c r="BT1192" s="1670"/>
      <c r="BV1192"/>
      <c r="BW1192" s="855"/>
    </row>
    <row r="1193" spans="2:75" s="164" customFormat="1" ht="12.75" customHeight="1" x14ac:dyDescent="0.15">
      <c r="B1193" s="175"/>
      <c r="F1193" s="84"/>
      <c r="G1193" s="855"/>
      <c r="H1193" s="1341" t="s">
        <v>1508</v>
      </c>
      <c r="I1193" s="242"/>
      <c r="J1193" s="236"/>
      <c r="K1193" s="236"/>
      <c r="L1193" s="843"/>
      <c r="M1193" s="843"/>
      <c r="N1193" s="855"/>
      <c r="O1193" s="1198"/>
      <c r="P1193" s="1245"/>
      <c r="Q1193" s="1148"/>
      <c r="R1193" s="874"/>
      <c r="S1193" s="875"/>
      <c r="T1193" s="875"/>
      <c r="U1193" s="875"/>
      <c r="V1193" s="875"/>
      <c r="W1193" s="875"/>
      <c r="X1193" s="1026"/>
      <c r="Y1193" s="1754"/>
      <c r="Z1193" s="1755"/>
      <c r="AA1193" s="1775"/>
      <c r="AB1193" s="1814"/>
      <c r="AC1193" s="876"/>
      <c r="AD1193" s="1295"/>
      <c r="AE1193" s="1525"/>
      <c r="AF1193" s="1525"/>
      <c r="AG1193" s="1525"/>
      <c r="AH1193" s="1525"/>
      <c r="AI1193" s="1525"/>
      <c r="AJ1193" s="1525"/>
      <c r="AK1193" s="1525"/>
      <c r="AL1193" s="1525"/>
      <c r="AM1193" s="1525"/>
      <c r="AN1193" s="1525"/>
      <c r="AO1193" s="1525"/>
      <c r="AP1193" s="1525"/>
      <c r="AQ1193" s="1525"/>
      <c r="AR1193" s="1525"/>
      <c r="AS1193" s="1525"/>
      <c r="AU1193" s="1525"/>
      <c r="AV1193" s="1295"/>
      <c r="AW1193" s="1525"/>
      <c r="AX1193" s="1525"/>
      <c r="AY1193" s="1525"/>
      <c r="AZ1193" s="1525"/>
      <c r="BA1193" s="1525"/>
      <c r="BB1193" s="1525"/>
      <c r="BC1193" s="1525"/>
      <c r="BD1193" s="1525"/>
      <c r="BE1193" s="1525"/>
      <c r="BF1193" s="1525"/>
      <c r="BG1193" s="1525"/>
      <c r="BH1193" s="1525"/>
      <c r="BI1193" s="1525"/>
      <c r="BJ1193" s="1525"/>
      <c r="BK1193" s="1525"/>
      <c r="BL1193" s="1525"/>
      <c r="BM1193" s="1525"/>
      <c r="BN1193" s="1525"/>
      <c r="BO1193" s="1525"/>
      <c r="BP1193" s="1525"/>
      <c r="BQ1193" s="1525"/>
      <c r="BR1193" s="1525"/>
      <c r="BS1193" s="1525"/>
      <c r="BT1193" s="1670"/>
      <c r="BV1193"/>
      <c r="BW1193" s="855"/>
    </row>
    <row r="1194" spans="2:75" ht="12.75" customHeight="1" x14ac:dyDescent="0.2">
      <c r="B1194" s="175">
        <f>B1193+1</f>
        <v>1</v>
      </c>
      <c r="C1194" s="219">
        <v>7</v>
      </c>
      <c r="E1194" s="12" t="s">
        <v>1252</v>
      </c>
      <c r="F1194" s="28" t="s">
        <v>1334</v>
      </c>
      <c r="G1194" s="823" t="s">
        <v>1929</v>
      </c>
      <c r="H1194" s="858">
        <v>6900</v>
      </c>
      <c r="I1194" s="200" t="s">
        <v>351</v>
      </c>
      <c r="J1194" s="236"/>
      <c r="K1194" s="236"/>
      <c r="L1194" s="843">
        <v>1</v>
      </c>
      <c r="M1194" s="858">
        <f>K1194+L1194</f>
        <v>1</v>
      </c>
      <c r="N1194" s="855" t="s">
        <v>1326</v>
      </c>
      <c r="O1194" s="1196">
        <v>19757</v>
      </c>
      <c r="P1194" s="1218">
        <f ca="1">YEARFRAC(TODAY(),O1194)</f>
        <v>63.666666666666664</v>
      </c>
      <c r="Q1194" s="1148">
        <v>39550</v>
      </c>
      <c r="R1194" s="874">
        <f>Q1194*0.1</f>
        <v>3955</v>
      </c>
      <c r="S1194" s="875">
        <v>3000</v>
      </c>
      <c r="T1194" s="885"/>
      <c r="U1194" s="885"/>
      <c r="V1194" s="885"/>
      <c r="W1194" s="875"/>
      <c r="X1194" s="1026">
        <f>(Q1194+R1194+S1194+T1194+U1194+V1194+W1194)*M1194</f>
        <v>46505</v>
      </c>
      <c r="Y1194" s="1512">
        <f>(T1194+U1194)*M1194/(X1194-M1194*(T1194+U1194))</f>
        <v>0</v>
      </c>
      <c r="Z1194" s="1741">
        <f>M1194*(1+Y1194)</f>
        <v>1</v>
      </c>
      <c r="AA1194" s="1749">
        <f>SUM(AD1194:AS1194)</f>
        <v>1</v>
      </c>
      <c r="AB1194" s="1810">
        <f t="shared" ref="AB1194:AB1196" si="723">100*AA1194/Z1194</f>
        <v>100</v>
      </c>
      <c r="AC1194" s="876"/>
      <c r="AD1194" s="1525">
        <f t="shared" ref="AD1194:AS1196" si="724">SUMIF($AV$6:$BS$6,AD$5,$AV1194:$BS1194)</f>
        <v>0.4</v>
      </c>
      <c r="AE1194" s="1525">
        <f t="shared" si="724"/>
        <v>0</v>
      </c>
      <c r="AF1194" s="1525">
        <f t="shared" si="724"/>
        <v>0</v>
      </c>
      <c r="AG1194" s="1525">
        <f t="shared" si="724"/>
        <v>0</v>
      </c>
      <c r="AH1194" s="1525">
        <f t="shared" si="724"/>
        <v>0.5</v>
      </c>
      <c r="AI1194" s="1525">
        <f t="shared" si="724"/>
        <v>0.1</v>
      </c>
      <c r="AJ1194" s="1525">
        <f t="shared" si="724"/>
        <v>0</v>
      </c>
      <c r="AK1194" s="1525">
        <f t="shared" si="724"/>
        <v>0</v>
      </c>
      <c r="AL1194" s="1525">
        <f t="shared" si="724"/>
        <v>0</v>
      </c>
      <c r="AM1194" s="1525">
        <f t="shared" si="724"/>
        <v>0</v>
      </c>
      <c r="AN1194" s="1525">
        <f t="shared" si="724"/>
        <v>0</v>
      </c>
      <c r="AO1194" s="1525">
        <f t="shared" si="724"/>
        <v>0</v>
      </c>
      <c r="AP1194" s="1525">
        <f t="shared" si="724"/>
        <v>0</v>
      </c>
      <c r="AQ1194" s="1525">
        <f t="shared" si="724"/>
        <v>0</v>
      </c>
      <c r="AR1194" s="1525">
        <f t="shared" si="724"/>
        <v>0</v>
      </c>
      <c r="AS1194" s="1525">
        <f t="shared" si="724"/>
        <v>0</v>
      </c>
      <c r="AU1194" s="1525"/>
      <c r="AV1194" s="1291"/>
      <c r="AW1194" s="1292"/>
      <c r="AX1194" s="1292"/>
      <c r="AY1194" s="1292"/>
      <c r="AZ1194" s="1292">
        <v>0.5</v>
      </c>
      <c r="BA1194" s="1292"/>
      <c r="BB1194" s="1292"/>
      <c r="BC1194" s="1292"/>
      <c r="BD1194" s="1292"/>
      <c r="BE1194" s="1292"/>
      <c r="BF1194" s="1292"/>
      <c r="BG1194" s="1292"/>
      <c r="BH1194" s="1292"/>
      <c r="BI1194" s="1292">
        <v>0.4</v>
      </c>
      <c r="BJ1194" s="1292"/>
      <c r="BK1194" s="1292"/>
      <c r="BL1194" s="1292"/>
      <c r="BM1194" s="1292">
        <v>0.1</v>
      </c>
      <c r="BN1194" s="1292"/>
      <c r="BO1194" s="1292"/>
      <c r="BP1194" s="1292"/>
      <c r="BQ1194" s="1292"/>
      <c r="BR1194" s="1292"/>
      <c r="BS1194" s="1292"/>
      <c r="BT1194" s="1670">
        <f t="shared" ref="BT1194:BT1196" si="725">SUM(AV1194:BS1194)</f>
        <v>1</v>
      </c>
      <c r="BW1194" s="823" t="s">
        <v>1929</v>
      </c>
    </row>
    <row r="1195" spans="2:75" ht="12.75" customHeight="1" x14ac:dyDescent="0.2">
      <c r="B1195" s="175">
        <f t="shared" ref="B1195:B1196" si="726">B1194+1</f>
        <v>2</v>
      </c>
      <c r="C1195" s="219">
        <v>12</v>
      </c>
      <c r="E1195" s="12" t="s">
        <v>1252</v>
      </c>
      <c r="F1195" s="17" t="s">
        <v>1235</v>
      </c>
      <c r="G1195" s="834" t="s">
        <v>115</v>
      </c>
      <c r="H1195" s="861">
        <v>122915</v>
      </c>
      <c r="I1195" s="272" t="s">
        <v>583</v>
      </c>
      <c r="J1195" s="265"/>
      <c r="K1195" s="268"/>
      <c r="L1195" s="950">
        <v>1</v>
      </c>
      <c r="M1195" s="861">
        <f>K1195+L1195</f>
        <v>1</v>
      </c>
      <c r="N1195" s="832" t="s">
        <v>1326</v>
      </c>
      <c r="O1195" s="1196">
        <v>22582</v>
      </c>
      <c r="P1195" s="1218">
        <f ca="1">YEARFRAC(TODAY(),O1195)</f>
        <v>55.927777777777777</v>
      </c>
      <c r="Q1195" s="1148">
        <v>34000</v>
      </c>
      <c r="R1195" s="874">
        <f>Q1195*0.1</f>
        <v>3400</v>
      </c>
      <c r="S1195" s="875"/>
      <c r="T1195" s="877"/>
      <c r="U1195" s="877"/>
      <c r="V1195" s="877"/>
      <c r="W1195" s="875"/>
      <c r="X1195" s="1026">
        <f>(Q1195+R1195+S1195+T1195+U1195+V1195+W1195)*M1195</f>
        <v>37400</v>
      </c>
      <c r="Y1195" s="1512">
        <f>(T1195+U1195)*M1195/(X1195-M1195*(T1195+U1195))</f>
        <v>0</v>
      </c>
      <c r="Z1195" s="1741">
        <f>M1195*(1+Y1195)</f>
        <v>1</v>
      </c>
      <c r="AA1195" s="1749">
        <f>SUM(AD1195:AS1195)</f>
        <v>1</v>
      </c>
      <c r="AB1195" s="1810">
        <f t="shared" si="723"/>
        <v>100</v>
      </c>
      <c r="AC1195" s="876"/>
      <c r="AD1195" s="1525">
        <f t="shared" si="724"/>
        <v>1</v>
      </c>
      <c r="AE1195" s="1525">
        <f t="shared" si="724"/>
        <v>0</v>
      </c>
      <c r="AF1195" s="1525">
        <f t="shared" si="724"/>
        <v>0</v>
      </c>
      <c r="AG1195" s="1525">
        <f t="shared" si="724"/>
        <v>0</v>
      </c>
      <c r="AH1195" s="1525">
        <f t="shared" si="724"/>
        <v>0</v>
      </c>
      <c r="AI1195" s="1525">
        <f t="shared" si="724"/>
        <v>0</v>
      </c>
      <c r="AJ1195" s="1525">
        <f t="shared" si="724"/>
        <v>0</v>
      </c>
      <c r="AK1195" s="1525">
        <f t="shared" si="724"/>
        <v>0</v>
      </c>
      <c r="AL1195" s="1525">
        <f t="shared" si="724"/>
        <v>0</v>
      </c>
      <c r="AM1195" s="1525">
        <f t="shared" si="724"/>
        <v>0</v>
      </c>
      <c r="AN1195" s="1525">
        <f t="shared" si="724"/>
        <v>0</v>
      </c>
      <c r="AO1195" s="1525">
        <f t="shared" si="724"/>
        <v>0</v>
      </c>
      <c r="AP1195" s="1525">
        <f t="shared" si="724"/>
        <v>0</v>
      </c>
      <c r="AQ1195" s="1525">
        <f t="shared" si="724"/>
        <v>0</v>
      </c>
      <c r="AR1195" s="1525">
        <f t="shared" si="724"/>
        <v>0</v>
      </c>
      <c r="AS1195" s="1525">
        <f t="shared" si="724"/>
        <v>0</v>
      </c>
      <c r="AU1195" s="1525"/>
      <c r="AV1195" s="1291"/>
      <c r="AW1195" s="1292"/>
      <c r="AX1195" s="1292"/>
      <c r="AY1195" s="1292"/>
      <c r="AZ1195" s="1292"/>
      <c r="BA1195" s="1292"/>
      <c r="BB1195" s="1292"/>
      <c r="BC1195" s="1292"/>
      <c r="BD1195" s="1292"/>
      <c r="BE1195" s="1292"/>
      <c r="BF1195" s="1292"/>
      <c r="BG1195" s="1292"/>
      <c r="BH1195" s="1292"/>
      <c r="BI1195" s="1292">
        <v>1</v>
      </c>
      <c r="BJ1195" s="1292"/>
      <c r="BK1195" s="1292"/>
      <c r="BL1195" s="1292"/>
      <c r="BM1195" s="1292"/>
      <c r="BN1195" s="1292"/>
      <c r="BO1195" s="1292"/>
      <c r="BP1195" s="1292"/>
      <c r="BQ1195" s="1292"/>
      <c r="BR1195" s="1292"/>
      <c r="BS1195" s="1292"/>
      <c r="BT1195" s="1670">
        <f t="shared" si="725"/>
        <v>1</v>
      </c>
      <c r="BW1195" s="834" t="s">
        <v>115</v>
      </c>
    </row>
    <row r="1196" spans="2:75" ht="12.75" customHeight="1" x14ac:dyDescent="0.2">
      <c r="B1196" s="175">
        <f t="shared" si="726"/>
        <v>3</v>
      </c>
      <c r="C1196" s="219">
        <v>18</v>
      </c>
      <c r="E1196" s="12" t="s">
        <v>1252</v>
      </c>
      <c r="F1196" s="26" t="s">
        <v>1771</v>
      </c>
      <c r="G1196" s="830" t="s">
        <v>1770</v>
      </c>
      <c r="H1196" s="873">
        <v>155881</v>
      </c>
      <c r="I1196" s="196" t="s">
        <v>1442</v>
      </c>
      <c r="J1196" s="268"/>
      <c r="K1196" s="285"/>
      <c r="L1196" s="951">
        <v>0.5</v>
      </c>
      <c r="M1196" s="873">
        <v>0.5</v>
      </c>
      <c r="N1196" s="836" t="s">
        <v>892</v>
      </c>
      <c r="O1196" s="1196">
        <v>22516</v>
      </c>
      <c r="P1196" s="1218">
        <f ca="1">YEARFRAC(TODAY(),O1196)</f>
        <v>56.108333333333334</v>
      </c>
      <c r="Q1196" s="1148">
        <v>37000</v>
      </c>
      <c r="R1196" s="874"/>
      <c r="S1196" s="876"/>
      <c r="T1196" s="884"/>
      <c r="U1196" s="884"/>
      <c r="V1196" s="884"/>
      <c r="W1196" s="876">
        <f>Q1196*0.43</f>
        <v>15910</v>
      </c>
      <c r="X1196" s="1026">
        <f>(Q1196+R1196+S1196+T1196+U1196+V1196+W1196)*M1196</f>
        <v>26455</v>
      </c>
      <c r="Y1196" s="1512">
        <f t="shared" ref="Y1196" si="727">(T1196+U1196+W1196)*M1196/(X1196-M1196*(T1196+U1196+W1196))</f>
        <v>0.43</v>
      </c>
      <c r="Z1196" s="1741">
        <f>M1196*(1+Y1196)</f>
        <v>0.71499999999999997</v>
      </c>
      <c r="AA1196" s="1749">
        <f>SUM(AD1196:AS1196)</f>
        <v>0.5</v>
      </c>
      <c r="AB1196" s="1810">
        <f t="shared" si="723"/>
        <v>69.930069930069934</v>
      </c>
      <c r="AC1196" s="876"/>
      <c r="AD1196" s="1525">
        <f t="shared" si="724"/>
        <v>0.5</v>
      </c>
      <c r="AE1196" s="1525">
        <f t="shared" si="724"/>
        <v>0</v>
      </c>
      <c r="AF1196" s="1525">
        <f t="shared" si="724"/>
        <v>0</v>
      </c>
      <c r="AG1196" s="1525">
        <f t="shared" si="724"/>
        <v>0</v>
      </c>
      <c r="AH1196" s="1525">
        <f t="shared" si="724"/>
        <v>0</v>
      </c>
      <c r="AI1196" s="1525">
        <f t="shared" si="724"/>
        <v>0</v>
      </c>
      <c r="AJ1196" s="1525">
        <f t="shared" si="724"/>
        <v>0</v>
      </c>
      <c r="AK1196" s="1525">
        <f t="shared" si="724"/>
        <v>0</v>
      </c>
      <c r="AL1196" s="1525">
        <f t="shared" si="724"/>
        <v>0</v>
      </c>
      <c r="AM1196" s="1525">
        <f t="shared" si="724"/>
        <v>0</v>
      </c>
      <c r="AN1196" s="1525">
        <f t="shared" si="724"/>
        <v>0</v>
      </c>
      <c r="AO1196" s="1525">
        <f t="shared" si="724"/>
        <v>0</v>
      </c>
      <c r="AP1196" s="1525">
        <f t="shared" si="724"/>
        <v>0</v>
      </c>
      <c r="AQ1196" s="1525">
        <f t="shared" si="724"/>
        <v>0</v>
      </c>
      <c r="AR1196" s="1525">
        <f t="shared" si="724"/>
        <v>0</v>
      </c>
      <c r="AS1196" s="1525">
        <f t="shared" si="724"/>
        <v>0</v>
      </c>
      <c r="AU1196" s="1525"/>
      <c r="AV1196" s="1291"/>
      <c r="AW1196" s="1292"/>
      <c r="AX1196" s="1292"/>
      <c r="AY1196" s="1292"/>
      <c r="AZ1196" s="1292"/>
      <c r="BA1196" s="1292"/>
      <c r="BB1196" s="1292"/>
      <c r="BC1196" s="1292"/>
      <c r="BD1196" s="1292"/>
      <c r="BE1196" s="1292"/>
      <c r="BF1196" s="1292"/>
      <c r="BG1196" s="1292"/>
      <c r="BH1196" s="1292"/>
      <c r="BI1196" s="1292">
        <v>0.5</v>
      </c>
      <c r="BJ1196" s="1292"/>
      <c r="BK1196" s="1292"/>
      <c r="BL1196" s="1292"/>
      <c r="BM1196" s="1292"/>
      <c r="BN1196" s="1292"/>
      <c r="BO1196" s="1292"/>
      <c r="BP1196" s="1292"/>
      <c r="BQ1196" s="1292"/>
      <c r="BR1196" s="1292"/>
      <c r="BS1196" s="1292"/>
      <c r="BT1196" s="1670">
        <f t="shared" si="725"/>
        <v>0.5</v>
      </c>
      <c r="BW1196" s="830" t="s">
        <v>1770</v>
      </c>
    </row>
    <row r="1197" spans="2:75" s="164" customFormat="1" ht="12.75" customHeight="1" x14ac:dyDescent="0.15">
      <c r="B1197" s="175"/>
      <c r="C1197" s="219" t="s">
        <v>1120</v>
      </c>
      <c r="F1197" s="4" t="s">
        <v>1188</v>
      </c>
      <c r="G1197" s="834"/>
      <c r="H1197" s="1388" t="s">
        <v>1508</v>
      </c>
      <c r="I1197" s="197"/>
      <c r="J1197" s="174"/>
      <c r="K1197" s="526"/>
      <c r="L1197" s="974">
        <f>SUM(L1194:L1196)</f>
        <v>2.5</v>
      </c>
      <c r="M1197" s="974">
        <f>SUM(M1194:M1196)</f>
        <v>2.5</v>
      </c>
      <c r="N1197" s="832"/>
      <c r="O1197" s="1198"/>
      <c r="P1197" s="1245"/>
      <c r="Q1197" s="1153"/>
      <c r="R1197" s="877"/>
      <c r="S1197" s="875"/>
      <c r="T1197" s="875"/>
      <c r="U1197" s="875"/>
      <c r="V1197" s="875"/>
      <c r="W1197" s="875"/>
      <c r="X1197" s="1026"/>
      <c r="Y1197" s="1335"/>
      <c r="Z1197" s="1335"/>
      <c r="AA1197" s="1775"/>
      <c r="AB1197" s="1814"/>
      <c r="AC1197" s="876"/>
      <c r="AD1197" s="1295"/>
      <c r="AE1197" s="1525"/>
      <c r="AF1197" s="1525"/>
      <c r="AG1197" s="1525"/>
      <c r="AH1197" s="1525"/>
      <c r="AI1197" s="1525"/>
      <c r="AJ1197" s="1525"/>
      <c r="AK1197" s="1525"/>
      <c r="AL1197" s="1525"/>
      <c r="AM1197" s="1525"/>
      <c r="AN1197" s="1525"/>
      <c r="AO1197" s="1525"/>
      <c r="AP1197" s="1525"/>
      <c r="AQ1197" s="1525"/>
      <c r="AR1197" s="1525"/>
      <c r="AS1197" s="1525"/>
      <c r="AU1197" s="1525"/>
      <c r="AV1197" s="1295"/>
      <c r="AW1197" s="1525"/>
      <c r="AX1197" s="1525"/>
      <c r="AY1197" s="1525"/>
      <c r="AZ1197" s="1525"/>
      <c r="BA1197" s="1525"/>
      <c r="BB1197" s="1525"/>
      <c r="BC1197" s="1525"/>
      <c r="BD1197" s="1525"/>
      <c r="BE1197" s="1525"/>
      <c r="BF1197" s="1525"/>
      <c r="BG1197" s="1525"/>
      <c r="BH1197" s="1525"/>
      <c r="BI1197" s="1525"/>
      <c r="BJ1197" s="1525"/>
      <c r="BK1197" s="1525"/>
      <c r="BL1197" s="1525"/>
      <c r="BM1197" s="1525"/>
      <c r="BN1197" s="1525"/>
      <c r="BO1197" s="1525"/>
      <c r="BP1197" s="1525"/>
      <c r="BQ1197" s="1525"/>
      <c r="BR1197" s="1525"/>
      <c r="BS1197" s="1525"/>
      <c r="BT1197" s="1670"/>
      <c r="BV1197"/>
      <c r="BW1197" s="834"/>
    </row>
    <row r="1198" spans="2:75" s="164" customFormat="1" ht="12.75" customHeight="1" x14ac:dyDescent="0.15">
      <c r="B1198" s="175"/>
      <c r="F1198" s="4"/>
      <c r="G1198" s="834"/>
      <c r="H1198" s="1358" t="s">
        <v>1508</v>
      </c>
      <c r="I1198" s="197"/>
      <c r="J1198" s="174"/>
      <c r="K1198" s="174"/>
      <c r="L1198" s="893"/>
      <c r="M1198" s="893"/>
      <c r="N1198" s="832"/>
      <c r="O1198" s="1198"/>
      <c r="P1198" s="1245"/>
      <c r="Q1198" s="1148"/>
      <c r="R1198" s="874"/>
      <c r="S1198" s="875"/>
      <c r="T1198" s="875"/>
      <c r="U1198" s="875"/>
      <c r="V1198" s="875"/>
      <c r="W1198" s="875"/>
      <c r="X1198" s="1026"/>
      <c r="Y1198" s="1754"/>
      <c r="Z1198" s="1755"/>
      <c r="AA1198" s="1775"/>
      <c r="AB1198" s="1814"/>
      <c r="AC1198" s="876"/>
      <c r="AD1198" s="1295"/>
      <c r="AE1198" s="1525"/>
      <c r="AF1198" s="1525"/>
      <c r="AG1198" s="1525"/>
      <c r="AH1198" s="1525"/>
      <c r="AI1198" s="1525"/>
      <c r="AJ1198" s="1525"/>
      <c r="AK1198" s="1525"/>
      <c r="AL1198" s="1525"/>
      <c r="AM1198" s="1525"/>
      <c r="AN1198" s="1525"/>
      <c r="AO1198" s="1525"/>
      <c r="AP1198" s="1525"/>
      <c r="AQ1198" s="1525"/>
      <c r="AR1198" s="1525"/>
      <c r="AS1198" s="1525"/>
      <c r="AU1198" s="1525"/>
      <c r="AV1198" s="1295"/>
      <c r="AW1198" s="1525"/>
      <c r="AX1198" s="1525"/>
      <c r="AY1198" s="1525"/>
      <c r="AZ1198" s="1525"/>
      <c r="BA1198" s="1525"/>
      <c r="BB1198" s="1525"/>
      <c r="BC1198" s="1525"/>
      <c r="BD1198" s="1525"/>
      <c r="BE1198" s="1525"/>
      <c r="BF1198" s="1525"/>
      <c r="BG1198" s="1525"/>
      <c r="BH1198" s="1525"/>
      <c r="BI1198" s="1525"/>
      <c r="BJ1198" s="1525"/>
      <c r="BK1198" s="1525"/>
      <c r="BL1198" s="1525"/>
      <c r="BM1198" s="1525"/>
      <c r="BN1198" s="1525"/>
      <c r="BO1198" s="1525"/>
      <c r="BP1198" s="1525"/>
      <c r="BQ1198" s="1525"/>
      <c r="BR1198" s="1525"/>
      <c r="BS1198" s="1525"/>
      <c r="BT1198" s="1670"/>
      <c r="BV1198"/>
      <c r="BW1198" s="834"/>
    </row>
    <row r="1199" spans="2:75" s="164" customFormat="1" ht="12.75" customHeight="1" x14ac:dyDescent="0.15">
      <c r="B1199" s="175"/>
      <c r="C1199" s="219" t="s">
        <v>1120</v>
      </c>
      <c r="F1199" s="4" t="s">
        <v>1125</v>
      </c>
      <c r="G1199" s="834"/>
      <c r="H1199" s="1351" t="s">
        <v>1508</v>
      </c>
      <c r="I1199" s="197"/>
      <c r="J1199" s="174"/>
      <c r="K1199" s="446">
        <f>K1178+K1190+K1197</f>
        <v>0</v>
      </c>
      <c r="L1199" s="892">
        <f>L1178+L1190+L1197</f>
        <v>8.9</v>
      </c>
      <c r="M1199" s="892">
        <f>M1178+M1190+M1197</f>
        <v>8.9</v>
      </c>
      <c r="N1199" s="832"/>
      <c r="O1199" s="1198"/>
      <c r="P1199" s="1245"/>
      <c r="Q1199" s="1153"/>
      <c r="R1199" s="877"/>
      <c r="S1199" s="875"/>
      <c r="T1199" s="875"/>
      <c r="U1199" s="875"/>
      <c r="V1199" s="875"/>
      <c r="W1199" s="875"/>
      <c r="X1199" s="1026"/>
      <c r="Y1199" s="1335"/>
      <c r="Z1199" s="1335"/>
      <c r="AA1199" s="1775"/>
      <c r="AB1199" s="1814"/>
      <c r="AC1199" s="876"/>
      <c r="AD1199" s="1295"/>
      <c r="AE1199" s="1525"/>
      <c r="AF1199" s="1525"/>
      <c r="AG1199" s="1525"/>
      <c r="AH1199" s="1525"/>
      <c r="AI1199" s="1525"/>
      <c r="AJ1199" s="1525"/>
      <c r="AK1199" s="1525"/>
      <c r="AL1199" s="1525"/>
      <c r="AM1199" s="1525"/>
      <c r="AN1199" s="1525"/>
      <c r="AO1199" s="1525"/>
      <c r="AP1199" s="1525"/>
      <c r="AQ1199" s="1525"/>
      <c r="AR1199" s="1525"/>
      <c r="AS1199" s="1525"/>
      <c r="AU1199" s="1525"/>
      <c r="AV1199" s="1295"/>
      <c r="AW1199" s="1525"/>
      <c r="AX1199" s="1525"/>
      <c r="AY1199" s="1525"/>
      <c r="AZ1199" s="1525"/>
      <c r="BA1199" s="1525"/>
      <c r="BB1199" s="1525"/>
      <c r="BC1199" s="1525"/>
      <c r="BD1199" s="1525"/>
      <c r="BE1199" s="1525"/>
      <c r="BF1199" s="1525"/>
      <c r="BG1199" s="1525"/>
      <c r="BH1199" s="1525"/>
      <c r="BI1199" s="1525"/>
      <c r="BJ1199" s="1525"/>
      <c r="BK1199" s="1525"/>
      <c r="BL1199" s="1525"/>
      <c r="BM1199" s="1525"/>
      <c r="BN1199" s="1525"/>
      <c r="BO1199" s="1525"/>
      <c r="BP1199" s="1525"/>
      <c r="BQ1199" s="1525"/>
      <c r="BR1199" s="1525"/>
      <c r="BS1199" s="1525"/>
      <c r="BT1199" s="1670"/>
      <c r="BV1199"/>
      <c r="BW1199" s="834"/>
    </row>
    <row r="1200" spans="2:75" s="164" customFormat="1" ht="12.75" customHeight="1" x14ac:dyDescent="0.15">
      <c r="B1200" s="175"/>
      <c r="C1200" s="170"/>
      <c r="D1200" s="170"/>
      <c r="E1200" s="170"/>
      <c r="F1200" s="19"/>
      <c r="G1200" s="832"/>
      <c r="H1200" s="1358" t="s">
        <v>1508</v>
      </c>
      <c r="I1200" s="180"/>
      <c r="J1200" s="173"/>
      <c r="K1200" s="173"/>
      <c r="L1200" s="893"/>
      <c r="M1200" s="893"/>
      <c r="N1200" s="832"/>
      <c r="O1200" s="1198"/>
      <c r="P1200" s="1245"/>
      <c r="Q1200" s="1148"/>
      <c r="R1200" s="874"/>
      <c r="S1200" s="876"/>
      <c r="T1200" s="876"/>
      <c r="U1200" s="876"/>
      <c r="V1200" s="876"/>
      <c r="W1200" s="876"/>
      <c r="X1200" s="1026"/>
      <c r="Y1200" s="1754"/>
      <c r="Z1200" s="1755"/>
      <c r="AA1200" s="1775"/>
      <c r="AB1200" s="1814"/>
      <c r="AC1200" s="876"/>
      <c r="AD1200" s="1295"/>
      <c r="AE1200" s="1525"/>
      <c r="AF1200" s="1525"/>
      <c r="AG1200" s="1525"/>
      <c r="AH1200" s="1525"/>
      <c r="AI1200" s="1525"/>
      <c r="AJ1200" s="1525"/>
      <c r="AK1200" s="1525"/>
      <c r="AL1200" s="1525"/>
      <c r="AM1200" s="1525"/>
      <c r="AN1200" s="1525"/>
      <c r="AO1200" s="1525"/>
      <c r="AP1200" s="1525"/>
      <c r="AQ1200" s="1525"/>
      <c r="AR1200" s="1525"/>
      <c r="AS1200" s="1525"/>
      <c r="AU1200" s="1525"/>
      <c r="AV1200" s="1295"/>
      <c r="AW1200" s="1525"/>
      <c r="AX1200" s="1525"/>
      <c r="AY1200" s="1525"/>
      <c r="AZ1200" s="1525"/>
      <c r="BA1200" s="1525"/>
      <c r="BB1200" s="1525"/>
      <c r="BC1200" s="1525"/>
      <c r="BD1200" s="1525"/>
      <c r="BE1200" s="1525"/>
      <c r="BF1200" s="1525"/>
      <c r="BG1200" s="1525"/>
      <c r="BH1200" s="1525"/>
      <c r="BI1200" s="1525"/>
      <c r="BJ1200" s="1525"/>
      <c r="BK1200" s="1525"/>
      <c r="BL1200" s="1525"/>
      <c r="BM1200" s="1525"/>
      <c r="BN1200" s="1525"/>
      <c r="BO1200" s="1525"/>
      <c r="BP1200" s="1525"/>
      <c r="BQ1200" s="1525"/>
      <c r="BR1200" s="1525"/>
      <c r="BS1200" s="1525"/>
      <c r="BT1200" s="1670"/>
      <c r="BV1200"/>
      <c r="BW1200" s="832"/>
    </row>
    <row r="1201" spans="2:75" s="164" customFormat="1" ht="12.75" customHeight="1" x14ac:dyDescent="0.15">
      <c r="B1201" s="175"/>
      <c r="C1201" s="170"/>
      <c r="D1201" s="170"/>
      <c r="E1201" s="170"/>
      <c r="F1201" s="18" t="s">
        <v>1582</v>
      </c>
      <c r="G1201" s="832"/>
      <c r="H1201" s="1358" t="s">
        <v>1508</v>
      </c>
      <c r="I1201" s="231"/>
      <c r="J1201" s="268"/>
      <c r="K1201" s="268"/>
      <c r="L1201" s="893"/>
      <c r="M1201" s="893"/>
      <c r="N1201" s="832"/>
      <c r="O1201" s="1198"/>
      <c r="P1201" s="1245"/>
      <c r="Q1201" s="1148"/>
      <c r="R1201" s="874"/>
      <c r="S1201" s="876"/>
      <c r="T1201" s="876"/>
      <c r="U1201" s="876"/>
      <c r="V1201" s="876"/>
      <c r="W1201" s="876"/>
      <c r="X1201" s="1026"/>
      <c r="Y1201" s="1754"/>
      <c r="Z1201" s="1755"/>
      <c r="AA1201" s="1775"/>
      <c r="AB1201" s="1814"/>
      <c r="AC1201" s="876"/>
      <c r="AD1201" s="1295"/>
      <c r="AE1201" s="1525"/>
      <c r="AF1201" s="1525"/>
      <c r="AG1201" s="1525"/>
      <c r="AH1201" s="1525"/>
      <c r="AI1201" s="1525"/>
      <c r="AJ1201" s="1525"/>
      <c r="AK1201" s="1525"/>
      <c r="AL1201" s="1525"/>
      <c r="AM1201" s="1525"/>
      <c r="AN1201" s="1525"/>
      <c r="AO1201" s="1525"/>
      <c r="AP1201" s="1525"/>
      <c r="AQ1201" s="1525"/>
      <c r="AR1201" s="1525"/>
      <c r="AS1201" s="1525"/>
      <c r="AU1201" s="1525"/>
      <c r="AV1201" s="1295"/>
      <c r="AW1201" s="1525"/>
      <c r="AX1201" s="1525"/>
      <c r="AY1201" s="1525"/>
      <c r="AZ1201" s="1525"/>
      <c r="BA1201" s="1525"/>
      <c r="BB1201" s="1525"/>
      <c r="BC1201" s="1525"/>
      <c r="BD1201" s="1525"/>
      <c r="BE1201" s="1525"/>
      <c r="BF1201" s="1525"/>
      <c r="BG1201" s="1525"/>
      <c r="BH1201" s="1525"/>
      <c r="BI1201" s="1525"/>
      <c r="BJ1201" s="1525"/>
      <c r="BK1201" s="1525"/>
      <c r="BL1201" s="1525"/>
      <c r="BM1201" s="1525"/>
      <c r="BN1201" s="1525"/>
      <c r="BO1201" s="1525"/>
      <c r="BP1201" s="1525"/>
      <c r="BQ1201" s="1525"/>
      <c r="BR1201" s="1525"/>
      <c r="BS1201" s="1525"/>
      <c r="BT1201" s="1670"/>
      <c r="BV1201"/>
      <c r="BW1201" s="832"/>
    </row>
    <row r="1202" spans="2:75" s="164" customFormat="1" ht="12.75" customHeight="1" x14ac:dyDescent="0.15">
      <c r="B1202" s="175"/>
      <c r="F1202" s="63"/>
      <c r="G1202" s="832"/>
      <c r="H1202" s="1358" t="s">
        <v>1508</v>
      </c>
      <c r="I1202" s="276"/>
      <c r="J1202" s="269"/>
      <c r="K1202" s="269"/>
      <c r="L1202" s="893"/>
      <c r="M1202" s="893"/>
      <c r="N1202" s="832"/>
      <c r="O1202" s="1198"/>
      <c r="P1202" s="1245"/>
      <c r="Q1202" s="1148"/>
      <c r="R1202" s="874"/>
      <c r="S1202" s="875"/>
      <c r="T1202" s="875"/>
      <c r="U1202" s="875"/>
      <c r="V1202" s="875"/>
      <c r="W1202" s="875"/>
      <c r="X1202" s="1026"/>
      <c r="Y1202" s="1754"/>
      <c r="Z1202" s="1755"/>
      <c r="AA1202" s="1775"/>
      <c r="AB1202" s="1814"/>
      <c r="AC1202" s="876"/>
      <c r="AD1202" s="1295"/>
      <c r="AE1202" s="1525"/>
      <c r="AF1202" s="1525"/>
      <c r="AG1202" s="1525"/>
      <c r="AH1202" s="1525"/>
      <c r="AI1202" s="1525"/>
      <c r="AJ1202" s="1525"/>
      <c r="AK1202" s="1525"/>
      <c r="AL1202" s="1525"/>
      <c r="AM1202" s="1525"/>
      <c r="AN1202" s="1525"/>
      <c r="AO1202" s="1525"/>
      <c r="AP1202" s="1525"/>
      <c r="AQ1202" s="1525"/>
      <c r="AR1202" s="1525"/>
      <c r="AS1202" s="1525"/>
      <c r="AU1202" s="1525"/>
      <c r="AV1202" s="1295"/>
      <c r="AW1202" s="1525"/>
      <c r="AX1202" s="1525"/>
      <c r="AY1202" s="1525"/>
      <c r="AZ1202" s="1525"/>
      <c r="BA1202" s="1525"/>
      <c r="BB1202" s="1525"/>
      <c r="BC1202" s="1525"/>
      <c r="BD1202" s="1525"/>
      <c r="BE1202" s="1525"/>
      <c r="BF1202" s="1525"/>
      <c r="BG1202" s="1525"/>
      <c r="BH1202" s="1525"/>
      <c r="BI1202" s="1525"/>
      <c r="BJ1202" s="1525"/>
      <c r="BK1202" s="1525"/>
      <c r="BL1202" s="1525"/>
      <c r="BM1202" s="1525"/>
      <c r="BN1202" s="1525"/>
      <c r="BO1202" s="1525"/>
      <c r="BP1202" s="1525"/>
      <c r="BQ1202" s="1525"/>
      <c r="BR1202" s="1525"/>
      <c r="BS1202" s="1525"/>
      <c r="BT1202" s="1670"/>
      <c r="BV1202"/>
      <c r="BW1202" s="832"/>
    </row>
    <row r="1203" spans="2:75" s="164" customFormat="1" ht="12.75" customHeight="1" x14ac:dyDescent="0.15">
      <c r="B1203" s="175"/>
      <c r="F1203" s="61"/>
      <c r="G1203" s="823"/>
      <c r="H1203" s="1341" t="s">
        <v>1508</v>
      </c>
      <c r="I1203" s="270"/>
      <c r="J1203" s="265"/>
      <c r="K1203" s="265"/>
      <c r="L1203" s="843"/>
      <c r="M1203" s="843"/>
      <c r="N1203" s="855"/>
      <c r="O1203" s="1198"/>
      <c r="P1203" s="1245"/>
      <c r="Q1203" s="1148"/>
      <c r="R1203" s="874"/>
      <c r="S1203" s="875"/>
      <c r="T1203" s="875"/>
      <c r="U1203" s="875"/>
      <c r="V1203" s="875"/>
      <c r="W1203" s="875"/>
      <c r="X1203" s="1026"/>
      <c r="Y1203" s="1754"/>
      <c r="Z1203" s="1755"/>
      <c r="AA1203" s="1775"/>
      <c r="AB1203" s="1814"/>
      <c r="AC1203" s="876"/>
      <c r="AD1203" s="1295"/>
      <c r="AE1203" s="1525"/>
      <c r="AF1203" s="1525"/>
      <c r="AG1203" s="1525"/>
      <c r="AH1203" s="1525"/>
      <c r="AI1203" s="1525"/>
      <c r="AJ1203" s="1525"/>
      <c r="AK1203" s="1525"/>
      <c r="AL1203" s="1525"/>
      <c r="AM1203" s="1525"/>
      <c r="AN1203" s="1525"/>
      <c r="AO1203" s="1525"/>
      <c r="AP1203" s="1525"/>
      <c r="AQ1203" s="1525"/>
      <c r="AR1203" s="1525"/>
      <c r="AS1203" s="1525"/>
      <c r="AU1203" s="1525"/>
      <c r="AV1203" s="1295"/>
      <c r="AW1203" s="1525"/>
      <c r="AX1203" s="1525"/>
      <c r="AY1203" s="1525"/>
      <c r="AZ1203" s="1525"/>
      <c r="BA1203" s="1525"/>
      <c r="BB1203" s="1525"/>
      <c r="BC1203" s="1525"/>
      <c r="BD1203" s="1525"/>
      <c r="BE1203" s="1525"/>
      <c r="BF1203" s="1525"/>
      <c r="BG1203" s="1525"/>
      <c r="BH1203" s="1525"/>
      <c r="BI1203" s="1525"/>
      <c r="BJ1203" s="1525"/>
      <c r="BK1203" s="1525"/>
      <c r="BL1203" s="1525"/>
      <c r="BM1203" s="1525"/>
      <c r="BN1203" s="1525"/>
      <c r="BO1203" s="1525"/>
      <c r="BP1203" s="1525"/>
      <c r="BQ1203" s="1525"/>
      <c r="BR1203" s="1525"/>
      <c r="BS1203" s="1525"/>
      <c r="BT1203" s="1670"/>
      <c r="BV1203"/>
      <c r="BW1203" s="823"/>
    </row>
    <row r="1204" spans="2:75" s="164" customFormat="1" ht="12.75" customHeight="1" x14ac:dyDescent="0.15">
      <c r="B1204" s="175"/>
      <c r="F1204" s="11" t="s">
        <v>789</v>
      </c>
      <c r="G1204" s="857"/>
      <c r="H1204" s="1370" t="s">
        <v>1508</v>
      </c>
      <c r="I1204" s="242"/>
      <c r="J1204" s="236"/>
      <c r="K1204" s="236"/>
      <c r="L1204" s="921"/>
      <c r="M1204" s="921"/>
      <c r="N1204" s="924"/>
      <c r="O1204" s="1198"/>
      <c r="P1204" s="1245"/>
      <c r="Q1204" s="1148"/>
      <c r="R1204" s="874"/>
      <c r="S1204" s="875"/>
      <c r="T1204" s="875"/>
      <c r="U1204" s="875"/>
      <c r="V1204" s="875"/>
      <c r="W1204" s="875"/>
      <c r="X1204" s="1026"/>
      <c r="Y1204" s="1754"/>
      <c r="Z1204" s="1755"/>
      <c r="AA1204" s="1775"/>
      <c r="AB1204" s="1814"/>
      <c r="AC1204" s="876"/>
      <c r="AD1204" s="1295"/>
      <c r="AE1204" s="1525"/>
      <c r="AF1204" s="1525"/>
      <c r="AG1204" s="1525"/>
      <c r="AH1204" s="1525"/>
      <c r="AI1204" s="1525"/>
      <c r="AJ1204" s="1525"/>
      <c r="AK1204" s="1525"/>
      <c r="AL1204" s="1525"/>
      <c r="AM1204" s="1525"/>
      <c r="AN1204" s="1525"/>
      <c r="AO1204" s="1525"/>
      <c r="AP1204" s="1525"/>
      <c r="AQ1204" s="1525"/>
      <c r="AR1204" s="1525"/>
      <c r="AS1204" s="1525"/>
      <c r="AU1204" s="1525"/>
      <c r="AV1204" s="1295"/>
      <c r="AW1204" s="1525"/>
      <c r="AX1204" s="1525"/>
      <c r="AY1204" s="1525"/>
      <c r="AZ1204" s="1525"/>
      <c r="BA1204" s="1525"/>
      <c r="BB1204" s="1525"/>
      <c r="BC1204" s="1525"/>
      <c r="BD1204" s="1525"/>
      <c r="BE1204" s="1525"/>
      <c r="BF1204" s="1525"/>
      <c r="BG1204" s="1525"/>
      <c r="BH1204" s="1525"/>
      <c r="BI1204" s="1525"/>
      <c r="BJ1204" s="1525"/>
      <c r="BK1204" s="1525"/>
      <c r="BL1204" s="1525"/>
      <c r="BM1204" s="1525"/>
      <c r="BN1204" s="1525"/>
      <c r="BO1204" s="1525"/>
      <c r="BP1204" s="1525"/>
      <c r="BQ1204" s="1525"/>
      <c r="BR1204" s="1525"/>
      <c r="BS1204" s="1525"/>
      <c r="BT1204" s="1670"/>
      <c r="BV1204"/>
      <c r="BW1204" s="857"/>
    </row>
    <row r="1205" spans="2:75" s="164" customFormat="1" ht="12.75" customHeight="1" x14ac:dyDescent="0.15">
      <c r="B1205" s="175"/>
      <c r="F1205" s="30"/>
      <c r="G1205" s="857"/>
      <c r="H1205" s="1346" t="s">
        <v>1508</v>
      </c>
      <c r="I1205" s="202"/>
      <c r="J1205" s="215"/>
      <c r="K1205" s="215"/>
      <c r="L1205" s="858"/>
      <c r="M1205" s="858"/>
      <c r="N1205" s="857"/>
      <c r="O1205" s="1198"/>
      <c r="P1205" s="1245"/>
      <c r="Q1205" s="1148"/>
      <c r="R1205" s="874"/>
      <c r="S1205" s="875"/>
      <c r="T1205" s="875"/>
      <c r="U1205" s="875"/>
      <c r="V1205" s="875"/>
      <c r="W1205" s="875"/>
      <c r="X1205" s="1026"/>
      <c r="Y1205" s="1754"/>
      <c r="Z1205" s="1755"/>
      <c r="AA1205" s="1775"/>
      <c r="AB1205" s="1814"/>
      <c r="AC1205" s="876"/>
      <c r="AD1205" s="1295"/>
      <c r="AE1205" s="1525"/>
      <c r="AF1205" s="1525"/>
      <c r="AG1205" s="1525"/>
      <c r="AH1205" s="1525"/>
      <c r="AI1205" s="1525"/>
      <c r="AJ1205" s="1525"/>
      <c r="AK1205" s="1525"/>
      <c r="AL1205" s="1525"/>
      <c r="AM1205" s="1525"/>
      <c r="AN1205" s="1525"/>
      <c r="AO1205" s="1525"/>
      <c r="AP1205" s="1525"/>
      <c r="AQ1205" s="1525"/>
      <c r="AR1205" s="1525"/>
      <c r="AS1205" s="1525"/>
      <c r="AU1205" s="1525"/>
      <c r="AV1205" s="1295"/>
      <c r="AW1205" s="1525"/>
      <c r="AX1205" s="1525"/>
      <c r="AY1205" s="1525"/>
      <c r="AZ1205" s="1525"/>
      <c r="BA1205" s="1525"/>
      <c r="BB1205" s="1525"/>
      <c r="BC1205" s="1525"/>
      <c r="BD1205" s="1525"/>
      <c r="BE1205" s="1525"/>
      <c r="BF1205" s="1525"/>
      <c r="BG1205" s="1525"/>
      <c r="BH1205" s="1525"/>
      <c r="BI1205" s="1525"/>
      <c r="BJ1205" s="1525"/>
      <c r="BK1205" s="1525"/>
      <c r="BL1205" s="1525"/>
      <c r="BM1205" s="1525"/>
      <c r="BN1205" s="1525"/>
      <c r="BO1205" s="1525"/>
      <c r="BP1205" s="1525"/>
      <c r="BQ1205" s="1525"/>
      <c r="BR1205" s="1525"/>
      <c r="BS1205" s="1525"/>
      <c r="BT1205" s="1670"/>
      <c r="BV1205"/>
      <c r="BW1205" s="857"/>
    </row>
    <row r="1206" spans="2:75" ht="12.75" customHeight="1" x14ac:dyDescent="0.2">
      <c r="B1206" s="175">
        <f>B1205+1</f>
        <v>1</v>
      </c>
      <c r="C1206" s="219">
        <v>11</v>
      </c>
      <c r="E1206" s="12" t="s">
        <v>1252</v>
      </c>
      <c r="F1206" s="24" t="s">
        <v>824</v>
      </c>
      <c r="G1206" s="821" t="s">
        <v>1939</v>
      </c>
      <c r="H1206" s="858">
        <v>96086</v>
      </c>
      <c r="I1206" s="200" t="s">
        <v>351</v>
      </c>
      <c r="J1206" s="189"/>
      <c r="K1206" s="189"/>
      <c r="L1206" s="858">
        <v>1</v>
      </c>
      <c r="M1206" s="858">
        <f>K1206+L1206</f>
        <v>1</v>
      </c>
      <c r="N1206" s="857" t="s">
        <v>1326</v>
      </c>
      <c r="O1206" s="1196">
        <v>22730</v>
      </c>
      <c r="P1206" s="1218">
        <f ca="1">YEARFRAC(TODAY(),O1206)</f>
        <v>55.519444444444446</v>
      </c>
      <c r="Q1206" s="1148">
        <v>29250</v>
      </c>
      <c r="R1206" s="874">
        <f>Q1206*0.1</f>
        <v>2925</v>
      </c>
      <c r="S1206" s="875"/>
      <c r="T1206" s="877"/>
      <c r="U1206" s="877"/>
      <c r="V1206" s="877"/>
      <c r="W1206" s="875"/>
      <c r="X1206" s="1026">
        <f>(Q1206+R1206+S1206+T1206+U1206+V1206+W1206)*M1206</f>
        <v>32175</v>
      </c>
      <c r="Y1206" s="1512">
        <f>(T1206+U1206)*M1206/(X1206-M1206*(T1206+U1206))</f>
        <v>0</v>
      </c>
      <c r="Z1206" s="1741">
        <f>M1206*(1+Y1206)</f>
        <v>1</v>
      </c>
      <c r="AA1206" s="1749">
        <f>SUM(AD1206:AS1206)</f>
        <v>0.7</v>
      </c>
      <c r="AB1206" s="1810">
        <f t="shared" ref="AB1206:AB1210" si="728">100*AA1206/Z1206</f>
        <v>70</v>
      </c>
      <c r="AC1206" s="876"/>
      <c r="AD1206" s="1525">
        <f t="shared" ref="AD1206:AS1210" si="729">SUMIF($AV$6:$BS$6,AD$5,$AV1206:$BS1206)</f>
        <v>0.2</v>
      </c>
      <c r="AE1206" s="1525">
        <f t="shared" si="729"/>
        <v>0</v>
      </c>
      <c r="AF1206" s="1525">
        <f t="shared" si="729"/>
        <v>0</v>
      </c>
      <c r="AG1206" s="1525">
        <f t="shared" si="729"/>
        <v>0</v>
      </c>
      <c r="AH1206" s="1525">
        <f t="shared" si="729"/>
        <v>0.2</v>
      </c>
      <c r="AI1206" s="1525">
        <f t="shared" si="729"/>
        <v>0.3</v>
      </c>
      <c r="AJ1206" s="1525">
        <f t="shared" si="729"/>
        <v>0</v>
      </c>
      <c r="AK1206" s="1525">
        <f t="shared" si="729"/>
        <v>0</v>
      </c>
      <c r="AL1206" s="1525">
        <f t="shared" si="729"/>
        <v>0</v>
      </c>
      <c r="AM1206" s="1525">
        <f t="shared" si="729"/>
        <v>0</v>
      </c>
      <c r="AN1206" s="1525">
        <f t="shared" si="729"/>
        <v>0</v>
      </c>
      <c r="AO1206" s="1525">
        <f t="shared" si="729"/>
        <v>0</v>
      </c>
      <c r="AP1206" s="1525">
        <f t="shared" si="729"/>
        <v>0</v>
      </c>
      <c r="AQ1206" s="1525">
        <f t="shared" si="729"/>
        <v>0</v>
      </c>
      <c r="AR1206" s="1525">
        <f t="shared" si="729"/>
        <v>0</v>
      </c>
      <c r="AS1206" s="1525">
        <f t="shared" si="729"/>
        <v>0</v>
      </c>
      <c r="AU1206" s="1525"/>
      <c r="AV1206" s="1291"/>
      <c r="AW1206" s="1292"/>
      <c r="AX1206" s="1292"/>
      <c r="AY1206" s="1292"/>
      <c r="AZ1206" s="1292">
        <v>0.2</v>
      </c>
      <c r="BA1206" s="1292"/>
      <c r="BB1206" s="1292"/>
      <c r="BC1206" s="1292"/>
      <c r="BD1206" s="1292"/>
      <c r="BE1206" s="1292"/>
      <c r="BF1206" s="1292"/>
      <c r="BG1206" s="1292"/>
      <c r="BH1206" s="1292"/>
      <c r="BI1206" s="1292">
        <v>0.2</v>
      </c>
      <c r="BJ1206" s="1292"/>
      <c r="BK1206" s="1292"/>
      <c r="BL1206" s="1292"/>
      <c r="BM1206" s="1292">
        <v>0.3</v>
      </c>
      <c r="BN1206" s="1292"/>
      <c r="BO1206" s="1292"/>
      <c r="BP1206" s="1292"/>
      <c r="BQ1206" s="1292"/>
      <c r="BR1206" s="1292"/>
      <c r="BS1206" s="1292"/>
      <c r="BT1206" s="1670">
        <f t="shared" ref="BT1206:BT1210" si="730">SUM(AV1206:BS1206)</f>
        <v>0.7</v>
      </c>
      <c r="BW1206" s="821" t="s">
        <v>1939</v>
      </c>
    </row>
    <row r="1207" spans="2:75" s="164" customFormat="1" ht="12.75" customHeight="1" x14ac:dyDescent="0.2">
      <c r="B1207" s="175">
        <f t="shared" ref="B1207:B1210" si="731">B1206+1</f>
        <v>2</v>
      </c>
      <c r="C1207" s="219">
        <v>9</v>
      </c>
      <c r="E1207" s="12" t="s">
        <v>1252</v>
      </c>
      <c r="F1207" s="24" t="s">
        <v>1396</v>
      </c>
      <c r="G1207" s="821" t="s">
        <v>1935</v>
      </c>
      <c r="H1207" s="858">
        <v>97793</v>
      </c>
      <c r="I1207" s="200" t="s">
        <v>351</v>
      </c>
      <c r="J1207" s="189"/>
      <c r="K1207" s="189"/>
      <c r="L1207" s="858">
        <v>0.1</v>
      </c>
      <c r="M1207" s="858">
        <f>K1207+L1207</f>
        <v>0.1</v>
      </c>
      <c r="N1207" s="857" t="s">
        <v>892</v>
      </c>
      <c r="O1207" s="1196">
        <v>24378</v>
      </c>
      <c r="P1207" s="1218">
        <f ca="1">YEARFRAC(TODAY(),O1207)</f>
        <v>51.011111111111113</v>
      </c>
      <c r="Q1207" s="1148">
        <v>14600</v>
      </c>
      <c r="R1207" s="874"/>
      <c r="S1207" s="875"/>
      <c r="T1207" s="877"/>
      <c r="U1207" s="877"/>
      <c r="V1207" s="877"/>
      <c r="W1207" s="875"/>
      <c r="X1207" s="1026">
        <f>(Q1207+R1207+S1207+T1207+U1207+V1207+W1207)*M1207</f>
        <v>1460</v>
      </c>
      <c r="Y1207" s="1512">
        <f>(T1207+U1207)*M1207/(X1207-M1207*(T1207+U1207))</f>
        <v>0</v>
      </c>
      <c r="Z1207" s="1741">
        <f>M1207*(1+Y1207)</f>
        <v>0.1</v>
      </c>
      <c r="AA1207" s="1749">
        <f>SUM(AD1207:AS1207)</f>
        <v>0</v>
      </c>
      <c r="AB1207" s="1810">
        <f t="shared" si="728"/>
        <v>0</v>
      </c>
      <c r="AC1207" s="876"/>
      <c r="AD1207" s="1525">
        <f t="shared" si="729"/>
        <v>0</v>
      </c>
      <c r="AE1207" s="1525">
        <f t="shared" si="729"/>
        <v>0</v>
      </c>
      <c r="AF1207" s="1525">
        <f t="shared" si="729"/>
        <v>0</v>
      </c>
      <c r="AG1207" s="1525">
        <f t="shared" si="729"/>
        <v>0</v>
      </c>
      <c r="AH1207" s="1525">
        <f t="shared" si="729"/>
        <v>0</v>
      </c>
      <c r="AI1207" s="1525">
        <f t="shared" si="729"/>
        <v>0</v>
      </c>
      <c r="AJ1207" s="1525">
        <f t="shared" si="729"/>
        <v>0</v>
      </c>
      <c r="AK1207" s="1525">
        <f t="shared" si="729"/>
        <v>0</v>
      </c>
      <c r="AL1207" s="1525">
        <f t="shared" si="729"/>
        <v>0</v>
      </c>
      <c r="AM1207" s="1525">
        <f t="shared" si="729"/>
        <v>0</v>
      </c>
      <c r="AN1207" s="1525">
        <f t="shared" si="729"/>
        <v>0</v>
      </c>
      <c r="AO1207" s="1525">
        <f t="shared" si="729"/>
        <v>0</v>
      </c>
      <c r="AP1207" s="1525">
        <f t="shared" si="729"/>
        <v>0</v>
      </c>
      <c r="AQ1207" s="1525">
        <f t="shared" si="729"/>
        <v>0</v>
      </c>
      <c r="AR1207" s="1525">
        <f t="shared" si="729"/>
        <v>0</v>
      </c>
      <c r="AS1207" s="1525">
        <f t="shared" si="729"/>
        <v>0</v>
      </c>
      <c r="AU1207" s="1525"/>
      <c r="AV1207" s="1295"/>
      <c r="AW1207" s="1525"/>
      <c r="AX1207" s="1525"/>
      <c r="AY1207" s="1525"/>
      <c r="AZ1207" s="1525"/>
      <c r="BA1207" s="1525"/>
      <c r="BB1207" s="1525"/>
      <c r="BC1207" s="1525"/>
      <c r="BD1207" s="1525"/>
      <c r="BE1207" s="1525"/>
      <c r="BF1207" s="1525"/>
      <c r="BG1207" s="1525"/>
      <c r="BH1207" s="1525"/>
      <c r="BI1207" s="1525"/>
      <c r="BJ1207" s="1525"/>
      <c r="BK1207" s="1525"/>
      <c r="BL1207" s="1525"/>
      <c r="BM1207" s="1525"/>
      <c r="BN1207" s="1525"/>
      <c r="BO1207" s="1525"/>
      <c r="BP1207" s="1525"/>
      <c r="BQ1207" s="1525"/>
      <c r="BR1207" s="1525"/>
      <c r="BS1207" s="1525"/>
      <c r="BT1207" s="1670">
        <f t="shared" si="730"/>
        <v>0</v>
      </c>
      <c r="BV1207"/>
      <c r="BW1207" s="821" t="s">
        <v>1935</v>
      </c>
    </row>
    <row r="1208" spans="2:75" s="164" customFormat="1" ht="12.75" customHeight="1" x14ac:dyDescent="0.2">
      <c r="B1208" s="175">
        <f t="shared" si="731"/>
        <v>3</v>
      </c>
      <c r="C1208" s="219">
        <v>14</v>
      </c>
      <c r="E1208" s="12" t="s">
        <v>1252</v>
      </c>
      <c r="F1208" s="23" t="s">
        <v>626</v>
      </c>
      <c r="G1208" s="834" t="s">
        <v>1660</v>
      </c>
      <c r="H1208" s="858">
        <v>141896</v>
      </c>
      <c r="I1208" s="197" t="s">
        <v>351</v>
      </c>
      <c r="J1208" s="189"/>
      <c r="K1208" s="189"/>
      <c r="L1208" s="858">
        <v>1</v>
      </c>
      <c r="M1208" s="858">
        <v>1</v>
      </c>
      <c r="N1208" s="832" t="s">
        <v>1326</v>
      </c>
      <c r="O1208" s="1196">
        <v>33302</v>
      </c>
      <c r="P1208" s="1218">
        <f ca="1">YEARFRAC(TODAY(),O1208)</f>
        <v>26.574999999999999</v>
      </c>
      <c r="Q1208" s="1148">
        <v>28000</v>
      </c>
      <c r="R1208" s="874">
        <f>Q1208*0.1</f>
        <v>2800</v>
      </c>
      <c r="S1208" s="875"/>
      <c r="T1208" s="877"/>
      <c r="U1208" s="877"/>
      <c r="V1208" s="877"/>
      <c r="W1208" s="875"/>
      <c r="X1208" s="1026">
        <f>(Q1208+R1208+S1208+T1208+U1208+V1208+W1208)*M1208</f>
        <v>30800</v>
      </c>
      <c r="Y1208" s="1512">
        <f>(T1208+U1208)*M1208/(X1208-M1208*(T1208+U1208))</f>
        <v>0</v>
      </c>
      <c r="Z1208" s="1741">
        <f>M1208*(1+Y1208)</f>
        <v>1</v>
      </c>
      <c r="AA1208" s="1749">
        <f>SUM(AD1208:AS1208)</f>
        <v>1</v>
      </c>
      <c r="AB1208" s="1810">
        <f t="shared" si="728"/>
        <v>100</v>
      </c>
      <c r="AC1208" s="876"/>
      <c r="AD1208" s="1525">
        <f t="shared" si="729"/>
        <v>1</v>
      </c>
      <c r="AE1208" s="1525">
        <f t="shared" si="729"/>
        <v>0</v>
      </c>
      <c r="AF1208" s="1525">
        <f t="shared" si="729"/>
        <v>0</v>
      </c>
      <c r="AG1208" s="1525">
        <f t="shared" si="729"/>
        <v>0</v>
      </c>
      <c r="AH1208" s="1525">
        <f t="shared" si="729"/>
        <v>0</v>
      </c>
      <c r="AI1208" s="1525">
        <f t="shared" si="729"/>
        <v>0</v>
      </c>
      <c r="AJ1208" s="1525">
        <f t="shared" si="729"/>
        <v>0</v>
      </c>
      <c r="AK1208" s="1525">
        <f t="shared" si="729"/>
        <v>0</v>
      </c>
      <c r="AL1208" s="1525">
        <f t="shared" si="729"/>
        <v>0</v>
      </c>
      <c r="AM1208" s="1525">
        <f t="shared" si="729"/>
        <v>0</v>
      </c>
      <c r="AN1208" s="1525">
        <f t="shared" si="729"/>
        <v>0</v>
      </c>
      <c r="AO1208" s="1525">
        <f t="shared" si="729"/>
        <v>0</v>
      </c>
      <c r="AP1208" s="1525">
        <f t="shared" si="729"/>
        <v>0</v>
      </c>
      <c r="AQ1208" s="1525">
        <f t="shared" si="729"/>
        <v>0</v>
      </c>
      <c r="AR1208" s="1525">
        <f t="shared" si="729"/>
        <v>0</v>
      </c>
      <c r="AS1208" s="1525">
        <f t="shared" si="729"/>
        <v>0</v>
      </c>
      <c r="AU1208" s="1525"/>
      <c r="AV1208" s="1295"/>
      <c r="AW1208" s="1525"/>
      <c r="AX1208" s="1525"/>
      <c r="AY1208" s="1525"/>
      <c r="AZ1208" s="1525"/>
      <c r="BA1208" s="1525"/>
      <c r="BB1208" s="1525"/>
      <c r="BC1208" s="1525"/>
      <c r="BD1208" s="1525"/>
      <c r="BE1208" s="1525"/>
      <c r="BF1208" s="1525"/>
      <c r="BG1208" s="1525"/>
      <c r="BH1208" s="1525"/>
      <c r="BI1208" s="1525">
        <v>1</v>
      </c>
      <c r="BJ1208" s="1525"/>
      <c r="BK1208" s="1525"/>
      <c r="BL1208" s="1525"/>
      <c r="BM1208" s="1525"/>
      <c r="BN1208" s="1525"/>
      <c r="BO1208" s="1525"/>
      <c r="BP1208" s="1525"/>
      <c r="BQ1208" s="1525"/>
      <c r="BR1208" s="1525"/>
      <c r="BS1208" s="1525"/>
      <c r="BT1208" s="1670">
        <f t="shared" si="730"/>
        <v>1</v>
      </c>
      <c r="BV1208"/>
      <c r="BW1208" s="834" t="s">
        <v>1660</v>
      </c>
    </row>
    <row r="1209" spans="2:75" ht="12.75" customHeight="1" x14ac:dyDescent="0.2">
      <c r="B1209" s="175">
        <f t="shared" si="731"/>
        <v>4</v>
      </c>
      <c r="C1209" s="219">
        <v>18</v>
      </c>
      <c r="E1209" s="12" t="s">
        <v>1252</v>
      </c>
      <c r="F1209" s="4" t="s">
        <v>790</v>
      </c>
      <c r="G1209" s="825" t="s">
        <v>1937</v>
      </c>
      <c r="H1209" s="858">
        <v>6943</v>
      </c>
      <c r="I1209" s="197" t="s">
        <v>1442</v>
      </c>
      <c r="J1209" s="174"/>
      <c r="K1209" s="174"/>
      <c r="L1209" s="861">
        <v>1</v>
      </c>
      <c r="M1209" s="858">
        <f>K1209+L1209</f>
        <v>1</v>
      </c>
      <c r="N1209" s="836" t="s">
        <v>1326</v>
      </c>
      <c r="O1209" s="1196">
        <v>18999</v>
      </c>
      <c r="P1209" s="1218">
        <f ca="1">YEARFRAC(TODAY(),O1209)</f>
        <v>65.738888888888894</v>
      </c>
      <c r="Q1209" s="1148">
        <v>19500</v>
      </c>
      <c r="R1209" s="874">
        <f>Q1209*0.1</f>
        <v>1950</v>
      </c>
      <c r="S1209" s="875"/>
      <c r="T1209" s="877"/>
      <c r="U1209" s="877"/>
      <c r="V1209" s="877"/>
      <c r="W1209" s="875"/>
      <c r="X1209" s="1026">
        <f>(Q1209+R1209+S1209+T1209+U1209+V1209+W1209)*M1209</f>
        <v>21450</v>
      </c>
      <c r="Y1209" s="1512">
        <f>(T1209+U1209)*M1209/(X1209-M1209*(T1209+U1209))</f>
        <v>0</v>
      </c>
      <c r="Z1209" s="1741">
        <f>M1209*(1+Y1209)</f>
        <v>1</v>
      </c>
      <c r="AA1209" s="1749">
        <f>SUM(AD1209:AS1209)</f>
        <v>1</v>
      </c>
      <c r="AB1209" s="1810">
        <f t="shared" si="728"/>
        <v>100</v>
      </c>
      <c r="AC1209" s="876"/>
      <c r="AD1209" s="1525">
        <f t="shared" si="729"/>
        <v>0.5</v>
      </c>
      <c r="AE1209" s="1525">
        <f t="shared" si="729"/>
        <v>0</v>
      </c>
      <c r="AF1209" s="1525">
        <f t="shared" si="729"/>
        <v>0</v>
      </c>
      <c r="AG1209" s="1525">
        <f t="shared" si="729"/>
        <v>0</v>
      </c>
      <c r="AH1209" s="1525">
        <f t="shared" si="729"/>
        <v>0</v>
      </c>
      <c r="AI1209" s="1525">
        <f t="shared" si="729"/>
        <v>0.5</v>
      </c>
      <c r="AJ1209" s="1525">
        <f t="shared" si="729"/>
        <v>0</v>
      </c>
      <c r="AK1209" s="1525">
        <f t="shared" si="729"/>
        <v>0</v>
      </c>
      <c r="AL1209" s="1525">
        <f t="shared" si="729"/>
        <v>0</v>
      </c>
      <c r="AM1209" s="1525">
        <f t="shared" si="729"/>
        <v>0</v>
      </c>
      <c r="AN1209" s="1525">
        <f t="shared" si="729"/>
        <v>0</v>
      </c>
      <c r="AO1209" s="1525">
        <f t="shared" si="729"/>
        <v>0</v>
      </c>
      <c r="AP1209" s="1525">
        <f t="shared" si="729"/>
        <v>0</v>
      </c>
      <c r="AQ1209" s="1525">
        <f t="shared" si="729"/>
        <v>0</v>
      </c>
      <c r="AR1209" s="1525">
        <f t="shared" si="729"/>
        <v>0</v>
      </c>
      <c r="AS1209" s="1525">
        <f t="shared" si="729"/>
        <v>0</v>
      </c>
      <c r="AU1209" s="1525"/>
      <c r="AV1209" s="1291"/>
      <c r="AW1209" s="1292"/>
      <c r="AX1209" s="1292"/>
      <c r="AY1209" s="1292"/>
      <c r="AZ1209" s="1292"/>
      <c r="BA1209" s="1292"/>
      <c r="BB1209" s="1292"/>
      <c r="BC1209" s="1292"/>
      <c r="BD1209" s="1292"/>
      <c r="BE1209" s="1292"/>
      <c r="BF1209" s="1292"/>
      <c r="BG1209" s="1292"/>
      <c r="BH1209" s="1292"/>
      <c r="BI1209" s="1292">
        <v>0.5</v>
      </c>
      <c r="BJ1209" s="1292"/>
      <c r="BK1209" s="1292"/>
      <c r="BL1209" s="1292"/>
      <c r="BM1209" s="1292">
        <v>0.5</v>
      </c>
      <c r="BN1209" s="1292"/>
      <c r="BO1209" s="1292"/>
      <c r="BP1209" s="1292"/>
      <c r="BQ1209" s="1292"/>
      <c r="BR1209" s="1292"/>
      <c r="BS1209" s="1292"/>
      <c r="BT1209" s="1670">
        <f t="shared" si="730"/>
        <v>1</v>
      </c>
      <c r="BW1209" s="825" t="s">
        <v>1937</v>
      </c>
    </row>
    <row r="1210" spans="2:75" ht="12.75" customHeight="1" x14ac:dyDescent="0.2">
      <c r="B1210" s="175">
        <f t="shared" si="731"/>
        <v>5</v>
      </c>
      <c r="C1210" s="219">
        <v>18</v>
      </c>
      <c r="E1210" s="12" t="s">
        <v>1252</v>
      </c>
      <c r="F1210" s="26" t="s">
        <v>791</v>
      </c>
      <c r="G1210" s="830" t="s">
        <v>1928</v>
      </c>
      <c r="H1210" s="873">
        <v>6884</v>
      </c>
      <c r="I1210" s="196" t="s">
        <v>1442</v>
      </c>
      <c r="J1210" s="195"/>
      <c r="K1210" s="195"/>
      <c r="L1210" s="873">
        <v>0.5</v>
      </c>
      <c r="M1210" s="873">
        <f>K1210+L1210</f>
        <v>0.5</v>
      </c>
      <c r="N1210" s="872" t="s">
        <v>1326</v>
      </c>
      <c r="O1210" s="1211">
        <v>16219</v>
      </c>
      <c r="P1210" s="1218">
        <f ca="1">YEARFRAC(TODAY(),O1210)</f>
        <v>73.347222222222229</v>
      </c>
      <c r="Q1210" s="1148">
        <v>17000</v>
      </c>
      <c r="R1210" s="890">
        <f>Q1210*0.1</f>
        <v>1700</v>
      </c>
      <c r="S1210" s="891"/>
      <c r="T1210" s="1048"/>
      <c r="U1210" s="1048"/>
      <c r="V1210" s="1048"/>
      <c r="W1210" s="891"/>
      <c r="X1210" s="1026">
        <f>(Q1210+R1210+S1210+T1210+U1210+V1210+W1210)*M1210</f>
        <v>9350</v>
      </c>
      <c r="Y1210" s="1512">
        <f>(T1210+U1210)*M1210/(X1210-M1210*(T1210+U1210))</f>
        <v>0</v>
      </c>
      <c r="Z1210" s="1741">
        <f>M1210*(1+Y1210)</f>
        <v>0.5</v>
      </c>
      <c r="AA1210" s="1749">
        <f>SUM(AD1210:AS1210)</f>
        <v>0</v>
      </c>
      <c r="AB1210" s="1810">
        <f t="shared" si="728"/>
        <v>0</v>
      </c>
      <c r="AC1210" s="876"/>
      <c r="AD1210" s="1525">
        <f t="shared" si="729"/>
        <v>0</v>
      </c>
      <c r="AE1210" s="1525">
        <f t="shared" si="729"/>
        <v>0</v>
      </c>
      <c r="AF1210" s="1525">
        <f t="shared" si="729"/>
        <v>0</v>
      </c>
      <c r="AG1210" s="1525">
        <f t="shared" si="729"/>
        <v>0</v>
      </c>
      <c r="AH1210" s="1525">
        <f t="shared" si="729"/>
        <v>0</v>
      </c>
      <c r="AI1210" s="1525">
        <f t="shared" si="729"/>
        <v>0</v>
      </c>
      <c r="AJ1210" s="1525">
        <f t="shared" si="729"/>
        <v>0</v>
      </c>
      <c r="AK1210" s="1525">
        <f t="shared" si="729"/>
        <v>0</v>
      </c>
      <c r="AL1210" s="1525">
        <f t="shared" si="729"/>
        <v>0</v>
      </c>
      <c r="AM1210" s="1525">
        <f t="shared" si="729"/>
        <v>0</v>
      </c>
      <c r="AN1210" s="1525">
        <f t="shared" si="729"/>
        <v>0</v>
      </c>
      <c r="AO1210" s="1525">
        <f t="shared" si="729"/>
        <v>0</v>
      </c>
      <c r="AP1210" s="1525">
        <f t="shared" si="729"/>
        <v>0</v>
      </c>
      <c r="AQ1210" s="1525">
        <f t="shared" si="729"/>
        <v>0</v>
      </c>
      <c r="AR1210" s="1525">
        <f t="shared" si="729"/>
        <v>0</v>
      </c>
      <c r="AS1210" s="1525">
        <f t="shared" si="729"/>
        <v>0</v>
      </c>
      <c r="AU1210" s="1525"/>
      <c r="AV1210" s="1291"/>
      <c r="AW1210" s="1292"/>
      <c r="AX1210" s="1292"/>
      <c r="AY1210" s="1292"/>
      <c r="AZ1210" s="1292"/>
      <c r="BA1210" s="1292"/>
      <c r="BB1210" s="1292"/>
      <c r="BC1210" s="1292"/>
      <c r="BD1210" s="1292"/>
      <c r="BE1210" s="1292"/>
      <c r="BF1210" s="1292"/>
      <c r="BG1210" s="1292"/>
      <c r="BH1210" s="1292"/>
      <c r="BI1210" s="1292"/>
      <c r="BJ1210" s="1292"/>
      <c r="BK1210" s="1292"/>
      <c r="BL1210" s="1292"/>
      <c r="BM1210" s="1292"/>
      <c r="BN1210" s="1292"/>
      <c r="BO1210" s="1292"/>
      <c r="BP1210" s="1292"/>
      <c r="BQ1210" s="1292"/>
      <c r="BR1210" s="1292"/>
      <c r="BS1210" s="1292"/>
      <c r="BT1210" s="1670">
        <f t="shared" si="730"/>
        <v>0</v>
      </c>
      <c r="BW1210" s="830" t="s">
        <v>1928</v>
      </c>
    </row>
    <row r="1211" spans="2:75" s="164" customFormat="1" ht="12.75" customHeight="1" x14ac:dyDescent="0.15">
      <c r="B1211" s="175"/>
      <c r="C1211" s="219" t="s">
        <v>1120</v>
      </c>
      <c r="F1211" s="1" t="s">
        <v>1238</v>
      </c>
      <c r="G1211" s="855"/>
      <c r="H1211" s="1358" t="s">
        <v>1508</v>
      </c>
      <c r="I1211" s="172"/>
      <c r="J1211" s="168"/>
      <c r="K1211" s="1651">
        <f>SUM(K1206:K1210)</f>
        <v>0</v>
      </c>
      <c r="L1211" s="1133">
        <f>SUM(L1206:L1210)</f>
        <v>3.6</v>
      </c>
      <c r="M1211" s="1133">
        <f>SUM(M1206:M1210)</f>
        <v>3.6</v>
      </c>
      <c r="N1211" s="855"/>
      <c r="O1211" s="1198"/>
      <c r="P1211" s="1245"/>
      <c r="Q1211" s="1153"/>
      <c r="R1211" s="877"/>
      <c r="S1211" s="875"/>
      <c r="T1211" s="875"/>
      <c r="U1211" s="875"/>
      <c r="V1211" s="875"/>
      <c r="W1211" s="875"/>
      <c r="X1211" s="1026"/>
      <c r="Y1211" s="1335"/>
      <c r="Z1211" s="1335"/>
      <c r="AA1211" s="1775"/>
      <c r="AB1211" s="1814"/>
      <c r="AC1211" s="876"/>
      <c r="AD1211" s="1295"/>
      <c r="AE1211" s="1525"/>
      <c r="AF1211" s="1525"/>
      <c r="AG1211" s="1525"/>
      <c r="AH1211" s="1525"/>
      <c r="AI1211" s="1525"/>
      <c r="AJ1211" s="1525"/>
      <c r="AK1211" s="1525"/>
      <c r="AL1211" s="1525"/>
      <c r="AM1211" s="1525"/>
      <c r="AN1211" s="1525"/>
      <c r="AO1211" s="1525"/>
      <c r="AP1211" s="1525"/>
      <c r="AQ1211" s="1525"/>
      <c r="AR1211" s="1525"/>
      <c r="AS1211" s="1525"/>
      <c r="AU1211" s="1525"/>
      <c r="AV1211" s="1295"/>
      <c r="AW1211" s="1525"/>
      <c r="AX1211" s="1525"/>
      <c r="AY1211" s="1525"/>
      <c r="AZ1211" s="1525"/>
      <c r="BA1211" s="1525"/>
      <c r="BB1211" s="1525"/>
      <c r="BC1211" s="1525"/>
      <c r="BD1211" s="1525"/>
      <c r="BE1211" s="1525"/>
      <c r="BF1211" s="1525"/>
      <c r="BG1211" s="1525"/>
      <c r="BH1211" s="1525"/>
      <c r="BI1211" s="1525"/>
      <c r="BJ1211" s="1525"/>
      <c r="BK1211" s="1525"/>
      <c r="BL1211" s="1525"/>
      <c r="BM1211" s="1525"/>
      <c r="BN1211" s="1525"/>
      <c r="BO1211" s="1525"/>
      <c r="BP1211" s="1525"/>
      <c r="BQ1211" s="1525"/>
      <c r="BR1211" s="1525"/>
      <c r="BS1211" s="1525"/>
      <c r="BT1211" s="1670"/>
      <c r="BV1211"/>
      <c r="BW1211" s="855"/>
    </row>
    <row r="1212" spans="2:75" s="164" customFormat="1" ht="12.75" customHeight="1" x14ac:dyDescent="0.15">
      <c r="B1212" s="175"/>
      <c r="F1212" s="30"/>
      <c r="G1212" s="857"/>
      <c r="H1212" s="1370" t="s">
        <v>1508</v>
      </c>
      <c r="I1212" s="202"/>
      <c r="J1212" s="215"/>
      <c r="K1212" s="215"/>
      <c r="L1212" s="921"/>
      <c r="M1212" s="921"/>
      <c r="N1212" s="857"/>
      <c r="O1212" s="1198"/>
      <c r="P1212" s="1245"/>
      <c r="Q1212" s="1148"/>
      <c r="R1212" s="874"/>
      <c r="S1212" s="875"/>
      <c r="T1212" s="875"/>
      <c r="U1212" s="875"/>
      <c r="V1212" s="875"/>
      <c r="W1212" s="875"/>
      <c r="X1212" s="1026"/>
      <c r="Y1212" s="1754"/>
      <c r="Z1212" s="1755"/>
      <c r="AA1212" s="1775"/>
      <c r="AB1212" s="1814"/>
      <c r="AC1212" s="876"/>
      <c r="AD1212" s="1295"/>
      <c r="AE1212" s="1525"/>
      <c r="AF1212" s="1525"/>
      <c r="AG1212" s="1525"/>
      <c r="AH1212" s="1525"/>
      <c r="AI1212" s="1525"/>
      <c r="AJ1212" s="1525"/>
      <c r="AK1212" s="1525"/>
      <c r="AL1212" s="1525"/>
      <c r="AM1212" s="1525"/>
      <c r="AN1212" s="1525"/>
      <c r="AO1212" s="1525"/>
      <c r="AP1212" s="1525"/>
      <c r="AQ1212" s="1525"/>
      <c r="AR1212" s="1525"/>
      <c r="AS1212" s="1525"/>
      <c r="AU1212" s="1525"/>
      <c r="AV1212" s="1295"/>
      <c r="AW1212" s="1525"/>
      <c r="AX1212" s="1525"/>
      <c r="AY1212" s="1525"/>
      <c r="AZ1212" s="1525"/>
      <c r="BA1212" s="1525"/>
      <c r="BB1212" s="1525"/>
      <c r="BC1212" s="1525"/>
      <c r="BD1212" s="1525"/>
      <c r="BE1212" s="1525"/>
      <c r="BF1212" s="1525"/>
      <c r="BG1212" s="1525"/>
      <c r="BH1212" s="1525"/>
      <c r="BI1212" s="1525"/>
      <c r="BJ1212" s="1525"/>
      <c r="BK1212" s="1525"/>
      <c r="BL1212" s="1525"/>
      <c r="BM1212" s="1525"/>
      <c r="BN1212" s="1525"/>
      <c r="BO1212" s="1525"/>
      <c r="BP1212" s="1525"/>
      <c r="BQ1212" s="1525"/>
      <c r="BR1212" s="1525"/>
      <c r="BS1212" s="1525"/>
      <c r="BT1212" s="1670"/>
      <c r="BV1212"/>
      <c r="BW1212" s="857"/>
    </row>
    <row r="1213" spans="2:75" s="164" customFormat="1" ht="12.75" customHeight="1" x14ac:dyDescent="0.15">
      <c r="B1213" s="175"/>
      <c r="F1213" s="4" t="s">
        <v>1494</v>
      </c>
      <c r="G1213" s="836"/>
      <c r="H1213" s="1380" t="s">
        <v>1508</v>
      </c>
      <c r="I1213" s="197"/>
      <c r="J1213" s="174"/>
      <c r="K1213" s="174"/>
      <c r="L1213" s="957"/>
      <c r="M1213" s="957"/>
      <c r="N1213" s="836"/>
      <c r="O1213" s="1198"/>
      <c r="P1213" s="1245"/>
      <c r="Q1213" s="1148"/>
      <c r="R1213" s="874"/>
      <c r="S1213" s="876"/>
      <c r="T1213" s="876"/>
      <c r="U1213" s="876"/>
      <c r="V1213" s="876"/>
      <c r="W1213" s="876"/>
      <c r="X1213" s="1026"/>
      <c r="Y1213" s="1754"/>
      <c r="Z1213" s="1755"/>
      <c r="AA1213" s="1775"/>
      <c r="AB1213" s="1814"/>
      <c r="AC1213" s="876"/>
      <c r="AD1213" s="1295"/>
      <c r="AE1213" s="1525"/>
      <c r="AF1213" s="1525"/>
      <c r="AG1213" s="1525"/>
      <c r="AH1213" s="1525"/>
      <c r="AI1213" s="1525"/>
      <c r="AJ1213" s="1525"/>
      <c r="AK1213" s="1525"/>
      <c r="AL1213" s="1525"/>
      <c r="AM1213" s="1525"/>
      <c r="AN1213" s="1525"/>
      <c r="AO1213" s="1525"/>
      <c r="AP1213" s="1525"/>
      <c r="AQ1213" s="1525"/>
      <c r="AR1213" s="1525"/>
      <c r="AS1213" s="1525"/>
      <c r="AU1213" s="1525"/>
      <c r="AV1213" s="1295"/>
      <c r="AW1213" s="1525"/>
      <c r="AX1213" s="1525"/>
      <c r="AY1213" s="1525"/>
      <c r="AZ1213" s="1525"/>
      <c r="BA1213" s="1525"/>
      <c r="BB1213" s="1525"/>
      <c r="BC1213" s="1525"/>
      <c r="BD1213" s="1525"/>
      <c r="BE1213" s="1525"/>
      <c r="BF1213" s="1525"/>
      <c r="BG1213" s="1525"/>
      <c r="BH1213" s="1525"/>
      <c r="BI1213" s="1525"/>
      <c r="BJ1213" s="1525"/>
      <c r="BK1213" s="1525"/>
      <c r="BL1213" s="1525"/>
      <c r="BM1213" s="1525"/>
      <c r="BN1213" s="1525"/>
      <c r="BO1213" s="1525"/>
      <c r="BP1213" s="1525"/>
      <c r="BQ1213" s="1525"/>
      <c r="BR1213" s="1525"/>
      <c r="BS1213" s="1525"/>
      <c r="BT1213" s="1670"/>
      <c r="BV1213"/>
      <c r="BW1213" s="836"/>
    </row>
    <row r="1214" spans="2:75" s="164" customFormat="1" ht="12.75" customHeight="1" x14ac:dyDescent="0.15">
      <c r="B1214" s="175"/>
      <c r="F1214" s="24" t="s">
        <v>899</v>
      </c>
      <c r="G1214" s="857"/>
      <c r="H1214" s="1370" t="s">
        <v>1508</v>
      </c>
      <c r="I1214" s="200"/>
      <c r="J1214" s="189"/>
      <c r="K1214" s="189"/>
      <c r="L1214" s="921"/>
      <c r="M1214" s="921"/>
      <c r="N1214" s="857"/>
      <c r="O1214" s="1198"/>
      <c r="P1214" s="1245"/>
      <c r="Q1214" s="1148"/>
      <c r="R1214" s="874"/>
      <c r="S1214" s="875"/>
      <c r="T1214" s="875"/>
      <c r="U1214" s="875"/>
      <c r="V1214" s="875"/>
      <c r="W1214" s="875"/>
      <c r="X1214" s="1026"/>
      <c r="Y1214" s="1754"/>
      <c r="Z1214" s="1755"/>
      <c r="AA1214" s="1775"/>
      <c r="AB1214" s="1814"/>
      <c r="AC1214" s="876"/>
      <c r="AD1214" s="1295"/>
      <c r="AE1214" s="1525"/>
      <c r="AF1214" s="1525"/>
      <c r="AG1214" s="1525"/>
      <c r="AH1214" s="1525"/>
      <c r="AI1214" s="1525"/>
      <c r="AJ1214" s="1525"/>
      <c r="AK1214" s="1525"/>
      <c r="AL1214" s="1525"/>
      <c r="AM1214" s="1525"/>
      <c r="AN1214" s="1525"/>
      <c r="AO1214" s="1525"/>
      <c r="AP1214" s="1525"/>
      <c r="AQ1214" s="1525"/>
      <c r="AR1214" s="1525"/>
      <c r="AS1214" s="1525"/>
      <c r="AU1214" s="1525"/>
      <c r="AV1214" s="1295"/>
      <c r="AW1214" s="1525"/>
      <c r="AX1214" s="1525"/>
      <c r="AY1214" s="1525"/>
      <c r="AZ1214" s="1525"/>
      <c r="BA1214" s="1525"/>
      <c r="BB1214" s="1525"/>
      <c r="BC1214" s="1525"/>
      <c r="BD1214" s="1525"/>
      <c r="BE1214" s="1525"/>
      <c r="BF1214" s="1525"/>
      <c r="BG1214" s="1525"/>
      <c r="BH1214" s="1525"/>
      <c r="BI1214" s="1525"/>
      <c r="BJ1214" s="1525"/>
      <c r="BK1214" s="1525"/>
      <c r="BL1214" s="1525"/>
      <c r="BM1214" s="1525"/>
      <c r="BN1214" s="1525"/>
      <c r="BO1214" s="1525"/>
      <c r="BP1214" s="1525"/>
      <c r="BQ1214" s="1525"/>
      <c r="BR1214" s="1525"/>
      <c r="BS1214" s="1525"/>
      <c r="BT1214" s="1670"/>
      <c r="BV1214"/>
      <c r="BW1214" s="857"/>
    </row>
    <row r="1215" spans="2:75" s="164" customFormat="1" ht="12.75" customHeight="1" x14ac:dyDescent="0.15">
      <c r="B1215" s="175"/>
      <c r="F1215" s="24"/>
      <c r="G1215" s="857"/>
      <c r="H1215" s="1346" t="s">
        <v>1508</v>
      </c>
      <c r="I1215" s="200"/>
      <c r="J1215" s="189"/>
      <c r="K1215" s="189"/>
      <c r="L1215" s="858"/>
      <c r="M1215" s="858"/>
      <c r="N1215" s="857"/>
      <c r="O1215" s="1198"/>
      <c r="P1215" s="1245"/>
      <c r="Q1215" s="1148"/>
      <c r="R1215" s="874"/>
      <c r="S1215" s="875"/>
      <c r="T1215" s="875"/>
      <c r="U1215" s="875"/>
      <c r="V1215" s="875"/>
      <c r="W1215" s="875"/>
      <c r="X1215" s="1026"/>
      <c r="Y1215" s="1754"/>
      <c r="Z1215" s="1755"/>
      <c r="AA1215" s="1775"/>
      <c r="AB1215" s="1814"/>
      <c r="AC1215" s="876"/>
      <c r="AD1215" s="1295"/>
      <c r="AE1215" s="1525"/>
      <c r="AF1215" s="1525"/>
      <c r="AG1215" s="1525"/>
      <c r="AH1215" s="1525"/>
      <c r="AI1215" s="1525"/>
      <c r="AJ1215" s="1525"/>
      <c r="AK1215" s="1525"/>
      <c r="AL1215" s="1525"/>
      <c r="AM1215" s="1525"/>
      <c r="AN1215" s="1525"/>
      <c r="AO1215" s="1525"/>
      <c r="AP1215" s="1525"/>
      <c r="AQ1215" s="1525"/>
      <c r="AR1215" s="1525"/>
      <c r="AS1215" s="1525"/>
      <c r="AU1215" s="1525"/>
      <c r="AV1215" s="1295"/>
      <c r="AW1215" s="1525"/>
      <c r="AX1215" s="1525"/>
      <c r="AY1215" s="1525"/>
      <c r="AZ1215" s="1525"/>
      <c r="BA1215" s="1525"/>
      <c r="BB1215" s="1525"/>
      <c r="BC1215" s="1525"/>
      <c r="BD1215" s="1525"/>
      <c r="BE1215" s="1525"/>
      <c r="BF1215" s="1525"/>
      <c r="BG1215" s="1525"/>
      <c r="BH1215" s="1525"/>
      <c r="BI1215" s="1525"/>
      <c r="BJ1215" s="1525"/>
      <c r="BK1215" s="1525"/>
      <c r="BL1215" s="1525"/>
      <c r="BM1215" s="1525"/>
      <c r="BN1215" s="1525"/>
      <c r="BO1215" s="1525"/>
      <c r="BP1215" s="1525"/>
      <c r="BQ1215" s="1525"/>
      <c r="BR1215" s="1525"/>
      <c r="BS1215" s="1525"/>
      <c r="BT1215" s="1670"/>
      <c r="BV1215"/>
      <c r="BW1215" s="857"/>
    </row>
    <row r="1216" spans="2:75" ht="12.75" customHeight="1" x14ac:dyDescent="0.2">
      <c r="B1216" s="175">
        <f>B1215+1</f>
        <v>1</v>
      </c>
      <c r="C1216" s="219">
        <v>11</v>
      </c>
      <c r="E1216" s="12" t="s">
        <v>1252</v>
      </c>
      <c r="F1216" s="24" t="s">
        <v>824</v>
      </c>
      <c r="G1216" s="821" t="s">
        <v>1932</v>
      </c>
      <c r="H1216" s="858">
        <v>6962</v>
      </c>
      <c r="I1216" s="200" t="s">
        <v>161</v>
      </c>
      <c r="J1216" s="189"/>
      <c r="K1216" s="189"/>
      <c r="L1216" s="858">
        <v>1</v>
      </c>
      <c r="M1216" s="858">
        <f>K1216+L1216</f>
        <v>1</v>
      </c>
      <c r="N1216" s="857" t="s">
        <v>1326</v>
      </c>
      <c r="O1216" s="1196">
        <v>18173</v>
      </c>
      <c r="P1216" s="1218">
        <f t="shared" ref="P1216:P1224" ca="1" si="732">YEARFRAC(TODAY(),O1216)</f>
        <v>68</v>
      </c>
      <c r="Q1216" s="1148">
        <v>37000</v>
      </c>
      <c r="R1216" s="874">
        <f>Q1216*0.1</f>
        <v>3700</v>
      </c>
      <c r="S1216" s="875"/>
      <c r="T1216" s="877">
        <v>3500</v>
      </c>
      <c r="U1216" s="877"/>
      <c r="V1216" s="877"/>
      <c r="W1216" s="875"/>
      <c r="X1216" s="1026">
        <f t="shared" ref="X1216:X1224" si="733">(Q1216+R1216+S1216+T1216+U1216+V1216+W1216)*M1216</f>
        <v>44200</v>
      </c>
      <c r="Y1216" s="1512">
        <f t="shared" ref="Y1216:Y1224" si="734">(T1216+U1216)*M1216/(X1216-M1216*(T1216+U1216))</f>
        <v>8.5995085995085999E-2</v>
      </c>
      <c r="Z1216" s="1741">
        <f t="shared" ref="Z1216:Z1224" si="735">M1216*(1+Y1216)</f>
        <v>1.085995085995086</v>
      </c>
      <c r="AA1216" s="1749">
        <f t="shared" ref="AA1216:AA1224" si="736">SUM(AD1216:AS1216)</f>
        <v>1</v>
      </c>
      <c r="AB1216" s="1810">
        <f t="shared" ref="AB1216:AB1224" si="737">100*AA1216/Z1216</f>
        <v>92.081447963800912</v>
      </c>
      <c r="AC1216" s="876"/>
      <c r="AD1216" s="1525">
        <f t="shared" ref="AD1216:AS1224" si="738">SUMIF($AV$6:$BS$6,AD$5,$AV1216:$BS1216)</f>
        <v>0.5</v>
      </c>
      <c r="AE1216" s="1525">
        <f t="shared" si="738"/>
        <v>0</v>
      </c>
      <c r="AF1216" s="1525">
        <f t="shared" si="738"/>
        <v>0</v>
      </c>
      <c r="AG1216" s="1525">
        <f t="shared" si="738"/>
        <v>0</v>
      </c>
      <c r="AH1216" s="1525">
        <f t="shared" si="738"/>
        <v>0</v>
      </c>
      <c r="AI1216" s="1525">
        <f t="shared" si="738"/>
        <v>0.5</v>
      </c>
      <c r="AJ1216" s="1525">
        <f t="shared" si="738"/>
        <v>0</v>
      </c>
      <c r="AK1216" s="1525">
        <f t="shared" si="738"/>
        <v>0</v>
      </c>
      <c r="AL1216" s="1525">
        <f t="shared" si="738"/>
        <v>0</v>
      </c>
      <c r="AM1216" s="1525">
        <f t="shared" si="738"/>
        <v>0</v>
      </c>
      <c r="AN1216" s="1525">
        <f t="shared" si="738"/>
        <v>0</v>
      </c>
      <c r="AO1216" s="1525">
        <f t="shared" si="738"/>
        <v>0</v>
      </c>
      <c r="AP1216" s="1525">
        <f t="shared" si="738"/>
        <v>0</v>
      </c>
      <c r="AQ1216" s="1525">
        <f t="shared" si="738"/>
        <v>0</v>
      </c>
      <c r="AR1216" s="1525">
        <f t="shared" si="738"/>
        <v>0</v>
      </c>
      <c r="AS1216" s="1525">
        <f t="shared" si="738"/>
        <v>0</v>
      </c>
      <c r="AU1216" s="1525"/>
      <c r="AV1216" s="1291"/>
      <c r="AW1216" s="1292"/>
      <c r="AX1216" s="1292"/>
      <c r="AY1216" s="1292"/>
      <c r="AZ1216" s="1292"/>
      <c r="BA1216" s="1292"/>
      <c r="BB1216" s="1292"/>
      <c r="BC1216" s="1292"/>
      <c r="BD1216" s="1292"/>
      <c r="BE1216" s="1292"/>
      <c r="BF1216" s="1292"/>
      <c r="BG1216" s="1292"/>
      <c r="BH1216" s="1292"/>
      <c r="BI1216" s="1292">
        <v>0.5</v>
      </c>
      <c r="BJ1216" s="1292"/>
      <c r="BK1216" s="1292"/>
      <c r="BL1216" s="1292"/>
      <c r="BM1216" s="1292">
        <v>0.5</v>
      </c>
      <c r="BN1216" s="1292"/>
      <c r="BO1216" s="1292"/>
      <c r="BP1216" s="1292"/>
      <c r="BQ1216" s="1292"/>
      <c r="BR1216" s="1292"/>
      <c r="BS1216" s="1292"/>
      <c r="BT1216" s="1670">
        <f t="shared" ref="BT1216:BT1224" si="739">SUM(AV1216:BS1216)</f>
        <v>1</v>
      </c>
      <c r="BW1216" s="821" t="s">
        <v>1932</v>
      </c>
    </row>
    <row r="1217" spans="1:75" ht="12.75" customHeight="1" x14ac:dyDescent="0.2">
      <c r="B1217" s="175">
        <f t="shared" ref="B1217:B1222" si="740">B1216+1</f>
        <v>2</v>
      </c>
      <c r="C1217" s="219">
        <v>13</v>
      </c>
      <c r="E1217" s="12" t="s">
        <v>1252</v>
      </c>
      <c r="F1217" s="4" t="s">
        <v>792</v>
      </c>
      <c r="G1217" s="821" t="s">
        <v>1934</v>
      </c>
      <c r="H1217" s="858">
        <v>6964</v>
      </c>
      <c r="I1217" s="200" t="s">
        <v>583</v>
      </c>
      <c r="J1217" s="189"/>
      <c r="K1217" s="189"/>
      <c r="L1217" s="858">
        <v>0.5</v>
      </c>
      <c r="M1217" s="858">
        <f>K1217+L1217</f>
        <v>0.5</v>
      </c>
      <c r="N1217" s="857" t="s">
        <v>1326</v>
      </c>
      <c r="O1217" s="1196">
        <v>13351</v>
      </c>
      <c r="P1217" s="1218">
        <f t="shared" ca="1" si="732"/>
        <v>81.2</v>
      </c>
      <c r="Q1217" s="1148">
        <v>17500</v>
      </c>
      <c r="R1217" s="874">
        <f>Q1217*0.1</f>
        <v>1750</v>
      </c>
      <c r="S1217" s="875"/>
      <c r="T1217" s="877"/>
      <c r="U1217" s="877"/>
      <c r="V1217" s="877"/>
      <c r="W1217" s="875"/>
      <c r="X1217" s="1026">
        <f t="shared" si="733"/>
        <v>9625</v>
      </c>
      <c r="Y1217" s="1512">
        <f t="shared" si="734"/>
        <v>0</v>
      </c>
      <c r="Z1217" s="1741">
        <f t="shared" si="735"/>
        <v>0.5</v>
      </c>
      <c r="AA1217" s="1749">
        <f t="shared" si="736"/>
        <v>0.4</v>
      </c>
      <c r="AB1217" s="1810">
        <f t="shared" si="737"/>
        <v>80</v>
      </c>
      <c r="AC1217" s="876"/>
      <c r="AD1217" s="1525">
        <f t="shared" si="738"/>
        <v>0</v>
      </c>
      <c r="AE1217" s="1525">
        <f t="shared" si="738"/>
        <v>0</v>
      </c>
      <c r="AF1217" s="1525">
        <f t="shared" si="738"/>
        <v>0</v>
      </c>
      <c r="AG1217" s="1525">
        <f t="shared" si="738"/>
        <v>0</v>
      </c>
      <c r="AH1217" s="1525">
        <f t="shared" si="738"/>
        <v>0</v>
      </c>
      <c r="AI1217" s="1525">
        <f t="shared" si="738"/>
        <v>0.4</v>
      </c>
      <c r="AJ1217" s="1525">
        <f t="shared" si="738"/>
        <v>0</v>
      </c>
      <c r="AK1217" s="1525">
        <f t="shared" si="738"/>
        <v>0</v>
      </c>
      <c r="AL1217" s="1525">
        <f t="shared" si="738"/>
        <v>0</v>
      </c>
      <c r="AM1217" s="1525">
        <f t="shared" si="738"/>
        <v>0</v>
      </c>
      <c r="AN1217" s="1525">
        <f t="shared" si="738"/>
        <v>0</v>
      </c>
      <c r="AO1217" s="1525">
        <f t="shared" si="738"/>
        <v>0</v>
      </c>
      <c r="AP1217" s="1525">
        <f t="shared" si="738"/>
        <v>0</v>
      </c>
      <c r="AQ1217" s="1525">
        <f t="shared" si="738"/>
        <v>0</v>
      </c>
      <c r="AR1217" s="1525">
        <f t="shared" si="738"/>
        <v>0</v>
      </c>
      <c r="AS1217" s="1525">
        <f t="shared" si="738"/>
        <v>0</v>
      </c>
      <c r="AU1217" s="1525"/>
      <c r="AV1217" s="1291"/>
      <c r="AW1217" s="1292"/>
      <c r="AX1217" s="1292"/>
      <c r="AY1217" s="1292"/>
      <c r="AZ1217" s="1292"/>
      <c r="BA1217" s="1292"/>
      <c r="BB1217" s="1292"/>
      <c r="BC1217" s="1292"/>
      <c r="BD1217" s="1292"/>
      <c r="BE1217" s="1292"/>
      <c r="BF1217" s="1292"/>
      <c r="BG1217" s="1292"/>
      <c r="BH1217" s="1292"/>
      <c r="BI1217" s="1292"/>
      <c r="BJ1217" s="1292"/>
      <c r="BK1217" s="1292"/>
      <c r="BL1217" s="1292"/>
      <c r="BM1217" s="1292">
        <v>0.4</v>
      </c>
      <c r="BN1217" s="1292"/>
      <c r="BO1217" s="1292"/>
      <c r="BP1217" s="1292"/>
      <c r="BQ1217" s="1292"/>
      <c r="BR1217" s="1292"/>
      <c r="BS1217" s="1292"/>
      <c r="BT1217" s="1670">
        <f t="shared" si="739"/>
        <v>0.4</v>
      </c>
      <c r="BW1217" s="821" t="s">
        <v>1934</v>
      </c>
    </row>
    <row r="1218" spans="1:75" ht="12.75" customHeight="1" x14ac:dyDescent="0.2">
      <c r="B1218" s="175">
        <f t="shared" si="740"/>
        <v>3</v>
      </c>
      <c r="C1218" s="219">
        <v>14</v>
      </c>
      <c r="E1218" s="12" t="s">
        <v>1252</v>
      </c>
      <c r="F1218" s="4" t="s">
        <v>1287</v>
      </c>
      <c r="G1218" s="821" t="s">
        <v>1698</v>
      </c>
      <c r="H1218" s="858">
        <v>144538</v>
      </c>
      <c r="I1218" s="200" t="s">
        <v>583</v>
      </c>
      <c r="J1218" s="189"/>
      <c r="K1218" s="189"/>
      <c r="L1218" s="858">
        <v>1</v>
      </c>
      <c r="M1218" s="858">
        <v>1</v>
      </c>
      <c r="N1218" s="857"/>
      <c r="O1218" s="1196">
        <v>19747</v>
      </c>
      <c r="P1218" s="1218">
        <f t="shared" ca="1" si="732"/>
        <v>63.69166666666667</v>
      </c>
      <c r="Q1218" s="1148">
        <v>25500</v>
      </c>
      <c r="R1218" s="874"/>
      <c r="S1218" s="875"/>
      <c r="T1218" s="877"/>
      <c r="U1218" s="877"/>
      <c r="V1218" s="877"/>
      <c r="W1218" s="875"/>
      <c r="X1218" s="1026">
        <f t="shared" si="733"/>
        <v>25500</v>
      </c>
      <c r="Y1218" s="1512">
        <f t="shared" si="734"/>
        <v>0</v>
      </c>
      <c r="Z1218" s="1741">
        <f t="shared" si="735"/>
        <v>1</v>
      </c>
      <c r="AA1218" s="1749">
        <f t="shared" si="736"/>
        <v>1</v>
      </c>
      <c r="AB1218" s="1810">
        <f t="shared" si="737"/>
        <v>100</v>
      </c>
      <c r="AC1218" s="876"/>
      <c r="AD1218" s="1525">
        <f t="shared" si="738"/>
        <v>1</v>
      </c>
      <c r="AE1218" s="1525">
        <f t="shared" si="738"/>
        <v>0</v>
      </c>
      <c r="AF1218" s="1525">
        <f t="shared" si="738"/>
        <v>0</v>
      </c>
      <c r="AG1218" s="1525">
        <f t="shared" si="738"/>
        <v>0</v>
      </c>
      <c r="AH1218" s="1525">
        <f t="shared" si="738"/>
        <v>0</v>
      </c>
      <c r="AI1218" s="1525">
        <f t="shared" si="738"/>
        <v>0</v>
      </c>
      <c r="AJ1218" s="1525">
        <f t="shared" si="738"/>
        <v>0</v>
      </c>
      <c r="AK1218" s="1525">
        <f t="shared" si="738"/>
        <v>0</v>
      </c>
      <c r="AL1218" s="1525">
        <f t="shared" si="738"/>
        <v>0</v>
      </c>
      <c r="AM1218" s="1525">
        <f t="shared" si="738"/>
        <v>0</v>
      </c>
      <c r="AN1218" s="1525">
        <f t="shared" si="738"/>
        <v>0</v>
      </c>
      <c r="AO1218" s="1525">
        <f t="shared" si="738"/>
        <v>0</v>
      </c>
      <c r="AP1218" s="1525">
        <f t="shared" si="738"/>
        <v>0</v>
      </c>
      <c r="AQ1218" s="1525">
        <f t="shared" si="738"/>
        <v>0</v>
      </c>
      <c r="AR1218" s="1525">
        <f t="shared" si="738"/>
        <v>0</v>
      </c>
      <c r="AS1218" s="1525">
        <f t="shared" si="738"/>
        <v>0</v>
      </c>
      <c r="AU1218" s="1525"/>
      <c r="AV1218" s="1291"/>
      <c r="AW1218" s="1292"/>
      <c r="AX1218" s="1292"/>
      <c r="AY1218" s="1292"/>
      <c r="AZ1218" s="1292"/>
      <c r="BA1218" s="1292"/>
      <c r="BB1218" s="1292"/>
      <c r="BC1218" s="1292"/>
      <c r="BD1218" s="1292"/>
      <c r="BE1218" s="1292"/>
      <c r="BF1218" s="1292"/>
      <c r="BG1218" s="1292"/>
      <c r="BH1218" s="1292"/>
      <c r="BI1218" s="1292">
        <v>1</v>
      </c>
      <c r="BJ1218" s="1292"/>
      <c r="BK1218" s="1292"/>
      <c r="BL1218" s="1292"/>
      <c r="BM1218" s="1292"/>
      <c r="BN1218" s="1292"/>
      <c r="BO1218" s="1292"/>
      <c r="BP1218" s="1292"/>
      <c r="BQ1218" s="1292"/>
      <c r="BR1218" s="1292"/>
      <c r="BS1218" s="1292"/>
      <c r="BT1218" s="1670">
        <f t="shared" si="739"/>
        <v>1</v>
      </c>
      <c r="BW1218" s="821" t="s">
        <v>1698</v>
      </c>
    </row>
    <row r="1219" spans="1:75" ht="12.75" customHeight="1" x14ac:dyDescent="0.2">
      <c r="B1219" s="175">
        <f t="shared" si="740"/>
        <v>4</v>
      </c>
      <c r="C1219" s="219">
        <v>14</v>
      </c>
      <c r="E1219" s="12" t="s">
        <v>1252</v>
      </c>
      <c r="F1219" s="1" t="s">
        <v>626</v>
      </c>
      <c r="G1219" s="821" t="s">
        <v>1927</v>
      </c>
      <c r="H1219" s="858">
        <v>6886</v>
      </c>
      <c r="I1219" s="172" t="s">
        <v>583</v>
      </c>
      <c r="J1219" s="168"/>
      <c r="K1219" s="168"/>
      <c r="L1219" s="841">
        <v>0.5</v>
      </c>
      <c r="M1219" s="858">
        <f t="shared" ref="M1219:M1224" si="741">K1219+L1219</f>
        <v>0.5</v>
      </c>
      <c r="N1219" s="857" t="s">
        <v>892</v>
      </c>
      <c r="O1219" s="1196">
        <v>17625</v>
      </c>
      <c r="P1219" s="1218">
        <f t="shared" ca="1" si="732"/>
        <v>69.5</v>
      </c>
      <c r="Q1219" s="1148">
        <v>17000</v>
      </c>
      <c r="R1219" s="874"/>
      <c r="S1219" s="875"/>
      <c r="T1219" s="877"/>
      <c r="U1219" s="877"/>
      <c r="V1219" s="877"/>
      <c r="W1219" s="875"/>
      <c r="X1219" s="1026">
        <f t="shared" si="733"/>
        <v>8500</v>
      </c>
      <c r="Y1219" s="1512">
        <f t="shared" si="734"/>
        <v>0</v>
      </c>
      <c r="Z1219" s="1741">
        <f t="shared" si="735"/>
        <v>0.5</v>
      </c>
      <c r="AA1219" s="1749">
        <f t="shared" si="736"/>
        <v>0</v>
      </c>
      <c r="AB1219" s="1810">
        <f t="shared" si="737"/>
        <v>0</v>
      </c>
      <c r="AC1219" s="876"/>
      <c r="AD1219" s="1525">
        <f t="shared" si="738"/>
        <v>0</v>
      </c>
      <c r="AE1219" s="1525">
        <f t="shared" si="738"/>
        <v>0</v>
      </c>
      <c r="AF1219" s="1525">
        <f t="shared" si="738"/>
        <v>0</v>
      </c>
      <c r="AG1219" s="1525">
        <f t="shared" si="738"/>
        <v>0</v>
      </c>
      <c r="AH1219" s="1525">
        <f t="shared" si="738"/>
        <v>0</v>
      </c>
      <c r="AI1219" s="1525">
        <f t="shared" si="738"/>
        <v>0</v>
      </c>
      <c r="AJ1219" s="1525">
        <f t="shared" si="738"/>
        <v>0</v>
      </c>
      <c r="AK1219" s="1525">
        <f t="shared" si="738"/>
        <v>0</v>
      </c>
      <c r="AL1219" s="1525">
        <f t="shared" si="738"/>
        <v>0</v>
      </c>
      <c r="AM1219" s="1525">
        <f t="shared" si="738"/>
        <v>0</v>
      </c>
      <c r="AN1219" s="1525">
        <f t="shared" si="738"/>
        <v>0</v>
      </c>
      <c r="AO1219" s="1525">
        <f t="shared" si="738"/>
        <v>0</v>
      </c>
      <c r="AP1219" s="1525">
        <f t="shared" si="738"/>
        <v>0</v>
      </c>
      <c r="AQ1219" s="1525">
        <f t="shared" si="738"/>
        <v>0</v>
      </c>
      <c r="AR1219" s="1525">
        <f t="shared" si="738"/>
        <v>0</v>
      </c>
      <c r="AS1219" s="1525">
        <f t="shared" si="738"/>
        <v>0</v>
      </c>
      <c r="AU1219" s="1525"/>
      <c r="AV1219" s="1291"/>
      <c r="AW1219" s="1292"/>
      <c r="AX1219" s="1292"/>
      <c r="AY1219" s="1292"/>
      <c r="AZ1219" s="1292"/>
      <c r="BA1219" s="1292"/>
      <c r="BB1219" s="1292"/>
      <c r="BC1219" s="1292"/>
      <c r="BD1219" s="1292"/>
      <c r="BE1219" s="1292"/>
      <c r="BF1219" s="1292"/>
      <c r="BG1219" s="1292"/>
      <c r="BH1219" s="1292"/>
      <c r="BI1219" s="1292"/>
      <c r="BJ1219" s="1292"/>
      <c r="BK1219" s="1292"/>
      <c r="BL1219" s="1292"/>
      <c r="BM1219" s="1292"/>
      <c r="BN1219" s="1292"/>
      <c r="BO1219" s="1292"/>
      <c r="BP1219" s="1292"/>
      <c r="BQ1219" s="1292"/>
      <c r="BR1219" s="1292"/>
      <c r="BS1219" s="1292"/>
      <c r="BT1219" s="1670">
        <f t="shared" si="739"/>
        <v>0</v>
      </c>
      <c r="BW1219" s="821" t="s">
        <v>1927</v>
      </c>
    </row>
    <row r="1220" spans="1:75" ht="12.75" customHeight="1" x14ac:dyDescent="0.2">
      <c r="B1220" s="175">
        <f t="shared" si="740"/>
        <v>5</v>
      </c>
      <c r="C1220" s="219">
        <v>18</v>
      </c>
      <c r="E1220" s="12" t="s">
        <v>1252</v>
      </c>
      <c r="F1220" s="4" t="s">
        <v>622</v>
      </c>
      <c r="G1220" s="825" t="s">
        <v>1930</v>
      </c>
      <c r="H1220" s="858">
        <v>20087</v>
      </c>
      <c r="I1220" s="197" t="s">
        <v>1442</v>
      </c>
      <c r="J1220" s="174"/>
      <c r="K1220" s="174"/>
      <c r="L1220" s="893">
        <v>1</v>
      </c>
      <c r="M1220" s="858">
        <f t="shared" si="741"/>
        <v>1</v>
      </c>
      <c r="N1220" s="836" t="s">
        <v>1326</v>
      </c>
      <c r="O1220" s="1196">
        <v>18154</v>
      </c>
      <c r="P1220" s="1218">
        <f t="shared" ca="1" si="732"/>
        <v>68.052777777777777</v>
      </c>
      <c r="Q1220" s="1148">
        <v>16000</v>
      </c>
      <c r="R1220" s="874">
        <f>Q1220*0.1</f>
        <v>1600</v>
      </c>
      <c r="S1220" s="875"/>
      <c r="T1220" s="877"/>
      <c r="U1220" s="877"/>
      <c r="V1220" s="877"/>
      <c r="W1220" s="875"/>
      <c r="X1220" s="1026">
        <f t="shared" si="733"/>
        <v>17600</v>
      </c>
      <c r="Y1220" s="1512">
        <f t="shared" si="734"/>
        <v>0</v>
      </c>
      <c r="Z1220" s="1741">
        <f t="shared" si="735"/>
        <v>1</v>
      </c>
      <c r="AA1220" s="1749">
        <f t="shared" si="736"/>
        <v>1</v>
      </c>
      <c r="AB1220" s="1810">
        <f t="shared" si="737"/>
        <v>100</v>
      </c>
      <c r="AC1220" s="876"/>
      <c r="AD1220" s="1525">
        <f t="shared" si="738"/>
        <v>1</v>
      </c>
      <c r="AE1220" s="1525">
        <f t="shared" si="738"/>
        <v>0</v>
      </c>
      <c r="AF1220" s="1525">
        <f t="shared" si="738"/>
        <v>0</v>
      </c>
      <c r="AG1220" s="1525">
        <f t="shared" si="738"/>
        <v>0</v>
      </c>
      <c r="AH1220" s="1525">
        <f t="shared" si="738"/>
        <v>0</v>
      </c>
      <c r="AI1220" s="1525">
        <f t="shared" si="738"/>
        <v>0</v>
      </c>
      <c r="AJ1220" s="1525">
        <f t="shared" si="738"/>
        <v>0</v>
      </c>
      <c r="AK1220" s="1525">
        <f t="shared" si="738"/>
        <v>0</v>
      </c>
      <c r="AL1220" s="1525">
        <f t="shared" si="738"/>
        <v>0</v>
      </c>
      <c r="AM1220" s="1525">
        <f t="shared" si="738"/>
        <v>0</v>
      </c>
      <c r="AN1220" s="1525">
        <f t="shared" si="738"/>
        <v>0</v>
      </c>
      <c r="AO1220" s="1525">
        <f t="shared" si="738"/>
        <v>0</v>
      </c>
      <c r="AP1220" s="1525">
        <f t="shared" si="738"/>
        <v>0</v>
      </c>
      <c r="AQ1220" s="1525">
        <f t="shared" si="738"/>
        <v>0</v>
      </c>
      <c r="AR1220" s="1525">
        <f t="shared" si="738"/>
        <v>0</v>
      </c>
      <c r="AS1220" s="1525">
        <f t="shared" si="738"/>
        <v>0</v>
      </c>
      <c r="AU1220" s="1525"/>
      <c r="AV1220" s="1291"/>
      <c r="AW1220" s="1292"/>
      <c r="AX1220" s="1292"/>
      <c r="AY1220" s="1292"/>
      <c r="AZ1220" s="1292"/>
      <c r="BA1220" s="1292"/>
      <c r="BB1220" s="1292"/>
      <c r="BC1220" s="1292"/>
      <c r="BD1220" s="1292"/>
      <c r="BE1220" s="1292"/>
      <c r="BF1220" s="1292"/>
      <c r="BG1220" s="1292"/>
      <c r="BH1220" s="1292"/>
      <c r="BI1220" s="1292">
        <v>1</v>
      </c>
      <c r="BJ1220" s="1292"/>
      <c r="BK1220" s="1292"/>
      <c r="BL1220" s="1292"/>
      <c r="BM1220" s="1292"/>
      <c r="BN1220" s="1292"/>
      <c r="BO1220" s="1292"/>
      <c r="BP1220" s="1292"/>
      <c r="BQ1220" s="1292"/>
      <c r="BR1220" s="1292"/>
      <c r="BS1220" s="1292"/>
      <c r="BT1220" s="1670">
        <f t="shared" si="739"/>
        <v>1</v>
      </c>
      <c r="BW1220" s="825" t="s">
        <v>1930</v>
      </c>
    </row>
    <row r="1221" spans="1:75" ht="12.75" customHeight="1" x14ac:dyDescent="0.2">
      <c r="B1221" s="175">
        <f t="shared" si="740"/>
        <v>6</v>
      </c>
      <c r="C1221" s="219">
        <v>18</v>
      </c>
      <c r="E1221" s="12" t="s">
        <v>1252</v>
      </c>
      <c r="F1221" s="4" t="s">
        <v>679</v>
      </c>
      <c r="G1221" s="825" t="s">
        <v>680</v>
      </c>
      <c r="H1221" s="861">
        <v>130072</v>
      </c>
      <c r="I1221" s="197" t="s">
        <v>1442</v>
      </c>
      <c r="J1221" s="174"/>
      <c r="K1221" s="174"/>
      <c r="L1221" s="893">
        <v>1</v>
      </c>
      <c r="M1221" s="861">
        <f t="shared" si="741"/>
        <v>1</v>
      </c>
      <c r="N1221" s="836" t="s">
        <v>1326</v>
      </c>
      <c r="O1221" s="1196">
        <v>21477</v>
      </c>
      <c r="P1221" s="1262">
        <f t="shared" ca="1" si="732"/>
        <v>58.952777777777776</v>
      </c>
      <c r="Q1221" s="1148">
        <v>18000</v>
      </c>
      <c r="R1221" s="874">
        <f>Q1221*0.1</f>
        <v>1800</v>
      </c>
      <c r="S1221" s="876"/>
      <c r="T1221" s="884"/>
      <c r="U1221" s="884"/>
      <c r="V1221" s="884"/>
      <c r="W1221" s="876"/>
      <c r="X1221" s="1026">
        <f t="shared" si="733"/>
        <v>19800</v>
      </c>
      <c r="Y1221" s="1512">
        <f t="shared" si="734"/>
        <v>0</v>
      </c>
      <c r="Z1221" s="1741">
        <f t="shared" si="735"/>
        <v>1</v>
      </c>
      <c r="AA1221" s="1749">
        <f t="shared" si="736"/>
        <v>1</v>
      </c>
      <c r="AB1221" s="1810">
        <f t="shared" si="737"/>
        <v>100</v>
      </c>
      <c r="AC1221" s="876"/>
      <c r="AD1221" s="1525">
        <f t="shared" si="738"/>
        <v>1</v>
      </c>
      <c r="AE1221" s="1525">
        <f t="shared" si="738"/>
        <v>0</v>
      </c>
      <c r="AF1221" s="1525">
        <f t="shared" si="738"/>
        <v>0</v>
      </c>
      <c r="AG1221" s="1525">
        <f t="shared" si="738"/>
        <v>0</v>
      </c>
      <c r="AH1221" s="1525">
        <f t="shared" si="738"/>
        <v>0</v>
      </c>
      <c r="AI1221" s="1525">
        <f t="shared" si="738"/>
        <v>0</v>
      </c>
      <c r="AJ1221" s="1525">
        <f t="shared" si="738"/>
        <v>0</v>
      </c>
      <c r="AK1221" s="1525">
        <f t="shared" si="738"/>
        <v>0</v>
      </c>
      <c r="AL1221" s="1525">
        <f t="shared" si="738"/>
        <v>0</v>
      </c>
      <c r="AM1221" s="1525">
        <f t="shared" si="738"/>
        <v>0</v>
      </c>
      <c r="AN1221" s="1525">
        <f t="shared" si="738"/>
        <v>0</v>
      </c>
      <c r="AO1221" s="1525">
        <f t="shared" si="738"/>
        <v>0</v>
      </c>
      <c r="AP1221" s="1525">
        <f t="shared" si="738"/>
        <v>0</v>
      </c>
      <c r="AQ1221" s="1525">
        <f t="shared" si="738"/>
        <v>0</v>
      </c>
      <c r="AR1221" s="1525">
        <f t="shared" si="738"/>
        <v>0</v>
      </c>
      <c r="AS1221" s="1525">
        <f t="shared" si="738"/>
        <v>0</v>
      </c>
      <c r="AU1221" s="1525"/>
      <c r="AV1221" s="1291"/>
      <c r="AW1221" s="1292"/>
      <c r="AX1221" s="1292"/>
      <c r="AY1221" s="1292"/>
      <c r="AZ1221" s="1292"/>
      <c r="BA1221" s="1292"/>
      <c r="BB1221" s="1292"/>
      <c r="BC1221" s="1292"/>
      <c r="BD1221" s="1292"/>
      <c r="BE1221" s="1292"/>
      <c r="BF1221" s="1292"/>
      <c r="BG1221" s="1292"/>
      <c r="BH1221" s="1292"/>
      <c r="BI1221" s="1292">
        <v>1</v>
      </c>
      <c r="BJ1221" s="1292"/>
      <c r="BK1221" s="1292"/>
      <c r="BL1221" s="1292"/>
      <c r="BM1221" s="1292"/>
      <c r="BN1221" s="1292"/>
      <c r="BO1221" s="1292"/>
      <c r="BP1221" s="1292"/>
      <c r="BQ1221" s="1292"/>
      <c r="BR1221" s="1292"/>
      <c r="BS1221" s="1292"/>
      <c r="BT1221" s="1670">
        <f t="shared" si="739"/>
        <v>1</v>
      </c>
      <c r="BW1221" s="825" t="s">
        <v>680</v>
      </c>
    </row>
    <row r="1222" spans="1:75" ht="12.75" customHeight="1" x14ac:dyDescent="0.2">
      <c r="B1222" s="175">
        <f t="shared" si="740"/>
        <v>7</v>
      </c>
      <c r="C1222" s="219">
        <v>18</v>
      </c>
      <c r="E1222" s="12" t="s">
        <v>1252</v>
      </c>
      <c r="F1222" s="4" t="s">
        <v>88</v>
      </c>
      <c r="G1222" s="825" t="s">
        <v>1931</v>
      </c>
      <c r="H1222" s="858">
        <v>270114</v>
      </c>
      <c r="I1222" s="197" t="s">
        <v>1442</v>
      </c>
      <c r="J1222" s="174"/>
      <c r="K1222" s="174"/>
      <c r="L1222" s="893">
        <v>1</v>
      </c>
      <c r="M1222" s="858">
        <f t="shared" si="741"/>
        <v>1</v>
      </c>
      <c r="N1222" s="836" t="s">
        <v>1326</v>
      </c>
      <c r="O1222" s="1196">
        <v>17332</v>
      </c>
      <c r="P1222" s="1218">
        <f t="shared" ca="1" si="732"/>
        <v>70.3</v>
      </c>
      <c r="Q1222" s="1148">
        <v>15100</v>
      </c>
      <c r="R1222" s="874">
        <f>Q1222*0.1</f>
        <v>1510</v>
      </c>
      <c r="S1222" s="875"/>
      <c r="T1222" s="877"/>
      <c r="U1222" s="877"/>
      <c r="V1222" s="877"/>
      <c r="W1222" s="875"/>
      <c r="X1222" s="1026">
        <f t="shared" si="733"/>
        <v>16610</v>
      </c>
      <c r="Y1222" s="1512">
        <f t="shared" si="734"/>
        <v>0</v>
      </c>
      <c r="Z1222" s="1741">
        <f t="shared" si="735"/>
        <v>1</v>
      </c>
      <c r="AA1222" s="1749">
        <f t="shared" si="736"/>
        <v>0</v>
      </c>
      <c r="AB1222" s="1810">
        <f t="shared" si="737"/>
        <v>0</v>
      </c>
      <c r="AC1222" s="876"/>
      <c r="AD1222" s="1525">
        <f t="shared" si="738"/>
        <v>0</v>
      </c>
      <c r="AE1222" s="1525">
        <f t="shared" si="738"/>
        <v>0</v>
      </c>
      <c r="AF1222" s="1525">
        <f t="shared" si="738"/>
        <v>0</v>
      </c>
      <c r="AG1222" s="1525">
        <f t="shared" si="738"/>
        <v>0</v>
      </c>
      <c r="AH1222" s="1525">
        <f t="shared" si="738"/>
        <v>0</v>
      </c>
      <c r="AI1222" s="1525">
        <f t="shared" si="738"/>
        <v>0</v>
      </c>
      <c r="AJ1222" s="1525">
        <f t="shared" si="738"/>
        <v>0</v>
      </c>
      <c r="AK1222" s="1525">
        <f t="shared" si="738"/>
        <v>0</v>
      </c>
      <c r="AL1222" s="1525">
        <f t="shared" si="738"/>
        <v>0</v>
      </c>
      <c r="AM1222" s="1525">
        <f t="shared" si="738"/>
        <v>0</v>
      </c>
      <c r="AN1222" s="1525">
        <f t="shared" si="738"/>
        <v>0</v>
      </c>
      <c r="AO1222" s="1525">
        <f t="shared" si="738"/>
        <v>0</v>
      </c>
      <c r="AP1222" s="1525">
        <f t="shared" si="738"/>
        <v>0</v>
      </c>
      <c r="AQ1222" s="1525">
        <f t="shared" si="738"/>
        <v>0</v>
      </c>
      <c r="AR1222" s="1525">
        <f t="shared" si="738"/>
        <v>0</v>
      </c>
      <c r="AS1222" s="1525">
        <f t="shared" si="738"/>
        <v>0</v>
      </c>
      <c r="AU1222" s="1525"/>
      <c r="AV1222" s="1291"/>
      <c r="AW1222" s="1292"/>
      <c r="AX1222" s="1292"/>
      <c r="AY1222" s="1292"/>
      <c r="AZ1222" s="1292"/>
      <c r="BA1222" s="1292"/>
      <c r="BB1222" s="1292"/>
      <c r="BC1222" s="1292"/>
      <c r="BD1222" s="1292"/>
      <c r="BE1222" s="1292"/>
      <c r="BF1222" s="1292"/>
      <c r="BG1222" s="1292"/>
      <c r="BH1222" s="1292"/>
      <c r="BI1222" s="1292"/>
      <c r="BJ1222" s="1292"/>
      <c r="BK1222" s="1292"/>
      <c r="BL1222" s="1292"/>
      <c r="BM1222" s="1292"/>
      <c r="BN1222" s="1292"/>
      <c r="BO1222" s="1292"/>
      <c r="BP1222" s="1292"/>
      <c r="BQ1222" s="1292"/>
      <c r="BR1222" s="1292"/>
      <c r="BS1222" s="1292"/>
      <c r="BT1222" s="1670">
        <f t="shared" si="739"/>
        <v>0</v>
      </c>
      <c r="BW1222" s="825" t="s">
        <v>1931</v>
      </c>
    </row>
    <row r="1223" spans="1:75" ht="12.75" customHeight="1" x14ac:dyDescent="0.2">
      <c r="B1223" s="175">
        <f t="shared" ref="B1223:B1224" si="742">B1222+1</f>
        <v>8</v>
      </c>
      <c r="C1223" s="219">
        <v>18</v>
      </c>
      <c r="E1223" s="12" t="s">
        <v>1252</v>
      </c>
      <c r="F1223" s="4" t="s">
        <v>1757</v>
      </c>
      <c r="G1223" s="821" t="s">
        <v>1759</v>
      </c>
      <c r="H1223" s="858">
        <v>153701</v>
      </c>
      <c r="I1223" s="200" t="s">
        <v>1442</v>
      </c>
      <c r="J1223" s="189"/>
      <c r="K1223" s="189"/>
      <c r="L1223" s="841">
        <v>0.2</v>
      </c>
      <c r="M1223" s="858">
        <f t="shared" si="741"/>
        <v>0.2</v>
      </c>
      <c r="N1223" s="857" t="s">
        <v>892</v>
      </c>
      <c r="O1223" s="1196">
        <v>20106</v>
      </c>
      <c r="P1223" s="1218">
        <f t="shared" ca="1" si="732"/>
        <v>62.708333333333336</v>
      </c>
      <c r="Q1223" s="1148">
        <v>21300</v>
      </c>
      <c r="R1223" s="874"/>
      <c r="S1223" s="875"/>
      <c r="T1223" s="877"/>
      <c r="U1223" s="877"/>
      <c r="V1223" s="877"/>
      <c r="W1223" s="875"/>
      <c r="X1223" s="1026">
        <f t="shared" si="733"/>
        <v>4260</v>
      </c>
      <c r="Y1223" s="1512">
        <f t="shared" si="734"/>
        <v>0</v>
      </c>
      <c r="Z1223" s="1741">
        <f t="shared" si="735"/>
        <v>0.2</v>
      </c>
      <c r="AA1223" s="1749">
        <f t="shared" si="736"/>
        <v>0</v>
      </c>
      <c r="AB1223" s="1810">
        <f t="shared" si="737"/>
        <v>0</v>
      </c>
      <c r="AC1223" s="876"/>
      <c r="AD1223" s="1525">
        <f t="shared" si="738"/>
        <v>0</v>
      </c>
      <c r="AE1223" s="1525">
        <f t="shared" si="738"/>
        <v>0</v>
      </c>
      <c r="AF1223" s="1525">
        <f t="shared" si="738"/>
        <v>0</v>
      </c>
      <c r="AG1223" s="1525">
        <f t="shared" si="738"/>
        <v>0</v>
      </c>
      <c r="AH1223" s="1525">
        <f t="shared" si="738"/>
        <v>0</v>
      </c>
      <c r="AI1223" s="1525">
        <f t="shared" si="738"/>
        <v>0</v>
      </c>
      <c r="AJ1223" s="1525">
        <f t="shared" si="738"/>
        <v>0</v>
      </c>
      <c r="AK1223" s="1525">
        <f t="shared" si="738"/>
        <v>0</v>
      </c>
      <c r="AL1223" s="1525">
        <f t="shared" si="738"/>
        <v>0</v>
      </c>
      <c r="AM1223" s="1525">
        <f t="shared" si="738"/>
        <v>0</v>
      </c>
      <c r="AN1223" s="1525">
        <f t="shared" si="738"/>
        <v>0</v>
      </c>
      <c r="AO1223" s="1525">
        <f t="shared" si="738"/>
        <v>0</v>
      </c>
      <c r="AP1223" s="1525">
        <f t="shared" si="738"/>
        <v>0</v>
      </c>
      <c r="AQ1223" s="1525">
        <f t="shared" si="738"/>
        <v>0</v>
      </c>
      <c r="AR1223" s="1525">
        <f t="shared" si="738"/>
        <v>0</v>
      </c>
      <c r="AS1223" s="1525">
        <f t="shared" si="738"/>
        <v>0</v>
      </c>
      <c r="AU1223" s="1525"/>
      <c r="AV1223" s="1291"/>
      <c r="AW1223" s="1292"/>
      <c r="AX1223" s="1292"/>
      <c r="AY1223" s="1292"/>
      <c r="AZ1223" s="1292"/>
      <c r="BA1223" s="1292"/>
      <c r="BB1223" s="1292"/>
      <c r="BC1223" s="1292"/>
      <c r="BD1223" s="1292"/>
      <c r="BE1223" s="1292"/>
      <c r="BF1223" s="1292"/>
      <c r="BG1223" s="1292"/>
      <c r="BH1223" s="1292"/>
      <c r="BI1223" s="1292"/>
      <c r="BJ1223" s="1292"/>
      <c r="BK1223" s="1292"/>
      <c r="BL1223" s="1292"/>
      <c r="BM1223" s="1292"/>
      <c r="BN1223" s="1292"/>
      <c r="BO1223" s="1292"/>
      <c r="BP1223" s="1292"/>
      <c r="BQ1223" s="1292"/>
      <c r="BR1223" s="1292"/>
      <c r="BS1223" s="1292"/>
      <c r="BT1223" s="1670">
        <f t="shared" si="739"/>
        <v>0</v>
      </c>
      <c r="BW1223" s="821" t="s">
        <v>1759</v>
      </c>
    </row>
    <row r="1224" spans="1:75" ht="12.75" customHeight="1" x14ac:dyDescent="0.2">
      <c r="B1224" s="175">
        <f t="shared" si="742"/>
        <v>9</v>
      </c>
      <c r="C1224" s="219">
        <v>18</v>
      </c>
      <c r="E1224" s="12" t="s">
        <v>1252</v>
      </c>
      <c r="F1224" s="4" t="s">
        <v>1758</v>
      </c>
      <c r="G1224" s="821" t="s">
        <v>1760</v>
      </c>
      <c r="H1224" s="861">
        <v>153702</v>
      </c>
      <c r="I1224" s="200" t="s">
        <v>1442</v>
      </c>
      <c r="J1224" s="195"/>
      <c r="K1224" s="195"/>
      <c r="L1224" s="944">
        <v>0.2</v>
      </c>
      <c r="M1224" s="873">
        <f t="shared" si="741"/>
        <v>0.2</v>
      </c>
      <c r="N1224" s="857" t="s">
        <v>892</v>
      </c>
      <c r="O1224" s="1211">
        <v>24231</v>
      </c>
      <c r="P1224" s="1218">
        <f t="shared" ca="1" si="732"/>
        <v>51.411111111111111</v>
      </c>
      <c r="Q1224" s="1071">
        <v>21300</v>
      </c>
      <c r="R1224" s="874"/>
      <c r="S1224" s="875"/>
      <c r="T1224" s="877"/>
      <c r="U1224" s="877"/>
      <c r="V1224" s="877"/>
      <c r="W1224" s="875"/>
      <c r="X1224" s="1026">
        <f t="shared" si="733"/>
        <v>4260</v>
      </c>
      <c r="Y1224" s="1512">
        <f t="shared" si="734"/>
        <v>0</v>
      </c>
      <c r="Z1224" s="1741">
        <f t="shared" si="735"/>
        <v>0.2</v>
      </c>
      <c r="AA1224" s="1749">
        <f t="shared" si="736"/>
        <v>0</v>
      </c>
      <c r="AB1224" s="1810">
        <f t="shared" si="737"/>
        <v>0</v>
      </c>
      <c r="AC1224" s="876"/>
      <c r="AD1224" s="1525">
        <f t="shared" si="738"/>
        <v>0</v>
      </c>
      <c r="AE1224" s="1525">
        <f t="shared" si="738"/>
        <v>0</v>
      </c>
      <c r="AF1224" s="1525">
        <f t="shared" si="738"/>
        <v>0</v>
      </c>
      <c r="AG1224" s="1525">
        <f t="shared" si="738"/>
        <v>0</v>
      </c>
      <c r="AH1224" s="1525">
        <f t="shared" si="738"/>
        <v>0</v>
      </c>
      <c r="AI1224" s="1525">
        <f t="shared" si="738"/>
        <v>0</v>
      </c>
      <c r="AJ1224" s="1525">
        <f t="shared" si="738"/>
        <v>0</v>
      </c>
      <c r="AK1224" s="1525">
        <f t="shared" si="738"/>
        <v>0</v>
      </c>
      <c r="AL1224" s="1525">
        <f t="shared" si="738"/>
        <v>0</v>
      </c>
      <c r="AM1224" s="1525">
        <f t="shared" si="738"/>
        <v>0</v>
      </c>
      <c r="AN1224" s="1525">
        <f t="shared" si="738"/>
        <v>0</v>
      </c>
      <c r="AO1224" s="1525">
        <f t="shared" si="738"/>
        <v>0</v>
      </c>
      <c r="AP1224" s="1525">
        <f t="shared" si="738"/>
        <v>0</v>
      </c>
      <c r="AQ1224" s="1525">
        <f t="shared" si="738"/>
        <v>0</v>
      </c>
      <c r="AR1224" s="1525">
        <f t="shared" si="738"/>
        <v>0</v>
      </c>
      <c r="AS1224" s="1525">
        <f t="shared" si="738"/>
        <v>0</v>
      </c>
      <c r="AU1224" s="1525"/>
      <c r="AV1224" s="1291"/>
      <c r="AW1224" s="1292"/>
      <c r="AX1224" s="1292"/>
      <c r="AY1224" s="1292"/>
      <c r="AZ1224" s="1292"/>
      <c r="BA1224" s="1292"/>
      <c r="BB1224" s="1292"/>
      <c r="BC1224" s="1292"/>
      <c r="BD1224" s="1292"/>
      <c r="BE1224" s="1292"/>
      <c r="BF1224" s="1292"/>
      <c r="BG1224" s="1292"/>
      <c r="BH1224" s="1292"/>
      <c r="BI1224" s="1292"/>
      <c r="BJ1224" s="1292"/>
      <c r="BK1224" s="1292"/>
      <c r="BL1224" s="1292"/>
      <c r="BM1224" s="1292"/>
      <c r="BN1224" s="1292"/>
      <c r="BO1224" s="1292"/>
      <c r="BP1224" s="1292"/>
      <c r="BQ1224" s="1292"/>
      <c r="BR1224" s="1292"/>
      <c r="BS1224" s="1292"/>
      <c r="BT1224" s="1670">
        <f t="shared" si="739"/>
        <v>0</v>
      </c>
      <c r="BW1224" s="821" t="s">
        <v>1760</v>
      </c>
    </row>
    <row r="1225" spans="1:75" s="164" customFormat="1" ht="12.75" customHeight="1" x14ac:dyDescent="0.15">
      <c r="B1225" s="175"/>
      <c r="C1225" s="219" t="s">
        <v>1120</v>
      </c>
      <c r="F1225" s="26" t="s">
        <v>1188</v>
      </c>
      <c r="G1225" s="985"/>
      <c r="H1225" s="1354" t="s">
        <v>1508</v>
      </c>
      <c r="I1225" s="196"/>
      <c r="J1225" s="195"/>
      <c r="K1225" s="1657">
        <f>SUM(K1216:K1224)</f>
        <v>0</v>
      </c>
      <c r="L1225" s="1658">
        <f>SUM(L1216:L1224)</f>
        <v>6.4</v>
      </c>
      <c r="M1225" s="1658">
        <f>SUM(M1216:M1224)</f>
        <v>6.4</v>
      </c>
      <c r="N1225" s="901"/>
      <c r="O1225" s="901"/>
      <c r="P1225" s="1236"/>
      <c r="Q1225" s="1177"/>
      <c r="R1225" s="1029"/>
      <c r="S1225" s="1030"/>
      <c r="T1225" s="1030"/>
      <c r="U1225" s="1030"/>
      <c r="V1225" s="1030"/>
      <c r="W1225" s="1030"/>
      <c r="X1225" s="1704"/>
      <c r="Y1225" s="891"/>
      <c r="Z1225" s="891"/>
      <c r="AA1225" s="1749"/>
      <c r="AB1225" s="1812"/>
      <c r="AC1225" s="876"/>
      <c r="AD1225" s="1295"/>
      <c r="AE1225" s="1525"/>
      <c r="AF1225" s="1525"/>
      <c r="AG1225" s="1525"/>
      <c r="AH1225" s="1525"/>
      <c r="AI1225" s="1525"/>
      <c r="AJ1225" s="1525"/>
      <c r="AK1225" s="1525"/>
      <c r="AL1225" s="1525"/>
      <c r="AM1225" s="1525"/>
      <c r="AN1225" s="1525"/>
      <c r="AO1225" s="1525"/>
      <c r="AP1225" s="1525"/>
      <c r="AQ1225" s="1525"/>
      <c r="AR1225" s="1525"/>
      <c r="AS1225" s="1525"/>
      <c r="AU1225" s="1525"/>
      <c r="AV1225" s="1295"/>
      <c r="AW1225" s="1525"/>
      <c r="AX1225" s="1525"/>
      <c r="AY1225" s="1525"/>
      <c r="AZ1225" s="1525"/>
      <c r="BA1225" s="1525"/>
      <c r="BB1225" s="1525"/>
      <c r="BC1225" s="1525"/>
      <c r="BD1225" s="1525"/>
      <c r="BE1225" s="1525"/>
      <c r="BF1225" s="1525"/>
      <c r="BG1225" s="1525"/>
      <c r="BH1225" s="1525"/>
      <c r="BI1225" s="1525"/>
      <c r="BJ1225" s="1525"/>
      <c r="BK1225" s="1525"/>
      <c r="BL1225" s="1525"/>
      <c r="BM1225" s="1525"/>
      <c r="BN1225" s="1525"/>
      <c r="BO1225" s="1525"/>
      <c r="BP1225" s="1525"/>
      <c r="BQ1225" s="1525"/>
      <c r="BR1225" s="1525"/>
      <c r="BS1225" s="1525"/>
      <c r="BT1225" s="1670"/>
      <c r="BV1225"/>
      <c r="BW1225" s="901"/>
    </row>
    <row r="1226" spans="1:75" s="164" customFormat="1" ht="12.75" customHeight="1" x14ac:dyDescent="0.15">
      <c r="B1226" s="175"/>
      <c r="C1226" s="219" t="s">
        <v>1120</v>
      </c>
      <c r="F1226" s="33" t="s">
        <v>1239</v>
      </c>
      <c r="G1226" s="985"/>
      <c r="H1226" s="1349" t="s">
        <v>1508</v>
      </c>
      <c r="I1226" s="201"/>
      <c r="J1226" s="199"/>
      <c r="K1226" s="427">
        <f>+K1211+K1225</f>
        <v>0</v>
      </c>
      <c r="L1226" s="866">
        <f>+L1211+L1225</f>
        <v>10</v>
      </c>
      <c r="M1226" s="866">
        <f>M1211+M1225</f>
        <v>10</v>
      </c>
      <c r="N1226" s="901"/>
      <c r="O1226" s="901"/>
      <c r="P1226" s="1236"/>
      <c r="Q1226" s="1159"/>
      <c r="R1226" s="1029"/>
      <c r="S1226" s="1030"/>
      <c r="T1226" s="1030"/>
      <c r="U1226" s="1030"/>
      <c r="V1226" s="1030"/>
      <c r="W1226" s="1030"/>
      <c r="X1226" s="1704"/>
      <c r="Y1226" s="881"/>
      <c r="Z1226" s="881"/>
      <c r="AA1226" s="1749"/>
      <c r="AB1226" s="1812"/>
      <c r="AC1226" s="876"/>
      <c r="AD1226" s="1295"/>
      <c r="AE1226" s="1525"/>
      <c r="AF1226" s="1525"/>
      <c r="AG1226" s="1525"/>
      <c r="AH1226" s="1525"/>
      <c r="AI1226" s="1525"/>
      <c r="AJ1226" s="1525"/>
      <c r="AK1226" s="1525"/>
      <c r="AL1226" s="1525"/>
      <c r="AM1226" s="1525"/>
      <c r="AN1226" s="1525"/>
      <c r="AO1226" s="1525"/>
      <c r="AP1226" s="1525"/>
      <c r="AQ1226" s="1525"/>
      <c r="AR1226" s="1525"/>
      <c r="AS1226" s="1525"/>
      <c r="AU1226" s="1525"/>
      <c r="AV1226" s="1295"/>
      <c r="AW1226" s="1525"/>
      <c r="AX1226" s="1525"/>
      <c r="AY1226" s="1525"/>
      <c r="AZ1226" s="1525"/>
      <c r="BA1226" s="1525"/>
      <c r="BB1226" s="1525"/>
      <c r="BC1226" s="1525"/>
      <c r="BD1226" s="1525"/>
      <c r="BE1226" s="1525"/>
      <c r="BF1226" s="1525"/>
      <c r="BG1226" s="1525"/>
      <c r="BH1226" s="1525"/>
      <c r="BI1226" s="1525"/>
      <c r="BJ1226" s="1525"/>
      <c r="BK1226" s="1525"/>
      <c r="BL1226" s="1525"/>
      <c r="BM1226" s="1525"/>
      <c r="BN1226" s="1525"/>
      <c r="BO1226" s="1525"/>
      <c r="BP1226" s="1525"/>
      <c r="BQ1226" s="1525"/>
      <c r="BR1226" s="1525"/>
      <c r="BS1226" s="1525"/>
      <c r="BT1226" s="1670"/>
      <c r="BV1226"/>
      <c r="BW1226" s="901"/>
    </row>
    <row r="1227" spans="1:75" s="164" customFormat="1" ht="12.75" customHeight="1" x14ac:dyDescent="0.15">
      <c r="B1227" s="175"/>
      <c r="F1227" s="330"/>
      <c r="G1227" s="836"/>
      <c r="H1227" s="1347" t="s">
        <v>1508</v>
      </c>
      <c r="I1227" s="331"/>
      <c r="J1227" s="329"/>
      <c r="K1227" s="329"/>
      <c r="L1227" s="927"/>
      <c r="M1227" s="927"/>
      <c r="N1227" s="836"/>
      <c r="O1227" s="836"/>
      <c r="P1227" s="1249"/>
      <c r="Q1227" s="1153"/>
      <c r="R1227" s="874"/>
      <c r="S1227" s="875"/>
      <c r="T1227" s="875"/>
      <c r="U1227" s="875"/>
      <c r="V1227" s="875"/>
      <c r="W1227" s="875"/>
      <c r="X1227" s="1026"/>
      <c r="Y1227" s="1659"/>
      <c r="Z1227" s="1744"/>
      <c r="AA1227" s="1749"/>
      <c r="AB1227" s="1812"/>
      <c r="AC1227" s="876"/>
      <c r="AD1227" s="1295"/>
      <c r="AE1227" s="1525"/>
      <c r="AF1227" s="1525"/>
      <c r="AG1227" s="1525"/>
      <c r="AH1227" s="1525"/>
      <c r="AI1227" s="1525"/>
      <c r="AJ1227" s="1525"/>
      <c r="AK1227" s="1525"/>
      <c r="AL1227" s="1525"/>
      <c r="AM1227" s="1525"/>
      <c r="AN1227" s="1525"/>
      <c r="AO1227" s="1525"/>
      <c r="AP1227" s="1525"/>
      <c r="AQ1227" s="1525"/>
      <c r="AR1227" s="1525"/>
      <c r="AS1227" s="1525"/>
      <c r="AU1227" s="1525"/>
      <c r="AV1227" s="1295"/>
      <c r="AW1227" s="1525"/>
      <c r="AX1227" s="1525"/>
      <c r="AY1227" s="1525"/>
      <c r="AZ1227" s="1525"/>
      <c r="BA1227" s="1525"/>
      <c r="BB1227" s="1525"/>
      <c r="BC1227" s="1525"/>
      <c r="BD1227" s="1525"/>
      <c r="BE1227" s="1525"/>
      <c r="BF1227" s="1525"/>
      <c r="BG1227" s="1525"/>
      <c r="BH1227" s="1525"/>
      <c r="BI1227" s="1525"/>
      <c r="BJ1227" s="1525"/>
      <c r="BK1227" s="1525"/>
      <c r="BL1227" s="1525"/>
      <c r="BM1227" s="1525"/>
      <c r="BN1227" s="1525"/>
      <c r="BO1227" s="1525"/>
      <c r="BP1227" s="1525"/>
      <c r="BQ1227" s="1525"/>
      <c r="BR1227" s="1525"/>
      <c r="BS1227" s="1525"/>
      <c r="BT1227" s="1670"/>
      <c r="BV1227"/>
      <c r="BW1227" s="836"/>
    </row>
    <row r="1228" spans="1:75" s="164" customFormat="1" ht="12.75" customHeight="1" x14ac:dyDescent="0.15">
      <c r="B1228" s="175"/>
      <c r="C1228" s="658" t="s">
        <v>344</v>
      </c>
      <c r="D1228" s="659" t="s">
        <v>346</v>
      </c>
      <c r="E1228" s="660" t="s">
        <v>1252</v>
      </c>
      <c r="F1228" s="374" t="s">
        <v>898</v>
      </c>
      <c r="G1228" s="953">
        <f>COUNTA(G1169:G1227)</f>
        <v>29</v>
      </c>
      <c r="H1228" s="1379" t="s">
        <v>1508</v>
      </c>
      <c r="I1228" s="376"/>
      <c r="J1228" s="375"/>
      <c r="K1228" s="953">
        <f t="shared" ref="K1228:L1228" si="743">K1172+K1199+K1226</f>
        <v>0</v>
      </c>
      <c r="L1228" s="953">
        <f t="shared" si="743"/>
        <v>21.4</v>
      </c>
      <c r="M1228" s="953">
        <f>M1172+M1199+M1226</f>
        <v>21.4</v>
      </c>
      <c r="N1228" s="840"/>
      <c r="O1228" s="840"/>
      <c r="P1228" s="1220"/>
      <c r="Q1228" s="1178"/>
      <c r="R1228" s="887"/>
      <c r="S1228" s="880"/>
      <c r="T1228" s="880"/>
      <c r="U1228" s="880"/>
      <c r="V1228" s="880"/>
      <c r="W1228" s="880"/>
      <c r="X1228" s="1276">
        <f>SUM(X1169:X1224)</f>
        <v>716192.5</v>
      </c>
      <c r="Y1228" s="1511"/>
      <c r="Z1228" s="1654">
        <f>SUM(Z1169:Z1227)</f>
        <v>22.450141172943908</v>
      </c>
      <c r="AA1228" s="1827">
        <f>SUM(AA1169:AA1227)</f>
        <v>16.5</v>
      </c>
      <c r="AB1228" s="1813">
        <f t="shared" ref="AB1228" si="744">100*AA1228/Z1228</f>
        <v>73.496197074632207</v>
      </c>
      <c r="AC1228" s="1721"/>
      <c r="AD1228" s="1291"/>
      <c r="AE1228" s="1292"/>
      <c r="AF1228" s="1525"/>
      <c r="AG1228" s="1525"/>
      <c r="AH1228" s="1525"/>
      <c r="AI1228" s="1525"/>
      <c r="AJ1228" s="1525"/>
      <c r="AK1228" s="1525"/>
      <c r="AL1228" s="1525"/>
      <c r="AM1228" s="1525"/>
      <c r="AN1228" s="1525"/>
      <c r="AO1228" s="1525"/>
      <c r="AP1228" s="1525"/>
      <c r="AQ1228" s="1525"/>
      <c r="AR1228" s="1525"/>
      <c r="AS1228" s="1525"/>
      <c r="AU1228" s="1525"/>
      <c r="AV1228" s="1295"/>
      <c r="AW1228" s="1525"/>
      <c r="AX1228" s="1525"/>
      <c r="AY1228" s="1525"/>
      <c r="AZ1228" s="1525"/>
      <c r="BA1228" s="1525"/>
      <c r="BB1228" s="1525"/>
      <c r="BC1228" s="1525"/>
      <c r="BD1228" s="1525"/>
      <c r="BE1228" s="1525"/>
      <c r="BF1228" s="1525"/>
      <c r="BG1228" s="1525"/>
      <c r="BH1228" s="1525"/>
      <c r="BI1228" s="1525"/>
      <c r="BJ1228" s="1525"/>
      <c r="BK1228" s="1525"/>
      <c r="BL1228" s="1525"/>
      <c r="BM1228" s="1525"/>
      <c r="BN1228" s="1525"/>
      <c r="BO1228" s="1525"/>
      <c r="BP1228" s="1525"/>
      <c r="BQ1228" s="1525"/>
      <c r="BR1228" s="1525"/>
      <c r="BS1228" s="1525"/>
      <c r="BT1228" s="1670"/>
      <c r="BV1228"/>
      <c r="BW1228" s="986"/>
    </row>
    <row r="1229" spans="1:75" s="164" customFormat="1" ht="12.75" customHeight="1" x14ac:dyDescent="0.15">
      <c r="B1229" s="175"/>
      <c r="C1229" s="661" t="s">
        <v>136</v>
      </c>
      <c r="D1229" s="661"/>
      <c r="E1229" s="640" t="s">
        <v>1252</v>
      </c>
      <c r="F1229" s="640" t="s">
        <v>893</v>
      </c>
      <c r="G1229" s="867"/>
      <c r="H1229" s="1349" t="s">
        <v>1508</v>
      </c>
      <c r="I1229" s="641"/>
      <c r="J1229" s="642"/>
      <c r="K1229" s="642"/>
      <c r="L1229" s="866"/>
      <c r="M1229" s="866"/>
      <c r="N1229" s="926"/>
      <c r="O1229" s="926"/>
      <c r="P1229" s="1247"/>
      <c r="Q1229" s="1179"/>
      <c r="R1229" s="1027"/>
      <c r="S1229" s="1028"/>
      <c r="T1229" s="1028"/>
      <c r="U1229" s="1028"/>
      <c r="V1229" s="1028"/>
      <c r="W1229" s="1028"/>
      <c r="X1229" s="1697">
        <v>91680</v>
      </c>
      <c r="Y1229" s="1052"/>
      <c r="Z1229" s="1052"/>
      <c r="AA1229" s="1775"/>
      <c r="AB1229" s="1812"/>
      <c r="AC1229" s="876"/>
      <c r="AD1229" s="1295"/>
      <c r="AE1229" s="1525"/>
      <c r="AF1229" s="1525"/>
      <c r="AG1229" s="1525"/>
      <c r="AH1229" s="1525"/>
      <c r="AI1229" s="1525"/>
      <c r="AJ1229" s="1525"/>
      <c r="AK1229" s="1525"/>
      <c r="AL1229" s="1525"/>
      <c r="AM1229" s="1525"/>
      <c r="AN1229" s="1525"/>
      <c r="AO1229" s="1525"/>
      <c r="AP1229" s="1525"/>
      <c r="AQ1229" s="1525"/>
      <c r="AR1229" s="1525"/>
      <c r="AS1229" s="1525"/>
      <c r="AU1229" s="1525"/>
      <c r="AV1229" s="1295"/>
      <c r="AW1229" s="1525"/>
      <c r="AX1229" s="1525"/>
      <c r="AY1229" s="1525"/>
      <c r="AZ1229" s="1525"/>
      <c r="BA1229" s="1525"/>
      <c r="BB1229" s="1525"/>
      <c r="BC1229" s="1525"/>
      <c r="BD1229" s="1525"/>
      <c r="BE1229" s="1525"/>
      <c r="BF1229" s="1525"/>
      <c r="BG1229" s="1525"/>
      <c r="BH1229" s="1525"/>
      <c r="BI1229" s="1525"/>
      <c r="BJ1229" s="1525"/>
      <c r="BK1229" s="1525"/>
      <c r="BL1229" s="1525"/>
      <c r="BM1229" s="1525"/>
      <c r="BN1229" s="1525"/>
      <c r="BO1229" s="1525"/>
      <c r="BP1229" s="1525"/>
      <c r="BQ1229" s="1525"/>
      <c r="BR1229" s="1525"/>
      <c r="BS1229" s="1525"/>
      <c r="BT1229" s="1670"/>
      <c r="BV1229"/>
      <c r="BW1229" s="867"/>
    </row>
    <row r="1230" spans="1:75" s="164" customFormat="1" ht="12.75" customHeight="1" x14ac:dyDescent="0.15">
      <c r="B1230" s="175"/>
      <c r="C1230" s="227"/>
      <c r="D1230" s="227"/>
      <c r="E1230" s="431"/>
      <c r="F1230" s="476" t="s">
        <v>884</v>
      </c>
      <c r="G1230" s="987"/>
      <c r="H1230" s="1380" t="s">
        <v>1508</v>
      </c>
      <c r="I1230" s="204"/>
      <c r="J1230" s="245"/>
      <c r="K1230" s="203"/>
      <c r="L1230" s="957"/>
      <c r="M1230" s="957"/>
      <c r="N1230" s="836"/>
      <c r="O1230" s="836"/>
      <c r="P1230" s="1249"/>
      <c r="Q1230" s="1153"/>
      <c r="R1230" s="874"/>
      <c r="S1230" s="1055"/>
      <c r="T1230" s="1055"/>
      <c r="U1230" s="1055"/>
      <c r="V1230" s="1055"/>
      <c r="W1230" s="1055"/>
      <c r="X1230" s="1026"/>
      <c r="Y1230" s="1822"/>
      <c r="Z1230" s="1823"/>
      <c r="AA1230" s="1775"/>
      <c r="AB1230" s="1812"/>
      <c r="AC1230" s="876"/>
      <c r="AD1230" s="1295"/>
      <c r="AE1230" s="1525"/>
      <c r="AF1230" s="1525"/>
      <c r="AG1230" s="1525"/>
      <c r="AH1230" s="1525"/>
      <c r="AI1230" s="1525"/>
      <c r="AJ1230" s="1525"/>
      <c r="AK1230" s="1525"/>
      <c r="AL1230" s="1525"/>
      <c r="AM1230" s="1525"/>
      <c r="AN1230" s="1525"/>
      <c r="AO1230" s="1525"/>
      <c r="AP1230" s="1525"/>
      <c r="AQ1230" s="1525"/>
      <c r="AR1230" s="1525"/>
      <c r="AS1230" s="1525"/>
      <c r="AU1230" s="1525"/>
      <c r="AV1230" s="1295"/>
      <c r="AW1230" s="1525"/>
      <c r="AX1230" s="1525"/>
      <c r="AY1230" s="1525"/>
      <c r="AZ1230" s="1525"/>
      <c r="BA1230" s="1525"/>
      <c r="BB1230" s="1525"/>
      <c r="BC1230" s="1525"/>
      <c r="BD1230" s="1525"/>
      <c r="BE1230" s="1525"/>
      <c r="BF1230" s="1525"/>
      <c r="BG1230" s="1525"/>
      <c r="BH1230" s="1525"/>
      <c r="BI1230" s="1525"/>
      <c r="BJ1230" s="1525"/>
      <c r="BK1230" s="1525"/>
      <c r="BL1230" s="1525"/>
      <c r="BM1230" s="1525"/>
      <c r="BN1230" s="1525"/>
      <c r="BO1230" s="1525"/>
      <c r="BP1230" s="1525"/>
      <c r="BQ1230" s="1525"/>
      <c r="BR1230" s="1525"/>
      <c r="BS1230" s="1525"/>
      <c r="BT1230" s="1670"/>
      <c r="BV1230"/>
      <c r="BW1230" s="987"/>
    </row>
    <row r="1231" spans="1:75" s="6" customFormat="1" ht="12.75" customHeight="1" thickBot="1" x14ac:dyDescent="0.2">
      <c r="A1231" s="164"/>
      <c r="B1231" s="175"/>
      <c r="C1231" s="227"/>
      <c r="D1231" s="227"/>
      <c r="E1231" s="431"/>
      <c r="F1231" s="16"/>
      <c r="G1231" s="825"/>
      <c r="H1231" s="1389" t="s">
        <v>1508</v>
      </c>
      <c r="I1231" s="212"/>
      <c r="J1231" s="246"/>
      <c r="K1231" s="246"/>
      <c r="L1231" s="988"/>
      <c r="M1231" s="988"/>
      <c r="N1231" s="836"/>
      <c r="O1231" s="836"/>
      <c r="P1231" s="1249"/>
      <c r="Q1231" s="1148"/>
      <c r="R1231" s="874"/>
      <c r="S1231" s="1055"/>
      <c r="T1231" s="1055"/>
      <c r="U1231" s="1055"/>
      <c r="V1231" s="1055"/>
      <c r="W1231" s="1055"/>
      <c r="X1231" s="1026"/>
      <c r="Y1231" s="1822"/>
      <c r="Z1231" s="1823"/>
      <c r="AA1231" s="1775"/>
      <c r="AB1231" s="1815"/>
      <c r="AC1231" s="876"/>
      <c r="AD1231" s="1529"/>
      <c r="AE1231" s="1530"/>
      <c r="AF1231" s="1530"/>
      <c r="AG1231" s="1530"/>
      <c r="AH1231" s="1530"/>
      <c r="AI1231" s="1530"/>
      <c r="AJ1231" s="1530"/>
      <c r="AK1231" s="1530"/>
      <c r="AL1231" s="1530"/>
      <c r="AM1231" s="1530"/>
      <c r="AN1231" s="1530"/>
      <c r="AO1231" s="1530"/>
      <c r="AP1231" s="1530"/>
      <c r="AQ1231" s="1530"/>
      <c r="AR1231" s="1530"/>
      <c r="AS1231" s="1530"/>
      <c r="AU1231" s="1525"/>
      <c r="AV1231" s="1529"/>
      <c r="AW1231" s="1530"/>
      <c r="AX1231" s="1530"/>
      <c r="AY1231" s="1530"/>
      <c r="AZ1231" s="1530"/>
      <c r="BA1231" s="1530"/>
      <c r="BB1231" s="1530"/>
      <c r="BC1231" s="1530"/>
      <c r="BD1231" s="1530"/>
      <c r="BE1231" s="1530"/>
      <c r="BF1231" s="1530"/>
      <c r="BG1231" s="1530"/>
      <c r="BH1231" s="1530"/>
      <c r="BI1231" s="1530"/>
      <c r="BJ1231" s="1530"/>
      <c r="BK1231" s="1530"/>
      <c r="BL1231" s="1530"/>
      <c r="BM1231" s="1530"/>
      <c r="BN1231" s="1530"/>
      <c r="BO1231" s="1530"/>
      <c r="BP1231" s="1530"/>
      <c r="BQ1231" s="1530"/>
      <c r="BR1231" s="1530"/>
      <c r="BS1231" s="1530"/>
      <c r="BT1231" s="1674"/>
      <c r="BV1231"/>
      <c r="BW1231" s="825"/>
    </row>
    <row r="1232" spans="1:75" s="164" customFormat="1" ht="13.5" customHeight="1" thickBot="1" x14ac:dyDescent="0.2">
      <c r="B1232" s="175"/>
      <c r="C1232" s="662" t="s">
        <v>139</v>
      </c>
      <c r="D1232" s="663" t="s">
        <v>346</v>
      </c>
      <c r="E1232" s="337" t="s">
        <v>966</v>
      </c>
      <c r="F1232" s="664" t="s">
        <v>588</v>
      </c>
      <c r="G1232" s="989">
        <f>SUMIF(C958:C1231,"S",G958:G1231)+COUNTA(G952:G952)</f>
        <v>152</v>
      </c>
      <c r="H1232" s="1390"/>
      <c r="I1232" s="665"/>
      <c r="J1232" s="666"/>
      <c r="K1232" s="667">
        <f>K1020+K1162+K1228</f>
        <v>21.834</v>
      </c>
      <c r="L1232" s="989">
        <f>L1020+L1162+L1228</f>
        <v>111.69999999999999</v>
      </c>
      <c r="M1232" s="989">
        <f>M1020+M1162+M1228</f>
        <v>133.53399999999999</v>
      </c>
      <c r="N1232" s="991"/>
      <c r="O1232" s="991"/>
      <c r="P1232" s="1250"/>
      <c r="Q1232" s="1180"/>
      <c r="R1232" s="882"/>
      <c r="S1232" s="1065"/>
      <c r="T1232" s="1065"/>
      <c r="U1232" s="1065"/>
      <c r="V1232" s="1065"/>
      <c r="W1232" s="1065"/>
      <c r="X1232" s="1281">
        <f>X952+X1020++X1162+X1228</f>
        <v>5627744.2000000002</v>
      </c>
      <c r="Y1232" s="1281"/>
      <c r="Z1232" s="1829">
        <f t="shared" ref="Z1232:AA1232" si="745">Z952+Z1020++Z1162+Z1228</f>
        <v>157.82342423443612</v>
      </c>
      <c r="AA1232" s="1828">
        <f t="shared" si="745"/>
        <v>110.68</v>
      </c>
      <c r="AB1232" s="1813">
        <f t="shared" ref="AB1232" si="746">100*AA1232/Z1232</f>
        <v>70.129006854896446</v>
      </c>
      <c r="AC1232" s="1784"/>
      <c r="AD1232" s="1295"/>
      <c r="AE1232" s="1525"/>
      <c r="AF1232" s="1525"/>
      <c r="AG1232" s="1525"/>
      <c r="AH1232" s="1525"/>
      <c r="AI1232" s="1525"/>
      <c r="AJ1232" s="1525"/>
      <c r="AK1232" s="1525"/>
      <c r="AL1232" s="1525"/>
      <c r="AM1232" s="1525"/>
      <c r="AN1232" s="1525"/>
      <c r="AO1232" s="1525"/>
      <c r="AP1232" s="1525"/>
      <c r="AQ1232" s="1525"/>
      <c r="AR1232" s="1525"/>
      <c r="AS1232" s="1525"/>
      <c r="AU1232" s="1525"/>
      <c r="AV1232" s="1295"/>
      <c r="AW1232" s="1525"/>
      <c r="AX1232" s="1525"/>
      <c r="AY1232" s="1525"/>
      <c r="AZ1232" s="1525"/>
      <c r="BA1232" s="1525"/>
      <c r="BB1232" s="1525"/>
      <c r="BC1232" s="1525"/>
      <c r="BD1232" s="1525"/>
      <c r="BE1232" s="1525"/>
      <c r="BF1232" s="1525"/>
      <c r="BG1232" s="1525"/>
      <c r="BH1232" s="1525"/>
      <c r="BI1232" s="1525"/>
      <c r="BJ1232" s="1525"/>
      <c r="BK1232" s="1525"/>
      <c r="BL1232" s="1525"/>
      <c r="BM1232" s="1525"/>
      <c r="BN1232" s="1525"/>
      <c r="BO1232" s="1525"/>
      <c r="BP1232" s="1525"/>
      <c r="BQ1232" s="1525"/>
      <c r="BR1232" s="1525"/>
      <c r="BS1232" s="1525"/>
      <c r="BT1232" s="1670"/>
      <c r="BV1232"/>
      <c r="BW1232" s="990"/>
    </row>
    <row r="1233" spans="2:75" s="164" customFormat="1" ht="13.5" customHeight="1" thickBot="1" x14ac:dyDescent="0.2">
      <c r="B1233" s="175"/>
      <c r="C1233" s="661" t="s">
        <v>1132</v>
      </c>
      <c r="D1233" s="661"/>
      <c r="E1233" s="668" t="s">
        <v>1485</v>
      </c>
      <c r="F1233" s="640" t="s">
        <v>893</v>
      </c>
      <c r="G1233" s="992"/>
      <c r="H1233" s="1391"/>
      <c r="I1233" s="641"/>
      <c r="J1233" s="642"/>
      <c r="K1233" s="642"/>
      <c r="L1233" s="866"/>
      <c r="M1233" s="866"/>
      <c r="N1233" s="967"/>
      <c r="O1233" s="967"/>
      <c r="P1233" s="1251"/>
      <c r="Q1233" s="1174"/>
      <c r="R1233" s="1061"/>
      <c r="S1233" s="1062"/>
      <c r="T1233" s="1062"/>
      <c r="U1233" s="1062"/>
      <c r="V1233" s="1062"/>
      <c r="W1233" s="1062"/>
      <c r="X1233" s="1719">
        <f>X1021+X1163+X1229</f>
        <v>296680</v>
      </c>
      <c r="Y1233" s="1062"/>
      <c r="Z1233" s="1062"/>
      <c r="AA1233" s="1749"/>
      <c r="AB1233" s="1812"/>
      <c r="AC1233" s="1785"/>
      <c r="AD1233" s="1295"/>
      <c r="AE1233" s="1525"/>
      <c r="AF1233" s="1525"/>
      <c r="AG1233" s="1525"/>
      <c r="AH1233" s="1525"/>
      <c r="AI1233" s="1525"/>
      <c r="AJ1233" s="1525"/>
      <c r="AK1233" s="1525"/>
      <c r="AL1233" s="1525"/>
      <c r="AM1233" s="1525"/>
      <c r="AN1233" s="1525"/>
      <c r="AO1233" s="1525"/>
      <c r="AP1233" s="1525"/>
      <c r="AQ1233" s="1525"/>
      <c r="AR1233" s="1525"/>
      <c r="AS1233" s="1525"/>
      <c r="AU1233" s="1525"/>
      <c r="AV1233" s="1295"/>
      <c r="AW1233" s="1525"/>
      <c r="AX1233" s="1525"/>
      <c r="AY1233" s="1525"/>
      <c r="AZ1233" s="1525"/>
      <c r="BA1233" s="1525"/>
      <c r="BB1233" s="1525"/>
      <c r="BC1233" s="1525"/>
      <c r="BD1233" s="1525"/>
      <c r="BE1233" s="1525"/>
      <c r="BF1233" s="1525"/>
      <c r="BG1233" s="1525"/>
      <c r="BH1233" s="1525"/>
      <c r="BI1233" s="1525"/>
      <c r="BJ1233" s="1525"/>
      <c r="BK1233" s="1525"/>
      <c r="BL1233" s="1525"/>
      <c r="BM1233" s="1525"/>
      <c r="BN1233" s="1525"/>
      <c r="BO1233" s="1525"/>
      <c r="BP1233" s="1525"/>
      <c r="BQ1233" s="1525"/>
      <c r="BR1233" s="1525"/>
      <c r="BS1233" s="1525"/>
      <c r="BT1233" s="1670"/>
      <c r="BV1233"/>
      <c r="BW1233" s="992"/>
    </row>
    <row r="1234" spans="2:75" s="164" customFormat="1" ht="14" customHeight="1" x14ac:dyDescent="0.15">
      <c r="B1234" s="175"/>
      <c r="C1234" s="669" t="s">
        <v>793</v>
      </c>
      <c r="D1234" s="646"/>
      <c r="E1234" s="646"/>
      <c r="F1234" s="646" t="s">
        <v>884</v>
      </c>
      <c r="G1234" s="889"/>
      <c r="H1234" s="1392"/>
      <c r="I1234" s="646"/>
      <c r="J1234" s="646"/>
      <c r="K1234" s="646"/>
      <c r="L1234" s="889"/>
      <c r="M1234" s="889"/>
      <c r="N1234" s="889"/>
      <c r="O1234" s="889"/>
      <c r="P1234" s="1252"/>
      <c r="Q1234" s="1181"/>
      <c r="R1234" s="1066"/>
      <c r="S1234" s="889"/>
      <c r="T1234" s="889"/>
      <c r="U1234" s="889"/>
      <c r="V1234" s="889"/>
      <c r="W1234" s="889"/>
      <c r="X1234" s="889"/>
      <c r="Y1234" s="1040"/>
      <c r="Z1234" s="1040"/>
      <c r="AA1234" s="1749"/>
      <c r="AB1234" s="1812"/>
      <c r="AC1234" s="1785"/>
      <c r="AD1234" s="1295"/>
      <c r="AE1234" s="1525"/>
      <c r="AF1234" s="1525"/>
      <c r="AG1234" s="1525"/>
      <c r="AH1234" s="1525"/>
      <c r="AI1234" s="1525"/>
      <c r="AJ1234" s="1525"/>
      <c r="AK1234" s="1525"/>
      <c r="AL1234" s="1525"/>
      <c r="AM1234" s="1525"/>
      <c r="AN1234" s="1525"/>
      <c r="AO1234" s="1525"/>
      <c r="AP1234" s="1525"/>
      <c r="AQ1234" s="1525"/>
      <c r="AR1234" s="1525"/>
      <c r="AS1234" s="1525"/>
      <c r="AU1234" s="1525"/>
      <c r="AV1234" s="1295"/>
      <c r="AW1234" s="1525"/>
      <c r="AX1234" s="1525"/>
      <c r="AY1234" s="1525"/>
      <c r="AZ1234" s="1525"/>
      <c r="BA1234" s="1525"/>
      <c r="BB1234" s="1525"/>
      <c r="BC1234" s="1525"/>
      <c r="BD1234" s="1525"/>
      <c r="BE1234" s="1525"/>
      <c r="BF1234" s="1525"/>
      <c r="BG1234" s="1525"/>
      <c r="BH1234" s="1525"/>
      <c r="BI1234" s="1525"/>
      <c r="BJ1234" s="1525"/>
      <c r="BK1234" s="1525"/>
      <c r="BL1234" s="1525"/>
      <c r="BM1234" s="1525"/>
      <c r="BN1234" s="1525"/>
      <c r="BO1234" s="1525"/>
      <c r="BP1234" s="1525"/>
      <c r="BQ1234" s="1525"/>
      <c r="BR1234" s="1525"/>
      <c r="BS1234" s="1525"/>
      <c r="BT1234" s="1670"/>
      <c r="BV1234"/>
      <c r="BW1234" s="889"/>
    </row>
    <row r="1235" spans="2:75" s="164" customFormat="1" ht="12.75" customHeight="1" x14ac:dyDescent="0.15">
      <c r="B1235" s="175"/>
      <c r="G1235" s="799"/>
      <c r="H1235" s="1355" t="s">
        <v>1508</v>
      </c>
      <c r="L1235" s="799"/>
      <c r="M1235" s="799"/>
      <c r="N1235" s="799"/>
      <c r="O1235" s="1200"/>
      <c r="P1235" s="550"/>
      <c r="Q1235" s="1148"/>
      <c r="R1235" s="874"/>
      <c r="S1235" s="875"/>
      <c r="T1235" s="875"/>
      <c r="U1235" s="875"/>
      <c r="V1235" s="875"/>
      <c r="W1235" s="875"/>
      <c r="X1235" s="1026"/>
      <c r="Y1235" s="1757"/>
      <c r="Z1235" s="1756"/>
      <c r="AA1235" s="1775"/>
      <c r="AB1235" s="1814"/>
      <c r="AC1235" s="876"/>
      <c r="AD1235" s="1295"/>
      <c r="AE1235" s="1525"/>
      <c r="AF1235" s="1525"/>
      <c r="AG1235" s="1525"/>
      <c r="AH1235" s="1525"/>
      <c r="AI1235" s="1525"/>
      <c r="AJ1235" s="1525"/>
      <c r="AK1235" s="1525"/>
      <c r="AL1235" s="1525"/>
      <c r="AM1235" s="1525"/>
      <c r="AN1235" s="1525"/>
      <c r="AO1235" s="1525"/>
      <c r="AP1235" s="1525"/>
      <c r="AQ1235" s="1525"/>
      <c r="AR1235" s="1525"/>
      <c r="AS1235" s="1525"/>
      <c r="AU1235" s="1525"/>
      <c r="AV1235" s="1295"/>
      <c r="AW1235" s="1525"/>
      <c r="AX1235" s="1525"/>
      <c r="AY1235" s="1525"/>
      <c r="AZ1235" s="1525"/>
      <c r="BA1235" s="1525"/>
      <c r="BB1235" s="1525"/>
      <c r="BC1235" s="1525"/>
      <c r="BD1235" s="1525"/>
      <c r="BE1235" s="1525"/>
      <c r="BF1235" s="1525"/>
      <c r="BG1235" s="1525"/>
      <c r="BH1235" s="1525"/>
      <c r="BI1235" s="1525"/>
      <c r="BJ1235" s="1525"/>
      <c r="BK1235" s="1525"/>
      <c r="BL1235" s="1525"/>
      <c r="BM1235" s="1525"/>
      <c r="BN1235" s="1525"/>
      <c r="BO1235" s="1525"/>
      <c r="BP1235" s="1525"/>
      <c r="BQ1235" s="1525"/>
      <c r="BR1235" s="1525"/>
      <c r="BS1235" s="1525"/>
      <c r="BT1235" s="1670"/>
      <c r="BV1235"/>
      <c r="BW1235" s="799"/>
    </row>
    <row r="1236" spans="2:75" s="164" customFormat="1" ht="15.75" customHeight="1" x14ac:dyDescent="0.15">
      <c r="B1236" s="175"/>
      <c r="C1236" s="170"/>
      <c r="D1236" s="170"/>
      <c r="E1236" s="170"/>
      <c r="F1236" s="35" t="s">
        <v>1380</v>
      </c>
      <c r="G1236" s="1310"/>
      <c r="H1236" s="1380" t="s">
        <v>1508</v>
      </c>
      <c r="I1236" s="204"/>
      <c r="J1236" s="245"/>
      <c r="K1236" s="245"/>
      <c r="L1236" s="957"/>
      <c r="M1236" s="957"/>
      <c r="N1236" s="948"/>
      <c r="O1236" s="1200"/>
      <c r="P1236" s="1294"/>
      <c r="Q1236" s="1148"/>
      <c r="R1236" s="874"/>
      <c r="S1236" s="876"/>
      <c r="T1236" s="876"/>
      <c r="U1236" s="876"/>
      <c r="V1236" s="876"/>
      <c r="W1236" s="876"/>
      <c r="X1236" s="1026"/>
      <c r="Y1236" s="1757"/>
      <c r="Z1236" s="1756"/>
      <c r="AA1236" s="1775"/>
      <c r="AB1236" s="1814"/>
      <c r="AC1236" s="876"/>
      <c r="AD1236" s="1295"/>
      <c r="AE1236" s="1525"/>
      <c r="AF1236" s="1525"/>
      <c r="AG1236" s="1525"/>
      <c r="AH1236" s="1525"/>
      <c r="AI1236" s="1525"/>
      <c r="AJ1236" s="1525"/>
      <c r="AK1236" s="1525"/>
      <c r="AL1236" s="1525"/>
      <c r="AM1236" s="1525"/>
      <c r="AN1236" s="1525"/>
      <c r="AO1236" s="1525"/>
      <c r="AP1236" s="1525"/>
      <c r="AQ1236" s="1525"/>
      <c r="AR1236" s="1525"/>
      <c r="AS1236" s="1525"/>
      <c r="AU1236" s="1525"/>
      <c r="AV1236" s="1295"/>
      <c r="AW1236" s="1525"/>
      <c r="AX1236" s="1525"/>
      <c r="AY1236" s="1525"/>
      <c r="AZ1236" s="1525"/>
      <c r="BA1236" s="1525"/>
      <c r="BB1236" s="1525"/>
      <c r="BC1236" s="1525"/>
      <c r="BD1236" s="1525"/>
      <c r="BE1236" s="1525"/>
      <c r="BF1236" s="1525"/>
      <c r="BG1236" s="1525"/>
      <c r="BH1236" s="1525"/>
      <c r="BI1236" s="1525"/>
      <c r="BJ1236" s="1525"/>
      <c r="BK1236" s="1525"/>
      <c r="BL1236" s="1525"/>
      <c r="BM1236" s="1525"/>
      <c r="BN1236" s="1525"/>
      <c r="BO1236" s="1525"/>
      <c r="BP1236" s="1525"/>
      <c r="BQ1236" s="1525"/>
      <c r="BR1236" s="1525"/>
      <c r="BS1236" s="1525"/>
      <c r="BT1236" s="1670"/>
      <c r="BV1236"/>
      <c r="BW1236" s="1310"/>
    </row>
    <row r="1237" spans="2:75" s="164" customFormat="1" ht="12.75" customHeight="1" x14ac:dyDescent="0.15">
      <c r="B1237" s="175"/>
      <c r="C1237" s="170"/>
      <c r="D1237" s="170"/>
      <c r="E1237" s="170"/>
      <c r="F1237" s="36" t="s">
        <v>1418</v>
      </c>
      <c r="G1237" s="854"/>
      <c r="H1237" s="1370" t="s">
        <v>1508</v>
      </c>
      <c r="I1237" s="212"/>
      <c r="J1237" s="246"/>
      <c r="K1237" s="246"/>
      <c r="L1237" s="957"/>
      <c r="M1237" s="957"/>
      <c r="N1237" s="853"/>
      <c r="O1237" s="1200"/>
      <c r="P1237" s="550"/>
      <c r="Q1237" s="1148"/>
      <c r="R1237" s="874"/>
      <c r="S1237" s="875"/>
      <c r="T1237" s="875"/>
      <c r="U1237" s="875"/>
      <c r="V1237" s="875"/>
      <c r="W1237" s="875"/>
      <c r="X1237" s="1026"/>
      <c r="Y1237" s="1757"/>
      <c r="Z1237" s="1756"/>
      <c r="AA1237" s="1775"/>
      <c r="AB1237" s="1814"/>
      <c r="AC1237" s="876"/>
      <c r="AD1237" s="1295"/>
      <c r="AE1237" s="1525"/>
      <c r="AF1237" s="1525"/>
      <c r="AG1237" s="1525"/>
      <c r="AH1237" s="1525"/>
      <c r="AI1237" s="1525"/>
      <c r="AJ1237" s="1525"/>
      <c r="AK1237" s="1525"/>
      <c r="AL1237" s="1525"/>
      <c r="AM1237" s="1525"/>
      <c r="AN1237" s="1525"/>
      <c r="AO1237" s="1525"/>
      <c r="AP1237" s="1525"/>
      <c r="AQ1237" s="1525"/>
      <c r="AR1237" s="1525"/>
      <c r="AS1237" s="1525"/>
      <c r="AU1237" s="1525"/>
      <c r="AV1237" s="1295"/>
      <c r="AW1237" s="1525"/>
      <c r="AX1237" s="1525"/>
      <c r="AY1237" s="1525"/>
      <c r="AZ1237" s="1525"/>
      <c r="BA1237" s="1525"/>
      <c r="BB1237" s="1525"/>
      <c r="BC1237" s="1525"/>
      <c r="BD1237" s="1525"/>
      <c r="BE1237" s="1525"/>
      <c r="BF1237" s="1525"/>
      <c r="BG1237" s="1525"/>
      <c r="BH1237" s="1525"/>
      <c r="BI1237" s="1525"/>
      <c r="BJ1237" s="1525"/>
      <c r="BK1237" s="1525"/>
      <c r="BL1237" s="1525"/>
      <c r="BM1237" s="1525"/>
      <c r="BN1237" s="1525"/>
      <c r="BO1237" s="1525"/>
      <c r="BP1237" s="1525"/>
      <c r="BQ1237" s="1525"/>
      <c r="BR1237" s="1525"/>
      <c r="BS1237" s="1525"/>
      <c r="BT1237" s="1670"/>
      <c r="BV1237"/>
      <c r="BW1237" s="854"/>
    </row>
    <row r="1238" spans="2:75" s="164" customFormat="1" ht="12.75" customHeight="1" x14ac:dyDescent="0.15">
      <c r="B1238" s="175"/>
      <c r="C1238" s="170"/>
      <c r="D1238" s="170"/>
      <c r="E1238" s="170"/>
      <c r="F1238" s="47"/>
      <c r="G1238" s="1310"/>
      <c r="H1238" s="1368" t="s">
        <v>1508</v>
      </c>
      <c r="I1238" s="1316"/>
      <c r="J1238" s="169"/>
      <c r="K1238" s="169"/>
      <c r="L1238" s="917"/>
      <c r="M1238" s="917"/>
      <c r="N1238" s="948"/>
      <c r="O1238" s="1200"/>
      <c r="P1238" s="1294"/>
      <c r="Q1238" s="1148"/>
      <c r="R1238" s="874"/>
      <c r="S1238" s="876"/>
      <c r="T1238" s="876"/>
      <c r="U1238" s="876"/>
      <c r="V1238" s="876"/>
      <c r="W1238" s="876"/>
      <c r="X1238" s="1026"/>
      <c r="Y1238" s="1757"/>
      <c r="Z1238" s="1756"/>
      <c r="AA1238" s="1775"/>
      <c r="AB1238" s="1814"/>
      <c r="AC1238" s="876"/>
      <c r="AD1238" s="1295"/>
      <c r="AE1238" s="1525"/>
      <c r="AF1238" s="1525"/>
      <c r="AG1238" s="1525"/>
      <c r="AH1238" s="1525"/>
      <c r="AI1238" s="1525"/>
      <c r="AJ1238" s="1525"/>
      <c r="AK1238" s="1525"/>
      <c r="AL1238" s="1525"/>
      <c r="AM1238" s="1525"/>
      <c r="AN1238" s="1525"/>
      <c r="AO1238" s="1525"/>
      <c r="AP1238" s="1525"/>
      <c r="AQ1238" s="1525"/>
      <c r="AR1238" s="1525"/>
      <c r="AS1238" s="1525"/>
      <c r="AU1238" s="1525"/>
      <c r="AV1238" s="1295"/>
      <c r="AW1238" s="1525"/>
      <c r="AX1238" s="1525"/>
      <c r="AY1238" s="1525"/>
      <c r="AZ1238" s="1525"/>
      <c r="BA1238" s="1525"/>
      <c r="BB1238" s="1525"/>
      <c r="BC1238" s="1525"/>
      <c r="BD1238" s="1525"/>
      <c r="BE1238" s="1525"/>
      <c r="BF1238" s="1525"/>
      <c r="BG1238" s="1525"/>
      <c r="BH1238" s="1525"/>
      <c r="BI1238" s="1525"/>
      <c r="BJ1238" s="1525"/>
      <c r="BK1238" s="1525"/>
      <c r="BL1238" s="1525"/>
      <c r="BM1238" s="1525"/>
      <c r="BN1238" s="1525"/>
      <c r="BO1238" s="1525"/>
      <c r="BP1238" s="1525"/>
      <c r="BQ1238" s="1525"/>
      <c r="BR1238" s="1525"/>
      <c r="BS1238" s="1525"/>
      <c r="BT1238" s="1670"/>
      <c r="BV1238"/>
      <c r="BW1238" s="1310"/>
    </row>
    <row r="1239" spans="2:75" s="164" customFormat="1" ht="13.5" customHeight="1" x14ac:dyDescent="0.15">
      <c r="B1239" s="175"/>
      <c r="F1239" s="51" t="s">
        <v>600</v>
      </c>
      <c r="G1239" s="942"/>
      <c r="H1239" s="1375" t="s">
        <v>1508</v>
      </c>
      <c r="I1239" s="258"/>
      <c r="J1239" s="277"/>
      <c r="K1239" s="277"/>
      <c r="L1239" s="941"/>
      <c r="M1239" s="941"/>
      <c r="N1239" s="943"/>
      <c r="O1239" s="1200"/>
      <c r="P1239" s="550"/>
      <c r="Q1239" s="1148"/>
      <c r="R1239" s="874"/>
      <c r="S1239" s="875"/>
      <c r="T1239" s="875"/>
      <c r="U1239" s="875"/>
      <c r="V1239" s="875"/>
      <c r="W1239" s="875"/>
      <c r="X1239" s="1026"/>
      <c r="Y1239" s="1757"/>
      <c r="Z1239" s="1756"/>
      <c r="AA1239" s="1775"/>
      <c r="AB1239" s="1814"/>
      <c r="AC1239" s="876"/>
      <c r="AD1239" s="1295"/>
      <c r="AE1239" s="1525"/>
      <c r="AF1239" s="1525"/>
      <c r="AG1239" s="1525"/>
      <c r="AH1239" s="1525"/>
      <c r="AI1239" s="1525"/>
      <c r="AJ1239" s="1525"/>
      <c r="AK1239" s="1525"/>
      <c r="AL1239" s="1525"/>
      <c r="AM1239" s="1525"/>
      <c r="AN1239" s="1525"/>
      <c r="AO1239" s="1525"/>
      <c r="AP1239" s="1525"/>
      <c r="AQ1239" s="1525"/>
      <c r="AR1239" s="1525"/>
      <c r="AS1239" s="1525"/>
      <c r="AU1239" s="1525"/>
      <c r="AV1239" s="1295"/>
      <c r="AW1239" s="1525"/>
      <c r="AX1239" s="1525"/>
      <c r="AY1239" s="1525"/>
      <c r="AZ1239" s="1525"/>
      <c r="BA1239" s="1525"/>
      <c r="BB1239" s="1525"/>
      <c r="BC1239" s="1525"/>
      <c r="BD1239" s="1525"/>
      <c r="BE1239" s="1525"/>
      <c r="BF1239" s="1525"/>
      <c r="BG1239" s="1525"/>
      <c r="BH1239" s="1525"/>
      <c r="BI1239" s="1525"/>
      <c r="BJ1239" s="1525"/>
      <c r="BK1239" s="1525"/>
      <c r="BL1239" s="1525"/>
      <c r="BM1239" s="1525"/>
      <c r="BN1239" s="1525"/>
      <c r="BO1239" s="1525"/>
      <c r="BP1239" s="1525"/>
      <c r="BQ1239" s="1525"/>
      <c r="BR1239" s="1525"/>
      <c r="BS1239" s="1525"/>
      <c r="BT1239" s="1670"/>
      <c r="BV1239"/>
      <c r="BW1239" s="942"/>
    </row>
    <row r="1240" spans="2:75" s="164" customFormat="1" ht="12" customHeight="1" x14ac:dyDescent="0.15">
      <c r="B1240" s="175"/>
      <c r="F1240" s="52" t="s">
        <v>562</v>
      </c>
      <c r="G1240" s="942"/>
      <c r="H1240" s="1375" t="s">
        <v>1508</v>
      </c>
      <c r="I1240" s="278"/>
      <c r="J1240" s="308"/>
      <c r="K1240" s="308"/>
      <c r="L1240" s="941"/>
      <c r="M1240" s="941"/>
      <c r="N1240" s="943"/>
      <c r="O1240" s="1200"/>
      <c r="P1240" s="550"/>
      <c r="Q1240" s="1148"/>
      <c r="R1240" s="874"/>
      <c r="S1240" s="875"/>
      <c r="T1240" s="875"/>
      <c r="U1240" s="875"/>
      <c r="V1240" s="875"/>
      <c r="W1240" s="875"/>
      <c r="X1240" s="1026"/>
      <c r="Y1240" s="1757"/>
      <c r="Z1240" s="1756"/>
      <c r="AA1240" s="1775"/>
      <c r="AB1240" s="1814"/>
      <c r="AC1240" s="876"/>
      <c r="AD1240" s="1295"/>
      <c r="AE1240" s="1525"/>
      <c r="AF1240" s="1525"/>
      <c r="AG1240" s="1525"/>
      <c r="AH1240" s="1525"/>
      <c r="AI1240" s="1525"/>
      <c r="AJ1240" s="1525"/>
      <c r="AK1240" s="1525"/>
      <c r="AL1240" s="1525"/>
      <c r="AM1240" s="1525"/>
      <c r="AN1240" s="1525"/>
      <c r="AO1240" s="1525"/>
      <c r="AP1240" s="1525"/>
      <c r="AQ1240" s="1525"/>
      <c r="AR1240" s="1525"/>
      <c r="AS1240" s="1525"/>
      <c r="AU1240" s="1525"/>
      <c r="AV1240" s="1295"/>
      <c r="AW1240" s="1525"/>
      <c r="AX1240" s="1525"/>
      <c r="AY1240" s="1525"/>
      <c r="AZ1240" s="1525"/>
      <c r="BA1240" s="1525"/>
      <c r="BB1240" s="1525"/>
      <c r="BC1240" s="1525"/>
      <c r="BD1240" s="1525"/>
      <c r="BE1240" s="1525"/>
      <c r="BF1240" s="1525"/>
      <c r="BG1240" s="1525"/>
      <c r="BH1240" s="1525"/>
      <c r="BI1240" s="1525"/>
      <c r="BJ1240" s="1525"/>
      <c r="BK1240" s="1525"/>
      <c r="BL1240" s="1525"/>
      <c r="BM1240" s="1525"/>
      <c r="BN1240" s="1525"/>
      <c r="BO1240" s="1525"/>
      <c r="BP1240" s="1525"/>
      <c r="BQ1240" s="1525"/>
      <c r="BR1240" s="1525"/>
      <c r="BS1240" s="1525"/>
      <c r="BT1240" s="1670"/>
      <c r="BV1240"/>
      <c r="BW1240" s="942"/>
    </row>
    <row r="1241" spans="2:75" s="164" customFormat="1" ht="12.75" customHeight="1" x14ac:dyDescent="0.15">
      <c r="B1241" s="175"/>
      <c r="F1241" s="1"/>
      <c r="G1241" s="856"/>
      <c r="H1241" s="1364" t="s">
        <v>1508</v>
      </c>
      <c r="I1241" s="172"/>
      <c r="J1241" s="168"/>
      <c r="K1241" s="168"/>
      <c r="L1241" s="841"/>
      <c r="M1241" s="841"/>
      <c r="N1241" s="855"/>
      <c r="O1241" s="1200"/>
      <c r="P1241" s="550"/>
      <c r="Q1241" s="1148"/>
      <c r="R1241" s="874"/>
      <c r="S1241" s="875"/>
      <c r="T1241" s="875"/>
      <c r="U1241" s="875"/>
      <c r="V1241" s="875"/>
      <c r="W1241" s="875"/>
      <c r="X1241" s="1026"/>
      <c r="Y1241" s="1757"/>
      <c r="Z1241" s="1756"/>
      <c r="AA1241" s="1775"/>
      <c r="AB1241" s="1814"/>
      <c r="AC1241" s="876"/>
      <c r="AD1241" s="1295"/>
      <c r="AE1241" s="1525"/>
      <c r="AF1241" s="1525"/>
      <c r="AG1241" s="1525"/>
      <c r="AH1241" s="1525"/>
      <c r="AI1241" s="1525"/>
      <c r="AJ1241" s="1525"/>
      <c r="AK1241" s="1525"/>
      <c r="AL1241" s="1525"/>
      <c r="AM1241" s="1525"/>
      <c r="AN1241" s="1525"/>
      <c r="AO1241" s="1525"/>
      <c r="AP1241" s="1525"/>
      <c r="AQ1241" s="1525"/>
      <c r="AR1241" s="1525"/>
      <c r="AS1241" s="1525"/>
      <c r="AU1241" s="1525"/>
      <c r="AV1241" s="1295"/>
      <c r="AW1241" s="1525"/>
      <c r="AX1241" s="1525"/>
      <c r="AY1241" s="1525"/>
      <c r="AZ1241" s="1525"/>
      <c r="BA1241" s="1525"/>
      <c r="BB1241" s="1525"/>
      <c r="BC1241" s="1525"/>
      <c r="BD1241" s="1525"/>
      <c r="BE1241" s="1525"/>
      <c r="BF1241" s="1525"/>
      <c r="BG1241" s="1525"/>
      <c r="BH1241" s="1525"/>
      <c r="BI1241" s="1525"/>
      <c r="BJ1241" s="1525"/>
      <c r="BK1241" s="1525"/>
      <c r="BL1241" s="1525"/>
      <c r="BM1241" s="1525"/>
      <c r="BN1241" s="1525"/>
      <c r="BO1241" s="1525"/>
      <c r="BP1241" s="1525"/>
      <c r="BQ1241" s="1525"/>
      <c r="BR1241" s="1525"/>
      <c r="BS1241" s="1525"/>
      <c r="BT1241" s="1670"/>
      <c r="BV1241"/>
      <c r="BW1241" s="856"/>
    </row>
    <row r="1242" spans="2:75" ht="12.75" customHeight="1" x14ac:dyDescent="0.2">
      <c r="B1242" s="175">
        <f>B1241+1</f>
        <v>1</v>
      </c>
      <c r="C1242" s="282">
        <v>4</v>
      </c>
      <c r="D1242" s="464"/>
      <c r="E1242" s="474" t="s">
        <v>1564</v>
      </c>
      <c r="F1242" s="635" t="s">
        <v>629</v>
      </c>
      <c r="G1242" s="856" t="s">
        <v>601</v>
      </c>
      <c r="H1242" s="858">
        <v>7929</v>
      </c>
      <c r="I1242" s="621" t="s">
        <v>351</v>
      </c>
      <c r="J1242" s="622"/>
      <c r="K1242" s="622"/>
      <c r="L1242" s="841">
        <v>1</v>
      </c>
      <c r="M1242" s="858">
        <f>K1242+L1242</f>
        <v>1</v>
      </c>
      <c r="N1242" s="855" t="s">
        <v>892</v>
      </c>
      <c r="O1242" s="1196">
        <v>19119</v>
      </c>
      <c r="P1242" s="1218">
        <f ca="1">YEARFRAC(TODAY(),O1242)</f>
        <v>65.408333333333331</v>
      </c>
      <c r="Q1242" s="1148">
        <v>56850</v>
      </c>
      <c r="R1242" s="874"/>
      <c r="S1242" s="875">
        <v>7000</v>
      </c>
      <c r="T1242" s="875">
        <v>6000</v>
      </c>
      <c r="U1242" s="875"/>
      <c r="V1242" s="875"/>
      <c r="W1242" s="875"/>
      <c r="X1242" s="1026">
        <f>(Q1242+R1242+S1242+T1242+U1242+V1242+W1242)*M1242</f>
        <v>69850</v>
      </c>
      <c r="Y1242" s="1512">
        <f>(T1242+U1242)*M1242/(X1242-M1242*(T1242+U1242))</f>
        <v>9.3970242756460459E-2</v>
      </c>
      <c r="Z1242" s="1741">
        <f>M1242*(1+Y1242)</f>
        <v>1.0939702427564604</v>
      </c>
      <c r="AA1242" s="1749">
        <f>SUM(AD1242:AS1242)</f>
        <v>1</v>
      </c>
      <c r="AB1242" s="1810">
        <f t="shared" ref="AB1242:AB1244" si="747">100*AA1242/Z1242</f>
        <v>91.410164638511105</v>
      </c>
      <c r="AC1242" s="876"/>
      <c r="AD1242" s="1525">
        <f t="shared" ref="AD1242:AS1244" si="748">SUMIF($AV$6:$BS$6,AD$5,$AV1242:$BS1242)</f>
        <v>0</v>
      </c>
      <c r="AE1242" s="1525">
        <f t="shared" si="748"/>
        <v>1</v>
      </c>
      <c r="AF1242" s="1525">
        <f t="shared" si="748"/>
        <v>0</v>
      </c>
      <c r="AG1242" s="1525">
        <f t="shared" si="748"/>
        <v>0</v>
      </c>
      <c r="AH1242" s="1525">
        <f t="shared" si="748"/>
        <v>0</v>
      </c>
      <c r="AI1242" s="1525">
        <f t="shared" si="748"/>
        <v>0</v>
      </c>
      <c r="AJ1242" s="1525">
        <f t="shared" si="748"/>
        <v>0</v>
      </c>
      <c r="AK1242" s="1525">
        <f t="shared" si="748"/>
        <v>0</v>
      </c>
      <c r="AL1242" s="1525">
        <f t="shared" si="748"/>
        <v>0</v>
      </c>
      <c r="AM1242" s="1525">
        <f t="shared" si="748"/>
        <v>0</v>
      </c>
      <c r="AN1242" s="1525">
        <f t="shared" si="748"/>
        <v>0</v>
      </c>
      <c r="AO1242" s="1525">
        <f t="shared" si="748"/>
        <v>0</v>
      </c>
      <c r="AP1242" s="1525">
        <f t="shared" si="748"/>
        <v>0</v>
      </c>
      <c r="AQ1242" s="1525">
        <f t="shared" si="748"/>
        <v>0</v>
      </c>
      <c r="AR1242" s="1525">
        <f t="shared" si="748"/>
        <v>0</v>
      </c>
      <c r="AS1242" s="1525">
        <f t="shared" si="748"/>
        <v>0</v>
      </c>
      <c r="AU1242" s="1525"/>
      <c r="AV1242" s="1291"/>
      <c r="AW1242" s="1292"/>
      <c r="AX1242" s="1292"/>
      <c r="AY1242" s="1292"/>
      <c r="AZ1242" s="1292"/>
      <c r="BA1242" s="1292"/>
      <c r="BB1242" s="1292"/>
      <c r="BC1242" s="1292">
        <v>1</v>
      </c>
      <c r="BD1242" s="1292"/>
      <c r="BE1242" s="1292"/>
      <c r="BF1242" s="1292"/>
      <c r="BG1242" s="1292"/>
      <c r="BH1242" s="1292"/>
      <c r="BI1242" s="1292"/>
      <c r="BJ1242" s="1292"/>
      <c r="BK1242" s="1292"/>
      <c r="BL1242" s="1292"/>
      <c r="BM1242" s="1292"/>
      <c r="BN1242" s="1292"/>
      <c r="BO1242" s="1292"/>
      <c r="BP1242" s="1292"/>
      <c r="BQ1242" s="1292"/>
      <c r="BR1242" s="1292"/>
      <c r="BS1242" s="1292"/>
      <c r="BT1242" s="1670">
        <f t="shared" ref="BT1242:BT1244" si="749">SUM(AV1242:BS1242)</f>
        <v>1</v>
      </c>
      <c r="BW1242" s="856" t="s">
        <v>601</v>
      </c>
    </row>
    <row r="1243" spans="2:75" s="164" customFormat="1" ht="12.75" customHeight="1" x14ac:dyDescent="0.2">
      <c r="B1243" s="175">
        <f t="shared" ref="B1243:B1244" si="750">B1242+1</f>
        <v>2</v>
      </c>
      <c r="C1243" s="219">
        <v>27</v>
      </c>
      <c r="E1243" s="12" t="s">
        <v>1564</v>
      </c>
      <c r="F1243" s="61" t="s">
        <v>1060</v>
      </c>
      <c r="G1243" s="856" t="s">
        <v>602</v>
      </c>
      <c r="H1243" s="858">
        <v>7138</v>
      </c>
      <c r="I1243" s="172" t="s">
        <v>161</v>
      </c>
      <c r="J1243" s="168"/>
      <c r="K1243" s="168"/>
      <c r="L1243" s="841">
        <v>1</v>
      </c>
      <c r="M1243" s="858">
        <f>K1243+L1243</f>
        <v>1</v>
      </c>
      <c r="N1243" s="855" t="s">
        <v>1573</v>
      </c>
      <c r="O1243" s="1196">
        <v>19192</v>
      </c>
      <c r="P1243" s="1218">
        <f ca="1">YEARFRAC(TODAY(),O1243)</f>
        <v>65.208333333333329</v>
      </c>
      <c r="Q1243" s="1148">
        <v>30000</v>
      </c>
      <c r="R1243" s="874">
        <f>Q1243*0.1</f>
        <v>3000</v>
      </c>
      <c r="S1243" s="875"/>
      <c r="T1243" s="875"/>
      <c r="U1243" s="875"/>
      <c r="V1243" s="875"/>
      <c r="W1243" s="875"/>
      <c r="X1243" s="1026">
        <f>(Q1243+R1243+S1243+T1243+U1243+V1243+W1243)*M1243</f>
        <v>33000</v>
      </c>
      <c r="Y1243" s="1512">
        <f>(T1243+U1243)*M1243/(X1243-M1243*(T1243+U1243))</f>
        <v>0</v>
      </c>
      <c r="Z1243" s="1741">
        <f>M1243*(1+Y1243)</f>
        <v>1</v>
      </c>
      <c r="AA1243" s="1749">
        <f>SUM(AD1243:AS1243)</f>
        <v>1</v>
      </c>
      <c r="AB1243" s="1810">
        <f t="shared" si="747"/>
        <v>100</v>
      </c>
      <c r="AC1243" s="876"/>
      <c r="AD1243" s="1525">
        <f t="shared" si="748"/>
        <v>1</v>
      </c>
      <c r="AE1243" s="1525">
        <f t="shared" si="748"/>
        <v>0</v>
      </c>
      <c r="AF1243" s="1525">
        <f t="shared" si="748"/>
        <v>0</v>
      </c>
      <c r="AG1243" s="1525">
        <f t="shared" si="748"/>
        <v>0</v>
      </c>
      <c r="AH1243" s="1525">
        <f t="shared" si="748"/>
        <v>0</v>
      </c>
      <c r="AI1243" s="1525">
        <f t="shared" si="748"/>
        <v>0</v>
      </c>
      <c r="AJ1243" s="1525">
        <f t="shared" si="748"/>
        <v>0</v>
      </c>
      <c r="AK1243" s="1525">
        <f t="shared" si="748"/>
        <v>0</v>
      </c>
      <c r="AL1243" s="1525">
        <f t="shared" si="748"/>
        <v>0</v>
      </c>
      <c r="AM1243" s="1525">
        <f t="shared" si="748"/>
        <v>0</v>
      </c>
      <c r="AN1243" s="1525">
        <f t="shared" si="748"/>
        <v>0</v>
      </c>
      <c r="AO1243" s="1525">
        <f t="shared" si="748"/>
        <v>0</v>
      </c>
      <c r="AP1243" s="1525">
        <f t="shared" si="748"/>
        <v>0</v>
      </c>
      <c r="AQ1243" s="1525">
        <f t="shared" si="748"/>
        <v>0</v>
      </c>
      <c r="AR1243" s="1525">
        <f t="shared" si="748"/>
        <v>0</v>
      </c>
      <c r="AS1243" s="1525">
        <f t="shared" si="748"/>
        <v>0</v>
      </c>
      <c r="AU1243" s="1525"/>
      <c r="AV1243" s="1295"/>
      <c r="AW1243" s="1525"/>
      <c r="AX1243" s="1525"/>
      <c r="AY1243" s="1525"/>
      <c r="AZ1243" s="1525"/>
      <c r="BA1243" s="1525"/>
      <c r="BB1243" s="1525"/>
      <c r="BC1243" s="1525"/>
      <c r="BD1243" s="1525"/>
      <c r="BE1243" s="1525"/>
      <c r="BF1243" s="1525"/>
      <c r="BG1243" s="1525"/>
      <c r="BH1243" s="1525"/>
      <c r="BI1243" s="1525">
        <v>0.5</v>
      </c>
      <c r="BJ1243" s="1525">
        <v>0.5</v>
      </c>
      <c r="BK1243" s="1525"/>
      <c r="BL1243" s="1525"/>
      <c r="BM1243" s="1525"/>
      <c r="BN1243" s="1525"/>
      <c r="BO1243" s="1525"/>
      <c r="BP1243" s="1525"/>
      <c r="BQ1243" s="1525"/>
      <c r="BR1243" s="1525"/>
      <c r="BS1243" s="1525"/>
      <c r="BT1243" s="1670">
        <f t="shared" si="749"/>
        <v>1</v>
      </c>
      <c r="BV1243"/>
      <c r="BW1243" s="856" t="s">
        <v>602</v>
      </c>
    </row>
    <row r="1244" spans="2:75" ht="12.75" customHeight="1" x14ac:dyDescent="0.2">
      <c r="B1244" s="175">
        <f t="shared" si="750"/>
        <v>3</v>
      </c>
      <c r="C1244" s="219">
        <v>21</v>
      </c>
      <c r="E1244" s="12" t="s">
        <v>1564</v>
      </c>
      <c r="F1244" s="42" t="s">
        <v>1583</v>
      </c>
      <c r="G1244" s="945" t="s">
        <v>603</v>
      </c>
      <c r="H1244" s="873">
        <v>96792</v>
      </c>
      <c r="I1244" s="176" t="s">
        <v>583</v>
      </c>
      <c r="J1244" s="177"/>
      <c r="K1244" s="177"/>
      <c r="L1244" s="944">
        <v>1</v>
      </c>
      <c r="M1244" s="873">
        <f>K1244+L1244</f>
        <v>1</v>
      </c>
      <c r="N1244" s="940" t="s">
        <v>892</v>
      </c>
      <c r="O1244" s="1211">
        <v>20179</v>
      </c>
      <c r="P1244" s="1218">
        <f ca="1">YEARFRAC(TODAY(),O1244)</f>
        <v>62.505555555555553</v>
      </c>
      <c r="Q1244" s="1148">
        <v>29600</v>
      </c>
      <c r="R1244" s="874"/>
      <c r="S1244" s="875"/>
      <c r="T1244" s="875"/>
      <c r="U1244" s="886"/>
      <c r="V1244" s="875"/>
      <c r="W1244" s="875"/>
      <c r="X1244" s="1026">
        <f>(Q1244+R1244+S1244+T1244+U1244+V1244+W1244)*M1244</f>
        <v>29600</v>
      </c>
      <c r="Y1244" s="1512">
        <f>(T1244+U1244)*M1244/(X1244-M1244*(T1244+U1244))</f>
        <v>0</v>
      </c>
      <c r="Z1244" s="1741">
        <f>M1244*(1+Y1244)</f>
        <v>1</v>
      </c>
      <c r="AA1244" s="1749">
        <f>SUM(AD1244:AS1244)</f>
        <v>1</v>
      </c>
      <c r="AB1244" s="1810">
        <f t="shared" si="747"/>
        <v>100</v>
      </c>
      <c r="AC1244" s="876"/>
      <c r="AD1244" s="1525">
        <f t="shared" si="748"/>
        <v>0</v>
      </c>
      <c r="AE1244" s="1525">
        <f t="shared" si="748"/>
        <v>1</v>
      </c>
      <c r="AF1244" s="1525">
        <f t="shared" si="748"/>
        <v>0</v>
      </c>
      <c r="AG1244" s="1525">
        <f t="shared" si="748"/>
        <v>0</v>
      </c>
      <c r="AH1244" s="1525">
        <f t="shared" si="748"/>
        <v>0</v>
      </c>
      <c r="AI1244" s="1525">
        <f t="shared" si="748"/>
        <v>0</v>
      </c>
      <c r="AJ1244" s="1525">
        <f t="shared" si="748"/>
        <v>0</v>
      </c>
      <c r="AK1244" s="1525">
        <f t="shared" si="748"/>
        <v>0</v>
      </c>
      <c r="AL1244" s="1525">
        <f t="shared" si="748"/>
        <v>0</v>
      </c>
      <c r="AM1244" s="1525">
        <f t="shared" si="748"/>
        <v>0</v>
      </c>
      <c r="AN1244" s="1525">
        <f t="shared" si="748"/>
        <v>0</v>
      </c>
      <c r="AO1244" s="1525">
        <f t="shared" si="748"/>
        <v>0</v>
      </c>
      <c r="AP1244" s="1525">
        <f t="shared" si="748"/>
        <v>0</v>
      </c>
      <c r="AQ1244" s="1525">
        <f t="shared" si="748"/>
        <v>0</v>
      </c>
      <c r="AR1244" s="1525">
        <f t="shared" si="748"/>
        <v>0</v>
      </c>
      <c r="AS1244" s="1525">
        <f t="shared" si="748"/>
        <v>0</v>
      </c>
      <c r="AU1244" s="1525"/>
      <c r="AV1244" s="1291"/>
      <c r="AW1244" s="1292"/>
      <c r="AX1244" s="1292"/>
      <c r="AY1244" s="1292"/>
      <c r="AZ1244" s="1292"/>
      <c r="BA1244" s="1292"/>
      <c r="BB1244" s="1292"/>
      <c r="BC1244" s="1292">
        <v>1</v>
      </c>
      <c r="BD1244" s="1292"/>
      <c r="BE1244" s="1292"/>
      <c r="BF1244" s="1292"/>
      <c r="BG1244" s="1292"/>
      <c r="BH1244" s="1292"/>
      <c r="BI1244" s="1292"/>
      <c r="BJ1244" s="1292"/>
      <c r="BK1244" s="1292"/>
      <c r="BL1244" s="1292"/>
      <c r="BM1244" s="1292"/>
      <c r="BN1244" s="1292"/>
      <c r="BO1244" s="1292"/>
      <c r="BP1244" s="1292"/>
      <c r="BQ1244" s="1292"/>
      <c r="BR1244" s="1292"/>
      <c r="BS1244" s="1292"/>
      <c r="BT1244" s="1670">
        <f t="shared" si="749"/>
        <v>1</v>
      </c>
      <c r="BW1244" s="945" t="s">
        <v>603</v>
      </c>
    </row>
    <row r="1245" spans="2:75" s="164" customFormat="1" ht="12.75" customHeight="1" x14ac:dyDescent="0.15">
      <c r="B1245" s="175"/>
      <c r="C1245" s="219" t="s">
        <v>1120</v>
      </c>
      <c r="F1245" s="2" t="s">
        <v>379</v>
      </c>
      <c r="G1245" s="856"/>
      <c r="H1245" s="1393" t="s">
        <v>1508</v>
      </c>
      <c r="I1245" s="243"/>
      <c r="J1245" s="209"/>
      <c r="K1245" s="452">
        <f>SUM(K1242:K1244)</f>
        <v>0</v>
      </c>
      <c r="L1245" s="993">
        <f>SUM(L1242:L1244)</f>
        <v>3</v>
      </c>
      <c r="M1245" s="993">
        <f>SUM(M1242:M1244)</f>
        <v>3</v>
      </c>
      <c r="N1245" s="855"/>
      <c r="O1245" s="1200"/>
      <c r="P1245" s="550"/>
      <c r="Q1245" s="1153"/>
      <c r="R1245" s="877"/>
      <c r="S1245" s="875"/>
      <c r="T1245" s="875"/>
      <c r="U1245" s="875"/>
      <c r="V1245" s="875"/>
      <c r="W1245" s="875"/>
      <c r="X1245" s="1026"/>
      <c r="Y1245" s="1335"/>
      <c r="Z1245" s="1335"/>
      <c r="AA1245" s="1775"/>
      <c r="AB1245" s="1814"/>
      <c r="AC1245" s="876"/>
      <c r="AD1245" s="1295"/>
      <c r="AE1245" s="1525"/>
      <c r="AF1245" s="1525"/>
      <c r="AG1245" s="1525"/>
      <c r="AH1245" s="1525"/>
      <c r="AI1245" s="1525"/>
      <c r="AJ1245" s="1525"/>
      <c r="AK1245" s="1525"/>
      <c r="AL1245" s="1525"/>
      <c r="AM1245" s="1525"/>
      <c r="AN1245" s="1525"/>
      <c r="AO1245" s="1525"/>
      <c r="AP1245" s="1525"/>
      <c r="AQ1245" s="1525"/>
      <c r="AR1245" s="1525"/>
      <c r="AS1245" s="1525"/>
      <c r="AU1245" s="1525"/>
      <c r="AV1245" s="1295"/>
      <c r="AW1245" s="1525"/>
      <c r="AX1245" s="1525"/>
      <c r="AY1245" s="1525"/>
      <c r="AZ1245" s="1525"/>
      <c r="BA1245" s="1525"/>
      <c r="BB1245" s="1525"/>
      <c r="BC1245" s="1525"/>
      <c r="BD1245" s="1525"/>
      <c r="BE1245" s="1525"/>
      <c r="BF1245" s="1525"/>
      <c r="BG1245" s="1525"/>
      <c r="BH1245" s="1525"/>
      <c r="BI1245" s="1525"/>
      <c r="BJ1245" s="1525"/>
      <c r="BK1245" s="1525"/>
      <c r="BL1245" s="1525"/>
      <c r="BM1245" s="1525"/>
      <c r="BN1245" s="1525"/>
      <c r="BO1245" s="1525"/>
      <c r="BP1245" s="1525"/>
      <c r="BQ1245" s="1525"/>
      <c r="BR1245" s="1525"/>
      <c r="BS1245" s="1525"/>
      <c r="BT1245" s="1670"/>
      <c r="BV1245"/>
      <c r="BW1245" s="856"/>
    </row>
    <row r="1246" spans="2:75" s="164" customFormat="1" ht="12.75" customHeight="1" x14ac:dyDescent="0.15">
      <c r="B1246" s="175"/>
      <c r="F1246" s="1"/>
      <c r="G1246" s="856"/>
      <c r="H1246" s="1364" t="s">
        <v>1508</v>
      </c>
      <c r="I1246" s="172"/>
      <c r="J1246" s="168"/>
      <c r="K1246" s="168"/>
      <c r="L1246" s="841"/>
      <c r="M1246" s="841"/>
      <c r="N1246" s="855"/>
      <c r="O1246" s="1200"/>
      <c r="P1246" s="550"/>
      <c r="Q1246" s="1148"/>
      <c r="R1246" s="874"/>
      <c r="S1246" s="875"/>
      <c r="T1246" s="875"/>
      <c r="U1246" s="875"/>
      <c r="V1246" s="875"/>
      <c r="W1246" s="875"/>
      <c r="X1246" s="1026"/>
      <c r="Y1246" s="1754"/>
      <c r="Z1246" s="1755"/>
      <c r="AA1246" s="1775"/>
      <c r="AB1246" s="1814"/>
      <c r="AC1246" s="876"/>
      <c r="AD1246" s="1295"/>
      <c r="AE1246" s="1525"/>
      <c r="AF1246" s="1525"/>
      <c r="AG1246" s="1525"/>
      <c r="AH1246" s="1525"/>
      <c r="AI1246" s="1525"/>
      <c r="AJ1246" s="1525"/>
      <c r="AK1246" s="1525"/>
      <c r="AL1246" s="1525"/>
      <c r="AM1246" s="1525"/>
      <c r="AN1246" s="1525"/>
      <c r="AO1246" s="1525"/>
      <c r="AP1246" s="1525"/>
      <c r="AQ1246" s="1525"/>
      <c r="AR1246" s="1525"/>
      <c r="AS1246" s="1525"/>
      <c r="AU1246" s="1525"/>
      <c r="AV1246" s="1295"/>
      <c r="AW1246" s="1525"/>
      <c r="AX1246" s="1525"/>
      <c r="AY1246" s="1525"/>
      <c r="AZ1246" s="1525"/>
      <c r="BA1246" s="1525"/>
      <c r="BB1246" s="1525"/>
      <c r="BC1246" s="1525"/>
      <c r="BD1246" s="1525"/>
      <c r="BE1246" s="1525"/>
      <c r="BF1246" s="1525"/>
      <c r="BG1246" s="1525"/>
      <c r="BH1246" s="1525"/>
      <c r="BI1246" s="1525"/>
      <c r="BJ1246" s="1525"/>
      <c r="BK1246" s="1525"/>
      <c r="BL1246" s="1525"/>
      <c r="BM1246" s="1525"/>
      <c r="BN1246" s="1525"/>
      <c r="BO1246" s="1525"/>
      <c r="BP1246" s="1525"/>
      <c r="BQ1246" s="1525"/>
      <c r="BR1246" s="1525"/>
      <c r="BS1246" s="1525"/>
      <c r="BT1246" s="1670"/>
      <c r="BV1246"/>
      <c r="BW1246" s="856"/>
    </row>
    <row r="1247" spans="2:75" s="164" customFormat="1" ht="12.75" customHeight="1" x14ac:dyDescent="0.15">
      <c r="B1247" s="175"/>
      <c r="F1247" s="2" t="s">
        <v>1198</v>
      </c>
      <c r="G1247" s="856"/>
      <c r="H1247" s="1364" t="s">
        <v>1508</v>
      </c>
      <c r="I1247" s="172"/>
      <c r="J1247" s="168"/>
      <c r="K1247" s="168"/>
      <c r="L1247" s="841"/>
      <c r="M1247" s="841"/>
      <c r="N1247" s="855"/>
      <c r="O1247" s="1200"/>
      <c r="P1247" s="550"/>
      <c r="Q1247" s="1148"/>
      <c r="R1247" s="874"/>
      <c r="S1247" s="875"/>
      <c r="T1247" s="875"/>
      <c r="U1247" s="875"/>
      <c r="V1247" s="875"/>
      <c r="W1247" s="875"/>
      <c r="X1247" s="1026"/>
      <c r="Y1247" s="1754"/>
      <c r="Z1247" s="1755"/>
      <c r="AA1247" s="1775"/>
      <c r="AB1247" s="1814"/>
      <c r="AC1247" s="876"/>
      <c r="AD1247" s="1295"/>
      <c r="AE1247" s="1525"/>
      <c r="AF1247" s="1525"/>
      <c r="AG1247" s="1525"/>
      <c r="AH1247" s="1525"/>
      <c r="AI1247" s="1525"/>
      <c r="AJ1247" s="1525"/>
      <c r="AK1247" s="1525"/>
      <c r="AL1247" s="1525"/>
      <c r="AM1247" s="1525"/>
      <c r="AN1247" s="1525"/>
      <c r="AO1247" s="1525"/>
      <c r="AP1247" s="1525"/>
      <c r="AQ1247" s="1525"/>
      <c r="AR1247" s="1525"/>
      <c r="AS1247" s="1525"/>
      <c r="AU1247" s="1525"/>
      <c r="AV1247" s="1295"/>
      <c r="AW1247" s="1525"/>
      <c r="AX1247" s="1525"/>
      <c r="AY1247" s="1525"/>
      <c r="AZ1247" s="1525"/>
      <c r="BA1247" s="1525"/>
      <c r="BB1247" s="1525"/>
      <c r="BC1247" s="1525"/>
      <c r="BD1247" s="1525"/>
      <c r="BE1247" s="1525"/>
      <c r="BF1247" s="1525"/>
      <c r="BG1247" s="1525"/>
      <c r="BH1247" s="1525"/>
      <c r="BI1247" s="1525"/>
      <c r="BJ1247" s="1525"/>
      <c r="BK1247" s="1525"/>
      <c r="BL1247" s="1525"/>
      <c r="BM1247" s="1525"/>
      <c r="BN1247" s="1525"/>
      <c r="BO1247" s="1525"/>
      <c r="BP1247" s="1525"/>
      <c r="BQ1247" s="1525"/>
      <c r="BR1247" s="1525"/>
      <c r="BS1247" s="1525"/>
      <c r="BT1247" s="1670"/>
      <c r="BV1247"/>
      <c r="BW1247" s="856"/>
    </row>
    <row r="1248" spans="2:75" s="164" customFormat="1" ht="12.75" customHeight="1" x14ac:dyDescent="0.15">
      <c r="B1248" s="175"/>
      <c r="F1248" s="29"/>
      <c r="G1248" s="856"/>
      <c r="H1248" s="1364" t="s">
        <v>1508</v>
      </c>
      <c r="I1248" s="172"/>
      <c r="J1248" s="168"/>
      <c r="K1248" s="168"/>
      <c r="L1248" s="841"/>
      <c r="M1248" s="841"/>
      <c r="N1248" s="855"/>
      <c r="O1248" s="1200"/>
      <c r="P1248" s="550"/>
      <c r="Q1248" s="1148"/>
      <c r="R1248" s="874"/>
      <c r="S1248" s="875"/>
      <c r="T1248" s="875"/>
      <c r="U1248" s="875"/>
      <c r="V1248" s="875"/>
      <c r="W1248" s="875"/>
      <c r="X1248" s="1026"/>
      <c r="Y1248" s="1754"/>
      <c r="Z1248" s="1755"/>
      <c r="AA1248" s="1775"/>
      <c r="AB1248" s="1814"/>
      <c r="AC1248" s="876"/>
      <c r="AD1248" s="1295"/>
      <c r="AE1248" s="1525"/>
      <c r="AF1248" s="1525"/>
      <c r="AG1248" s="1525"/>
      <c r="AH1248" s="1525"/>
      <c r="AI1248" s="1525"/>
      <c r="AJ1248" s="1525"/>
      <c r="AK1248" s="1525"/>
      <c r="AL1248" s="1525"/>
      <c r="AM1248" s="1525"/>
      <c r="AN1248" s="1525"/>
      <c r="AO1248" s="1525"/>
      <c r="AP1248" s="1525"/>
      <c r="AQ1248" s="1525"/>
      <c r="AR1248" s="1525"/>
      <c r="AS1248" s="1525"/>
      <c r="AU1248" s="1525"/>
      <c r="AV1248" s="1295"/>
      <c r="AW1248" s="1525"/>
      <c r="AX1248" s="1525"/>
      <c r="AY1248" s="1525"/>
      <c r="AZ1248" s="1525"/>
      <c r="BA1248" s="1525"/>
      <c r="BB1248" s="1525"/>
      <c r="BC1248" s="1525"/>
      <c r="BD1248" s="1525"/>
      <c r="BE1248" s="1525"/>
      <c r="BF1248" s="1525"/>
      <c r="BG1248" s="1525"/>
      <c r="BH1248" s="1525"/>
      <c r="BI1248" s="1525"/>
      <c r="BJ1248" s="1525"/>
      <c r="BK1248" s="1525"/>
      <c r="BL1248" s="1525"/>
      <c r="BM1248" s="1525"/>
      <c r="BN1248" s="1525"/>
      <c r="BO1248" s="1525"/>
      <c r="BP1248" s="1525"/>
      <c r="BQ1248" s="1525"/>
      <c r="BR1248" s="1525"/>
      <c r="BS1248" s="1525"/>
      <c r="BT1248" s="1670"/>
      <c r="BV1248"/>
      <c r="BW1248" s="856"/>
    </row>
    <row r="1249" spans="2:75" ht="12.75" customHeight="1" x14ac:dyDescent="0.2">
      <c r="B1249" s="175">
        <f>B1248+1</f>
        <v>1</v>
      </c>
      <c r="C1249" s="573">
        <v>5</v>
      </c>
      <c r="D1249" s="574"/>
      <c r="E1249" s="572" t="s">
        <v>1564</v>
      </c>
      <c r="F1249" s="1" t="s">
        <v>166</v>
      </c>
      <c r="G1249" s="856" t="s">
        <v>661</v>
      </c>
      <c r="H1249" s="858">
        <v>101678</v>
      </c>
      <c r="I1249" s="200" t="s">
        <v>351</v>
      </c>
      <c r="J1249" s="168"/>
      <c r="K1249" s="168"/>
      <c r="L1249" s="841">
        <v>1</v>
      </c>
      <c r="M1249" s="858">
        <f t="shared" ref="M1249:M1260" si="751">K1249+L1249</f>
        <v>1</v>
      </c>
      <c r="N1249" s="855" t="s">
        <v>892</v>
      </c>
      <c r="O1249" s="1196">
        <v>20097</v>
      </c>
      <c r="P1249" s="1218">
        <f t="shared" ref="P1249:P1260" ca="1" si="752">YEARFRAC(TODAY(),O1249)</f>
        <v>62.733333333333334</v>
      </c>
      <c r="Q1249" s="1148">
        <v>52100</v>
      </c>
      <c r="R1249" s="874"/>
      <c r="S1249" s="875">
        <v>7000</v>
      </c>
      <c r="T1249" s="875"/>
      <c r="U1249" s="875"/>
      <c r="V1249" s="875"/>
      <c r="W1249" s="875"/>
      <c r="X1249" s="1026">
        <f t="shared" ref="X1249:X1260" si="753">(Q1249+R1249+S1249+T1249+U1249+V1249+W1249)*M1249</f>
        <v>59100</v>
      </c>
      <c r="Y1249" s="1512">
        <f t="shared" ref="Y1249:Y1259" si="754">(T1249+U1249)*M1249/(X1249-M1249*(T1249+U1249))</f>
        <v>0</v>
      </c>
      <c r="Z1249" s="1741">
        <f t="shared" ref="Z1249:Z1260" si="755">M1249*(1+Y1249)</f>
        <v>1</v>
      </c>
      <c r="AA1249" s="1749">
        <f t="shared" ref="AA1249:AA1260" si="756">SUM(AD1249:AS1249)</f>
        <v>1</v>
      </c>
      <c r="AB1249" s="1810">
        <f t="shared" ref="AB1249:AB1260" si="757">100*AA1249/Z1249</f>
        <v>100</v>
      </c>
      <c r="AC1249" s="876"/>
      <c r="AD1249" s="1525">
        <f t="shared" ref="AD1249:AS1260" si="758">SUMIF($AV$6:$BS$6,AD$5,$AV1249:$BS1249)</f>
        <v>0</v>
      </c>
      <c r="AE1249" s="1525">
        <f t="shared" si="758"/>
        <v>1</v>
      </c>
      <c r="AF1249" s="1525">
        <f t="shared" si="758"/>
        <v>0</v>
      </c>
      <c r="AG1249" s="1525">
        <f t="shared" si="758"/>
        <v>0</v>
      </c>
      <c r="AH1249" s="1525">
        <f t="shared" si="758"/>
        <v>0</v>
      </c>
      <c r="AI1249" s="1525">
        <f t="shared" si="758"/>
        <v>0</v>
      </c>
      <c r="AJ1249" s="1525">
        <f t="shared" si="758"/>
        <v>0</v>
      </c>
      <c r="AK1249" s="1525">
        <f t="shared" si="758"/>
        <v>0</v>
      </c>
      <c r="AL1249" s="1525">
        <f t="shared" si="758"/>
        <v>0</v>
      </c>
      <c r="AM1249" s="1525">
        <f t="shared" si="758"/>
        <v>0</v>
      </c>
      <c r="AN1249" s="1525">
        <f t="shared" si="758"/>
        <v>0</v>
      </c>
      <c r="AO1249" s="1525">
        <f t="shared" si="758"/>
        <v>0</v>
      </c>
      <c r="AP1249" s="1525">
        <f t="shared" si="758"/>
        <v>0</v>
      </c>
      <c r="AQ1249" s="1525">
        <f t="shared" si="758"/>
        <v>0</v>
      </c>
      <c r="AR1249" s="1525">
        <f t="shared" si="758"/>
        <v>0</v>
      </c>
      <c r="AS1249" s="1525">
        <f t="shared" si="758"/>
        <v>0</v>
      </c>
      <c r="AU1249" s="1525"/>
      <c r="AV1249" s="1291"/>
      <c r="AW1249" s="1292"/>
      <c r="AX1249" s="1292"/>
      <c r="AY1249" s="1292"/>
      <c r="AZ1249" s="1292"/>
      <c r="BA1249" s="1292"/>
      <c r="BB1249" s="1292"/>
      <c r="BC1249" s="1292">
        <v>1</v>
      </c>
      <c r="BD1249" s="1292"/>
      <c r="BE1249" s="1292"/>
      <c r="BF1249" s="1292"/>
      <c r="BG1249" s="1292"/>
      <c r="BH1249" s="1292"/>
      <c r="BI1249" s="1292"/>
      <c r="BJ1249" s="1292"/>
      <c r="BK1249" s="1292"/>
      <c r="BL1249" s="1292"/>
      <c r="BM1249" s="1292"/>
      <c r="BN1249" s="1292"/>
      <c r="BO1249" s="1292"/>
      <c r="BP1249" s="1292"/>
      <c r="BQ1249" s="1292"/>
      <c r="BR1249" s="1292"/>
      <c r="BS1249" s="1292"/>
      <c r="BT1249" s="1670">
        <f t="shared" ref="BT1249:BT1260" si="759">SUM(AV1249:BS1249)</f>
        <v>1</v>
      </c>
      <c r="BW1249" s="856" t="s">
        <v>661</v>
      </c>
    </row>
    <row r="1250" spans="2:75" ht="12.75" customHeight="1" x14ac:dyDescent="0.2">
      <c r="B1250" s="175">
        <f t="shared" ref="B1250:B1251" si="760">B1249+1</f>
        <v>2</v>
      </c>
      <c r="C1250" s="282">
        <v>7</v>
      </c>
      <c r="D1250" s="464"/>
      <c r="E1250" s="474" t="s">
        <v>1564</v>
      </c>
      <c r="F1250" s="467" t="s">
        <v>1334</v>
      </c>
      <c r="G1250" s="856" t="s">
        <v>1199</v>
      </c>
      <c r="H1250" s="858">
        <v>99087</v>
      </c>
      <c r="I1250" s="621" t="s">
        <v>351</v>
      </c>
      <c r="J1250" s="622"/>
      <c r="K1250" s="622"/>
      <c r="L1250" s="841">
        <v>1</v>
      </c>
      <c r="M1250" s="858">
        <f t="shared" si="751"/>
        <v>1</v>
      </c>
      <c r="N1250" s="855" t="s">
        <v>1326</v>
      </c>
      <c r="O1250" s="1196">
        <v>20644</v>
      </c>
      <c r="P1250" s="1218">
        <f t="shared" ca="1" si="752"/>
        <v>61.233333333333334</v>
      </c>
      <c r="Q1250" s="1148">
        <v>52300</v>
      </c>
      <c r="R1250" s="874">
        <f>Q1250*0.1</f>
        <v>5230</v>
      </c>
      <c r="S1250" s="875">
        <v>3000</v>
      </c>
      <c r="T1250" s="875"/>
      <c r="U1250" s="875"/>
      <c r="V1250" s="875"/>
      <c r="W1250" s="875"/>
      <c r="X1250" s="1026">
        <f t="shared" si="753"/>
        <v>60530</v>
      </c>
      <c r="Y1250" s="1512">
        <f t="shared" si="754"/>
        <v>0</v>
      </c>
      <c r="Z1250" s="1741">
        <f t="shared" si="755"/>
        <v>1</v>
      </c>
      <c r="AA1250" s="1749">
        <f t="shared" si="756"/>
        <v>1</v>
      </c>
      <c r="AB1250" s="1810">
        <f t="shared" si="757"/>
        <v>100</v>
      </c>
      <c r="AC1250" s="876"/>
      <c r="AD1250" s="1525">
        <f t="shared" si="758"/>
        <v>0.2</v>
      </c>
      <c r="AE1250" s="1525">
        <f t="shared" si="758"/>
        <v>0.8</v>
      </c>
      <c r="AF1250" s="1525">
        <f t="shared" si="758"/>
        <v>0</v>
      </c>
      <c r="AG1250" s="1525">
        <f t="shared" si="758"/>
        <v>0</v>
      </c>
      <c r="AH1250" s="1525">
        <f t="shared" si="758"/>
        <v>0</v>
      </c>
      <c r="AI1250" s="1525">
        <f t="shared" si="758"/>
        <v>0</v>
      </c>
      <c r="AJ1250" s="1525">
        <f t="shared" si="758"/>
        <v>0</v>
      </c>
      <c r="AK1250" s="1525">
        <f t="shared" si="758"/>
        <v>0</v>
      </c>
      <c r="AL1250" s="1525">
        <f t="shared" si="758"/>
        <v>0</v>
      </c>
      <c r="AM1250" s="1525">
        <f t="shared" si="758"/>
        <v>0</v>
      </c>
      <c r="AN1250" s="1525">
        <f t="shared" si="758"/>
        <v>0</v>
      </c>
      <c r="AO1250" s="1525">
        <f t="shared" si="758"/>
        <v>0</v>
      </c>
      <c r="AP1250" s="1525">
        <f t="shared" si="758"/>
        <v>0</v>
      </c>
      <c r="AQ1250" s="1525">
        <f t="shared" si="758"/>
        <v>0</v>
      </c>
      <c r="AR1250" s="1525">
        <f t="shared" si="758"/>
        <v>0</v>
      </c>
      <c r="AS1250" s="1525">
        <f t="shared" si="758"/>
        <v>0</v>
      </c>
      <c r="AU1250" s="1525"/>
      <c r="AV1250" s="1291"/>
      <c r="AW1250" s="1292"/>
      <c r="AX1250" s="1292"/>
      <c r="AY1250" s="1292"/>
      <c r="AZ1250" s="1292"/>
      <c r="BA1250" s="1292"/>
      <c r="BB1250" s="1292"/>
      <c r="BC1250" s="1292">
        <v>0.8</v>
      </c>
      <c r="BD1250" s="1292"/>
      <c r="BE1250" s="1292"/>
      <c r="BF1250" s="1292"/>
      <c r="BG1250" s="1292"/>
      <c r="BH1250" s="1292"/>
      <c r="BI1250" s="1292">
        <v>0.1</v>
      </c>
      <c r="BJ1250" s="1292">
        <v>0.1</v>
      </c>
      <c r="BK1250" s="1292"/>
      <c r="BL1250" s="1292"/>
      <c r="BM1250" s="1292"/>
      <c r="BN1250" s="1292"/>
      <c r="BO1250" s="1292"/>
      <c r="BP1250" s="1292"/>
      <c r="BQ1250" s="1292"/>
      <c r="BR1250" s="1292"/>
      <c r="BS1250" s="1292"/>
      <c r="BT1250" s="1670">
        <f t="shared" si="759"/>
        <v>1</v>
      </c>
      <c r="BW1250" s="856" t="s">
        <v>1199</v>
      </c>
    </row>
    <row r="1251" spans="2:75" ht="12.75" customHeight="1" x14ac:dyDescent="0.2">
      <c r="B1251" s="175">
        <f t="shared" si="760"/>
        <v>3</v>
      </c>
      <c r="C1251" s="569">
        <v>7</v>
      </c>
      <c r="D1251" s="570"/>
      <c r="E1251" s="472" t="s">
        <v>1564</v>
      </c>
      <c r="F1251" s="583" t="s">
        <v>1334</v>
      </c>
      <c r="G1251" s="856" t="s">
        <v>1200</v>
      </c>
      <c r="H1251" s="858">
        <v>211186</v>
      </c>
      <c r="I1251" s="592" t="s">
        <v>351</v>
      </c>
      <c r="J1251" s="633"/>
      <c r="K1251" s="633"/>
      <c r="L1251" s="841">
        <v>1</v>
      </c>
      <c r="M1251" s="858">
        <f t="shared" si="751"/>
        <v>1</v>
      </c>
      <c r="N1251" s="855" t="s">
        <v>892</v>
      </c>
      <c r="O1251" s="1196">
        <v>19831</v>
      </c>
      <c r="P1251" s="1218">
        <f t="shared" ca="1" si="752"/>
        <v>63.458333333333336</v>
      </c>
      <c r="Q1251" s="1148">
        <v>43800</v>
      </c>
      <c r="R1251" s="874"/>
      <c r="S1251" s="875">
        <v>3000</v>
      </c>
      <c r="T1251" s="875">
        <v>11500</v>
      </c>
      <c r="U1251" s="875"/>
      <c r="V1251" s="875"/>
      <c r="W1251" s="875"/>
      <c r="X1251" s="1026">
        <f t="shared" si="753"/>
        <v>58300</v>
      </c>
      <c r="Y1251" s="1512">
        <f t="shared" si="754"/>
        <v>0.24572649572649571</v>
      </c>
      <c r="Z1251" s="1741">
        <f t="shared" si="755"/>
        <v>1.2457264957264957</v>
      </c>
      <c r="AA1251" s="1749">
        <f t="shared" si="756"/>
        <v>1</v>
      </c>
      <c r="AB1251" s="1810">
        <f t="shared" si="757"/>
        <v>80.274442538593476</v>
      </c>
      <c r="AC1251" s="876"/>
      <c r="AD1251" s="1525">
        <f t="shared" si="758"/>
        <v>0</v>
      </c>
      <c r="AE1251" s="1525">
        <f t="shared" si="758"/>
        <v>1</v>
      </c>
      <c r="AF1251" s="1525">
        <f t="shared" si="758"/>
        <v>0</v>
      </c>
      <c r="AG1251" s="1525">
        <f t="shared" si="758"/>
        <v>0</v>
      </c>
      <c r="AH1251" s="1525">
        <f t="shared" si="758"/>
        <v>0</v>
      </c>
      <c r="AI1251" s="1525">
        <f t="shared" si="758"/>
        <v>0</v>
      </c>
      <c r="AJ1251" s="1525">
        <f t="shared" si="758"/>
        <v>0</v>
      </c>
      <c r="AK1251" s="1525">
        <f t="shared" si="758"/>
        <v>0</v>
      </c>
      <c r="AL1251" s="1525">
        <f t="shared" si="758"/>
        <v>0</v>
      </c>
      <c r="AM1251" s="1525">
        <f t="shared" si="758"/>
        <v>0</v>
      </c>
      <c r="AN1251" s="1525">
        <f t="shared" si="758"/>
        <v>0</v>
      </c>
      <c r="AO1251" s="1525">
        <f t="shared" si="758"/>
        <v>0</v>
      </c>
      <c r="AP1251" s="1525">
        <f t="shared" si="758"/>
        <v>0</v>
      </c>
      <c r="AQ1251" s="1525">
        <f t="shared" si="758"/>
        <v>0</v>
      </c>
      <c r="AR1251" s="1525">
        <f t="shared" si="758"/>
        <v>0</v>
      </c>
      <c r="AS1251" s="1525">
        <f t="shared" si="758"/>
        <v>0</v>
      </c>
      <c r="AU1251" s="1525"/>
      <c r="AV1251" s="1291"/>
      <c r="AW1251" s="1292"/>
      <c r="AX1251" s="1292"/>
      <c r="AY1251" s="1292"/>
      <c r="AZ1251" s="1292"/>
      <c r="BA1251" s="1292"/>
      <c r="BB1251" s="1292"/>
      <c r="BC1251" s="1292">
        <v>1</v>
      </c>
      <c r="BD1251" s="1292"/>
      <c r="BE1251" s="1292"/>
      <c r="BF1251" s="1292"/>
      <c r="BG1251" s="1292"/>
      <c r="BH1251" s="1292"/>
      <c r="BI1251" s="1292"/>
      <c r="BJ1251" s="1292"/>
      <c r="BK1251" s="1292"/>
      <c r="BL1251" s="1292"/>
      <c r="BM1251" s="1292"/>
      <c r="BN1251" s="1292"/>
      <c r="BO1251" s="1292"/>
      <c r="BP1251" s="1292"/>
      <c r="BQ1251" s="1292"/>
      <c r="BR1251" s="1292"/>
      <c r="BS1251" s="1292"/>
      <c r="BT1251" s="1670">
        <f t="shared" si="759"/>
        <v>1</v>
      </c>
      <c r="BW1251" s="856" t="s">
        <v>1200</v>
      </c>
    </row>
    <row r="1252" spans="2:75" ht="12.75" customHeight="1" x14ac:dyDescent="0.2">
      <c r="B1252" s="175">
        <f>B1251+1</f>
        <v>4</v>
      </c>
      <c r="C1252" s="219">
        <v>8</v>
      </c>
      <c r="E1252" s="12" t="s">
        <v>1564</v>
      </c>
      <c r="F1252" s="1" t="s">
        <v>353</v>
      </c>
      <c r="G1252" s="856" t="s">
        <v>1201</v>
      </c>
      <c r="H1252" s="858">
        <v>25782</v>
      </c>
      <c r="I1252" s="200" t="s">
        <v>351</v>
      </c>
      <c r="J1252" s="168"/>
      <c r="K1252" s="168"/>
      <c r="L1252" s="841">
        <v>1</v>
      </c>
      <c r="M1252" s="858">
        <f t="shared" si="751"/>
        <v>1</v>
      </c>
      <c r="N1252" s="855" t="s">
        <v>892</v>
      </c>
      <c r="O1252" s="1196">
        <v>25449</v>
      </c>
      <c r="P1252" s="1218">
        <f t="shared" ca="1" si="752"/>
        <v>48.080555555555556</v>
      </c>
      <c r="Q1252" s="1148">
        <v>29250</v>
      </c>
      <c r="R1252" s="874"/>
      <c r="S1252" s="875">
        <v>3000</v>
      </c>
      <c r="T1252" s="875"/>
      <c r="U1252" s="875"/>
      <c r="V1252" s="875"/>
      <c r="W1252" s="875"/>
      <c r="X1252" s="1026">
        <f t="shared" si="753"/>
        <v>32250</v>
      </c>
      <c r="Y1252" s="1512">
        <f t="shared" si="754"/>
        <v>0</v>
      </c>
      <c r="Z1252" s="1741">
        <f t="shared" si="755"/>
        <v>1</v>
      </c>
      <c r="AA1252" s="1749">
        <f t="shared" si="756"/>
        <v>1</v>
      </c>
      <c r="AB1252" s="1810">
        <f t="shared" si="757"/>
        <v>100</v>
      </c>
      <c r="AC1252" s="876"/>
      <c r="AD1252" s="1525">
        <f t="shared" si="758"/>
        <v>0</v>
      </c>
      <c r="AE1252" s="1525">
        <f t="shared" si="758"/>
        <v>1</v>
      </c>
      <c r="AF1252" s="1525">
        <f t="shared" si="758"/>
        <v>0</v>
      </c>
      <c r="AG1252" s="1525">
        <f t="shared" si="758"/>
        <v>0</v>
      </c>
      <c r="AH1252" s="1525">
        <f t="shared" si="758"/>
        <v>0</v>
      </c>
      <c r="AI1252" s="1525">
        <f t="shared" si="758"/>
        <v>0</v>
      </c>
      <c r="AJ1252" s="1525">
        <f t="shared" si="758"/>
        <v>0</v>
      </c>
      <c r="AK1252" s="1525">
        <f t="shared" si="758"/>
        <v>0</v>
      </c>
      <c r="AL1252" s="1525">
        <f t="shared" si="758"/>
        <v>0</v>
      </c>
      <c r="AM1252" s="1525">
        <f t="shared" si="758"/>
        <v>0</v>
      </c>
      <c r="AN1252" s="1525">
        <f t="shared" si="758"/>
        <v>0</v>
      </c>
      <c r="AO1252" s="1525">
        <f t="shared" si="758"/>
        <v>0</v>
      </c>
      <c r="AP1252" s="1525">
        <f t="shared" si="758"/>
        <v>0</v>
      </c>
      <c r="AQ1252" s="1525">
        <f t="shared" si="758"/>
        <v>0</v>
      </c>
      <c r="AR1252" s="1525">
        <f t="shared" si="758"/>
        <v>0</v>
      </c>
      <c r="AS1252" s="1525">
        <f t="shared" si="758"/>
        <v>0</v>
      </c>
      <c r="AU1252" s="1525"/>
      <c r="AV1252" s="1291"/>
      <c r="AW1252" s="1292"/>
      <c r="AX1252" s="1292"/>
      <c r="AY1252" s="1292"/>
      <c r="AZ1252" s="1292"/>
      <c r="BA1252" s="1292"/>
      <c r="BB1252" s="1292"/>
      <c r="BC1252" s="1292">
        <v>1</v>
      </c>
      <c r="BD1252" s="1292"/>
      <c r="BE1252" s="1292"/>
      <c r="BF1252" s="1292"/>
      <c r="BG1252" s="1292"/>
      <c r="BH1252" s="1292"/>
      <c r="BI1252" s="1292"/>
      <c r="BJ1252" s="1292"/>
      <c r="BK1252" s="1292"/>
      <c r="BL1252" s="1292"/>
      <c r="BM1252" s="1292"/>
      <c r="BN1252" s="1292"/>
      <c r="BO1252" s="1292"/>
      <c r="BP1252" s="1292"/>
      <c r="BQ1252" s="1292"/>
      <c r="BR1252" s="1292"/>
      <c r="BS1252" s="1292"/>
      <c r="BT1252" s="1670">
        <f t="shared" si="759"/>
        <v>1</v>
      </c>
      <c r="BW1252" s="856" t="s">
        <v>1201</v>
      </c>
    </row>
    <row r="1253" spans="2:75" s="164" customFormat="1" ht="12.75" customHeight="1" x14ac:dyDescent="0.2">
      <c r="B1253" s="175">
        <f>B1252+1</f>
        <v>5</v>
      </c>
      <c r="C1253" s="219">
        <v>8</v>
      </c>
      <c r="E1253" s="12" t="s">
        <v>1564</v>
      </c>
      <c r="F1253" s="1" t="s">
        <v>353</v>
      </c>
      <c r="G1253" s="856" t="s">
        <v>569</v>
      </c>
      <c r="H1253" s="858">
        <v>79091</v>
      </c>
      <c r="I1253" s="200" t="s">
        <v>351</v>
      </c>
      <c r="J1253" s="168"/>
      <c r="K1253" s="168"/>
      <c r="L1253" s="841">
        <v>1</v>
      </c>
      <c r="M1253" s="858">
        <f t="shared" si="751"/>
        <v>1</v>
      </c>
      <c r="N1253" s="855" t="s">
        <v>892</v>
      </c>
      <c r="O1253" s="1196">
        <v>25088</v>
      </c>
      <c r="P1253" s="1218">
        <f t="shared" ca="1" si="752"/>
        <v>49.069444444444443</v>
      </c>
      <c r="Q1253" s="1148">
        <v>25150</v>
      </c>
      <c r="R1253" s="874"/>
      <c r="S1253" s="875">
        <v>3000</v>
      </c>
      <c r="T1253" s="875"/>
      <c r="U1253" s="875"/>
      <c r="V1253" s="875"/>
      <c r="W1253" s="875"/>
      <c r="X1253" s="1026">
        <f t="shared" si="753"/>
        <v>28150</v>
      </c>
      <c r="Y1253" s="1512">
        <f t="shared" si="754"/>
        <v>0</v>
      </c>
      <c r="Z1253" s="1741">
        <f t="shared" si="755"/>
        <v>1</v>
      </c>
      <c r="AA1253" s="1749">
        <f t="shared" si="756"/>
        <v>1</v>
      </c>
      <c r="AB1253" s="1810">
        <f t="shared" si="757"/>
        <v>100</v>
      </c>
      <c r="AC1253" s="876"/>
      <c r="AD1253" s="1525">
        <f t="shared" si="758"/>
        <v>0</v>
      </c>
      <c r="AE1253" s="1525">
        <f t="shared" si="758"/>
        <v>1</v>
      </c>
      <c r="AF1253" s="1525">
        <f t="shared" si="758"/>
        <v>0</v>
      </c>
      <c r="AG1253" s="1525">
        <f t="shared" si="758"/>
        <v>0</v>
      </c>
      <c r="AH1253" s="1525">
        <f t="shared" si="758"/>
        <v>0</v>
      </c>
      <c r="AI1253" s="1525">
        <f t="shared" si="758"/>
        <v>0</v>
      </c>
      <c r="AJ1253" s="1525">
        <f t="shared" si="758"/>
        <v>0</v>
      </c>
      <c r="AK1253" s="1525">
        <f t="shared" si="758"/>
        <v>0</v>
      </c>
      <c r="AL1253" s="1525">
        <f t="shared" si="758"/>
        <v>0</v>
      </c>
      <c r="AM1253" s="1525">
        <f t="shared" si="758"/>
        <v>0</v>
      </c>
      <c r="AN1253" s="1525">
        <f t="shared" si="758"/>
        <v>0</v>
      </c>
      <c r="AO1253" s="1525">
        <f t="shared" si="758"/>
        <v>0</v>
      </c>
      <c r="AP1253" s="1525">
        <f t="shared" si="758"/>
        <v>0</v>
      </c>
      <c r="AQ1253" s="1525">
        <f t="shared" si="758"/>
        <v>0</v>
      </c>
      <c r="AR1253" s="1525">
        <f t="shared" si="758"/>
        <v>0</v>
      </c>
      <c r="AS1253" s="1525">
        <f t="shared" si="758"/>
        <v>0</v>
      </c>
      <c r="AU1253" s="1525"/>
      <c r="AV1253" s="1295"/>
      <c r="AW1253" s="1525"/>
      <c r="AX1253" s="1525"/>
      <c r="AY1253" s="1525"/>
      <c r="AZ1253" s="1525"/>
      <c r="BA1253" s="1525"/>
      <c r="BB1253" s="1525"/>
      <c r="BC1253" s="1525">
        <v>1</v>
      </c>
      <c r="BD1253" s="1525"/>
      <c r="BE1253" s="1525"/>
      <c r="BF1253" s="1525"/>
      <c r="BG1253" s="1525"/>
      <c r="BH1253" s="1525"/>
      <c r="BI1253" s="1525"/>
      <c r="BJ1253" s="1525"/>
      <c r="BK1253" s="1525"/>
      <c r="BL1253" s="1525"/>
      <c r="BM1253" s="1525"/>
      <c r="BN1253" s="1525"/>
      <c r="BO1253" s="1525"/>
      <c r="BP1253" s="1525"/>
      <c r="BQ1253" s="1525"/>
      <c r="BR1253" s="1525"/>
      <c r="BS1253" s="1525"/>
      <c r="BT1253" s="1670">
        <f t="shared" si="759"/>
        <v>1</v>
      </c>
      <c r="BV1253"/>
      <c r="BW1253" s="856" t="s">
        <v>569</v>
      </c>
    </row>
    <row r="1254" spans="2:75" ht="12.75" customHeight="1" x14ac:dyDescent="0.2">
      <c r="B1254" s="175">
        <f>B1253+1</f>
        <v>6</v>
      </c>
      <c r="C1254" s="219">
        <v>10</v>
      </c>
      <c r="E1254" s="12" t="s">
        <v>1564</v>
      </c>
      <c r="F1254" s="1" t="s">
        <v>558</v>
      </c>
      <c r="G1254" s="856" t="s">
        <v>1533</v>
      </c>
      <c r="H1254" s="858">
        <v>101993</v>
      </c>
      <c r="I1254" s="200" t="s">
        <v>351</v>
      </c>
      <c r="J1254" s="168"/>
      <c r="K1254" s="168"/>
      <c r="L1254" s="841">
        <v>1</v>
      </c>
      <c r="M1254" s="858">
        <f t="shared" si="751"/>
        <v>1</v>
      </c>
      <c r="N1254" s="855" t="s">
        <v>892</v>
      </c>
      <c r="O1254" s="1196">
        <v>32549</v>
      </c>
      <c r="P1254" s="1218">
        <f t="shared" ca="1" si="752"/>
        <v>28.644444444444446</v>
      </c>
      <c r="Q1254" s="1148">
        <v>23450</v>
      </c>
      <c r="R1254" s="874"/>
      <c r="S1254" s="875"/>
      <c r="T1254" s="875">
        <v>7000</v>
      </c>
      <c r="U1254" s="875"/>
      <c r="V1254" s="875"/>
      <c r="W1254" s="875"/>
      <c r="X1254" s="1026">
        <f t="shared" si="753"/>
        <v>30450</v>
      </c>
      <c r="Y1254" s="1512">
        <f t="shared" si="754"/>
        <v>0.29850746268656714</v>
      </c>
      <c r="Z1254" s="1741">
        <f t="shared" si="755"/>
        <v>1.2985074626865671</v>
      </c>
      <c r="AA1254" s="1749">
        <f t="shared" si="756"/>
        <v>1</v>
      </c>
      <c r="AB1254" s="1810">
        <f t="shared" si="757"/>
        <v>77.011494252873561</v>
      </c>
      <c r="AC1254" s="876"/>
      <c r="AD1254" s="1525">
        <f t="shared" si="758"/>
        <v>0</v>
      </c>
      <c r="AE1254" s="1525">
        <f t="shared" si="758"/>
        <v>1</v>
      </c>
      <c r="AF1254" s="1525">
        <f t="shared" si="758"/>
        <v>0</v>
      </c>
      <c r="AG1254" s="1525">
        <f t="shared" si="758"/>
        <v>0</v>
      </c>
      <c r="AH1254" s="1525">
        <f t="shared" si="758"/>
        <v>0</v>
      </c>
      <c r="AI1254" s="1525">
        <f t="shared" si="758"/>
        <v>0</v>
      </c>
      <c r="AJ1254" s="1525">
        <f t="shared" si="758"/>
        <v>0</v>
      </c>
      <c r="AK1254" s="1525">
        <f t="shared" si="758"/>
        <v>0</v>
      </c>
      <c r="AL1254" s="1525">
        <f t="shared" si="758"/>
        <v>0</v>
      </c>
      <c r="AM1254" s="1525">
        <f t="shared" si="758"/>
        <v>0</v>
      </c>
      <c r="AN1254" s="1525">
        <f t="shared" si="758"/>
        <v>0</v>
      </c>
      <c r="AO1254" s="1525">
        <f t="shared" si="758"/>
        <v>0</v>
      </c>
      <c r="AP1254" s="1525">
        <f t="shared" si="758"/>
        <v>0</v>
      </c>
      <c r="AQ1254" s="1525">
        <f t="shared" si="758"/>
        <v>0</v>
      </c>
      <c r="AR1254" s="1525">
        <f t="shared" si="758"/>
        <v>0</v>
      </c>
      <c r="AS1254" s="1525">
        <f t="shared" si="758"/>
        <v>0</v>
      </c>
      <c r="AU1254" s="1525"/>
      <c r="AV1254" s="1291"/>
      <c r="AW1254" s="1292"/>
      <c r="AX1254" s="1292"/>
      <c r="AY1254" s="1292"/>
      <c r="AZ1254" s="1292"/>
      <c r="BA1254" s="1292"/>
      <c r="BB1254" s="1292"/>
      <c r="BC1254" s="1292">
        <v>1</v>
      </c>
      <c r="BD1254" s="1292"/>
      <c r="BE1254" s="1292"/>
      <c r="BF1254" s="1292"/>
      <c r="BG1254" s="1292"/>
      <c r="BH1254" s="1292"/>
      <c r="BI1254" s="1292"/>
      <c r="BJ1254" s="1292"/>
      <c r="BK1254" s="1292"/>
      <c r="BL1254" s="1292"/>
      <c r="BM1254" s="1292"/>
      <c r="BN1254" s="1292"/>
      <c r="BO1254" s="1292"/>
      <c r="BP1254" s="1292"/>
      <c r="BQ1254" s="1292"/>
      <c r="BR1254" s="1292"/>
      <c r="BS1254" s="1292"/>
      <c r="BT1254" s="1670">
        <f t="shared" si="759"/>
        <v>1</v>
      </c>
      <c r="BW1254" s="856" t="s">
        <v>1533</v>
      </c>
    </row>
    <row r="1255" spans="2:75" ht="12.75" customHeight="1" x14ac:dyDescent="0.2">
      <c r="B1255" s="175">
        <f t="shared" ref="B1255:B1260" si="761">B1254+1</f>
        <v>7</v>
      </c>
      <c r="C1255" s="219">
        <v>12</v>
      </c>
      <c r="E1255" s="12" t="s">
        <v>1564</v>
      </c>
      <c r="F1255" s="1" t="s">
        <v>1235</v>
      </c>
      <c r="G1255" s="856" t="s">
        <v>1203</v>
      </c>
      <c r="H1255" s="858">
        <v>230411</v>
      </c>
      <c r="I1255" s="172" t="s">
        <v>583</v>
      </c>
      <c r="J1255" s="168"/>
      <c r="K1255" s="168"/>
      <c r="L1255" s="841">
        <v>1</v>
      </c>
      <c r="M1255" s="858">
        <f t="shared" si="751"/>
        <v>1</v>
      </c>
      <c r="N1255" s="855" t="s">
        <v>892</v>
      </c>
      <c r="O1255" s="1196">
        <v>29162</v>
      </c>
      <c r="P1255" s="1218">
        <f t="shared" ca="1" si="752"/>
        <v>37.913888888888891</v>
      </c>
      <c r="Q1255" s="1148">
        <v>34000</v>
      </c>
      <c r="R1255" s="874"/>
      <c r="S1255" s="875"/>
      <c r="T1255" s="875"/>
      <c r="U1255" s="875"/>
      <c r="V1255" s="875"/>
      <c r="W1255" s="875"/>
      <c r="X1255" s="1026">
        <f t="shared" si="753"/>
        <v>34000</v>
      </c>
      <c r="Y1255" s="1512">
        <f t="shared" si="754"/>
        <v>0</v>
      </c>
      <c r="Z1255" s="1741">
        <f t="shared" si="755"/>
        <v>1</v>
      </c>
      <c r="AA1255" s="1749">
        <f t="shared" si="756"/>
        <v>1</v>
      </c>
      <c r="AB1255" s="1810">
        <f t="shared" si="757"/>
        <v>100</v>
      </c>
      <c r="AC1255" s="876"/>
      <c r="AD1255" s="1525">
        <f t="shared" si="758"/>
        <v>0</v>
      </c>
      <c r="AE1255" s="1525">
        <f t="shared" si="758"/>
        <v>1</v>
      </c>
      <c r="AF1255" s="1525">
        <f t="shared" si="758"/>
        <v>0</v>
      </c>
      <c r="AG1255" s="1525">
        <f t="shared" si="758"/>
        <v>0</v>
      </c>
      <c r="AH1255" s="1525">
        <f t="shared" si="758"/>
        <v>0</v>
      </c>
      <c r="AI1255" s="1525">
        <f t="shared" si="758"/>
        <v>0</v>
      </c>
      <c r="AJ1255" s="1525">
        <f t="shared" si="758"/>
        <v>0</v>
      </c>
      <c r="AK1255" s="1525">
        <f t="shared" si="758"/>
        <v>0</v>
      </c>
      <c r="AL1255" s="1525">
        <f t="shared" si="758"/>
        <v>0</v>
      </c>
      <c r="AM1255" s="1525">
        <f t="shared" si="758"/>
        <v>0</v>
      </c>
      <c r="AN1255" s="1525">
        <f t="shared" si="758"/>
        <v>0</v>
      </c>
      <c r="AO1255" s="1525">
        <f t="shared" si="758"/>
        <v>0</v>
      </c>
      <c r="AP1255" s="1525">
        <f t="shared" si="758"/>
        <v>0</v>
      </c>
      <c r="AQ1255" s="1525">
        <f t="shared" si="758"/>
        <v>0</v>
      </c>
      <c r="AR1255" s="1525">
        <f t="shared" si="758"/>
        <v>0</v>
      </c>
      <c r="AS1255" s="1525">
        <f t="shared" si="758"/>
        <v>0</v>
      </c>
      <c r="AU1255" s="1525"/>
      <c r="AV1255" s="1291"/>
      <c r="AW1255" s="1292"/>
      <c r="AX1255" s="1292"/>
      <c r="AY1255" s="1292"/>
      <c r="AZ1255" s="1292"/>
      <c r="BA1255" s="1292"/>
      <c r="BB1255" s="1292"/>
      <c r="BC1255" s="1292">
        <v>1</v>
      </c>
      <c r="BD1255" s="1292"/>
      <c r="BE1255" s="1292"/>
      <c r="BF1255" s="1292"/>
      <c r="BG1255" s="1292"/>
      <c r="BH1255" s="1292"/>
      <c r="BI1255" s="1292"/>
      <c r="BJ1255" s="1292"/>
      <c r="BK1255" s="1292"/>
      <c r="BL1255" s="1292"/>
      <c r="BM1255" s="1292"/>
      <c r="BN1255" s="1292"/>
      <c r="BO1255" s="1292"/>
      <c r="BP1255" s="1292"/>
      <c r="BQ1255" s="1292"/>
      <c r="BR1255" s="1292"/>
      <c r="BS1255" s="1292"/>
      <c r="BT1255" s="1670">
        <f t="shared" si="759"/>
        <v>1</v>
      </c>
      <c r="BW1255" s="856" t="s">
        <v>1203</v>
      </c>
    </row>
    <row r="1256" spans="2:75" s="164" customFormat="1" ht="12.75" customHeight="1" x14ac:dyDescent="0.2">
      <c r="B1256" s="175">
        <f t="shared" si="761"/>
        <v>8</v>
      </c>
      <c r="C1256" s="219">
        <v>21</v>
      </c>
      <c r="E1256" s="12" t="s">
        <v>1564</v>
      </c>
      <c r="F1256" s="1" t="s">
        <v>735</v>
      </c>
      <c r="G1256" s="856" t="s">
        <v>736</v>
      </c>
      <c r="H1256" s="858">
        <v>230654</v>
      </c>
      <c r="I1256" s="172" t="s">
        <v>583</v>
      </c>
      <c r="J1256" s="168"/>
      <c r="K1256" s="168"/>
      <c r="L1256" s="841">
        <v>1</v>
      </c>
      <c r="M1256" s="858">
        <f t="shared" si="751"/>
        <v>1</v>
      </c>
      <c r="N1256" s="855" t="s">
        <v>892</v>
      </c>
      <c r="O1256" s="1196">
        <v>22021</v>
      </c>
      <c r="P1256" s="1218">
        <f t="shared" ca="1" si="752"/>
        <v>57.463888888888889</v>
      </c>
      <c r="Q1256" s="1148">
        <v>16900</v>
      </c>
      <c r="R1256" s="874"/>
      <c r="S1256" s="875"/>
      <c r="T1256" s="875"/>
      <c r="U1256" s="875"/>
      <c r="V1256" s="875"/>
      <c r="W1256" s="875"/>
      <c r="X1256" s="1026">
        <f t="shared" si="753"/>
        <v>16900</v>
      </c>
      <c r="Y1256" s="1512">
        <f t="shared" si="754"/>
        <v>0</v>
      </c>
      <c r="Z1256" s="1741">
        <f t="shared" si="755"/>
        <v>1</v>
      </c>
      <c r="AA1256" s="1749">
        <f t="shared" si="756"/>
        <v>1</v>
      </c>
      <c r="AB1256" s="1810">
        <f t="shared" si="757"/>
        <v>100</v>
      </c>
      <c r="AC1256" s="876"/>
      <c r="AD1256" s="1525">
        <f t="shared" si="758"/>
        <v>0</v>
      </c>
      <c r="AE1256" s="1525">
        <f t="shared" si="758"/>
        <v>1</v>
      </c>
      <c r="AF1256" s="1525">
        <f t="shared" si="758"/>
        <v>0</v>
      </c>
      <c r="AG1256" s="1525">
        <f t="shared" si="758"/>
        <v>0</v>
      </c>
      <c r="AH1256" s="1525">
        <f t="shared" si="758"/>
        <v>0</v>
      </c>
      <c r="AI1256" s="1525">
        <f t="shared" si="758"/>
        <v>0</v>
      </c>
      <c r="AJ1256" s="1525">
        <f t="shared" si="758"/>
        <v>0</v>
      </c>
      <c r="AK1256" s="1525">
        <f t="shared" si="758"/>
        <v>0</v>
      </c>
      <c r="AL1256" s="1525">
        <f t="shared" si="758"/>
        <v>0</v>
      </c>
      <c r="AM1256" s="1525">
        <f t="shared" si="758"/>
        <v>0</v>
      </c>
      <c r="AN1256" s="1525">
        <f t="shared" si="758"/>
        <v>0</v>
      </c>
      <c r="AO1256" s="1525">
        <f t="shared" si="758"/>
        <v>0</v>
      </c>
      <c r="AP1256" s="1525">
        <f t="shared" si="758"/>
        <v>0</v>
      </c>
      <c r="AQ1256" s="1525">
        <f t="shared" si="758"/>
        <v>0</v>
      </c>
      <c r="AR1256" s="1525">
        <f t="shared" si="758"/>
        <v>0</v>
      </c>
      <c r="AS1256" s="1525">
        <f t="shared" si="758"/>
        <v>0</v>
      </c>
      <c r="AU1256" s="1525"/>
      <c r="AV1256" s="1295"/>
      <c r="AW1256" s="1525"/>
      <c r="AX1256" s="1525"/>
      <c r="AY1256" s="1525"/>
      <c r="AZ1256" s="1525"/>
      <c r="BA1256" s="1525"/>
      <c r="BB1256" s="1525"/>
      <c r="BC1256" s="1525">
        <v>1</v>
      </c>
      <c r="BD1256" s="1525"/>
      <c r="BE1256" s="1525"/>
      <c r="BF1256" s="1525"/>
      <c r="BG1256" s="1525"/>
      <c r="BH1256" s="1525"/>
      <c r="BI1256" s="1525"/>
      <c r="BJ1256" s="1525"/>
      <c r="BK1256" s="1525"/>
      <c r="BL1256" s="1525"/>
      <c r="BM1256" s="1525"/>
      <c r="BN1256" s="1525"/>
      <c r="BO1256" s="1525"/>
      <c r="BP1256" s="1525"/>
      <c r="BQ1256" s="1525"/>
      <c r="BR1256" s="1525"/>
      <c r="BS1256" s="1525"/>
      <c r="BT1256" s="1670">
        <f t="shared" si="759"/>
        <v>1</v>
      </c>
      <c r="BV1256"/>
      <c r="BW1256" s="856" t="s">
        <v>736</v>
      </c>
    </row>
    <row r="1257" spans="2:75" ht="12.75" customHeight="1" x14ac:dyDescent="0.2">
      <c r="B1257" s="175">
        <f t="shared" si="761"/>
        <v>9</v>
      </c>
      <c r="C1257" s="219">
        <v>26</v>
      </c>
      <c r="E1257" s="12" t="s">
        <v>1564</v>
      </c>
      <c r="F1257" s="37" t="s">
        <v>734</v>
      </c>
      <c r="G1257" s="913" t="s">
        <v>1202</v>
      </c>
      <c r="H1257" s="861">
        <v>250668</v>
      </c>
      <c r="I1257" s="180" t="s">
        <v>583</v>
      </c>
      <c r="J1257" s="173"/>
      <c r="K1257" s="173"/>
      <c r="L1257" s="893">
        <v>1</v>
      </c>
      <c r="M1257" s="861">
        <f t="shared" si="751"/>
        <v>1</v>
      </c>
      <c r="N1257" s="832" t="s">
        <v>892</v>
      </c>
      <c r="O1257" s="1196">
        <v>29833</v>
      </c>
      <c r="P1257" s="1218">
        <f t="shared" ca="1" si="752"/>
        <v>36.077777777777776</v>
      </c>
      <c r="Q1257" s="1148">
        <v>32900</v>
      </c>
      <c r="R1257" s="874"/>
      <c r="S1257" s="875"/>
      <c r="T1257" s="875">
        <v>5000</v>
      </c>
      <c r="U1257" s="875"/>
      <c r="V1257" s="875"/>
      <c r="W1257" s="875"/>
      <c r="X1257" s="1026">
        <f t="shared" si="753"/>
        <v>37900</v>
      </c>
      <c r="Y1257" s="1512">
        <f t="shared" si="754"/>
        <v>0.1519756838905775</v>
      </c>
      <c r="Z1257" s="1741">
        <f t="shared" si="755"/>
        <v>1.1519756838905775</v>
      </c>
      <c r="AA1257" s="1749">
        <f t="shared" si="756"/>
        <v>1</v>
      </c>
      <c r="AB1257" s="1810">
        <f t="shared" si="757"/>
        <v>86.80738786279683</v>
      </c>
      <c r="AC1257" s="876"/>
      <c r="AD1257" s="1525">
        <f t="shared" si="758"/>
        <v>0</v>
      </c>
      <c r="AE1257" s="1525">
        <f t="shared" si="758"/>
        <v>1</v>
      </c>
      <c r="AF1257" s="1525">
        <f t="shared" si="758"/>
        <v>0</v>
      </c>
      <c r="AG1257" s="1525">
        <f t="shared" si="758"/>
        <v>0</v>
      </c>
      <c r="AH1257" s="1525">
        <f t="shared" si="758"/>
        <v>0</v>
      </c>
      <c r="AI1257" s="1525">
        <f t="shared" si="758"/>
        <v>0</v>
      </c>
      <c r="AJ1257" s="1525">
        <f t="shared" si="758"/>
        <v>0</v>
      </c>
      <c r="AK1257" s="1525">
        <f t="shared" si="758"/>
        <v>0</v>
      </c>
      <c r="AL1257" s="1525">
        <f t="shared" si="758"/>
        <v>0</v>
      </c>
      <c r="AM1257" s="1525">
        <f t="shared" si="758"/>
        <v>0</v>
      </c>
      <c r="AN1257" s="1525">
        <f t="shared" si="758"/>
        <v>0</v>
      </c>
      <c r="AO1257" s="1525">
        <f t="shared" si="758"/>
        <v>0</v>
      </c>
      <c r="AP1257" s="1525">
        <f t="shared" si="758"/>
        <v>0</v>
      </c>
      <c r="AQ1257" s="1525">
        <f t="shared" si="758"/>
        <v>0</v>
      </c>
      <c r="AR1257" s="1525">
        <f t="shared" si="758"/>
        <v>0</v>
      </c>
      <c r="AS1257" s="1525">
        <f t="shared" si="758"/>
        <v>0</v>
      </c>
      <c r="AU1257" s="1525"/>
      <c r="AV1257" s="1291"/>
      <c r="AW1257" s="1292"/>
      <c r="AX1257" s="1292"/>
      <c r="AY1257" s="1292"/>
      <c r="AZ1257" s="1292"/>
      <c r="BA1257" s="1292"/>
      <c r="BB1257" s="1292"/>
      <c r="BC1257" s="1292">
        <v>1</v>
      </c>
      <c r="BD1257" s="1292"/>
      <c r="BE1257" s="1292"/>
      <c r="BF1257" s="1292"/>
      <c r="BG1257" s="1292"/>
      <c r="BH1257" s="1292"/>
      <c r="BI1257" s="1292"/>
      <c r="BJ1257" s="1292"/>
      <c r="BK1257" s="1292"/>
      <c r="BL1257" s="1292"/>
      <c r="BM1257" s="1292"/>
      <c r="BN1257" s="1292"/>
      <c r="BO1257" s="1292"/>
      <c r="BP1257" s="1292"/>
      <c r="BQ1257" s="1292"/>
      <c r="BR1257" s="1292"/>
      <c r="BS1257" s="1292"/>
      <c r="BT1257" s="1670">
        <f t="shared" si="759"/>
        <v>1</v>
      </c>
      <c r="BW1257" s="913" t="s">
        <v>1202</v>
      </c>
    </row>
    <row r="1258" spans="2:75" s="164" customFormat="1" ht="12.75" customHeight="1" x14ac:dyDescent="0.2">
      <c r="B1258" s="175">
        <f t="shared" si="761"/>
        <v>10</v>
      </c>
      <c r="C1258" s="219">
        <v>26</v>
      </c>
      <c r="E1258" s="12" t="s">
        <v>1564</v>
      </c>
      <c r="F1258" s="1" t="s">
        <v>734</v>
      </c>
      <c r="G1258" s="856" t="s">
        <v>737</v>
      </c>
      <c r="H1258" s="858">
        <v>213115</v>
      </c>
      <c r="I1258" s="172" t="s">
        <v>583</v>
      </c>
      <c r="J1258" s="168"/>
      <c r="K1258" s="168"/>
      <c r="L1258" s="841">
        <v>1</v>
      </c>
      <c r="M1258" s="858">
        <f t="shared" si="751"/>
        <v>1</v>
      </c>
      <c r="N1258" s="855" t="s">
        <v>892</v>
      </c>
      <c r="O1258" s="1196">
        <v>29166</v>
      </c>
      <c r="P1258" s="1218">
        <f t="shared" ca="1" si="752"/>
        <v>37.902777777777779</v>
      </c>
      <c r="Q1258" s="1148">
        <v>24400</v>
      </c>
      <c r="R1258" s="874"/>
      <c r="S1258" s="875"/>
      <c r="T1258" s="875"/>
      <c r="U1258" s="875"/>
      <c r="V1258" s="875"/>
      <c r="W1258" s="875"/>
      <c r="X1258" s="1026">
        <f t="shared" si="753"/>
        <v>24400</v>
      </c>
      <c r="Y1258" s="1512">
        <f t="shared" si="754"/>
        <v>0</v>
      </c>
      <c r="Z1258" s="1741">
        <f t="shared" si="755"/>
        <v>1</v>
      </c>
      <c r="AA1258" s="1749">
        <f t="shared" si="756"/>
        <v>1</v>
      </c>
      <c r="AB1258" s="1810">
        <f t="shared" si="757"/>
        <v>100</v>
      </c>
      <c r="AC1258" s="876"/>
      <c r="AD1258" s="1525">
        <f t="shared" si="758"/>
        <v>0</v>
      </c>
      <c r="AE1258" s="1525">
        <f t="shared" si="758"/>
        <v>1</v>
      </c>
      <c r="AF1258" s="1525">
        <f t="shared" si="758"/>
        <v>0</v>
      </c>
      <c r="AG1258" s="1525">
        <f t="shared" si="758"/>
        <v>0</v>
      </c>
      <c r="AH1258" s="1525">
        <f t="shared" si="758"/>
        <v>0</v>
      </c>
      <c r="AI1258" s="1525">
        <f t="shared" si="758"/>
        <v>0</v>
      </c>
      <c r="AJ1258" s="1525">
        <f t="shared" si="758"/>
        <v>0</v>
      </c>
      <c r="AK1258" s="1525">
        <f t="shared" si="758"/>
        <v>0</v>
      </c>
      <c r="AL1258" s="1525">
        <f t="shared" si="758"/>
        <v>0</v>
      </c>
      <c r="AM1258" s="1525">
        <f t="shared" si="758"/>
        <v>0</v>
      </c>
      <c r="AN1258" s="1525">
        <f t="shared" si="758"/>
        <v>0</v>
      </c>
      <c r="AO1258" s="1525">
        <f t="shared" si="758"/>
        <v>0</v>
      </c>
      <c r="AP1258" s="1525">
        <f t="shared" si="758"/>
        <v>0</v>
      </c>
      <c r="AQ1258" s="1525">
        <f t="shared" si="758"/>
        <v>0</v>
      </c>
      <c r="AR1258" s="1525">
        <f t="shared" si="758"/>
        <v>0</v>
      </c>
      <c r="AS1258" s="1525">
        <f t="shared" si="758"/>
        <v>0</v>
      </c>
      <c r="AU1258" s="1525"/>
      <c r="AV1258" s="1295"/>
      <c r="AW1258" s="1525"/>
      <c r="AX1258" s="1525"/>
      <c r="AY1258" s="1525"/>
      <c r="AZ1258" s="1525"/>
      <c r="BA1258" s="1525"/>
      <c r="BB1258" s="1525"/>
      <c r="BC1258" s="1525">
        <v>1</v>
      </c>
      <c r="BD1258" s="1525"/>
      <c r="BE1258" s="1525"/>
      <c r="BF1258" s="1525"/>
      <c r="BG1258" s="1525"/>
      <c r="BH1258" s="1525"/>
      <c r="BI1258" s="1525"/>
      <c r="BJ1258" s="1525"/>
      <c r="BK1258" s="1525"/>
      <c r="BL1258" s="1525"/>
      <c r="BM1258" s="1525"/>
      <c r="BN1258" s="1525"/>
      <c r="BO1258" s="1525"/>
      <c r="BP1258" s="1525"/>
      <c r="BQ1258" s="1525"/>
      <c r="BR1258" s="1525"/>
      <c r="BS1258" s="1525"/>
      <c r="BT1258" s="1670">
        <f t="shared" si="759"/>
        <v>1</v>
      </c>
      <c r="BV1258"/>
      <c r="BW1258" s="856" t="s">
        <v>737</v>
      </c>
    </row>
    <row r="1259" spans="2:75" s="164" customFormat="1" ht="12.75" customHeight="1" x14ac:dyDescent="0.2">
      <c r="B1259" s="175">
        <f t="shared" si="761"/>
        <v>11</v>
      </c>
      <c r="C1259" s="219">
        <v>26</v>
      </c>
      <c r="E1259" s="12" t="s">
        <v>1564</v>
      </c>
      <c r="F1259" s="1" t="s">
        <v>768</v>
      </c>
      <c r="G1259" s="856" t="s">
        <v>724</v>
      </c>
      <c r="H1259" s="858">
        <v>274171</v>
      </c>
      <c r="I1259" s="172" t="s">
        <v>583</v>
      </c>
      <c r="J1259" s="168"/>
      <c r="K1259" s="168"/>
      <c r="L1259" s="841">
        <v>1</v>
      </c>
      <c r="M1259" s="858">
        <f t="shared" si="751"/>
        <v>1</v>
      </c>
      <c r="N1259" s="855" t="s">
        <v>892</v>
      </c>
      <c r="O1259" s="1196">
        <v>31524</v>
      </c>
      <c r="P1259" s="1218">
        <f t="shared" ca="1" si="752"/>
        <v>31.444444444444443</v>
      </c>
      <c r="Q1259" s="1148">
        <v>44400</v>
      </c>
      <c r="R1259" s="874"/>
      <c r="S1259" s="1044"/>
      <c r="T1259" s="1044">
        <v>5000</v>
      </c>
      <c r="U1259" s="1044"/>
      <c r="V1259" s="1044"/>
      <c r="W1259" s="1044"/>
      <c r="X1259" s="1026">
        <f t="shared" si="753"/>
        <v>49400</v>
      </c>
      <c r="Y1259" s="1512">
        <f t="shared" si="754"/>
        <v>0.11261261261261261</v>
      </c>
      <c r="Z1259" s="1741">
        <f t="shared" si="755"/>
        <v>1.1126126126126126</v>
      </c>
      <c r="AA1259" s="1749">
        <f t="shared" si="756"/>
        <v>1</v>
      </c>
      <c r="AB1259" s="1810">
        <f t="shared" si="757"/>
        <v>89.878542510121463</v>
      </c>
      <c r="AC1259" s="876"/>
      <c r="AD1259" s="1525">
        <f t="shared" si="758"/>
        <v>0</v>
      </c>
      <c r="AE1259" s="1525">
        <f t="shared" si="758"/>
        <v>1</v>
      </c>
      <c r="AF1259" s="1525">
        <f t="shared" si="758"/>
        <v>0</v>
      </c>
      <c r="AG1259" s="1525">
        <f t="shared" si="758"/>
        <v>0</v>
      </c>
      <c r="AH1259" s="1525">
        <f t="shared" si="758"/>
        <v>0</v>
      </c>
      <c r="AI1259" s="1525">
        <f t="shared" si="758"/>
        <v>0</v>
      </c>
      <c r="AJ1259" s="1525">
        <f t="shared" si="758"/>
        <v>0</v>
      </c>
      <c r="AK1259" s="1525">
        <f t="shared" si="758"/>
        <v>0</v>
      </c>
      <c r="AL1259" s="1525">
        <f t="shared" si="758"/>
        <v>0</v>
      </c>
      <c r="AM1259" s="1525">
        <f t="shared" si="758"/>
        <v>0</v>
      </c>
      <c r="AN1259" s="1525">
        <f t="shared" si="758"/>
        <v>0</v>
      </c>
      <c r="AO1259" s="1525">
        <f t="shared" si="758"/>
        <v>0</v>
      </c>
      <c r="AP1259" s="1525">
        <f t="shared" si="758"/>
        <v>0</v>
      </c>
      <c r="AQ1259" s="1525">
        <f t="shared" si="758"/>
        <v>0</v>
      </c>
      <c r="AR1259" s="1525">
        <f t="shared" si="758"/>
        <v>0</v>
      </c>
      <c r="AS1259" s="1525">
        <f t="shared" si="758"/>
        <v>0</v>
      </c>
      <c r="AU1259" s="1525"/>
      <c r="AV1259" s="1295"/>
      <c r="AW1259" s="1525"/>
      <c r="AX1259" s="1525"/>
      <c r="AY1259" s="1525"/>
      <c r="AZ1259" s="1525"/>
      <c r="BA1259" s="1525"/>
      <c r="BB1259" s="1525"/>
      <c r="BC1259" s="1525">
        <v>1</v>
      </c>
      <c r="BD1259" s="1525"/>
      <c r="BE1259" s="1525"/>
      <c r="BF1259" s="1525"/>
      <c r="BG1259" s="1525"/>
      <c r="BH1259" s="1525"/>
      <c r="BI1259" s="1525"/>
      <c r="BJ1259" s="1525"/>
      <c r="BK1259" s="1525"/>
      <c r="BL1259" s="1525"/>
      <c r="BM1259" s="1525"/>
      <c r="BN1259" s="1525"/>
      <c r="BO1259" s="1525"/>
      <c r="BP1259" s="1525"/>
      <c r="BQ1259" s="1525"/>
      <c r="BR1259" s="1525"/>
      <c r="BS1259" s="1525"/>
      <c r="BT1259" s="1670">
        <f t="shared" si="759"/>
        <v>1</v>
      </c>
      <c r="BV1259"/>
      <c r="BW1259" s="856" t="s">
        <v>724</v>
      </c>
    </row>
    <row r="1260" spans="2:75" ht="12.75" customHeight="1" x14ac:dyDescent="0.2">
      <c r="B1260" s="175">
        <f t="shared" si="761"/>
        <v>12</v>
      </c>
      <c r="C1260" s="219">
        <v>18</v>
      </c>
      <c r="E1260" s="12" t="s">
        <v>1564</v>
      </c>
      <c r="F1260" s="70" t="s">
        <v>660</v>
      </c>
      <c r="G1260" s="945" t="s">
        <v>973</v>
      </c>
      <c r="H1260" s="873">
        <v>7206</v>
      </c>
      <c r="I1260" s="176" t="s">
        <v>1442</v>
      </c>
      <c r="J1260" s="177"/>
      <c r="K1260" s="177"/>
      <c r="L1260" s="944">
        <v>0.5</v>
      </c>
      <c r="M1260" s="873">
        <f t="shared" si="751"/>
        <v>0.5</v>
      </c>
      <c r="N1260" s="940" t="s">
        <v>1573</v>
      </c>
      <c r="O1260" s="1211">
        <v>17480</v>
      </c>
      <c r="P1260" s="1218">
        <f t="shared" ca="1" si="752"/>
        <v>69.897222222222226</v>
      </c>
      <c r="Q1260" s="1148">
        <v>23000</v>
      </c>
      <c r="R1260" s="874">
        <f>Q1260*0.1</f>
        <v>2300</v>
      </c>
      <c r="S1260" s="875"/>
      <c r="T1260" s="875"/>
      <c r="U1260" s="875"/>
      <c r="V1260" s="1036">
        <f>(Q1260+R1260)*0.4</f>
        <v>10120</v>
      </c>
      <c r="W1260" s="1036">
        <f>(Q1260+R1260)*0.27</f>
        <v>6831</v>
      </c>
      <c r="X1260" s="1026">
        <f t="shared" si="753"/>
        <v>21125.5</v>
      </c>
      <c r="Y1260" s="1512">
        <f>(T1260+U1260+V1260+W1260)*M1260/(X1260-M1260*(T1260+U1260+V1260+W1260))</f>
        <v>0.67</v>
      </c>
      <c r="Z1260" s="1741">
        <f t="shared" si="755"/>
        <v>0.83499999999999996</v>
      </c>
      <c r="AA1260" s="1749">
        <f t="shared" si="756"/>
        <v>0.5</v>
      </c>
      <c r="AB1260" s="1810">
        <f t="shared" si="757"/>
        <v>59.880239520958085</v>
      </c>
      <c r="AC1260" s="876"/>
      <c r="AD1260" s="1525">
        <f t="shared" si="758"/>
        <v>0</v>
      </c>
      <c r="AE1260" s="1525">
        <f t="shared" si="758"/>
        <v>0.5</v>
      </c>
      <c r="AF1260" s="1525">
        <f t="shared" si="758"/>
        <v>0</v>
      </c>
      <c r="AG1260" s="1525">
        <f t="shared" si="758"/>
        <v>0</v>
      </c>
      <c r="AH1260" s="1525">
        <f t="shared" si="758"/>
        <v>0</v>
      </c>
      <c r="AI1260" s="1525">
        <f t="shared" si="758"/>
        <v>0</v>
      </c>
      <c r="AJ1260" s="1525">
        <f t="shared" si="758"/>
        <v>0</v>
      </c>
      <c r="AK1260" s="1525">
        <f t="shared" si="758"/>
        <v>0</v>
      </c>
      <c r="AL1260" s="1525">
        <f t="shared" si="758"/>
        <v>0</v>
      </c>
      <c r="AM1260" s="1525">
        <f t="shared" si="758"/>
        <v>0</v>
      </c>
      <c r="AN1260" s="1525">
        <f t="shared" si="758"/>
        <v>0</v>
      </c>
      <c r="AO1260" s="1525">
        <f t="shared" si="758"/>
        <v>0</v>
      </c>
      <c r="AP1260" s="1525">
        <f t="shared" si="758"/>
        <v>0</v>
      </c>
      <c r="AQ1260" s="1525">
        <f t="shared" si="758"/>
        <v>0</v>
      </c>
      <c r="AR1260" s="1525">
        <f t="shared" si="758"/>
        <v>0</v>
      </c>
      <c r="AS1260" s="1525">
        <f t="shared" si="758"/>
        <v>0</v>
      </c>
      <c r="AU1260" s="1525"/>
      <c r="AV1260" s="1291"/>
      <c r="AW1260" s="1292"/>
      <c r="AX1260" s="1292"/>
      <c r="AY1260" s="1292"/>
      <c r="AZ1260" s="1292"/>
      <c r="BA1260" s="1292"/>
      <c r="BB1260" s="1292"/>
      <c r="BC1260" s="1292">
        <v>0.5</v>
      </c>
      <c r="BD1260" s="1292"/>
      <c r="BE1260" s="1292"/>
      <c r="BF1260" s="1292"/>
      <c r="BG1260" s="1292"/>
      <c r="BH1260" s="1292"/>
      <c r="BI1260" s="1292"/>
      <c r="BJ1260" s="1292"/>
      <c r="BK1260" s="1292"/>
      <c r="BL1260" s="1292"/>
      <c r="BM1260" s="1292"/>
      <c r="BN1260" s="1292"/>
      <c r="BO1260" s="1292"/>
      <c r="BP1260" s="1292"/>
      <c r="BQ1260" s="1292"/>
      <c r="BR1260" s="1292"/>
      <c r="BS1260" s="1292"/>
      <c r="BT1260" s="1670">
        <f t="shared" si="759"/>
        <v>0.5</v>
      </c>
      <c r="BW1260" s="945" t="s">
        <v>973</v>
      </c>
    </row>
    <row r="1261" spans="2:75" ht="12.75" customHeight="1" x14ac:dyDescent="0.2">
      <c r="B1261" s="175"/>
      <c r="C1261" s="219"/>
      <c r="E1261" s="12"/>
      <c r="F1261" s="1660"/>
      <c r="G1261" s="913"/>
      <c r="H1261" s="861"/>
      <c r="I1261" s="180"/>
      <c r="J1261" s="173"/>
      <c r="K1261" s="173"/>
      <c r="L1261" s="893"/>
      <c r="M1261" s="861"/>
      <c r="N1261" s="832"/>
      <c r="O1261" s="1196"/>
      <c r="P1261" s="1218"/>
      <c r="Q1261" s="1148"/>
      <c r="R1261" s="874"/>
      <c r="S1261" s="875"/>
      <c r="T1261" s="875"/>
      <c r="U1261" s="875"/>
      <c r="V1261" s="1036"/>
      <c r="W1261" s="1036"/>
      <c r="X1261" s="1026"/>
      <c r="Y1261" s="1335"/>
      <c r="Z1261" s="1335"/>
      <c r="AA1261" s="1775"/>
      <c r="AB1261" s="1814"/>
      <c r="AC1261" s="876"/>
      <c r="AD1261" s="1525"/>
      <c r="AE1261" s="1525"/>
      <c r="AF1261" s="1525"/>
      <c r="AG1261" s="1525"/>
      <c r="AH1261" s="1525"/>
      <c r="AI1261" s="1525"/>
      <c r="AJ1261" s="1525"/>
      <c r="AK1261" s="1525"/>
      <c r="AL1261" s="1525"/>
      <c r="AM1261" s="1525"/>
      <c r="AN1261" s="1525"/>
      <c r="AO1261" s="1525"/>
      <c r="AP1261" s="1525"/>
      <c r="AQ1261" s="1525"/>
      <c r="AR1261" s="1525"/>
      <c r="AS1261" s="1525"/>
      <c r="AU1261" s="1525"/>
      <c r="AV1261" s="1291"/>
      <c r="AW1261" s="1292"/>
      <c r="AX1261" s="1292"/>
      <c r="AY1261" s="1292"/>
      <c r="AZ1261" s="1292"/>
      <c r="BA1261" s="1292"/>
      <c r="BB1261" s="1292"/>
      <c r="BC1261" s="1292"/>
      <c r="BD1261" s="1292"/>
      <c r="BE1261" s="1292"/>
      <c r="BF1261" s="1292"/>
      <c r="BG1261" s="1292"/>
      <c r="BH1261" s="1292"/>
      <c r="BI1261" s="1292"/>
      <c r="BJ1261" s="1292"/>
      <c r="BK1261" s="1292"/>
      <c r="BL1261" s="1292"/>
      <c r="BM1261" s="1292"/>
      <c r="BN1261" s="1292"/>
      <c r="BO1261" s="1292"/>
      <c r="BP1261" s="1292"/>
      <c r="BQ1261" s="1292"/>
      <c r="BR1261" s="1292"/>
      <c r="BS1261" s="1292"/>
      <c r="BT1261" s="1670"/>
      <c r="BW1261" s="913"/>
    </row>
    <row r="1262" spans="2:75" s="164" customFormat="1" ht="12.75" customHeight="1" x14ac:dyDescent="0.15">
      <c r="B1262" s="175"/>
      <c r="C1262" s="170"/>
      <c r="D1262" s="170"/>
      <c r="E1262" s="170"/>
      <c r="F1262" s="1118" t="s">
        <v>436</v>
      </c>
      <c r="G1262" s="913"/>
      <c r="H1262" s="1358" t="s">
        <v>1508</v>
      </c>
      <c r="I1262" s="180"/>
      <c r="J1262" s="173"/>
      <c r="K1262" s="173"/>
      <c r="L1262" s="893"/>
      <c r="M1262" s="893"/>
      <c r="N1262" s="832"/>
      <c r="O1262" s="1200"/>
      <c r="P1262" s="1294"/>
      <c r="Q1262" s="1148"/>
      <c r="R1262" s="874"/>
      <c r="S1262" s="876"/>
      <c r="T1262" s="876"/>
      <c r="U1262" s="876"/>
      <c r="V1262" s="876"/>
      <c r="W1262" s="876"/>
      <c r="X1262" s="1026"/>
      <c r="Y1262" s="1754"/>
      <c r="Z1262" s="1755"/>
      <c r="AA1262" s="1775"/>
      <c r="AB1262" s="1814"/>
      <c r="AC1262" s="876"/>
      <c r="AD1262" s="1295"/>
      <c r="AE1262" s="1525"/>
      <c r="AF1262" s="1525"/>
      <c r="AG1262" s="1525"/>
      <c r="AH1262" s="1525"/>
      <c r="AI1262" s="1525"/>
      <c r="AJ1262" s="1525"/>
      <c r="AK1262" s="1525"/>
      <c r="AL1262" s="1525"/>
      <c r="AM1262" s="1525"/>
      <c r="AN1262" s="1525"/>
      <c r="AO1262" s="1525"/>
      <c r="AP1262" s="1525"/>
      <c r="AQ1262" s="1525"/>
      <c r="AR1262" s="1525"/>
      <c r="AS1262" s="1525"/>
      <c r="AU1262" s="1525"/>
      <c r="AV1262" s="1295"/>
      <c r="AW1262" s="1525"/>
      <c r="AX1262" s="1525"/>
      <c r="AY1262" s="1525"/>
      <c r="AZ1262" s="1525"/>
      <c r="BA1262" s="1525"/>
      <c r="BB1262" s="1525"/>
      <c r="BC1262" s="1525"/>
      <c r="BD1262" s="1525"/>
      <c r="BE1262" s="1525"/>
      <c r="BF1262" s="1525"/>
      <c r="BG1262" s="1525"/>
      <c r="BH1262" s="1525"/>
      <c r="BI1262" s="1525"/>
      <c r="BJ1262" s="1525"/>
      <c r="BK1262" s="1525"/>
      <c r="BL1262" s="1525"/>
      <c r="BM1262" s="1525"/>
      <c r="BN1262" s="1525"/>
      <c r="BO1262" s="1525"/>
      <c r="BP1262" s="1525"/>
      <c r="BQ1262" s="1525"/>
      <c r="BR1262" s="1525"/>
      <c r="BS1262" s="1525"/>
      <c r="BT1262" s="1670"/>
      <c r="BV1262"/>
      <c r="BW1262" s="913"/>
    </row>
    <row r="1263" spans="2:75" ht="12.75" customHeight="1" x14ac:dyDescent="0.2">
      <c r="B1263" s="175">
        <f>B1262+1</f>
        <v>1</v>
      </c>
      <c r="C1263" s="219">
        <v>8</v>
      </c>
      <c r="E1263" s="12" t="s">
        <v>1564</v>
      </c>
      <c r="F1263" s="37" t="s">
        <v>353</v>
      </c>
      <c r="G1263" s="913" t="s">
        <v>699</v>
      </c>
      <c r="H1263" s="861">
        <v>251461</v>
      </c>
      <c r="I1263" s="197" t="s">
        <v>351</v>
      </c>
      <c r="J1263" s="173"/>
      <c r="K1263" s="173">
        <v>1</v>
      </c>
      <c r="L1263" s="893"/>
      <c r="M1263" s="861">
        <f>K1263+L1263</f>
        <v>1</v>
      </c>
      <c r="N1263" s="832" t="s">
        <v>892</v>
      </c>
      <c r="O1263" s="1196">
        <v>26738</v>
      </c>
      <c r="P1263" s="1218">
        <f ca="1">YEARFRAC(TODAY(),O1263)</f>
        <v>44.547222222222224</v>
      </c>
      <c r="Q1263" s="1148">
        <v>29250</v>
      </c>
      <c r="R1263" s="874"/>
      <c r="S1263" s="876"/>
      <c r="T1263" s="876"/>
      <c r="U1263" s="876"/>
      <c r="V1263" s="876"/>
      <c r="W1263" s="876"/>
      <c r="X1263" s="1026">
        <f>(Q1263+R1263+S1263+T1263+U1263+V1263+W1263)*M1263</f>
        <v>29250</v>
      </c>
      <c r="Y1263" s="1512">
        <f>(T1263+U1263)*M1263/(X1263-M1263*(T1263+U1263))</f>
        <v>0</v>
      </c>
      <c r="Z1263" s="1741">
        <f>M1263*(1+Y1263)</f>
        <v>1</v>
      </c>
      <c r="AA1263" s="1749">
        <f>SUM(AD1263:AS1263)</f>
        <v>1</v>
      </c>
      <c r="AB1263" s="1810">
        <f t="shared" ref="AB1263:AB1264" si="762">100*AA1263/Z1263</f>
        <v>100</v>
      </c>
      <c r="AC1263" s="876"/>
      <c r="AD1263" s="1525">
        <f t="shared" ref="AD1263:AS1264" si="763">SUMIF($AV$6:$BS$6,AD$5,$AV1263:$BS1263)</f>
        <v>0</v>
      </c>
      <c r="AE1263" s="1525">
        <f t="shared" si="763"/>
        <v>1</v>
      </c>
      <c r="AF1263" s="1525">
        <f t="shared" si="763"/>
        <v>0</v>
      </c>
      <c r="AG1263" s="1525">
        <f t="shared" si="763"/>
        <v>0</v>
      </c>
      <c r="AH1263" s="1525">
        <f t="shared" si="763"/>
        <v>0</v>
      </c>
      <c r="AI1263" s="1525">
        <f t="shared" si="763"/>
        <v>0</v>
      </c>
      <c r="AJ1263" s="1525">
        <f t="shared" si="763"/>
        <v>0</v>
      </c>
      <c r="AK1263" s="1525">
        <f t="shared" si="763"/>
        <v>0</v>
      </c>
      <c r="AL1263" s="1525">
        <f t="shared" si="763"/>
        <v>0</v>
      </c>
      <c r="AM1263" s="1525">
        <f t="shared" si="763"/>
        <v>0</v>
      </c>
      <c r="AN1263" s="1525">
        <f t="shared" si="763"/>
        <v>0</v>
      </c>
      <c r="AO1263" s="1525">
        <f t="shared" si="763"/>
        <v>0</v>
      </c>
      <c r="AP1263" s="1525">
        <f t="shared" si="763"/>
        <v>0</v>
      </c>
      <c r="AQ1263" s="1525">
        <f t="shared" si="763"/>
        <v>0</v>
      </c>
      <c r="AR1263" s="1525">
        <f t="shared" si="763"/>
        <v>0</v>
      </c>
      <c r="AS1263" s="1525">
        <f t="shared" si="763"/>
        <v>0</v>
      </c>
      <c r="AU1263" s="1525"/>
      <c r="AV1263" s="1291"/>
      <c r="AW1263" s="1292"/>
      <c r="AX1263" s="1292"/>
      <c r="AY1263" s="1292"/>
      <c r="AZ1263" s="1292"/>
      <c r="BA1263" s="1292"/>
      <c r="BB1263" s="1292"/>
      <c r="BC1263" s="1292">
        <v>1</v>
      </c>
      <c r="BD1263" s="1292"/>
      <c r="BE1263" s="1292"/>
      <c r="BF1263" s="1292"/>
      <c r="BG1263" s="1292"/>
      <c r="BH1263" s="1292"/>
      <c r="BI1263" s="1292"/>
      <c r="BJ1263" s="1292"/>
      <c r="BK1263" s="1292"/>
      <c r="BL1263" s="1292"/>
      <c r="BM1263" s="1292"/>
      <c r="BN1263" s="1292"/>
      <c r="BO1263" s="1292"/>
      <c r="BP1263" s="1292"/>
      <c r="BQ1263" s="1292"/>
      <c r="BR1263" s="1292"/>
      <c r="BS1263" s="1292"/>
      <c r="BT1263" s="1670">
        <f t="shared" ref="BT1263:BT1264" si="764">SUM(AV1263:BS1263)</f>
        <v>1</v>
      </c>
      <c r="BW1263" s="913" t="s">
        <v>699</v>
      </c>
    </row>
    <row r="1264" spans="2:75" ht="12.75" customHeight="1" x14ac:dyDescent="0.2">
      <c r="B1264" s="175">
        <f>B1263+1</f>
        <v>2</v>
      </c>
      <c r="C1264" s="219">
        <v>9</v>
      </c>
      <c r="E1264" s="12" t="s">
        <v>1564</v>
      </c>
      <c r="F1264" s="37" t="s">
        <v>1396</v>
      </c>
      <c r="G1264" s="913" t="s">
        <v>1830</v>
      </c>
      <c r="H1264" s="858">
        <v>251462</v>
      </c>
      <c r="I1264" s="200" t="s">
        <v>351</v>
      </c>
      <c r="J1264" s="173"/>
      <c r="K1264" s="168">
        <v>1</v>
      </c>
      <c r="L1264" s="893"/>
      <c r="M1264" s="858">
        <f>K1264+L1264</f>
        <v>1</v>
      </c>
      <c r="N1264" s="832" t="s">
        <v>892</v>
      </c>
      <c r="O1264" s="1196">
        <v>27409</v>
      </c>
      <c r="P1264" s="1218">
        <f ca="1">YEARFRAC(TODAY(),O1264)</f>
        <v>42.713888888888889</v>
      </c>
      <c r="Q1264" s="1148">
        <v>26050</v>
      </c>
      <c r="R1264" s="874"/>
      <c r="S1264" s="875"/>
      <c r="T1264" s="875"/>
      <c r="U1264" s="875"/>
      <c r="V1264" s="875"/>
      <c r="W1264" s="875"/>
      <c r="X1264" s="1026">
        <f>(Q1264+R1264+S1264+T1264+U1264+V1264+W1264)*M1264</f>
        <v>26050</v>
      </c>
      <c r="Y1264" s="1512">
        <f>(T1264+U1264)*M1264/(X1264-M1264*(T1264+U1264))</f>
        <v>0</v>
      </c>
      <c r="Z1264" s="1741">
        <f>M1264*(1+Y1264)</f>
        <v>1</v>
      </c>
      <c r="AA1264" s="1749">
        <f>SUM(AD1264:AS1264)</f>
        <v>1</v>
      </c>
      <c r="AB1264" s="1810">
        <f t="shared" si="762"/>
        <v>100</v>
      </c>
      <c r="AC1264" s="876"/>
      <c r="AD1264" s="1525">
        <f t="shared" si="763"/>
        <v>0</v>
      </c>
      <c r="AE1264" s="1525">
        <f t="shared" si="763"/>
        <v>1</v>
      </c>
      <c r="AF1264" s="1525">
        <f t="shared" si="763"/>
        <v>0</v>
      </c>
      <c r="AG1264" s="1525">
        <f t="shared" si="763"/>
        <v>0</v>
      </c>
      <c r="AH1264" s="1525">
        <f t="shared" si="763"/>
        <v>0</v>
      </c>
      <c r="AI1264" s="1525">
        <f t="shared" si="763"/>
        <v>0</v>
      </c>
      <c r="AJ1264" s="1525">
        <f t="shared" si="763"/>
        <v>0</v>
      </c>
      <c r="AK1264" s="1525">
        <f t="shared" si="763"/>
        <v>0</v>
      </c>
      <c r="AL1264" s="1525">
        <f t="shared" si="763"/>
        <v>0</v>
      </c>
      <c r="AM1264" s="1525">
        <f t="shared" si="763"/>
        <v>0</v>
      </c>
      <c r="AN1264" s="1525">
        <f t="shared" si="763"/>
        <v>0</v>
      </c>
      <c r="AO1264" s="1525">
        <f t="shared" si="763"/>
        <v>0</v>
      </c>
      <c r="AP1264" s="1525">
        <f t="shared" si="763"/>
        <v>0</v>
      </c>
      <c r="AQ1264" s="1525">
        <f t="shared" si="763"/>
        <v>0</v>
      </c>
      <c r="AR1264" s="1525">
        <f t="shared" si="763"/>
        <v>0</v>
      </c>
      <c r="AS1264" s="1525">
        <f t="shared" si="763"/>
        <v>0</v>
      </c>
      <c r="AU1264" s="1525"/>
      <c r="AV1264" s="1291"/>
      <c r="AW1264" s="1292"/>
      <c r="AX1264" s="1292"/>
      <c r="AY1264" s="1292"/>
      <c r="AZ1264" s="1292"/>
      <c r="BA1264" s="1292"/>
      <c r="BB1264" s="1292"/>
      <c r="BC1264" s="1292">
        <v>1</v>
      </c>
      <c r="BD1264" s="1292"/>
      <c r="BE1264" s="1292"/>
      <c r="BF1264" s="1292"/>
      <c r="BG1264" s="1292"/>
      <c r="BH1264" s="1292"/>
      <c r="BI1264" s="1292"/>
      <c r="BJ1264" s="1292"/>
      <c r="BK1264" s="1292"/>
      <c r="BL1264" s="1292"/>
      <c r="BM1264" s="1292"/>
      <c r="BN1264" s="1292"/>
      <c r="BO1264" s="1292"/>
      <c r="BP1264" s="1292"/>
      <c r="BQ1264" s="1292"/>
      <c r="BR1264" s="1292"/>
      <c r="BS1264" s="1292"/>
      <c r="BT1264" s="1670">
        <f t="shared" si="764"/>
        <v>1</v>
      </c>
      <c r="BW1264" s="913" t="s">
        <v>1830</v>
      </c>
    </row>
    <row r="1265" spans="2:75" ht="12.75" customHeight="1" x14ac:dyDescent="0.2">
      <c r="B1265" s="175"/>
      <c r="C1265" s="219"/>
      <c r="E1265" s="12"/>
      <c r="F1265" s="1660"/>
      <c r="G1265" s="913"/>
      <c r="H1265" s="861"/>
      <c r="I1265" s="180"/>
      <c r="J1265" s="173"/>
      <c r="K1265" s="173"/>
      <c r="L1265" s="893"/>
      <c r="M1265" s="861"/>
      <c r="N1265" s="832"/>
      <c r="O1265" s="1196"/>
      <c r="P1265" s="1218"/>
      <c r="Q1265" s="1148"/>
      <c r="R1265" s="874"/>
      <c r="S1265" s="875"/>
      <c r="T1265" s="875"/>
      <c r="U1265" s="875"/>
      <c r="V1265" s="1036"/>
      <c r="W1265" s="1036"/>
      <c r="X1265" s="1026"/>
      <c r="Y1265" s="1335"/>
      <c r="Z1265" s="1335"/>
      <c r="AA1265" s="1775"/>
      <c r="AB1265" s="1814"/>
      <c r="AC1265" s="876"/>
      <c r="AD1265" s="1525"/>
      <c r="AE1265" s="1525"/>
      <c r="AF1265" s="1525"/>
      <c r="AG1265" s="1525"/>
      <c r="AH1265" s="1525"/>
      <c r="AI1265" s="1525"/>
      <c r="AJ1265" s="1525"/>
      <c r="AK1265" s="1525"/>
      <c r="AL1265" s="1525"/>
      <c r="AM1265" s="1525"/>
      <c r="AN1265" s="1525"/>
      <c r="AO1265" s="1525"/>
      <c r="AP1265" s="1525"/>
      <c r="AQ1265" s="1525"/>
      <c r="AR1265" s="1525"/>
      <c r="AS1265" s="1525"/>
      <c r="AU1265" s="1525"/>
      <c r="AV1265" s="1291"/>
      <c r="AW1265" s="1292"/>
      <c r="AX1265" s="1292"/>
      <c r="AY1265" s="1292"/>
      <c r="AZ1265" s="1292"/>
      <c r="BA1265" s="1292"/>
      <c r="BB1265" s="1292"/>
      <c r="BC1265" s="1292"/>
      <c r="BD1265" s="1292"/>
      <c r="BE1265" s="1292"/>
      <c r="BF1265" s="1292"/>
      <c r="BG1265" s="1292"/>
      <c r="BH1265" s="1292"/>
      <c r="BI1265" s="1292"/>
      <c r="BJ1265" s="1292"/>
      <c r="BK1265" s="1292"/>
      <c r="BL1265" s="1292"/>
      <c r="BM1265" s="1292"/>
      <c r="BN1265" s="1292"/>
      <c r="BO1265" s="1292"/>
      <c r="BP1265" s="1292"/>
      <c r="BQ1265" s="1292"/>
      <c r="BR1265" s="1292"/>
      <c r="BS1265" s="1292"/>
      <c r="BT1265" s="1670"/>
      <c r="BW1265" s="913"/>
    </row>
    <row r="1266" spans="2:75" s="164" customFormat="1" ht="12.75" customHeight="1" x14ac:dyDescent="0.15">
      <c r="B1266" s="175"/>
      <c r="C1266" s="219" t="s">
        <v>1120</v>
      </c>
      <c r="F1266" s="2" t="s">
        <v>1617</v>
      </c>
      <c r="G1266" s="856"/>
      <c r="H1266" s="1361" t="s">
        <v>1508</v>
      </c>
      <c r="I1266" s="243"/>
      <c r="J1266" s="209"/>
      <c r="K1266" s="892">
        <f t="shared" ref="K1266:L1266" si="765">SUM(K1249:K1264)</f>
        <v>2</v>
      </c>
      <c r="L1266" s="892">
        <f t="shared" si="765"/>
        <v>11.5</v>
      </c>
      <c r="M1266" s="892">
        <f>SUM(M1249:M1264)</f>
        <v>13.5</v>
      </c>
      <c r="N1266" s="855"/>
      <c r="O1266" s="1200"/>
      <c r="P1266" s="550"/>
      <c r="Q1266" s="1153"/>
      <c r="R1266" s="877"/>
      <c r="S1266" s="875"/>
      <c r="T1266" s="875"/>
      <c r="U1266" s="875"/>
      <c r="V1266" s="875"/>
      <c r="W1266" s="875"/>
      <c r="X1266" s="1026"/>
      <c r="Y1266" s="1335"/>
      <c r="Z1266" s="1335"/>
      <c r="AA1266" s="1775"/>
      <c r="AB1266" s="1814"/>
      <c r="AC1266" s="876"/>
      <c r="AD1266" s="1295"/>
      <c r="AE1266" s="1525"/>
      <c r="AF1266" s="1525"/>
      <c r="AG1266" s="1525"/>
      <c r="AH1266" s="1525"/>
      <c r="AI1266" s="1525"/>
      <c r="AJ1266" s="1525"/>
      <c r="AK1266" s="1525"/>
      <c r="AL1266" s="1525"/>
      <c r="AM1266" s="1525"/>
      <c r="AN1266" s="1525"/>
      <c r="AO1266" s="1525"/>
      <c r="AP1266" s="1525"/>
      <c r="AQ1266" s="1525"/>
      <c r="AR1266" s="1525"/>
      <c r="AS1266" s="1525"/>
      <c r="AU1266" s="1525"/>
      <c r="AV1266" s="1295"/>
      <c r="AW1266" s="1525"/>
      <c r="AX1266" s="1525"/>
      <c r="AY1266" s="1525"/>
      <c r="AZ1266" s="1525"/>
      <c r="BA1266" s="1525"/>
      <c r="BB1266" s="1525"/>
      <c r="BC1266" s="1525"/>
      <c r="BD1266" s="1525"/>
      <c r="BE1266" s="1525"/>
      <c r="BF1266" s="1525"/>
      <c r="BG1266" s="1525"/>
      <c r="BH1266" s="1525"/>
      <c r="BI1266" s="1525"/>
      <c r="BJ1266" s="1525"/>
      <c r="BK1266" s="1525"/>
      <c r="BL1266" s="1525"/>
      <c r="BM1266" s="1525"/>
      <c r="BN1266" s="1525"/>
      <c r="BO1266" s="1525"/>
      <c r="BP1266" s="1525"/>
      <c r="BQ1266" s="1525"/>
      <c r="BR1266" s="1525"/>
      <c r="BS1266" s="1525"/>
      <c r="BT1266" s="1670"/>
      <c r="BV1266"/>
      <c r="BW1266" s="856"/>
    </row>
    <row r="1267" spans="2:75" s="164" customFormat="1" ht="12.75" customHeight="1" x14ac:dyDescent="0.15">
      <c r="B1267" s="175"/>
      <c r="F1267" s="1"/>
      <c r="G1267" s="856"/>
      <c r="H1267" s="1364" t="s">
        <v>1508</v>
      </c>
      <c r="I1267" s="172"/>
      <c r="J1267" s="168"/>
      <c r="K1267" s="168"/>
      <c r="L1267" s="841"/>
      <c r="M1267" s="841"/>
      <c r="N1267" s="855"/>
      <c r="O1267" s="1200"/>
      <c r="P1267" s="550"/>
      <c r="Q1267" s="1148"/>
      <c r="R1267" s="874"/>
      <c r="S1267" s="875"/>
      <c r="T1267" s="875"/>
      <c r="U1267" s="875"/>
      <c r="V1267" s="875"/>
      <c r="W1267" s="875"/>
      <c r="X1267" s="1026"/>
      <c r="Y1267" s="1754"/>
      <c r="Z1267" s="1755"/>
      <c r="AA1267" s="1775"/>
      <c r="AB1267" s="1814"/>
      <c r="AC1267" s="876"/>
      <c r="AD1267" s="1295"/>
      <c r="AE1267" s="1525"/>
      <c r="AF1267" s="1525"/>
      <c r="AG1267" s="1525"/>
      <c r="AH1267" s="1525"/>
      <c r="AI1267" s="1525"/>
      <c r="AJ1267" s="1525"/>
      <c r="AK1267" s="1525"/>
      <c r="AL1267" s="1525"/>
      <c r="AM1267" s="1525"/>
      <c r="AN1267" s="1525"/>
      <c r="AO1267" s="1525"/>
      <c r="AP1267" s="1525"/>
      <c r="AQ1267" s="1525"/>
      <c r="AR1267" s="1525"/>
      <c r="AS1267" s="1525"/>
      <c r="AU1267" s="1525"/>
      <c r="AV1267" s="1295"/>
      <c r="AW1267" s="1525"/>
      <c r="AX1267" s="1525"/>
      <c r="AY1267" s="1525"/>
      <c r="AZ1267" s="1525"/>
      <c r="BA1267" s="1525"/>
      <c r="BB1267" s="1525"/>
      <c r="BC1267" s="1525"/>
      <c r="BD1267" s="1525"/>
      <c r="BE1267" s="1525"/>
      <c r="BF1267" s="1525"/>
      <c r="BG1267" s="1525"/>
      <c r="BH1267" s="1525"/>
      <c r="BI1267" s="1525"/>
      <c r="BJ1267" s="1525"/>
      <c r="BK1267" s="1525"/>
      <c r="BL1267" s="1525"/>
      <c r="BM1267" s="1525"/>
      <c r="BN1267" s="1525"/>
      <c r="BO1267" s="1525"/>
      <c r="BP1267" s="1525"/>
      <c r="BQ1267" s="1525"/>
      <c r="BR1267" s="1525"/>
      <c r="BS1267" s="1525"/>
      <c r="BT1267" s="1670"/>
      <c r="BV1267"/>
      <c r="BW1267" s="856"/>
    </row>
    <row r="1268" spans="2:75" s="164" customFormat="1" ht="12.75" customHeight="1" x14ac:dyDescent="0.15">
      <c r="B1268" s="175"/>
      <c r="F1268" s="2" t="s">
        <v>1421</v>
      </c>
      <c r="G1268" s="854"/>
      <c r="H1268" s="1345" t="s">
        <v>1508</v>
      </c>
      <c r="I1268" s="259"/>
      <c r="J1268" s="302"/>
      <c r="K1268" s="302"/>
      <c r="L1268" s="846"/>
      <c r="M1268" s="846"/>
      <c r="N1268" s="853"/>
      <c r="O1268" s="1200"/>
      <c r="P1268" s="550"/>
      <c r="Q1268" s="1148"/>
      <c r="R1268" s="874"/>
      <c r="S1268" s="875"/>
      <c r="T1268" s="875"/>
      <c r="U1268" s="875"/>
      <c r="V1268" s="875"/>
      <c r="W1268" s="875"/>
      <c r="X1268" s="1026"/>
      <c r="Y1268" s="1754"/>
      <c r="Z1268" s="1755"/>
      <c r="AA1268" s="1775"/>
      <c r="AB1268" s="1814"/>
      <c r="AC1268" s="876"/>
      <c r="AD1268" s="1295"/>
      <c r="AE1268" s="1525"/>
      <c r="AF1268" s="1525"/>
      <c r="AG1268" s="1525"/>
      <c r="AH1268" s="1525"/>
      <c r="AI1268" s="1525"/>
      <c r="AJ1268" s="1525"/>
      <c r="AK1268" s="1525"/>
      <c r="AL1268" s="1525"/>
      <c r="AM1268" s="1525"/>
      <c r="AN1268" s="1525"/>
      <c r="AO1268" s="1525"/>
      <c r="AP1268" s="1525"/>
      <c r="AQ1268" s="1525"/>
      <c r="AR1268" s="1525"/>
      <c r="AS1268" s="1525"/>
      <c r="AU1268" s="1525"/>
      <c r="AV1268" s="1295"/>
      <c r="AW1268" s="1525"/>
      <c r="AX1268" s="1525"/>
      <c r="AY1268" s="1525"/>
      <c r="AZ1268" s="1525"/>
      <c r="BA1268" s="1525"/>
      <c r="BB1268" s="1525"/>
      <c r="BC1268" s="1525"/>
      <c r="BD1268" s="1525"/>
      <c r="BE1268" s="1525"/>
      <c r="BF1268" s="1525"/>
      <c r="BG1268" s="1525"/>
      <c r="BH1268" s="1525"/>
      <c r="BI1268" s="1525"/>
      <c r="BJ1268" s="1525"/>
      <c r="BK1268" s="1525"/>
      <c r="BL1268" s="1525"/>
      <c r="BM1268" s="1525"/>
      <c r="BN1268" s="1525"/>
      <c r="BO1268" s="1525"/>
      <c r="BP1268" s="1525"/>
      <c r="BQ1268" s="1525"/>
      <c r="BR1268" s="1525"/>
      <c r="BS1268" s="1525"/>
      <c r="BT1268" s="1670"/>
      <c r="BV1268"/>
      <c r="BW1268" s="854"/>
    </row>
    <row r="1269" spans="2:75" s="164" customFormat="1" ht="12.75" customHeight="1" x14ac:dyDescent="0.15">
      <c r="B1269" s="175"/>
      <c r="F1269" s="2"/>
      <c r="G1269" s="854"/>
      <c r="H1269" s="1345" t="s">
        <v>1508</v>
      </c>
      <c r="I1269" s="259"/>
      <c r="J1269" s="302"/>
      <c r="K1269" s="302"/>
      <c r="L1269" s="846"/>
      <c r="M1269" s="846"/>
      <c r="N1269" s="853"/>
      <c r="O1269" s="1200"/>
      <c r="P1269" s="550"/>
      <c r="Q1269" s="1148"/>
      <c r="R1269" s="874"/>
      <c r="S1269" s="875"/>
      <c r="T1269" s="875"/>
      <c r="U1269" s="875"/>
      <c r="V1269" s="875"/>
      <c r="W1269" s="875"/>
      <c r="X1269" s="1026"/>
      <c r="Y1269" s="1754"/>
      <c r="Z1269" s="1755"/>
      <c r="AA1269" s="1775"/>
      <c r="AB1269" s="1814"/>
      <c r="AC1269" s="876"/>
      <c r="AD1269" s="1295"/>
      <c r="AE1269" s="1525"/>
      <c r="AF1269" s="1525"/>
      <c r="AG1269" s="1525"/>
      <c r="AH1269" s="1525"/>
      <c r="AI1269" s="1525"/>
      <c r="AJ1269" s="1525"/>
      <c r="AK1269" s="1525"/>
      <c r="AL1269" s="1525"/>
      <c r="AM1269" s="1525"/>
      <c r="AN1269" s="1525"/>
      <c r="AO1269" s="1525"/>
      <c r="AP1269" s="1525"/>
      <c r="AQ1269" s="1525"/>
      <c r="AR1269" s="1525"/>
      <c r="AS1269" s="1525"/>
      <c r="AU1269" s="1525"/>
      <c r="AV1269" s="1295"/>
      <c r="AW1269" s="1525"/>
      <c r="AX1269" s="1525"/>
      <c r="AY1269" s="1525"/>
      <c r="AZ1269" s="1525"/>
      <c r="BA1269" s="1525"/>
      <c r="BB1269" s="1525"/>
      <c r="BC1269" s="1525"/>
      <c r="BD1269" s="1525"/>
      <c r="BE1269" s="1525"/>
      <c r="BF1269" s="1525"/>
      <c r="BG1269" s="1525"/>
      <c r="BH1269" s="1525"/>
      <c r="BI1269" s="1525"/>
      <c r="BJ1269" s="1525"/>
      <c r="BK1269" s="1525"/>
      <c r="BL1269" s="1525"/>
      <c r="BM1269" s="1525"/>
      <c r="BN1269" s="1525"/>
      <c r="BO1269" s="1525"/>
      <c r="BP1269" s="1525"/>
      <c r="BQ1269" s="1525"/>
      <c r="BR1269" s="1525"/>
      <c r="BS1269" s="1525"/>
      <c r="BT1269" s="1670"/>
      <c r="BV1269"/>
      <c r="BW1269" s="854"/>
    </row>
    <row r="1270" spans="2:75" ht="12.75" customHeight="1" x14ac:dyDescent="0.2">
      <c r="B1270" s="175">
        <f>B1269+1</f>
        <v>1</v>
      </c>
      <c r="C1270" s="569">
        <v>5</v>
      </c>
      <c r="D1270" s="570"/>
      <c r="E1270" s="472" t="s">
        <v>1564</v>
      </c>
      <c r="F1270" s="24" t="s">
        <v>1334</v>
      </c>
      <c r="G1270" s="913" t="s">
        <v>1215</v>
      </c>
      <c r="H1270" s="858">
        <v>100189</v>
      </c>
      <c r="I1270" s="592" t="s">
        <v>351</v>
      </c>
      <c r="J1270" s="571"/>
      <c r="K1270" s="571"/>
      <c r="L1270" s="893">
        <v>1</v>
      </c>
      <c r="M1270" s="858">
        <f>K1270+L1270</f>
        <v>1</v>
      </c>
      <c r="N1270" s="832" t="s">
        <v>1326</v>
      </c>
      <c r="O1270" s="1196">
        <v>18935</v>
      </c>
      <c r="P1270" s="1218">
        <f t="shared" ref="P1270:P1287" ca="1" si="766">YEARFRAC(TODAY(),O1270)</f>
        <v>65.913888888888891</v>
      </c>
      <c r="Q1270" s="1148">
        <v>62850</v>
      </c>
      <c r="R1270" s="874">
        <f>Q1270*0.1</f>
        <v>6285</v>
      </c>
      <c r="S1270" s="875">
        <v>7000</v>
      </c>
      <c r="T1270" s="875">
        <v>30000</v>
      </c>
      <c r="U1270" s="875"/>
      <c r="V1270" s="875"/>
      <c r="W1270" s="875"/>
      <c r="X1270" s="1026">
        <f t="shared" ref="X1270:X1287" si="767">(Q1270+R1270+S1270+T1270+U1270+V1270+W1270)*M1270</f>
        <v>106135</v>
      </c>
      <c r="Y1270" s="1512">
        <f t="shared" ref="Y1270:Y1285" si="768">(T1270+U1270)*M1270/(X1270-M1270*(T1270+U1270))</f>
        <v>0.3940369081237276</v>
      </c>
      <c r="Z1270" s="1741">
        <f t="shared" ref="Z1270:Z1287" si="769">M1270*(1+Y1270)</f>
        <v>1.3940369081237276</v>
      </c>
      <c r="AA1270" s="1749">
        <f t="shared" ref="AA1270:AA1287" si="770">SUM(AD1270:AS1270)</f>
        <v>1</v>
      </c>
      <c r="AB1270" s="1810">
        <f t="shared" ref="AB1270:AB1287" si="771">100*AA1270/Z1270</f>
        <v>71.734112215574498</v>
      </c>
      <c r="AC1270" s="876"/>
      <c r="AD1270" s="1525">
        <f t="shared" ref="AD1270:AS1279" si="772">SUMIF($AV$6:$BS$6,AD$5,$AV1270:$BS1270)</f>
        <v>1</v>
      </c>
      <c r="AE1270" s="1525">
        <f t="shared" si="772"/>
        <v>0</v>
      </c>
      <c r="AF1270" s="1525">
        <f t="shared" si="772"/>
        <v>0</v>
      </c>
      <c r="AG1270" s="1525">
        <f t="shared" si="772"/>
        <v>0</v>
      </c>
      <c r="AH1270" s="1525">
        <f t="shared" si="772"/>
        <v>0</v>
      </c>
      <c r="AI1270" s="1525">
        <f t="shared" si="772"/>
        <v>0</v>
      </c>
      <c r="AJ1270" s="1525">
        <f t="shared" si="772"/>
        <v>0</v>
      </c>
      <c r="AK1270" s="1525">
        <f t="shared" si="772"/>
        <v>0</v>
      </c>
      <c r="AL1270" s="1525">
        <f t="shared" si="772"/>
        <v>0</v>
      </c>
      <c r="AM1270" s="1525">
        <f t="shared" si="772"/>
        <v>0</v>
      </c>
      <c r="AN1270" s="1525">
        <f t="shared" si="772"/>
        <v>0</v>
      </c>
      <c r="AO1270" s="1525">
        <f t="shared" si="772"/>
        <v>0</v>
      </c>
      <c r="AP1270" s="1525">
        <f t="shared" si="772"/>
        <v>0</v>
      </c>
      <c r="AQ1270" s="1525">
        <f t="shared" si="772"/>
        <v>0</v>
      </c>
      <c r="AR1270" s="1525">
        <f t="shared" si="772"/>
        <v>0</v>
      </c>
      <c r="AS1270" s="1525">
        <f t="shared" si="772"/>
        <v>0</v>
      </c>
      <c r="AU1270" s="1525"/>
      <c r="AV1270" s="1291"/>
      <c r="AW1270" s="1292"/>
      <c r="AX1270" s="1292"/>
      <c r="AY1270" s="1292"/>
      <c r="AZ1270" s="1292"/>
      <c r="BA1270" s="1292"/>
      <c r="BB1270" s="1292"/>
      <c r="BC1270" s="1292"/>
      <c r="BD1270" s="1292"/>
      <c r="BE1270" s="1292"/>
      <c r="BF1270" s="1292"/>
      <c r="BG1270" s="1292"/>
      <c r="BH1270" s="1292"/>
      <c r="BI1270" s="1292">
        <v>0.5</v>
      </c>
      <c r="BJ1270" s="1292">
        <v>0.5</v>
      </c>
      <c r="BK1270" s="1292"/>
      <c r="BL1270" s="1292"/>
      <c r="BM1270" s="1292"/>
      <c r="BN1270" s="1292"/>
      <c r="BO1270" s="1292"/>
      <c r="BP1270" s="1292"/>
      <c r="BQ1270" s="1292"/>
      <c r="BR1270" s="1292"/>
      <c r="BS1270" s="1292"/>
      <c r="BT1270" s="1670">
        <f t="shared" ref="BT1270:BT1287" si="773">SUM(AV1270:BS1270)</f>
        <v>1</v>
      </c>
      <c r="BW1270" s="913" t="s">
        <v>1215</v>
      </c>
    </row>
    <row r="1271" spans="2:75" ht="12.75" customHeight="1" x14ac:dyDescent="0.2">
      <c r="B1271" s="175">
        <f t="shared" ref="B1271:B1287" si="774">B1270+1</f>
        <v>2</v>
      </c>
      <c r="C1271" s="569">
        <v>7</v>
      </c>
      <c r="D1271" s="570"/>
      <c r="E1271" s="472" t="s">
        <v>1564</v>
      </c>
      <c r="F1271" s="24" t="s">
        <v>1334</v>
      </c>
      <c r="G1271" s="856" t="s">
        <v>642</v>
      </c>
      <c r="H1271" s="858">
        <v>214809</v>
      </c>
      <c r="I1271" s="592" t="s">
        <v>351</v>
      </c>
      <c r="J1271" s="571"/>
      <c r="K1271" s="571"/>
      <c r="L1271" s="893">
        <v>1</v>
      </c>
      <c r="M1271" s="858">
        <v>1</v>
      </c>
      <c r="N1271" s="855" t="s">
        <v>892</v>
      </c>
      <c r="O1271" s="1196">
        <v>23800</v>
      </c>
      <c r="P1271" s="1218">
        <f t="shared" ca="1" si="766"/>
        <v>52.597222222222221</v>
      </c>
      <c r="Q1271" s="1148">
        <v>39550</v>
      </c>
      <c r="R1271" s="874"/>
      <c r="S1271" s="875">
        <v>3000</v>
      </c>
      <c r="T1271" s="875"/>
      <c r="U1271" s="875"/>
      <c r="V1271" s="875"/>
      <c r="W1271" s="875"/>
      <c r="X1271" s="1026">
        <f t="shared" si="767"/>
        <v>42550</v>
      </c>
      <c r="Y1271" s="1512">
        <f t="shared" si="768"/>
        <v>0</v>
      </c>
      <c r="Z1271" s="1741">
        <f t="shared" si="769"/>
        <v>1</v>
      </c>
      <c r="AA1271" s="1749">
        <f t="shared" si="770"/>
        <v>1</v>
      </c>
      <c r="AB1271" s="1810">
        <f t="shared" si="771"/>
        <v>100</v>
      </c>
      <c r="AC1271" s="876"/>
      <c r="AD1271" s="1525">
        <f t="shared" si="772"/>
        <v>0</v>
      </c>
      <c r="AE1271" s="1525">
        <f t="shared" si="772"/>
        <v>1</v>
      </c>
      <c r="AF1271" s="1525">
        <f t="shared" si="772"/>
        <v>0</v>
      </c>
      <c r="AG1271" s="1525">
        <f t="shared" si="772"/>
        <v>0</v>
      </c>
      <c r="AH1271" s="1525">
        <f t="shared" si="772"/>
        <v>0</v>
      </c>
      <c r="AI1271" s="1525">
        <f t="shared" si="772"/>
        <v>0</v>
      </c>
      <c r="AJ1271" s="1525">
        <f t="shared" si="772"/>
        <v>0</v>
      </c>
      <c r="AK1271" s="1525">
        <f t="shared" si="772"/>
        <v>0</v>
      </c>
      <c r="AL1271" s="1525">
        <f t="shared" si="772"/>
        <v>0</v>
      </c>
      <c r="AM1271" s="1525">
        <f t="shared" si="772"/>
        <v>0</v>
      </c>
      <c r="AN1271" s="1525">
        <f t="shared" si="772"/>
        <v>0</v>
      </c>
      <c r="AO1271" s="1525">
        <f t="shared" si="772"/>
        <v>0</v>
      </c>
      <c r="AP1271" s="1525">
        <f t="shared" si="772"/>
        <v>0</v>
      </c>
      <c r="AQ1271" s="1525">
        <f t="shared" si="772"/>
        <v>0</v>
      </c>
      <c r="AR1271" s="1525">
        <f t="shared" si="772"/>
        <v>0</v>
      </c>
      <c r="AS1271" s="1525">
        <f t="shared" si="772"/>
        <v>0</v>
      </c>
      <c r="AU1271" s="1525"/>
      <c r="AV1271" s="1291"/>
      <c r="AW1271" s="1292"/>
      <c r="AX1271" s="1292"/>
      <c r="AY1271" s="1292"/>
      <c r="AZ1271" s="1292"/>
      <c r="BA1271" s="1292"/>
      <c r="BB1271" s="1292"/>
      <c r="BC1271" s="1292">
        <v>1</v>
      </c>
      <c r="BD1271" s="1292"/>
      <c r="BE1271" s="1292"/>
      <c r="BF1271" s="1292"/>
      <c r="BG1271" s="1292"/>
      <c r="BH1271" s="1292"/>
      <c r="BI1271" s="1292"/>
      <c r="BJ1271" s="1292"/>
      <c r="BK1271" s="1292"/>
      <c r="BL1271" s="1292"/>
      <c r="BM1271" s="1292"/>
      <c r="BN1271" s="1292"/>
      <c r="BO1271" s="1292"/>
      <c r="BP1271" s="1292"/>
      <c r="BQ1271" s="1292"/>
      <c r="BR1271" s="1292"/>
      <c r="BS1271" s="1292"/>
      <c r="BT1271" s="1670">
        <f t="shared" si="773"/>
        <v>1</v>
      </c>
      <c r="BW1271" s="856" t="s">
        <v>642</v>
      </c>
    </row>
    <row r="1272" spans="2:75" ht="12.75" customHeight="1" x14ac:dyDescent="0.2">
      <c r="B1272" s="175">
        <f t="shared" si="774"/>
        <v>3</v>
      </c>
      <c r="C1272" s="573">
        <v>7</v>
      </c>
      <c r="D1272" s="574"/>
      <c r="E1272" s="572" t="s">
        <v>1564</v>
      </c>
      <c r="F1272" s="24" t="s">
        <v>1334</v>
      </c>
      <c r="G1272" s="856" t="s">
        <v>1165</v>
      </c>
      <c r="H1272" s="858">
        <v>6055</v>
      </c>
      <c r="I1272" s="200" t="s">
        <v>351</v>
      </c>
      <c r="J1272" s="168"/>
      <c r="K1272" s="168"/>
      <c r="L1272" s="841">
        <v>1</v>
      </c>
      <c r="M1272" s="858">
        <f>K1272+L1272</f>
        <v>1</v>
      </c>
      <c r="N1272" s="855" t="s">
        <v>892</v>
      </c>
      <c r="O1272" s="1196">
        <v>18873</v>
      </c>
      <c r="P1272" s="1218">
        <f t="shared" ca="1" si="766"/>
        <v>66.083333333333329</v>
      </c>
      <c r="Q1272" s="1148">
        <v>43800</v>
      </c>
      <c r="R1272" s="874"/>
      <c r="S1272" s="875">
        <v>3000</v>
      </c>
      <c r="T1272" s="875">
        <v>8000</v>
      </c>
      <c r="U1272" s="875"/>
      <c r="V1272" s="875"/>
      <c r="W1272" s="875"/>
      <c r="X1272" s="1026">
        <f t="shared" si="767"/>
        <v>54800</v>
      </c>
      <c r="Y1272" s="1512">
        <f t="shared" si="768"/>
        <v>0.17094017094017094</v>
      </c>
      <c r="Z1272" s="1741">
        <f t="shared" si="769"/>
        <v>1.170940170940171</v>
      </c>
      <c r="AA1272" s="1749">
        <f t="shared" si="770"/>
        <v>1</v>
      </c>
      <c r="AB1272" s="1810">
        <f t="shared" si="771"/>
        <v>85.40145985401459</v>
      </c>
      <c r="AC1272" s="876"/>
      <c r="AD1272" s="1525">
        <f t="shared" si="772"/>
        <v>0</v>
      </c>
      <c r="AE1272" s="1525">
        <f t="shared" si="772"/>
        <v>1</v>
      </c>
      <c r="AF1272" s="1525">
        <f t="shared" si="772"/>
        <v>0</v>
      </c>
      <c r="AG1272" s="1525">
        <f t="shared" si="772"/>
        <v>0</v>
      </c>
      <c r="AH1272" s="1525">
        <f t="shared" si="772"/>
        <v>0</v>
      </c>
      <c r="AI1272" s="1525">
        <f t="shared" si="772"/>
        <v>0</v>
      </c>
      <c r="AJ1272" s="1525">
        <f t="shared" si="772"/>
        <v>0</v>
      </c>
      <c r="AK1272" s="1525">
        <f t="shared" si="772"/>
        <v>0</v>
      </c>
      <c r="AL1272" s="1525">
        <f t="shared" si="772"/>
        <v>0</v>
      </c>
      <c r="AM1272" s="1525">
        <f t="shared" si="772"/>
        <v>0</v>
      </c>
      <c r="AN1272" s="1525">
        <f t="shared" si="772"/>
        <v>0</v>
      </c>
      <c r="AO1272" s="1525">
        <f t="shared" si="772"/>
        <v>0</v>
      </c>
      <c r="AP1272" s="1525">
        <f t="shared" si="772"/>
        <v>0</v>
      </c>
      <c r="AQ1272" s="1525">
        <f t="shared" si="772"/>
        <v>0</v>
      </c>
      <c r="AR1272" s="1525">
        <f t="shared" si="772"/>
        <v>0</v>
      </c>
      <c r="AS1272" s="1525">
        <f t="shared" si="772"/>
        <v>0</v>
      </c>
      <c r="AU1272" s="1525"/>
      <c r="AV1272" s="1291"/>
      <c r="AW1272" s="1292"/>
      <c r="AX1272" s="1292"/>
      <c r="AY1272" s="1292"/>
      <c r="AZ1272" s="1292"/>
      <c r="BA1272" s="1292"/>
      <c r="BB1272" s="1292"/>
      <c r="BC1272" s="1292">
        <v>1</v>
      </c>
      <c r="BD1272" s="1292"/>
      <c r="BE1272" s="1292"/>
      <c r="BF1272" s="1292"/>
      <c r="BG1272" s="1292"/>
      <c r="BH1272" s="1292"/>
      <c r="BI1272" s="1292"/>
      <c r="BJ1272" s="1292"/>
      <c r="BK1272" s="1292"/>
      <c r="BL1272" s="1292"/>
      <c r="BM1272" s="1292"/>
      <c r="BN1272" s="1292"/>
      <c r="BO1272" s="1292"/>
      <c r="BP1272" s="1292"/>
      <c r="BQ1272" s="1292"/>
      <c r="BR1272" s="1292"/>
      <c r="BS1272" s="1292"/>
      <c r="BT1272" s="1670">
        <f t="shared" si="773"/>
        <v>1</v>
      </c>
      <c r="BW1272" s="856" t="s">
        <v>1165</v>
      </c>
    </row>
    <row r="1273" spans="2:75" s="164" customFormat="1" ht="12.75" customHeight="1" x14ac:dyDescent="0.2">
      <c r="B1273" s="175">
        <f t="shared" si="774"/>
        <v>4</v>
      </c>
      <c r="C1273" s="219">
        <v>8</v>
      </c>
      <c r="E1273" s="12" t="s">
        <v>1564</v>
      </c>
      <c r="F1273" s="1" t="s">
        <v>353</v>
      </c>
      <c r="G1273" s="856" t="s">
        <v>325</v>
      </c>
      <c r="H1273" s="858">
        <v>140471</v>
      </c>
      <c r="I1273" s="200" t="s">
        <v>351</v>
      </c>
      <c r="J1273" s="168"/>
      <c r="K1273" s="168"/>
      <c r="L1273" s="841">
        <v>1</v>
      </c>
      <c r="M1273" s="858">
        <v>1</v>
      </c>
      <c r="N1273" s="855" t="s">
        <v>1326</v>
      </c>
      <c r="O1273" s="1196">
        <v>19704</v>
      </c>
      <c r="P1273" s="1218">
        <f t="shared" ca="1" si="766"/>
        <v>63.80833333333333</v>
      </c>
      <c r="Q1273" s="1148">
        <v>43800</v>
      </c>
      <c r="R1273" s="874">
        <f>Q1273*0.1</f>
        <v>4380</v>
      </c>
      <c r="S1273" s="875">
        <v>3000</v>
      </c>
      <c r="T1273" s="875">
        <v>13400</v>
      </c>
      <c r="U1273" s="875"/>
      <c r="V1273" s="875"/>
      <c r="W1273" s="875"/>
      <c r="X1273" s="1026">
        <f t="shared" si="767"/>
        <v>64580</v>
      </c>
      <c r="Y1273" s="1512">
        <f t="shared" si="768"/>
        <v>0.2618210238374365</v>
      </c>
      <c r="Z1273" s="1741">
        <f t="shared" si="769"/>
        <v>1.2618210238374366</v>
      </c>
      <c r="AA1273" s="1749">
        <f t="shared" si="770"/>
        <v>1</v>
      </c>
      <c r="AB1273" s="1810">
        <f t="shared" si="771"/>
        <v>79.250541963456172</v>
      </c>
      <c r="AC1273" s="876"/>
      <c r="AD1273" s="1525">
        <f t="shared" si="772"/>
        <v>1</v>
      </c>
      <c r="AE1273" s="1525">
        <f t="shared" si="772"/>
        <v>0</v>
      </c>
      <c r="AF1273" s="1525">
        <f t="shared" si="772"/>
        <v>0</v>
      </c>
      <c r="AG1273" s="1525">
        <f t="shared" si="772"/>
        <v>0</v>
      </c>
      <c r="AH1273" s="1525">
        <f t="shared" si="772"/>
        <v>0</v>
      </c>
      <c r="AI1273" s="1525">
        <f t="shared" si="772"/>
        <v>0</v>
      </c>
      <c r="AJ1273" s="1525">
        <f t="shared" si="772"/>
        <v>0</v>
      </c>
      <c r="AK1273" s="1525">
        <f t="shared" si="772"/>
        <v>0</v>
      </c>
      <c r="AL1273" s="1525">
        <f t="shared" si="772"/>
        <v>0</v>
      </c>
      <c r="AM1273" s="1525">
        <f t="shared" si="772"/>
        <v>0</v>
      </c>
      <c r="AN1273" s="1525">
        <f t="shared" si="772"/>
        <v>0</v>
      </c>
      <c r="AO1273" s="1525">
        <f t="shared" si="772"/>
        <v>0</v>
      </c>
      <c r="AP1273" s="1525">
        <f t="shared" si="772"/>
        <v>0</v>
      </c>
      <c r="AQ1273" s="1525">
        <f t="shared" si="772"/>
        <v>0</v>
      </c>
      <c r="AR1273" s="1525">
        <f t="shared" si="772"/>
        <v>0</v>
      </c>
      <c r="AS1273" s="1525">
        <f t="shared" si="772"/>
        <v>0</v>
      </c>
      <c r="AU1273" s="1525"/>
      <c r="AV1273" s="1295"/>
      <c r="AW1273" s="1525"/>
      <c r="AX1273" s="1525"/>
      <c r="AY1273" s="1525"/>
      <c r="AZ1273" s="1525"/>
      <c r="BA1273" s="1525"/>
      <c r="BB1273" s="1525"/>
      <c r="BC1273" s="1525"/>
      <c r="BD1273" s="1525"/>
      <c r="BE1273" s="1525"/>
      <c r="BF1273" s="1525"/>
      <c r="BG1273" s="1525"/>
      <c r="BH1273" s="1525"/>
      <c r="BI1273" s="1525">
        <v>0.5</v>
      </c>
      <c r="BJ1273" s="1525">
        <v>0.5</v>
      </c>
      <c r="BK1273" s="1525"/>
      <c r="BL1273" s="1525"/>
      <c r="BM1273" s="1525"/>
      <c r="BN1273" s="1525"/>
      <c r="BO1273" s="1525"/>
      <c r="BP1273" s="1525"/>
      <c r="BQ1273" s="1525"/>
      <c r="BR1273" s="1525"/>
      <c r="BS1273" s="1525"/>
      <c r="BT1273" s="1670">
        <f t="shared" si="773"/>
        <v>1</v>
      </c>
      <c r="BV1273"/>
      <c r="BW1273" s="856" t="s">
        <v>325</v>
      </c>
    </row>
    <row r="1274" spans="2:75" s="164" customFormat="1" ht="12.75" customHeight="1" x14ac:dyDescent="0.2">
      <c r="B1274" s="175">
        <f t="shared" si="774"/>
        <v>5</v>
      </c>
      <c r="C1274" s="219">
        <v>8</v>
      </c>
      <c r="E1274" s="12" t="s">
        <v>1564</v>
      </c>
      <c r="F1274" s="1" t="s">
        <v>353</v>
      </c>
      <c r="G1274" s="856" t="s">
        <v>733</v>
      </c>
      <c r="H1274" s="858">
        <v>40650</v>
      </c>
      <c r="I1274" s="200" t="s">
        <v>351</v>
      </c>
      <c r="J1274" s="168"/>
      <c r="K1274" s="168"/>
      <c r="L1274" s="841">
        <v>1</v>
      </c>
      <c r="M1274" s="858">
        <f t="shared" ref="M1274:M1287" si="775">K1274+L1274</f>
        <v>1</v>
      </c>
      <c r="N1274" s="855" t="s">
        <v>1573</v>
      </c>
      <c r="O1274" s="1196">
        <v>22360</v>
      </c>
      <c r="P1274" s="1218">
        <f t="shared" ca="1" si="766"/>
        <v>56.533333333333331</v>
      </c>
      <c r="Q1274" s="1148">
        <v>29250</v>
      </c>
      <c r="R1274" s="874">
        <f>Q1274*0.1</f>
        <v>2925</v>
      </c>
      <c r="S1274" s="875">
        <v>3000</v>
      </c>
      <c r="T1274" s="875"/>
      <c r="U1274" s="875"/>
      <c r="V1274" s="875"/>
      <c r="W1274" s="875"/>
      <c r="X1274" s="1026">
        <f t="shared" si="767"/>
        <v>35175</v>
      </c>
      <c r="Y1274" s="1512">
        <f t="shared" si="768"/>
        <v>0</v>
      </c>
      <c r="Z1274" s="1741">
        <f t="shared" si="769"/>
        <v>1</v>
      </c>
      <c r="AA1274" s="1749">
        <f t="shared" si="770"/>
        <v>1</v>
      </c>
      <c r="AB1274" s="1810">
        <f t="shared" si="771"/>
        <v>100</v>
      </c>
      <c r="AC1274" s="876"/>
      <c r="AD1274" s="1525">
        <f t="shared" si="772"/>
        <v>0.5</v>
      </c>
      <c r="AE1274" s="1525">
        <f t="shared" si="772"/>
        <v>0.5</v>
      </c>
      <c r="AF1274" s="1525">
        <f t="shared" si="772"/>
        <v>0</v>
      </c>
      <c r="AG1274" s="1525">
        <f t="shared" si="772"/>
        <v>0</v>
      </c>
      <c r="AH1274" s="1525">
        <f t="shared" si="772"/>
        <v>0</v>
      </c>
      <c r="AI1274" s="1525">
        <f t="shared" si="772"/>
        <v>0</v>
      </c>
      <c r="AJ1274" s="1525">
        <f t="shared" si="772"/>
        <v>0</v>
      </c>
      <c r="AK1274" s="1525">
        <f t="shared" si="772"/>
        <v>0</v>
      </c>
      <c r="AL1274" s="1525">
        <f t="shared" si="772"/>
        <v>0</v>
      </c>
      <c r="AM1274" s="1525">
        <f t="shared" si="772"/>
        <v>0</v>
      </c>
      <c r="AN1274" s="1525">
        <f t="shared" si="772"/>
        <v>0</v>
      </c>
      <c r="AO1274" s="1525">
        <f t="shared" si="772"/>
        <v>0</v>
      </c>
      <c r="AP1274" s="1525">
        <f t="shared" si="772"/>
        <v>0</v>
      </c>
      <c r="AQ1274" s="1525">
        <f t="shared" si="772"/>
        <v>0</v>
      </c>
      <c r="AR1274" s="1525">
        <f t="shared" si="772"/>
        <v>0</v>
      </c>
      <c r="AS1274" s="1525">
        <f t="shared" si="772"/>
        <v>0</v>
      </c>
      <c r="AU1274" s="1525"/>
      <c r="AV1274" s="1295"/>
      <c r="AW1274" s="1525"/>
      <c r="AX1274" s="1525"/>
      <c r="AY1274" s="1525"/>
      <c r="AZ1274" s="1525"/>
      <c r="BA1274" s="1525"/>
      <c r="BB1274" s="1525"/>
      <c r="BC1274" s="1525">
        <v>0.5</v>
      </c>
      <c r="BD1274" s="1525"/>
      <c r="BE1274" s="1525"/>
      <c r="BF1274" s="1525"/>
      <c r="BG1274" s="1525"/>
      <c r="BH1274" s="1525"/>
      <c r="BI1274" s="1525">
        <v>0.25</v>
      </c>
      <c r="BJ1274" s="1525">
        <v>0.25</v>
      </c>
      <c r="BK1274" s="1525"/>
      <c r="BL1274" s="1525"/>
      <c r="BM1274" s="1525"/>
      <c r="BN1274" s="1525"/>
      <c r="BO1274" s="1525"/>
      <c r="BP1274" s="1525"/>
      <c r="BQ1274" s="1525"/>
      <c r="BR1274" s="1525"/>
      <c r="BS1274" s="1525"/>
      <c r="BT1274" s="1670">
        <f t="shared" si="773"/>
        <v>1</v>
      </c>
      <c r="BV1274"/>
      <c r="BW1274" s="856" t="s">
        <v>733</v>
      </c>
    </row>
    <row r="1275" spans="2:75" s="164" customFormat="1" ht="12.75" customHeight="1" x14ac:dyDescent="0.2">
      <c r="B1275" s="175">
        <f t="shared" si="774"/>
        <v>6</v>
      </c>
      <c r="C1275" s="219">
        <v>8</v>
      </c>
      <c r="E1275" s="12" t="s">
        <v>1564</v>
      </c>
      <c r="F1275" s="1" t="s">
        <v>353</v>
      </c>
      <c r="G1275" s="856" t="s">
        <v>4</v>
      </c>
      <c r="H1275" s="858">
        <v>41686</v>
      </c>
      <c r="I1275" s="200" t="s">
        <v>351</v>
      </c>
      <c r="J1275" s="168"/>
      <c r="K1275" s="168"/>
      <c r="L1275" s="841">
        <v>1</v>
      </c>
      <c r="M1275" s="858">
        <f t="shared" si="775"/>
        <v>1</v>
      </c>
      <c r="N1275" s="855" t="s">
        <v>892</v>
      </c>
      <c r="O1275" s="1196">
        <v>21052</v>
      </c>
      <c r="P1275" s="1218">
        <f t="shared" ca="1" si="766"/>
        <v>60.116666666666667</v>
      </c>
      <c r="Q1275" s="1148">
        <v>33300</v>
      </c>
      <c r="R1275" s="874"/>
      <c r="S1275" s="875"/>
      <c r="T1275" s="875"/>
      <c r="U1275" s="875"/>
      <c r="V1275" s="875"/>
      <c r="W1275" s="875"/>
      <c r="X1275" s="1026">
        <f t="shared" si="767"/>
        <v>33300</v>
      </c>
      <c r="Y1275" s="1512">
        <f t="shared" si="768"/>
        <v>0</v>
      </c>
      <c r="Z1275" s="1741">
        <f t="shared" si="769"/>
        <v>1</v>
      </c>
      <c r="AA1275" s="1749">
        <f t="shared" si="770"/>
        <v>1</v>
      </c>
      <c r="AB1275" s="1810">
        <f t="shared" si="771"/>
        <v>100</v>
      </c>
      <c r="AC1275" s="876"/>
      <c r="AD1275" s="1525">
        <f t="shared" si="772"/>
        <v>0</v>
      </c>
      <c r="AE1275" s="1525">
        <f t="shared" si="772"/>
        <v>0.5</v>
      </c>
      <c r="AF1275" s="1525">
        <f t="shared" si="772"/>
        <v>0</v>
      </c>
      <c r="AG1275" s="1525">
        <f t="shared" si="772"/>
        <v>0</v>
      </c>
      <c r="AH1275" s="1525">
        <f t="shared" si="772"/>
        <v>0</v>
      </c>
      <c r="AI1275" s="1525">
        <f t="shared" si="772"/>
        <v>0.5</v>
      </c>
      <c r="AJ1275" s="1525">
        <f t="shared" si="772"/>
        <v>0</v>
      </c>
      <c r="AK1275" s="1525">
        <f t="shared" si="772"/>
        <v>0</v>
      </c>
      <c r="AL1275" s="1525">
        <f t="shared" si="772"/>
        <v>0</v>
      </c>
      <c r="AM1275" s="1525">
        <f t="shared" si="772"/>
        <v>0</v>
      </c>
      <c r="AN1275" s="1525">
        <f t="shared" si="772"/>
        <v>0</v>
      </c>
      <c r="AO1275" s="1525">
        <f t="shared" si="772"/>
        <v>0</v>
      </c>
      <c r="AP1275" s="1525">
        <f t="shared" si="772"/>
        <v>0</v>
      </c>
      <c r="AQ1275" s="1525">
        <f t="shared" si="772"/>
        <v>0</v>
      </c>
      <c r="AR1275" s="1525">
        <f t="shared" si="772"/>
        <v>0</v>
      </c>
      <c r="AS1275" s="1525">
        <f t="shared" si="772"/>
        <v>0</v>
      </c>
      <c r="AU1275" s="1525"/>
      <c r="AV1275" s="1295"/>
      <c r="AW1275" s="1525"/>
      <c r="AX1275" s="1525"/>
      <c r="AY1275" s="1525"/>
      <c r="AZ1275" s="1525"/>
      <c r="BA1275" s="1525"/>
      <c r="BB1275" s="1525"/>
      <c r="BC1275" s="1525">
        <v>0.5</v>
      </c>
      <c r="BD1275" s="1525"/>
      <c r="BE1275" s="1525"/>
      <c r="BF1275" s="1525"/>
      <c r="BG1275" s="1525"/>
      <c r="BH1275" s="1525"/>
      <c r="BI1275" s="1525"/>
      <c r="BJ1275" s="1525"/>
      <c r="BK1275" s="1525"/>
      <c r="BL1275" s="1525"/>
      <c r="BM1275" s="1525">
        <v>0.5</v>
      </c>
      <c r="BN1275" s="1525"/>
      <c r="BO1275" s="1525"/>
      <c r="BP1275" s="1525"/>
      <c r="BQ1275" s="1525"/>
      <c r="BR1275" s="1525"/>
      <c r="BS1275" s="1525"/>
      <c r="BT1275" s="1670">
        <f t="shared" si="773"/>
        <v>1</v>
      </c>
      <c r="BV1275"/>
      <c r="BW1275" s="856" t="s">
        <v>4</v>
      </c>
    </row>
    <row r="1276" spans="2:75" ht="12.75" customHeight="1" x14ac:dyDescent="0.2">
      <c r="B1276" s="175">
        <f t="shared" si="774"/>
        <v>7</v>
      </c>
      <c r="C1276" s="219">
        <v>2</v>
      </c>
      <c r="E1276" s="12" t="s">
        <v>1564</v>
      </c>
      <c r="F1276" s="37" t="s">
        <v>231</v>
      </c>
      <c r="G1276" s="913" t="s">
        <v>641</v>
      </c>
      <c r="H1276" s="861">
        <v>7931</v>
      </c>
      <c r="I1276" s="197" t="s">
        <v>351</v>
      </c>
      <c r="J1276" s="173"/>
      <c r="K1276" s="173"/>
      <c r="L1276" s="893">
        <v>0.5</v>
      </c>
      <c r="M1276" s="861">
        <f t="shared" si="775"/>
        <v>0.5</v>
      </c>
      <c r="N1276" s="832" t="s">
        <v>1573</v>
      </c>
      <c r="O1276" s="1196">
        <v>14906</v>
      </c>
      <c r="P1276" s="1218">
        <f t="shared" ca="1" si="766"/>
        <v>76.944444444444443</v>
      </c>
      <c r="Q1276" s="1148">
        <v>33300</v>
      </c>
      <c r="R1276" s="874">
        <f>Q1276*0.1</f>
        <v>3330</v>
      </c>
      <c r="S1276" s="875"/>
      <c r="T1276" s="875">
        <v>6900</v>
      </c>
      <c r="U1276" s="875"/>
      <c r="V1276" s="875"/>
      <c r="W1276" s="875"/>
      <c r="X1276" s="1026">
        <f t="shared" si="767"/>
        <v>21765</v>
      </c>
      <c r="Y1276" s="1512">
        <f t="shared" si="768"/>
        <v>0.18837018837018837</v>
      </c>
      <c r="Z1276" s="1741">
        <f t="shared" si="769"/>
        <v>0.59418509418509413</v>
      </c>
      <c r="AA1276" s="1749">
        <f t="shared" si="770"/>
        <v>0.5</v>
      </c>
      <c r="AB1276" s="1810">
        <f t="shared" si="771"/>
        <v>84.14886285320469</v>
      </c>
      <c r="AC1276" s="876"/>
      <c r="AD1276" s="1525">
        <f t="shared" si="772"/>
        <v>0.1</v>
      </c>
      <c r="AE1276" s="1525">
        <f t="shared" si="772"/>
        <v>0</v>
      </c>
      <c r="AF1276" s="1525">
        <f t="shared" si="772"/>
        <v>0</v>
      </c>
      <c r="AG1276" s="1525">
        <f t="shared" si="772"/>
        <v>0</v>
      </c>
      <c r="AH1276" s="1525">
        <f t="shared" si="772"/>
        <v>0</v>
      </c>
      <c r="AI1276" s="1525">
        <f t="shared" si="772"/>
        <v>0</v>
      </c>
      <c r="AJ1276" s="1525">
        <f t="shared" si="772"/>
        <v>0</v>
      </c>
      <c r="AK1276" s="1525">
        <f t="shared" si="772"/>
        <v>0</v>
      </c>
      <c r="AL1276" s="1525">
        <f t="shared" si="772"/>
        <v>0</v>
      </c>
      <c r="AM1276" s="1525">
        <f t="shared" si="772"/>
        <v>0.4</v>
      </c>
      <c r="AN1276" s="1525">
        <f t="shared" si="772"/>
        <v>0</v>
      </c>
      <c r="AO1276" s="1525">
        <f t="shared" si="772"/>
        <v>0</v>
      </c>
      <c r="AP1276" s="1525">
        <f t="shared" si="772"/>
        <v>0</v>
      </c>
      <c r="AQ1276" s="1525">
        <f t="shared" si="772"/>
        <v>0</v>
      </c>
      <c r="AR1276" s="1525">
        <f t="shared" si="772"/>
        <v>0</v>
      </c>
      <c r="AS1276" s="1525">
        <f t="shared" si="772"/>
        <v>0</v>
      </c>
      <c r="AU1276" s="1525"/>
      <c r="AV1276" s="1291"/>
      <c r="AW1276" s="1292"/>
      <c r="AX1276" s="1292"/>
      <c r="AY1276" s="1292"/>
      <c r="AZ1276" s="1292"/>
      <c r="BA1276" s="1292"/>
      <c r="BB1276" s="1292"/>
      <c r="BC1276" s="1292"/>
      <c r="BD1276" s="1292"/>
      <c r="BE1276" s="1292"/>
      <c r="BF1276" s="1292"/>
      <c r="BG1276" s="1292"/>
      <c r="BH1276" s="1292"/>
      <c r="BI1276" s="1292">
        <v>0.1</v>
      </c>
      <c r="BJ1276" s="1292"/>
      <c r="BK1276" s="1292"/>
      <c r="BL1276" s="1292"/>
      <c r="BM1276" s="1292"/>
      <c r="BN1276" s="1292">
        <v>0.4</v>
      </c>
      <c r="BO1276" s="1292"/>
      <c r="BP1276" s="1292"/>
      <c r="BQ1276" s="1292"/>
      <c r="BR1276" s="1292"/>
      <c r="BS1276" s="1292"/>
      <c r="BT1276" s="1670">
        <f t="shared" si="773"/>
        <v>0.5</v>
      </c>
      <c r="BW1276" s="913" t="s">
        <v>641</v>
      </c>
    </row>
    <row r="1277" spans="2:75" ht="12.75" customHeight="1" x14ac:dyDescent="0.2">
      <c r="B1277" s="175">
        <f t="shared" si="774"/>
        <v>8</v>
      </c>
      <c r="C1277" s="219">
        <v>9</v>
      </c>
      <c r="E1277" s="12" t="s">
        <v>1564</v>
      </c>
      <c r="F1277" s="1" t="s">
        <v>1396</v>
      </c>
      <c r="G1277" s="856" t="s">
        <v>1044</v>
      </c>
      <c r="H1277" s="858">
        <v>3070</v>
      </c>
      <c r="I1277" s="200" t="s">
        <v>351</v>
      </c>
      <c r="J1277" s="168"/>
      <c r="K1277" s="168"/>
      <c r="L1277" s="841">
        <v>1</v>
      </c>
      <c r="M1277" s="858">
        <f t="shared" si="775"/>
        <v>1</v>
      </c>
      <c r="N1277" s="855" t="s">
        <v>1573</v>
      </c>
      <c r="O1277" s="1196">
        <v>17854</v>
      </c>
      <c r="P1277" s="1218">
        <f t="shared" ca="1" si="766"/>
        <v>68.875</v>
      </c>
      <c r="Q1277" s="1148">
        <v>41500</v>
      </c>
      <c r="R1277" s="874">
        <f>Q1277*0.1</f>
        <v>4150</v>
      </c>
      <c r="S1277" s="875"/>
      <c r="T1277" s="875"/>
      <c r="U1277" s="875"/>
      <c r="V1277" s="875"/>
      <c r="W1277" s="875"/>
      <c r="X1277" s="1026">
        <f t="shared" si="767"/>
        <v>45650</v>
      </c>
      <c r="Y1277" s="1512">
        <f t="shared" si="768"/>
        <v>0</v>
      </c>
      <c r="Z1277" s="1741">
        <f t="shared" si="769"/>
        <v>1</v>
      </c>
      <c r="AA1277" s="1749">
        <f t="shared" si="770"/>
        <v>1</v>
      </c>
      <c r="AB1277" s="1810">
        <f t="shared" si="771"/>
        <v>100</v>
      </c>
      <c r="AC1277" s="876"/>
      <c r="AD1277" s="1525">
        <f t="shared" si="772"/>
        <v>1</v>
      </c>
      <c r="AE1277" s="1525">
        <f t="shared" si="772"/>
        <v>0</v>
      </c>
      <c r="AF1277" s="1525">
        <f t="shared" si="772"/>
        <v>0</v>
      </c>
      <c r="AG1277" s="1525">
        <f t="shared" si="772"/>
        <v>0</v>
      </c>
      <c r="AH1277" s="1525">
        <f t="shared" si="772"/>
        <v>0</v>
      </c>
      <c r="AI1277" s="1525">
        <f t="shared" si="772"/>
        <v>0</v>
      </c>
      <c r="AJ1277" s="1525">
        <f t="shared" si="772"/>
        <v>0</v>
      </c>
      <c r="AK1277" s="1525">
        <f t="shared" si="772"/>
        <v>0</v>
      </c>
      <c r="AL1277" s="1525">
        <f t="shared" si="772"/>
        <v>0</v>
      </c>
      <c r="AM1277" s="1525">
        <f t="shared" si="772"/>
        <v>0</v>
      </c>
      <c r="AN1277" s="1525">
        <f t="shared" si="772"/>
        <v>0</v>
      </c>
      <c r="AO1277" s="1525">
        <f t="shared" si="772"/>
        <v>0</v>
      </c>
      <c r="AP1277" s="1525">
        <f t="shared" si="772"/>
        <v>0</v>
      </c>
      <c r="AQ1277" s="1525">
        <f t="shared" si="772"/>
        <v>0</v>
      </c>
      <c r="AR1277" s="1525">
        <f t="shared" si="772"/>
        <v>0</v>
      </c>
      <c r="AS1277" s="1525">
        <f t="shared" si="772"/>
        <v>0</v>
      </c>
      <c r="AU1277" s="1525"/>
      <c r="AV1277" s="1291"/>
      <c r="AW1277" s="1292"/>
      <c r="AX1277" s="1292"/>
      <c r="AY1277" s="1292"/>
      <c r="AZ1277" s="1292"/>
      <c r="BA1277" s="1292"/>
      <c r="BB1277" s="1292"/>
      <c r="BC1277" s="1292"/>
      <c r="BD1277" s="1292"/>
      <c r="BE1277" s="1292"/>
      <c r="BF1277" s="1292"/>
      <c r="BG1277" s="1292"/>
      <c r="BH1277" s="1292"/>
      <c r="BI1277" s="1292">
        <v>0.5</v>
      </c>
      <c r="BJ1277" s="1292">
        <v>0.5</v>
      </c>
      <c r="BK1277" s="1292"/>
      <c r="BL1277" s="1292"/>
      <c r="BM1277" s="1292"/>
      <c r="BN1277" s="1292"/>
      <c r="BO1277" s="1292"/>
      <c r="BP1277" s="1292"/>
      <c r="BQ1277" s="1292"/>
      <c r="BR1277" s="1292"/>
      <c r="BS1277" s="1292"/>
      <c r="BT1277" s="1670">
        <f t="shared" si="773"/>
        <v>1</v>
      </c>
      <c r="BW1277" s="856" t="s">
        <v>1044</v>
      </c>
    </row>
    <row r="1278" spans="2:75" ht="12.75" customHeight="1" x14ac:dyDescent="0.2">
      <c r="B1278" s="175">
        <f t="shared" si="774"/>
        <v>9</v>
      </c>
      <c r="C1278" s="219">
        <v>9</v>
      </c>
      <c r="E1278" s="12" t="s">
        <v>1564</v>
      </c>
      <c r="F1278" s="1" t="s">
        <v>1396</v>
      </c>
      <c r="G1278" s="856" t="s">
        <v>5</v>
      </c>
      <c r="H1278" s="858">
        <v>81687</v>
      </c>
      <c r="I1278" s="200" t="s">
        <v>351</v>
      </c>
      <c r="J1278" s="168"/>
      <c r="K1278" s="168"/>
      <c r="L1278" s="841">
        <v>1</v>
      </c>
      <c r="M1278" s="858">
        <f t="shared" si="775"/>
        <v>1</v>
      </c>
      <c r="N1278" s="855" t="s">
        <v>1326</v>
      </c>
      <c r="O1278" s="1196">
        <v>24262</v>
      </c>
      <c r="P1278" s="1218">
        <f t="shared" ca="1" si="766"/>
        <v>51.327777777777776</v>
      </c>
      <c r="Q1278" s="1148">
        <v>41500</v>
      </c>
      <c r="R1278" s="874">
        <f>Q1278*0.1</f>
        <v>4150</v>
      </c>
      <c r="S1278" s="875"/>
      <c r="T1278" s="875"/>
      <c r="U1278" s="875"/>
      <c r="V1278" s="875"/>
      <c r="W1278" s="875"/>
      <c r="X1278" s="1026">
        <f t="shared" si="767"/>
        <v>45650</v>
      </c>
      <c r="Y1278" s="1512">
        <f t="shared" si="768"/>
        <v>0</v>
      </c>
      <c r="Z1278" s="1741">
        <f t="shared" si="769"/>
        <v>1</v>
      </c>
      <c r="AA1278" s="1749">
        <f t="shared" si="770"/>
        <v>1</v>
      </c>
      <c r="AB1278" s="1810">
        <f t="shared" si="771"/>
        <v>100</v>
      </c>
      <c r="AC1278" s="876"/>
      <c r="AD1278" s="1525">
        <f t="shared" si="772"/>
        <v>1</v>
      </c>
      <c r="AE1278" s="1525">
        <f t="shared" si="772"/>
        <v>0</v>
      </c>
      <c r="AF1278" s="1525">
        <f t="shared" si="772"/>
        <v>0</v>
      </c>
      <c r="AG1278" s="1525">
        <f t="shared" si="772"/>
        <v>0</v>
      </c>
      <c r="AH1278" s="1525">
        <f t="shared" si="772"/>
        <v>0</v>
      </c>
      <c r="AI1278" s="1525">
        <f t="shared" si="772"/>
        <v>0</v>
      </c>
      <c r="AJ1278" s="1525">
        <f t="shared" si="772"/>
        <v>0</v>
      </c>
      <c r="AK1278" s="1525">
        <f t="shared" si="772"/>
        <v>0</v>
      </c>
      <c r="AL1278" s="1525">
        <f t="shared" si="772"/>
        <v>0</v>
      </c>
      <c r="AM1278" s="1525">
        <f t="shared" si="772"/>
        <v>0</v>
      </c>
      <c r="AN1278" s="1525">
        <f t="shared" si="772"/>
        <v>0</v>
      </c>
      <c r="AO1278" s="1525">
        <f t="shared" si="772"/>
        <v>0</v>
      </c>
      <c r="AP1278" s="1525">
        <f t="shared" si="772"/>
        <v>0</v>
      </c>
      <c r="AQ1278" s="1525">
        <f t="shared" si="772"/>
        <v>0</v>
      </c>
      <c r="AR1278" s="1525">
        <f t="shared" si="772"/>
        <v>0</v>
      </c>
      <c r="AS1278" s="1525">
        <f t="shared" si="772"/>
        <v>0</v>
      </c>
      <c r="AU1278" s="1525"/>
      <c r="AV1278" s="1291"/>
      <c r="AW1278" s="1292"/>
      <c r="AX1278" s="1292"/>
      <c r="AY1278" s="1292"/>
      <c r="AZ1278" s="1292"/>
      <c r="BA1278" s="1292"/>
      <c r="BB1278" s="1292"/>
      <c r="BC1278" s="1292"/>
      <c r="BD1278" s="1292"/>
      <c r="BE1278" s="1292"/>
      <c r="BF1278" s="1292"/>
      <c r="BG1278" s="1292"/>
      <c r="BH1278" s="1292"/>
      <c r="BI1278" s="1292">
        <v>0.5</v>
      </c>
      <c r="BJ1278" s="1292">
        <v>0.5</v>
      </c>
      <c r="BK1278" s="1292"/>
      <c r="BL1278" s="1292"/>
      <c r="BM1278" s="1292"/>
      <c r="BN1278" s="1292"/>
      <c r="BO1278" s="1292"/>
      <c r="BP1278" s="1292"/>
      <c r="BQ1278" s="1292"/>
      <c r="BR1278" s="1292"/>
      <c r="BS1278" s="1292"/>
      <c r="BT1278" s="1670">
        <f t="shared" si="773"/>
        <v>1</v>
      </c>
      <c r="BW1278" s="856" t="s">
        <v>5</v>
      </c>
    </row>
    <row r="1279" spans="2:75" ht="12.75" customHeight="1" x14ac:dyDescent="0.2">
      <c r="B1279" s="175">
        <f t="shared" si="774"/>
        <v>10</v>
      </c>
      <c r="C1279" s="219">
        <v>9</v>
      </c>
      <c r="E1279" s="12" t="s">
        <v>1564</v>
      </c>
      <c r="F1279" s="1" t="s">
        <v>1406</v>
      </c>
      <c r="G1279" s="856" t="s">
        <v>811</v>
      </c>
      <c r="H1279" s="858">
        <v>81155</v>
      </c>
      <c r="I1279" s="200" t="s">
        <v>351</v>
      </c>
      <c r="J1279" s="168"/>
      <c r="K1279" s="168"/>
      <c r="L1279" s="841">
        <v>1</v>
      </c>
      <c r="M1279" s="858">
        <f t="shared" si="775"/>
        <v>1</v>
      </c>
      <c r="N1279" s="855" t="s">
        <v>1326</v>
      </c>
      <c r="O1279" s="1196">
        <v>22212</v>
      </c>
      <c r="P1279" s="1218">
        <f t="shared" ca="1" si="766"/>
        <v>56.94166666666667</v>
      </c>
      <c r="Q1279" s="1148">
        <v>34000</v>
      </c>
      <c r="R1279" s="874">
        <f>Q1279*0.1</f>
        <v>3400</v>
      </c>
      <c r="S1279" s="875"/>
      <c r="T1279" s="875">
        <v>4900</v>
      </c>
      <c r="U1279" s="875"/>
      <c r="V1279" s="875"/>
      <c r="W1279" s="875"/>
      <c r="X1279" s="1026">
        <f t="shared" si="767"/>
        <v>42300</v>
      </c>
      <c r="Y1279" s="1512">
        <f t="shared" si="768"/>
        <v>0.13101604278074866</v>
      </c>
      <c r="Z1279" s="1741">
        <f t="shared" si="769"/>
        <v>1.1310160427807487</v>
      </c>
      <c r="AA1279" s="1749">
        <f t="shared" si="770"/>
        <v>1</v>
      </c>
      <c r="AB1279" s="1810">
        <f t="shared" si="771"/>
        <v>88.416075650118202</v>
      </c>
      <c r="AC1279" s="876"/>
      <c r="AD1279" s="1525">
        <f t="shared" si="772"/>
        <v>1</v>
      </c>
      <c r="AE1279" s="1525">
        <f t="shared" si="772"/>
        <v>0</v>
      </c>
      <c r="AF1279" s="1525">
        <f t="shared" si="772"/>
        <v>0</v>
      </c>
      <c r="AG1279" s="1525">
        <f t="shared" si="772"/>
        <v>0</v>
      </c>
      <c r="AH1279" s="1525">
        <f t="shared" si="772"/>
        <v>0</v>
      </c>
      <c r="AI1279" s="1525">
        <f t="shared" si="772"/>
        <v>0</v>
      </c>
      <c r="AJ1279" s="1525">
        <f t="shared" si="772"/>
        <v>0</v>
      </c>
      <c r="AK1279" s="1525">
        <f t="shared" si="772"/>
        <v>0</v>
      </c>
      <c r="AL1279" s="1525">
        <f t="shared" si="772"/>
        <v>0</v>
      </c>
      <c r="AM1279" s="1525">
        <f t="shared" si="772"/>
        <v>0</v>
      </c>
      <c r="AN1279" s="1525">
        <f t="shared" si="772"/>
        <v>0</v>
      </c>
      <c r="AO1279" s="1525">
        <f t="shared" si="772"/>
        <v>0</v>
      </c>
      <c r="AP1279" s="1525">
        <f t="shared" si="772"/>
        <v>0</v>
      </c>
      <c r="AQ1279" s="1525">
        <f t="shared" si="772"/>
        <v>0</v>
      </c>
      <c r="AR1279" s="1525">
        <f t="shared" si="772"/>
        <v>0</v>
      </c>
      <c r="AS1279" s="1525">
        <f t="shared" si="772"/>
        <v>0</v>
      </c>
      <c r="AU1279" s="1525"/>
      <c r="AV1279" s="1291"/>
      <c r="AW1279" s="1292"/>
      <c r="AX1279" s="1292"/>
      <c r="AY1279" s="1292"/>
      <c r="AZ1279" s="1292"/>
      <c r="BA1279" s="1292"/>
      <c r="BB1279" s="1292"/>
      <c r="BC1279" s="1292"/>
      <c r="BD1279" s="1292"/>
      <c r="BE1279" s="1292"/>
      <c r="BF1279" s="1292"/>
      <c r="BG1279" s="1292"/>
      <c r="BH1279" s="1292"/>
      <c r="BI1279" s="1292">
        <v>0.5</v>
      </c>
      <c r="BJ1279" s="1292">
        <v>0.5</v>
      </c>
      <c r="BK1279" s="1292"/>
      <c r="BL1279" s="1292"/>
      <c r="BM1279" s="1292"/>
      <c r="BN1279" s="1292"/>
      <c r="BO1279" s="1292"/>
      <c r="BP1279" s="1292"/>
      <c r="BQ1279" s="1292"/>
      <c r="BR1279" s="1292"/>
      <c r="BS1279" s="1292"/>
      <c r="BT1279" s="1670">
        <f t="shared" si="773"/>
        <v>1</v>
      </c>
      <c r="BW1279" s="856" t="s">
        <v>811</v>
      </c>
    </row>
    <row r="1280" spans="2:75" ht="12.75" customHeight="1" x14ac:dyDescent="0.2">
      <c r="B1280" s="175">
        <f t="shared" si="774"/>
        <v>11</v>
      </c>
      <c r="C1280" s="219">
        <v>12</v>
      </c>
      <c r="E1280" s="12" t="s">
        <v>1564</v>
      </c>
      <c r="F1280" s="1" t="s">
        <v>1235</v>
      </c>
      <c r="G1280" s="856" t="s">
        <v>677</v>
      </c>
      <c r="H1280" s="858">
        <v>7181</v>
      </c>
      <c r="I1280" s="180" t="s">
        <v>583</v>
      </c>
      <c r="J1280" s="168"/>
      <c r="K1280" s="168"/>
      <c r="L1280" s="841">
        <v>0.5</v>
      </c>
      <c r="M1280" s="858">
        <f t="shared" si="775"/>
        <v>0.5</v>
      </c>
      <c r="N1280" s="855" t="s">
        <v>1573</v>
      </c>
      <c r="O1280" s="1196">
        <v>14164</v>
      </c>
      <c r="P1280" s="1218">
        <f t="shared" ca="1" si="766"/>
        <v>78.974999999999994</v>
      </c>
      <c r="Q1280" s="1148">
        <v>24800</v>
      </c>
      <c r="R1280" s="874">
        <f>Q1280*0.1</f>
        <v>2480</v>
      </c>
      <c r="S1280" s="875"/>
      <c r="T1280" s="875">
        <v>10000</v>
      </c>
      <c r="U1280" s="875"/>
      <c r="V1280" s="875"/>
      <c r="W1280" s="875"/>
      <c r="X1280" s="1026">
        <f t="shared" si="767"/>
        <v>18640</v>
      </c>
      <c r="Y1280" s="1512">
        <f t="shared" si="768"/>
        <v>0.36656891495601174</v>
      </c>
      <c r="Z1280" s="1741">
        <f t="shared" si="769"/>
        <v>0.68328445747800592</v>
      </c>
      <c r="AA1280" s="1749">
        <f t="shared" si="770"/>
        <v>0.5</v>
      </c>
      <c r="AB1280" s="1810">
        <f t="shared" si="771"/>
        <v>73.175965665236049</v>
      </c>
      <c r="AC1280" s="876"/>
      <c r="AD1280" s="1525">
        <f t="shared" ref="AD1280:AS1287" si="776">SUMIF($AV$6:$BS$6,AD$5,$AV1280:$BS1280)</f>
        <v>0.5</v>
      </c>
      <c r="AE1280" s="1525">
        <f t="shared" si="776"/>
        <v>0</v>
      </c>
      <c r="AF1280" s="1525">
        <f t="shared" si="776"/>
        <v>0</v>
      </c>
      <c r="AG1280" s="1525">
        <f t="shared" si="776"/>
        <v>0</v>
      </c>
      <c r="AH1280" s="1525">
        <f t="shared" si="776"/>
        <v>0</v>
      </c>
      <c r="AI1280" s="1525">
        <f t="shared" si="776"/>
        <v>0</v>
      </c>
      <c r="AJ1280" s="1525">
        <f t="shared" si="776"/>
        <v>0</v>
      </c>
      <c r="AK1280" s="1525">
        <f t="shared" si="776"/>
        <v>0</v>
      </c>
      <c r="AL1280" s="1525">
        <f t="shared" si="776"/>
        <v>0</v>
      </c>
      <c r="AM1280" s="1525">
        <f t="shared" si="776"/>
        <v>0</v>
      </c>
      <c r="AN1280" s="1525">
        <f t="shared" si="776"/>
        <v>0</v>
      </c>
      <c r="AO1280" s="1525">
        <f t="shared" si="776"/>
        <v>0</v>
      </c>
      <c r="AP1280" s="1525">
        <f t="shared" si="776"/>
        <v>0</v>
      </c>
      <c r="AQ1280" s="1525">
        <f t="shared" si="776"/>
        <v>0</v>
      </c>
      <c r="AR1280" s="1525">
        <f t="shared" si="776"/>
        <v>0</v>
      </c>
      <c r="AS1280" s="1525">
        <f t="shared" si="776"/>
        <v>0</v>
      </c>
      <c r="AU1280" s="1525"/>
      <c r="AV1280" s="1291"/>
      <c r="AW1280" s="1292"/>
      <c r="AX1280" s="1292"/>
      <c r="AY1280" s="1292"/>
      <c r="AZ1280" s="1292"/>
      <c r="BA1280" s="1292"/>
      <c r="BB1280" s="1292"/>
      <c r="BC1280" s="1292"/>
      <c r="BD1280" s="1292"/>
      <c r="BE1280" s="1292"/>
      <c r="BF1280" s="1292"/>
      <c r="BG1280" s="1292"/>
      <c r="BH1280" s="1292"/>
      <c r="BI1280" s="1292">
        <v>0.25</v>
      </c>
      <c r="BJ1280" s="1292">
        <v>0.25</v>
      </c>
      <c r="BK1280" s="1292"/>
      <c r="BL1280" s="1292"/>
      <c r="BM1280" s="1292"/>
      <c r="BN1280" s="1292"/>
      <c r="BO1280" s="1292"/>
      <c r="BP1280" s="1292"/>
      <c r="BQ1280" s="1292"/>
      <c r="BR1280" s="1292"/>
      <c r="BS1280" s="1292"/>
      <c r="BT1280" s="1670">
        <f t="shared" si="773"/>
        <v>0.5</v>
      </c>
      <c r="BW1280" s="856" t="s">
        <v>677</v>
      </c>
    </row>
    <row r="1281" spans="1:75" ht="12.75" customHeight="1" x14ac:dyDescent="0.2">
      <c r="B1281" s="175">
        <f t="shared" si="774"/>
        <v>12</v>
      </c>
      <c r="C1281" s="219">
        <v>30</v>
      </c>
      <c r="E1281" s="12" t="s">
        <v>1564</v>
      </c>
      <c r="F1281" s="37" t="s">
        <v>723</v>
      </c>
      <c r="G1281" s="913" t="s">
        <v>678</v>
      </c>
      <c r="H1281" s="858">
        <v>98531</v>
      </c>
      <c r="I1281" s="180" t="s">
        <v>583</v>
      </c>
      <c r="J1281" s="173"/>
      <c r="K1281" s="173"/>
      <c r="L1281" s="893">
        <v>1</v>
      </c>
      <c r="M1281" s="858">
        <f t="shared" si="775"/>
        <v>1</v>
      </c>
      <c r="N1281" s="832" t="s">
        <v>892</v>
      </c>
      <c r="O1281" s="1196">
        <v>18543</v>
      </c>
      <c r="P1281" s="1218">
        <f t="shared" ca="1" si="766"/>
        <v>66.986111111111114</v>
      </c>
      <c r="Q1281" s="1148">
        <v>41600</v>
      </c>
      <c r="R1281" s="874"/>
      <c r="S1281" s="875"/>
      <c r="T1281" s="875"/>
      <c r="U1281" s="875"/>
      <c r="V1281" s="875"/>
      <c r="W1281" s="875"/>
      <c r="X1281" s="1026">
        <f t="shared" si="767"/>
        <v>41600</v>
      </c>
      <c r="Y1281" s="1512">
        <f t="shared" si="768"/>
        <v>0</v>
      </c>
      <c r="Z1281" s="1741">
        <f t="shared" si="769"/>
        <v>1</v>
      </c>
      <c r="AA1281" s="1749">
        <f t="shared" si="770"/>
        <v>1</v>
      </c>
      <c r="AB1281" s="1810">
        <f t="shared" si="771"/>
        <v>100</v>
      </c>
      <c r="AC1281" s="876"/>
      <c r="AD1281" s="1525">
        <f t="shared" si="776"/>
        <v>0</v>
      </c>
      <c r="AE1281" s="1525">
        <f t="shared" si="776"/>
        <v>1</v>
      </c>
      <c r="AF1281" s="1525">
        <f t="shared" si="776"/>
        <v>0</v>
      </c>
      <c r="AG1281" s="1525">
        <f t="shared" si="776"/>
        <v>0</v>
      </c>
      <c r="AH1281" s="1525">
        <f t="shared" si="776"/>
        <v>0</v>
      </c>
      <c r="AI1281" s="1525">
        <f t="shared" si="776"/>
        <v>0</v>
      </c>
      <c r="AJ1281" s="1525">
        <f t="shared" si="776"/>
        <v>0</v>
      </c>
      <c r="AK1281" s="1525">
        <f t="shared" si="776"/>
        <v>0</v>
      </c>
      <c r="AL1281" s="1525">
        <f t="shared" si="776"/>
        <v>0</v>
      </c>
      <c r="AM1281" s="1525">
        <f t="shared" si="776"/>
        <v>0</v>
      </c>
      <c r="AN1281" s="1525">
        <f t="shared" si="776"/>
        <v>0</v>
      </c>
      <c r="AO1281" s="1525">
        <f t="shared" si="776"/>
        <v>0</v>
      </c>
      <c r="AP1281" s="1525">
        <f t="shared" si="776"/>
        <v>0</v>
      </c>
      <c r="AQ1281" s="1525">
        <f t="shared" si="776"/>
        <v>0</v>
      </c>
      <c r="AR1281" s="1525">
        <f t="shared" si="776"/>
        <v>0</v>
      </c>
      <c r="AS1281" s="1525">
        <f t="shared" si="776"/>
        <v>0</v>
      </c>
      <c r="AU1281" s="1525"/>
      <c r="AV1281" s="1291"/>
      <c r="AW1281" s="1292"/>
      <c r="AX1281" s="1292"/>
      <c r="AY1281" s="1292"/>
      <c r="AZ1281" s="1292"/>
      <c r="BA1281" s="1292"/>
      <c r="BB1281" s="1292"/>
      <c r="BC1281" s="1292">
        <v>1</v>
      </c>
      <c r="BD1281" s="1292"/>
      <c r="BE1281" s="1292"/>
      <c r="BF1281" s="1292"/>
      <c r="BG1281" s="1292"/>
      <c r="BH1281" s="1292"/>
      <c r="BI1281" s="1292"/>
      <c r="BJ1281" s="1292"/>
      <c r="BK1281" s="1292"/>
      <c r="BL1281" s="1292"/>
      <c r="BM1281" s="1292"/>
      <c r="BN1281" s="1292"/>
      <c r="BO1281" s="1292"/>
      <c r="BP1281" s="1292"/>
      <c r="BQ1281" s="1292"/>
      <c r="BR1281" s="1292"/>
      <c r="BS1281" s="1292"/>
      <c r="BT1281" s="1670">
        <f t="shared" si="773"/>
        <v>1</v>
      </c>
      <c r="BW1281" s="913" t="s">
        <v>678</v>
      </c>
    </row>
    <row r="1282" spans="1:75" ht="12.75" customHeight="1" x14ac:dyDescent="0.2">
      <c r="B1282" s="175">
        <f t="shared" si="774"/>
        <v>13</v>
      </c>
      <c r="C1282" s="219">
        <v>24</v>
      </c>
      <c r="E1282" s="12" t="s">
        <v>1564</v>
      </c>
      <c r="F1282" s="172" t="s">
        <v>721</v>
      </c>
      <c r="G1282" s="856" t="s">
        <v>229</v>
      </c>
      <c r="H1282" s="858">
        <v>130406</v>
      </c>
      <c r="I1282" s="172" t="s">
        <v>583</v>
      </c>
      <c r="J1282" s="168"/>
      <c r="K1282" s="168"/>
      <c r="L1282" s="841">
        <v>1</v>
      </c>
      <c r="M1282" s="858">
        <f t="shared" si="775"/>
        <v>1</v>
      </c>
      <c r="N1282" s="855" t="s">
        <v>1326</v>
      </c>
      <c r="O1282" s="1196">
        <v>32096</v>
      </c>
      <c r="P1282" s="1218">
        <f t="shared" ca="1" si="766"/>
        <v>29.880555555555556</v>
      </c>
      <c r="Q1282" s="1148">
        <v>31800</v>
      </c>
      <c r="R1282" s="874">
        <f>Q1282*0.1</f>
        <v>3180</v>
      </c>
      <c r="S1282" s="875"/>
      <c r="T1282" s="875">
        <v>17400</v>
      </c>
      <c r="U1282" s="875"/>
      <c r="V1282" s="875"/>
      <c r="W1282" s="875"/>
      <c r="X1282" s="1026">
        <f t="shared" si="767"/>
        <v>52380</v>
      </c>
      <c r="Y1282" s="1512">
        <f t="shared" si="768"/>
        <v>0.49742710120068612</v>
      </c>
      <c r="Z1282" s="1741">
        <f t="shared" si="769"/>
        <v>1.4974271012006861</v>
      </c>
      <c r="AA1282" s="1749">
        <f t="shared" si="770"/>
        <v>1</v>
      </c>
      <c r="AB1282" s="1810">
        <f t="shared" si="771"/>
        <v>66.781214203894621</v>
      </c>
      <c r="AC1282" s="876"/>
      <c r="AD1282" s="1525">
        <f t="shared" si="776"/>
        <v>1</v>
      </c>
      <c r="AE1282" s="1525">
        <f t="shared" si="776"/>
        <v>0</v>
      </c>
      <c r="AF1282" s="1525">
        <f t="shared" si="776"/>
        <v>0</v>
      </c>
      <c r="AG1282" s="1525">
        <f t="shared" si="776"/>
        <v>0</v>
      </c>
      <c r="AH1282" s="1525">
        <f t="shared" si="776"/>
        <v>0</v>
      </c>
      <c r="AI1282" s="1525">
        <f t="shared" si="776"/>
        <v>0</v>
      </c>
      <c r="AJ1282" s="1525">
        <f t="shared" si="776"/>
        <v>0</v>
      </c>
      <c r="AK1282" s="1525">
        <f t="shared" si="776"/>
        <v>0</v>
      </c>
      <c r="AL1282" s="1525">
        <f t="shared" si="776"/>
        <v>0</v>
      </c>
      <c r="AM1282" s="1525">
        <f t="shared" si="776"/>
        <v>0</v>
      </c>
      <c r="AN1282" s="1525">
        <f t="shared" si="776"/>
        <v>0</v>
      </c>
      <c r="AO1282" s="1525">
        <f t="shared" si="776"/>
        <v>0</v>
      </c>
      <c r="AP1282" s="1525">
        <f t="shared" si="776"/>
        <v>0</v>
      </c>
      <c r="AQ1282" s="1525">
        <f t="shared" si="776"/>
        <v>0</v>
      </c>
      <c r="AR1282" s="1525">
        <f t="shared" si="776"/>
        <v>0</v>
      </c>
      <c r="AS1282" s="1525">
        <f t="shared" si="776"/>
        <v>0</v>
      </c>
      <c r="AU1282" s="1525"/>
      <c r="AV1282" s="1291"/>
      <c r="AW1282" s="1292"/>
      <c r="AX1282" s="1292"/>
      <c r="AY1282" s="1292"/>
      <c r="AZ1282" s="1292"/>
      <c r="BA1282" s="1292"/>
      <c r="BB1282" s="1292"/>
      <c r="BC1282" s="1292"/>
      <c r="BD1282" s="1292"/>
      <c r="BE1282" s="1292"/>
      <c r="BF1282" s="1292"/>
      <c r="BG1282" s="1292"/>
      <c r="BH1282" s="1292"/>
      <c r="BI1282" s="1292">
        <v>0.5</v>
      </c>
      <c r="BJ1282" s="1292">
        <v>0.5</v>
      </c>
      <c r="BK1282" s="1292"/>
      <c r="BL1282" s="1292"/>
      <c r="BM1282" s="1292"/>
      <c r="BN1282" s="1292"/>
      <c r="BO1282" s="1292"/>
      <c r="BP1282" s="1292"/>
      <c r="BQ1282" s="1292"/>
      <c r="BR1282" s="1292"/>
      <c r="BS1282" s="1292"/>
      <c r="BT1282" s="1670">
        <f t="shared" si="773"/>
        <v>1</v>
      </c>
      <c r="BW1282" s="856" t="s">
        <v>229</v>
      </c>
    </row>
    <row r="1283" spans="1:75" ht="12.75" customHeight="1" x14ac:dyDescent="0.2">
      <c r="B1283" s="175">
        <f t="shared" si="774"/>
        <v>14</v>
      </c>
      <c r="C1283" s="219">
        <v>14</v>
      </c>
      <c r="E1283" s="12" t="s">
        <v>1564</v>
      </c>
      <c r="F1283" s="1" t="s">
        <v>626</v>
      </c>
      <c r="G1283" s="856" t="s">
        <v>418</v>
      </c>
      <c r="H1283" s="858">
        <v>98117</v>
      </c>
      <c r="I1283" s="172" t="s">
        <v>583</v>
      </c>
      <c r="J1283" s="168"/>
      <c r="K1283" s="168"/>
      <c r="L1283" s="841">
        <v>1</v>
      </c>
      <c r="M1283" s="858">
        <f t="shared" si="775"/>
        <v>1</v>
      </c>
      <c r="N1283" s="855" t="s">
        <v>892</v>
      </c>
      <c r="O1283" s="1196">
        <v>26735</v>
      </c>
      <c r="P1283" s="1218">
        <f t="shared" ca="1" si="766"/>
        <v>44.555555555555557</v>
      </c>
      <c r="Q1283" s="1148">
        <v>20100</v>
      </c>
      <c r="R1283" s="874"/>
      <c r="S1283" s="875"/>
      <c r="T1283" s="875"/>
      <c r="U1283" s="875"/>
      <c r="V1283" s="875"/>
      <c r="W1283" s="875"/>
      <c r="X1283" s="1026">
        <f t="shared" si="767"/>
        <v>20100</v>
      </c>
      <c r="Y1283" s="1512">
        <f t="shared" si="768"/>
        <v>0</v>
      </c>
      <c r="Z1283" s="1741">
        <f t="shared" si="769"/>
        <v>1</v>
      </c>
      <c r="AA1283" s="1749">
        <f t="shared" si="770"/>
        <v>1</v>
      </c>
      <c r="AB1283" s="1810">
        <f t="shared" si="771"/>
        <v>100</v>
      </c>
      <c r="AC1283" s="876"/>
      <c r="AD1283" s="1525">
        <f t="shared" si="776"/>
        <v>0</v>
      </c>
      <c r="AE1283" s="1525">
        <f t="shared" si="776"/>
        <v>1</v>
      </c>
      <c r="AF1283" s="1525">
        <f t="shared" si="776"/>
        <v>0</v>
      </c>
      <c r="AG1283" s="1525">
        <f t="shared" si="776"/>
        <v>0</v>
      </c>
      <c r="AH1283" s="1525">
        <f t="shared" si="776"/>
        <v>0</v>
      </c>
      <c r="AI1283" s="1525">
        <f t="shared" si="776"/>
        <v>0</v>
      </c>
      <c r="AJ1283" s="1525">
        <f t="shared" si="776"/>
        <v>0</v>
      </c>
      <c r="AK1283" s="1525">
        <f t="shared" si="776"/>
        <v>0</v>
      </c>
      <c r="AL1283" s="1525">
        <f t="shared" si="776"/>
        <v>0</v>
      </c>
      <c r="AM1283" s="1525">
        <f t="shared" si="776"/>
        <v>0</v>
      </c>
      <c r="AN1283" s="1525">
        <f t="shared" si="776"/>
        <v>0</v>
      </c>
      <c r="AO1283" s="1525">
        <f t="shared" si="776"/>
        <v>0</v>
      </c>
      <c r="AP1283" s="1525">
        <f t="shared" si="776"/>
        <v>0</v>
      </c>
      <c r="AQ1283" s="1525">
        <f t="shared" si="776"/>
        <v>0</v>
      </c>
      <c r="AR1283" s="1525">
        <f t="shared" si="776"/>
        <v>0</v>
      </c>
      <c r="AS1283" s="1525">
        <f t="shared" si="776"/>
        <v>0</v>
      </c>
      <c r="AU1283" s="1525"/>
      <c r="AV1283" s="1291"/>
      <c r="AW1283" s="1292"/>
      <c r="AX1283" s="1292"/>
      <c r="AY1283" s="1292"/>
      <c r="AZ1283" s="1292"/>
      <c r="BA1283" s="1292"/>
      <c r="BB1283" s="1292"/>
      <c r="BC1283" s="1292">
        <v>1</v>
      </c>
      <c r="BD1283" s="1292"/>
      <c r="BE1283" s="1292"/>
      <c r="BF1283" s="1292"/>
      <c r="BG1283" s="1292"/>
      <c r="BH1283" s="1292"/>
      <c r="BI1283" s="1292"/>
      <c r="BJ1283" s="1292"/>
      <c r="BK1283" s="1292"/>
      <c r="BL1283" s="1292"/>
      <c r="BM1283" s="1292"/>
      <c r="BN1283" s="1292"/>
      <c r="BO1283" s="1292"/>
      <c r="BP1283" s="1292"/>
      <c r="BQ1283" s="1292"/>
      <c r="BR1283" s="1292"/>
      <c r="BS1283" s="1292"/>
      <c r="BT1283" s="1670">
        <f t="shared" si="773"/>
        <v>1</v>
      </c>
      <c r="BW1283" s="856" t="s">
        <v>418</v>
      </c>
    </row>
    <row r="1284" spans="1:75" ht="12.75" customHeight="1" x14ac:dyDescent="0.2">
      <c r="B1284" s="175">
        <f t="shared" si="774"/>
        <v>15</v>
      </c>
      <c r="C1284" s="219">
        <v>14</v>
      </c>
      <c r="E1284" s="12" t="s">
        <v>1564</v>
      </c>
      <c r="F1284" s="1" t="s">
        <v>626</v>
      </c>
      <c r="G1284" s="856" t="s">
        <v>613</v>
      </c>
      <c r="H1284" s="858">
        <v>130359</v>
      </c>
      <c r="I1284" s="172" t="s">
        <v>583</v>
      </c>
      <c r="J1284" s="168"/>
      <c r="K1284" s="168"/>
      <c r="L1284" s="841">
        <v>1</v>
      </c>
      <c r="M1284" s="858">
        <f t="shared" si="775"/>
        <v>1</v>
      </c>
      <c r="N1284" s="855" t="s">
        <v>892</v>
      </c>
      <c r="O1284" s="1196">
        <v>29302</v>
      </c>
      <c r="P1284" s="1218">
        <f t="shared" ca="1" si="766"/>
        <v>37.527777777777779</v>
      </c>
      <c r="Q1284" s="1148">
        <v>36400</v>
      </c>
      <c r="R1284" s="874"/>
      <c r="S1284" s="875"/>
      <c r="T1284" s="875"/>
      <c r="U1284" s="875"/>
      <c r="V1284" s="875"/>
      <c r="W1284" s="875"/>
      <c r="X1284" s="1026">
        <f t="shared" si="767"/>
        <v>36400</v>
      </c>
      <c r="Y1284" s="1512">
        <f t="shared" si="768"/>
        <v>0</v>
      </c>
      <c r="Z1284" s="1741">
        <f t="shared" si="769"/>
        <v>1</v>
      </c>
      <c r="AA1284" s="1749">
        <f t="shared" si="770"/>
        <v>1</v>
      </c>
      <c r="AB1284" s="1810">
        <f t="shared" si="771"/>
        <v>100</v>
      </c>
      <c r="AC1284" s="876"/>
      <c r="AD1284" s="1525">
        <f t="shared" si="776"/>
        <v>0</v>
      </c>
      <c r="AE1284" s="1525">
        <f t="shared" si="776"/>
        <v>1</v>
      </c>
      <c r="AF1284" s="1525">
        <f t="shared" si="776"/>
        <v>0</v>
      </c>
      <c r="AG1284" s="1525">
        <f t="shared" si="776"/>
        <v>0</v>
      </c>
      <c r="AH1284" s="1525">
        <f t="shared" si="776"/>
        <v>0</v>
      </c>
      <c r="AI1284" s="1525">
        <f t="shared" si="776"/>
        <v>0</v>
      </c>
      <c r="AJ1284" s="1525">
        <f t="shared" si="776"/>
        <v>0</v>
      </c>
      <c r="AK1284" s="1525">
        <f t="shared" si="776"/>
        <v>0</v>
      </c>
      <c r="AL1284" s="1525">
        <f t="shared" si="776"/>
        <v>0</v>
      </c>
      <c r="AM1284" s="1525">
        <f t="shared" si="776"/>
        <v>0</v>
      </c>
      <c r="AN1284" s="1525">
        <f t="shared" si="776"/>
        <v>0</v>
      </c>
      <c r="AO1284" s="1525">
        <f t="shared" si="776"/>
        <v>0</v>
      </c>
      <c r="AP1284" s="1525">
        <f t="shared" si="776"/>
        <v>0</v>
      </c>
      <c r="AQ1284" s="1525">
        <f t="shared" si="776"/>
        <v>0</v>
      </c>
      <c r="AR1284" s="1525">
        <f t="shared" si="776"/>
        <v>0</v>
      </c>
      <c r="AS1284" s="1525">
        <f t="shared" si="776"/>
        <v>0</v>
      </c>
      <c r="AU1284" s="1525"/>
      <c r="AV1284" s="1291"/>
      <c r="AW1284" s="1292"/>
      <c r="AX1284" s="1292"/>
      <c r="AY1284" s="1292"/>
      <c r="AZ1284" s="1292"/>
      <c r="BA1284" s="1292"/>
      <c r="BB1284" s="1292"/>
      <c r="BC1284" s="1292">
        <v>1</v>
      </c>
      <c r="BD1284" s="1292"/>
      <c r="BE1284" s="1292"/>
      <c r="BF1284" s="1292"/>
      <c r="BG1284" s="1292"/>
      <c r="BH1284" s="1292"/>
      <c r="BI1284" s="1292"/>
      <c r="BJ1284" s="1292"/>
      <c r="BK1284" s="1292"/>
      <c r="BL1284" s="1292"/>
      <c r="BM1284" s="1292"/>
      <c r="BN1284" s="1292"/>
      <c r="BO1284" s="1292"/>
      <c r="BP1284" s="1292"/>
      <c r="BQ1284" s="1292"/>
      <c r="BR1284" s="1292"/>
      <c r="BS1284" s="1292"/>
      <c r="BT1284" s="1670">
        <f t="shared" si="773"/>
        <v>1</v>
      </c>
      <c r="BW1284" s="856" t="s">
        <v>613</v>
      </c>
    </row>
    <row r="1285" spans="1:75" ht="12.75" customHeight="1" x14ac:dyDescent="0.2">
      <c r="B1285" s="175">
        <f t="shared" si="774"/>
        <v>16</v>
      </c>
      <c r="C1285" s="220">
        <v>14</v>
      </c>
      <c r="D1285" s="170"/>
      <c r="E1285" s="447" t="s">
        <v>1564</v>
      </c>
      <c r="F1285" s="37" t="s">
        <v>626</v>
      </c>
      <c r="G1285" s="913" t="s">
        <v>1772</v>
      </c>
      <c r="H1285" s="861">
        <v>283049</v>
      </c>
      <c r="I1285" s="180" t="s">
        <v>583</v>
      </c>
      <c r="J1285" s="173"/>
      <c r="K1285" s="173"/>
      <c r="L1285" s="893">
        <v>1</v>
      </c>
      <c r="M1285" s="861">
        <f t="shared" si="775"/>
        <v>1</v>
      </c>
      <c r="N1285" s="832" t="s">
        <v>1326</v>
      </c>
      <c r="O1285" s="1196">
        <v>32181</v>
      </c>
      <c r="P1285" s="1262">
        <f t="shared" ca="1" si="766"/>
        <v>29.65</v>
      </c>
      <c r="Q1285" s="1148">
        <v>26000</v>
      </c>
      <c r="R1285" s="874">
        <f>Q1285*0.1</f>
        <v>2600</v>
      </c>
      <c r="S1285" s="876"/>
      <c r="T1285" s="876"/>
      <c r="U1285" s="876"/>
      <c r="V1285" s="876"/>
      <c r="W1285" s="876"/>
      <c r="X1285" s="1026">
        <f t="shared" si="767"/>
        <v>28600</v>
      </c>
      <c r="Y1285" s="1512">
        <f t="shared" si="768"/>
        <v>0</v>
      </c>
      <c r="Z1285" s="1741">
        <f t="shared" si="769"/>
        <v>1</v>
      </c>
      <c r="AA1285" s="1749">
        <f t="shared" si="770"/>
        <v>1</v>
      </c>
      <c r="AB1285" s="1810">
        <f t="shared" si="771"/>
        <v>100</v>
      </c>
      <c r="AC1285" s="876"/>
      <c r="AD1285" s="1525">
        <f t="shared" si="776"/>
        <v>1</v>
      </c>
      <c r="AE1285" s="1525">
        <f t="shared" si="776"/>
        <v>0</v>
      </c>
      <c r="AF1285" s="1525">
        <f t="shared" si="776"/>
        <v>0</v>
      </c>
      <c r="AG1285" s="1525">
        <f t="shared" si="776"/>
        <v>0</v>
      </c>
      <c r="AH1285" s="1525">
        <f t="shared" si="776"/>
        <v>0</v>
      </c>
      <c r="AI1285" s="1525">
        <f t="shared" si="776"/>
        <v>0</v>
      </c>
      <c r="AJ1285" s="1525">
        <f t="shared" si="776"/>
        <v>0</v>
      </c>
      <c r="AK1285" s="1525">
        <f t="shared" si="776"/>
        <v>0</v>
      </c>
      <c r="AL1285" s="1525">
        <f t="shared" si="776"/>
        <v>0</v>
      </c>
      <c r="AM1285" s="1525">
        <f t="shared" si="776"/>
        <v>0</v>
      </c>
      <c r="AN1285" s="1525">
        <f t="shared" si="776"/>
        <v>0</v>
      </c>
      <c r="AO1285" s="1525">
        <f t="shared" si="776"/>
        <v>0</v>
      </c>
      <c r="AP1285" s="1525">
        <f t="shared" si="776"/>
        <v>0</v>
      </c>
      <c r="AQ1285" s="1525">
        <f t="shared" si="776"/>
        <v>0</v>
      </c>
      <c r="AR1285" s="1525">
        <f t="shared" si="776"/>
        <v>0</v>
      </c>
      <c r="AS1285" s="1525">
        <f t="shared" si="776"/>
        <v>0</v>
      </c>
      <c r="AU1285" s="1525"/>
      <c r="AV1285" s="1291"/>
      <c r="AW1285" s="1292"/>
      <c r="AX1285" s="1292"/>
      <c r="AY1285" s="1292"/>
      <c r="AZ1285" s="1292"/>
      <c r="BA1285" s="1292"/>
      <c r="BB1285" s="1292"/>
      <c r="BC1285" s="1292"/>
      <c r="BD1285" s="1292"/>
      <c r="BE1285" s="1292"/>
      <c r="BF1285" s="1292"/>
      <c r="BG1285" s="1292"/>
      <c r="BH1285" s="1292"/>
      <c r="BI1285" s="1292">
        <v>0.5</v>
      </c>
      <c r="BJ1285" s="1292">
        <v>0.5</v>
      </c>
      <c r="BK1285" s="1292"/>
      <c r="BL1285" s="1292"/>
      <c r="BM1285" s="1292"/>
      <c r="BN1285" s="1292"/>
      <c r="BO1285" s="1292"/>
      <c r="BP1285" s="1292"/>
      <c r="BQ1285" s="1292"/>
      <c r="BR1285" s="1292"/>
      <c r="BS1285" s="1292"/>
      <c r="BT1285" s="1670">
        <f t="shared" si="773"/>
        <v>1</v>
      </c>
      <c r="BW1285" s="913" t="s">
        <v>1772</v>
      </c>
    </row>
    <row r="1286" spans="1:75" ht="12.75" customHeight="1" x14ac:dyDescent="0.2">
      <c r="B1286" s="175">
        <f t="shared" si="774"/>
        <v>17</v>
      </c>
      <c r="C1286" s="219">
        <v>18</v>
      </c>
      <c r="E1286" s="12" t="s">
        <v>1564</v>
      </c>
      <c r="F1286" s="1" t="s">
        <v>657</v>
      </c>
      <c r="G1286" s="856" t="s">
        <v>658</v>
      </c>
      <c r="H1286" s="858">
        <v>77304</v>
      </c>
      <c r="I1286" s="172" t="s">
        <v>1442</v>
      </c>
      <c r="J1286" s="168"/>
      <c r="K1286" s="168"/>
      <c r="L1286" s="841">
        <v>1</v>
      </c>
      <c r="M1286" s="858">
        <f t="shared" si="775"/>
        <v>1</v>
      </c>
      <c r="N1286" s="836" t="s">
        <v>1326</v>
      </c>
      <c r="O1286" s="1196">
        <v>28854</v>
      </c>
      <c r="P1286" s="1218">
        <f t="shared" ca="1" si="766"/>
        <v>38.755555555555553</v>
      </c>
      <c r="Q1286" s="1148">
        <v>24900</v>
      </c>
      <c r="R1286" s="874">
        <f>Q1286*0.1</f>
        <v>2490</v>
      </c>
      <c r="S1286" s="875"/>
      <c r="T1286" s="875"/>
      <c r="U1286" s="875"/>
      <c r="V1286" s="1036">
        <f>(Q1286+R1286)*0.67</f>
        <v>18351.300000000003</v>
      </c>
      <c r="W1286" s="1036"/>
      <c r="X1286" s="1026">
        <f t="shared" si="767"/>
        <v>45741.3</v>
      </c>
      <c r="Y1286" s="1512">
        <f>(T1286+U1286+V1286+W1286)*M1286/(X1286-M1286*(T1286+U1286+V1286+W1286))</f>
        <v>0.67000000000000015</v>
      </c>
      <c r="Z1286" s="1741">
        <f t="shared" si="769"/>
        <v>1.6700000000000002</v>
      </c>
      <c r="AA1286" s="1749">
        <f t="shared" si="770"/>
        <v>1</v>
      </c>
      <c r="AB1286" s="1810">
        <f t="shared" si="771"/>
        <v>59.880239520958078</v>
      </c>
      <c r="AC1286" s="876"/>
      <c r="AD1286" s="1525">
        <f t="shared" si="776"/>
        <v>0</v>
      </c>
      <c r="AE1286" s="1525">
        <f t="shared" si="776"/>
        <v>1</v>
      </c>
      <c r="AF1286" s="1525">
        <f t="shared" si="776"/>
        <v>0</v>
      </c>
      <c r="AG1286" s="1525">
        <f t="shared" si="776"/>
        <v>0</v>
      </c>
      <c r="AH1286" s="1525">
        <f t="shared" si="776"/>
        <v>0</v>
      </c>
      <c r="AI1286" s="1525">
        <f t="shared" si="776"/>
        <v>0</v>
      </c>
      <c r="AJ1286" s="1525">
        <f t="shared" si="776"/>
        <v>0</v>
      </c>
      <c r="AK1286" s="1525">
        <f t="shared" si="776"/>
        <v>0</v>
      </c>
      <c r="AL1286" s="1525">
        <f t="shared" si="776"/>
        <v>0</v>
      </c>
      <c r="AM1286" s="1525">
        <f t="shared" si="776"/>
        <v>0</v>
      </c>
      <c r="AN1286" s="1525">
        <f t="shared" si="776"/>
        <v>0</v>
      </c>
      <c r="AO1286" s="1525">
        <f t="shared" si="776"/>
        <v>0</v>
      </c>
      <c r="AP1286" s="1525">
        <f t="shared" si="776"/>
        <v>0</v>
      </c>
      <c r="AQ1286" s="1525">
        <f t="shared" si="776"/>
        <v>0</v>
      </c>
      <c r="AR1286" s="1525">
        <f t="shared" si="776"/>
        <v>0</v>
      </c>
      <c r="AS1286" s="1525">
        <f t="shared" si="776"/>
        <v>0</v>
      </c>
      <c r="AU1286" s="1525"/>
      <c r="AV1286" s="1291"/>
      <c r="AW1286" s="1292"/>
      <c r="AX1286" s="1292"/>
      <c r="AY1286" s="1292"/>
      <c r="AZ1286" s="1292"/>
      <c r="BA1286" s="1292"/>
      <c r="BB1286" s="1292"/>
      <c r="BC1286" s="1292">
        <v>1</v>
      </c>
      <c r="BD1286" s="1292"/>
      <c r="BE1286" s="1292"/>
      <c r="BF1286" s="1292"/>
      <c r="BG1286" s="1292"/>
      <c r="BH1286" s="1292"/>
      <c r="BI1286" s="1292"/>
      <c r="BJ1286" s="1292"/>
      <c r="BK1286" s="1292"/>
      <c r="BL1286" s="1292"/>
      <c r="BM1286" s="1292"/>
      <c r="BN1286" s="1292"/>
      <c r="BO1286" s="1292"/>
      <c r="BP1286" s="1292"/>
      <c r="BQ1286" s="1292"/>
      <c r="BR1286" s="1292"/>
      <c r="BS1286" s="1292"/>
      <c r="BT1286" s="1670">
        <f t="shared" si="773"/>
        <v>1</v>
      </c>
      <c r="BW1286" s="856" t="s">
        <v>658</v>
      </c>
    </row>
    <row r="1287" spans="1:75" s="65" customFormat="1" ht="12.75" customHeight="1" x14ac:dyDescent="0.2">
      <c r="A1287" s="164"/>
      <c r="B1287" s="175">
        <f t="shared" si="774"/>
        <v>18</v>
      </c>
      <c r="C1287" s="220">
        <v>18</v>
      </c>
      <c r="D1287" s="220"/>
      <c r="E1287" s="447" t="s">
        <v>1564</v>
      </c>
      <c r="F1287" s="42" t="s">
        <v>659</v>
      </c>
      <c r="G1287" s="945" t="s">
        <v>1214</v>
      </c>
      <c r="H1287" s="873">
        <v>7218</v>
      </c>
      <c r="I1287" s="176" t="s">
        <v>1442</v>
      </c>
      <c r="J1287" s="177"/>
      <c r="K1287" s="177"/>
      <c r="L1287" s="944">
        <v>1</v>
      </c>
      <c r="M1287" s="873">
        <f t="shared" si="775"/>
        <v>1</v>
      </c>
      <c r="N1287" s="940" t="s">
        <v>1326</v>
      </c>
      <c r="O1287" s="1211">
        <v>16757</v>
      </c>
      <c r="P1287" s="1218">
        <f t="shared" ca="1" si="766"/>
        <v>71.87777777777778</v>
      </c>
      <c r="Q1287" s="1071">
        <v>19600</v>
      </c>
      <c r="R1287" s="890">
        <f>Q1287*0.1</f>
        <v>1960</v>
      </c>
      <c r="S1287" s="891"/>
      <c r="T1287" s="891"/>
      <c r="U1287" s="891"/>
      <c r="V1287" s="1043">
        <f>(Q1287+R1287)*0.24</f>
        <v>5174.3999999999996</v>
      </c>
      <c r="W1287" s="891">
        <f>(Q1287+R1287)*0.1</f>
        <v>2156</v>
      </c>
      <c r="X1287" s="1026">
        <f t="shared" si="767"/>
        <v>28890.400000000001</v>
      </c>
      <c r="Y1287" s="1512">
        <f>(T1287+U1287+V1287+W1287)*M1287/(X1287-M1287*(T1287+U1287+V1287+W1287))</f>
        <v>0.33999999999999997</v>
      </c>
      <c r="Z1287" s="1741">
        <f t="shared" si="769"/>
        <v>1.3399999999999999</v>
      </c>
      <c r="AA1287" s="1749">
        <f t="shared" si="770"/>
        <v>1</v>
      </c>
      <c r="AB1287" s="1810">
        <f t="shared" si="771"/>
        <v>74.626865671641795</v>
      </c>
      <c r="AC1287" s="876"/>
      <c r="AD1287" s="1525">
        <f t="shared" si="776"/>
        <v>0.5</v>
      </c>
      <c r="AE1287" s="1525">
        <f t="shared" si="776"/>
        <v>0.5</v>
      </c>
      <c r="AF1287" s="1525">
        <f t="shared" si="776"/>
        <v>0</v>
      </c>
      <c r="AG1287" s="1525">
        <f t="shared" si="776"/>
        <v>0</v>
      </c>
      <c r="AH1287" s="1525">
        <f t="shared" si="776"/>
        <v>0</v>
      </c>
      <c r="AI1287" s="1525">
        <f t="shared" si="776"/>
        <v>0</v>
      </c>
      <c r="AJ1287" s="1525">
        <f t="shared" si="776"/>
        <v>0</v>
      </c>
      <c r="AK1287" s="1525">
        <f t="shared" si="776"/>
        <v>0</v>
      </c>
      <c r="AL1287" s="1525">
        <f t="shared" si="776"/>
        <v>0</v>
      </c>
      <c r="AM1287" s="1525">
        <f t="shared" si="776"/>
        <v>0</v>
      </c>
      <c r="AN1287" s="1525">
        <f t="shared" si="776"/>
        <v>0</v>
      </c>
      <c r="AO1287" s="1525">
        <f t="shared" si="776"/>
        <v>0</v>
      </c>
      <c r="AP1287" s="1525">
        <f t="shared" si="776"/>
        <v>0</v>
      </c>
      <c r="AQ1287" s="1525">
        <f t="shared" si="776"/>
        <v>0</v>
      </c>
      <c r="AR1287" s="1525">
        <f t="shared" si="776"/>
        <v>0</v>
      </c>
      <c r="AS1287" s="1525">
        <f t="shared" si="776"/>
        <v>0</v>
      </c>
      <c r="AU1287" s="1525"/>
      <c r="AV1287" s="1529"/>
      <c r="AW1287" s="1530"/>
      <c r="AX1287" s="1530"/>
      <c r="AY1287" s="1530"/>
      <c r="AZ1287" s="1530"/>
      <c r="BA1287" s="1530"/>
      <c r="BB1287" s="1530"/>
      <c r="BC1287" s="1292">
        <v>0.5</v>
      </c>
      <c r="BD1287" s="1530"/>
      <c r="BE1287" s="1530"/>
      <c r="BF1287" s="1530"/>
      <c r="BG1287" s="1530"/>
      <c r="BH1287" s="1530"/>
      <c r="BI1287" s="1530">
        <v>0.25</v>
      </c>
      <c r="BJ1287" s="1530">
        <v>0.25</v>
      </c>
      <c r="BK1287" s="1530"/>
      <c r="BL1287" s="1530"/>
      <c r="BM1287" s="1530"/>
      <c r="BN1287" s="1530"/>
      <c r="BO1287" s="1530"/>
      <c r="BP1287" s="1530"/>
      <c r="BQ1287" s="1530"/>
      <c r="BR1287" s="1530"/>
      <c r="BS1287" s="1530"/>
      <c r="BT1287" s="1670">
        <f t="shared" si="773"/>
        <v>1</v>
      </c>
      <c r="BV1287"/>
      <c r="BW1287" s="945" t="s">
        <v>1214</v>
      </c>
    </row>
    <row r="1288" spans="1:75" s="164" customFormat="1" ht="12.75" customHeight="1" x14ac:dyDescent="0.15">
      <c r="B1288" s="175"/>
      <c r="C1288" s="219" t="s">
        <v>1120</v>
      </c>
      <c r="F1288" s="2" t="s">
        <v>1623</v>
      </c>
      <c r="G1288" s="856"/>
      <c r="H1288" s="1361" t="s">
        <v>1508</v>
      </c>
      <c r="I1288" s="243"/>
      <c r="J1288" s="209"/>
      <c r="K1288" s="902">
        <f t="shared" ref="K1288:L1288" si="777">SUM(K1270:K1287)</f>
        <v>0</v>
      </c>
      <c r="L1288" s="902">
        <f t="shared" si="777"/>
        <v>17</v>
      </c>
      <c r="M1288" s="902">
        <f>SUM(M1270:M1287)</f>
        <v>17</v>
      </c>
      <c r="N1288" s="855"/>
      <c r="O1288" s="1200"/>
      <c r="P1288" s="550"/>
      <c r="Q1288" s="1153"/>
      <c r="R1288" s="877"/>
      <c r="S1288" s="875"/>
      <c r="T1288" s="875"/>
      <c r="U1288" s="875"/>
      <c r="V1288" s="875"/>
      <c r="W1288" s="875"/>
      <c r="X1288" s="1026"/>
      <c r="Y1288" s="875"/>
      <c r="Z1288" s="875"/>
      <c r="AA1288" s="1775"/>
      <c r="AB1288" s="1812"/>
      <c r="AC1288" s="876"/>
      <c r="AD1288" s="1295"/>
      <c r="AE1288" s="1525"/>
      <c r="AF1288" s="1525"/>
      <c r="AG1288" s="1525"/>
      <c r="AH1288" s="1525"/>
      <c r="AI1288" s="1525"/>
      <c r="AJ1288" s="1525"/>
      <c r="AK1288" s="1525"/>
      <c r="AL1288" s="1525"/>
      <c r="AM1288" s="1525"/>
      <c r="AN1288" s="1525"/>
      <c r="AO1288" s="1525"/>
      <c r="AP1288" s="1525"/>
      <c r="AQ1288" s="1525"/>
      <c r="AR1288" s="1525"/>
      <c r="AS1288" s="1525"/>
      <c r="AU1288" s="1525"/>
      <c r="AV1288" s="1295"/>
      <c r="AW1288" s="1525"/>
      <c r="AX1288" s="1525"/>
      <c r="AY1288" s="1525"/>
      <c r="AZ1288" s="1525"/>
      <c r="BA1288" s="1525"/>
      <c r="BB1288" s="1525"/>
      <c r="BC1288" s="1525"/>
      <c r="BD1288" s="1525"/>
      <c r="BE1288" s="1525"/>
      <c r="BF1288" s="1525"/>
      <c r="BG1288" s="1525"/>
      <c r="BH1288" s="1525"/>
      <c r="BI1288" s="1525"/>
      <c r="BJ1288" s="1525"/>
      <c r="BK1288" s="1525"/>
      <c r="BL1288" s="1525"/>
      <c r="BM1288" s="1525"/>
      <c r="BN1288" s="1525"/>
      <c r="BO1288" s="1525"/>
      <c r="BP1288" s="1525"/>
      <c r="BQ1288" s="1525"/>
      <c r="BR1288" s="1525"/>
      <c r="BS1288" s="1525"/>
      <c r="BT1288" s="1670"/>
      <c r="BV1288"/>
      <c r="BW1288" s="856"/>
    </row>
    <row r="1289" spans="1:75" s="164" customFormat="1" ht="12.75" customHeight="1" x14ac:dyDescent="0.15">
      <c r="B1289" s="175"/>
      <c r="C1289" s="219"/>
      <c r="F1289" s="2"/>
      <c r="G1289" s="856"/>
      <c r="H1289" s="1346" t="s">
        <v>1508</v>
      </c>
      <c r="I1289" s="243"/>
      <c r="J1289" s="209"/>
      <c r="K1289" s="189"/>
      <c r="L1289" s="858"/>
      <c r="M1289" s="858"/>
      <c r="N1289" s="855"/>
      <c r="O1289" s="1200"/>
      <c r="P1289" s="550"/>
      <c r="Q1289" s="1153"/>
      <c r="R1289" s="877"/>
      <c r="S1289" s="875"/>
      <c r="T1289" s="875"/>
      <c r="U1289" s="875"/>
      <c r="V1289" s="875"/>
      <c r="W1289" s="875"/>
      <c r="X1289" s="1026"/>
      <c r="Y1289" s="1659"/>
      <c r="Z1289" s="1744"/>
      <c r="AA1289" s="1775"/>
      <c r="AB1289" s="1812"/>
      <c r="AC1289" s="876"/>
      <c r="AD1289" s="1295"/>
      <c r="AE1289" s="1525"/>
      <c r="AF1289" s="1525"/>
      <c r="AG1289" s="1525"/>
      <c r="AH1289" s="1525"/>
      <c r="AI1289" s="1525"/>
      <c r="AJ1289" s="1525"/>
      <c r="AK1289" s="1525"/>
      <c r="AL1289" s="1525"/>
      <c r="AM1289" s="1525"/>
      <c r="AN1289" s="1525"/>
      <c r="AO1289" s="1525"/>
      <c r="AP1289" s="1525"/>
      <c r="AQ1289" s="1525"/>
      <c r="AR1289" s="1525"/>
      <c r="AS1289" s="1525"/>
      <c r="AU1289" s="1525"/>
      <c r="AV1289" s="1295"/>
      <c r="AW1289" s="1525"/>
      <c r="AX1289" s="1525"/>
      <c r="AY1289" s="1525"/>
      <c r="AZ1289" s="1525"/>
      <c r="BA1289" s="1525"/>
      <c r="BB1289" s="1525"/>
      <c r="BC1289" s="1525"/>
      <c r="BD1289" s="1525"/>
      <c r="BE1289" s="1525"/>
      <c r="BF1289" s="1525"/>
      <c r="BG1289" s="1525"/>
      <c r="BH1289" s="1525"/>
      <c r="BI1289" s="1525"/>
      <c r="BJ1289" s="1525"/>
      <c r="BK1289" s="1525"/>
      <c r="BL1289" s="1525"/>
      <c r="BM1289" s="1525"/>
      <c r="BN1289" s="1525"/>
      <c r="BO1289" s="1525"/>
      <c r="BP1289" s="1525"/>
      <c r="BQ1289" s="1525"/>
      <c r="BR1289" s="1525"/>
      <c r="BS1289" s="1525"/>
      <c r="BT1289" s="1670"/>
      <c r="BV1289"/>
      <c r="BW1289" s="856"/>
    </row>
    <row r="1290" spans="1:75" s="164" customFormat="1" ht="12.75" customHeight="1" x14ac:dyDescent="0.15">
      <c r="B1290" s="175"/>
      <c r="F1290" s="37"/>
      <c r="G1290" s="913"/>
      <c r="H1290" s="1358" t="s">
        <v>1508</v>
      </c>
      <c r="I1290" s="180"/>
      <c r="J1290" s="173"/>
      <c r="K1290" s="173"/>
      <c r="L1290" s="893"/>
      <c r="M1290" s="893"/>
      <c r="N1290" s="832"/>
      <c r="O1290" s="1200"/>
      <c r="P1290" s="550"/>
      <c r="Q1290" s="1148"/>
      <c r="R1290" s="874"/>
      <c r="S1290" s="875"/>
      <c r="T1290" s="875"/>
      <c r="U1290" s="875"/>
      <c r="V1290" s="875"/>
      <c r="W1290" s="875"/>
      <c r="X1290" s="1026"/>
      <c r="Y1290" s="1659"/>
      <c r="Z1290" s="1744"/>
      <c r="AA1290" s="1775"/>
      <c r="AB1290" s="1812"/>
      <c r="AC1290" s="876"/>
      <c r="AD1290" s="1295"/>
      <c r="AE1290" s="1525"/>
      <c r="AF1290" s="1525"/>
      <c r="AG1290" s="1525"/>
      <c r="AH1290" s="1525"/>
      <c r="AI1290" s="1525"/>
      <c r="AJ1290" s="1525"/>
      <c r="AK1290" s="1525"/>
      <c r="AL1290" s="1525"/>
      <c r="AM1290" s="1525"/>
      <c r="AN1290" s="1525"/>
      <c r="AO1290" s="1525"/>
      <c r="AP1290" s="1525"/>
      <c r="AQ1290" s="1525"/>
      <c r="AR1290" s="1525"/>
      <c r="AS1290" s="1525"/>
      <c r="AU1290" s="1525"/>
      <c r="AV1290" s="1295"/>
      <c r="AW1290" s="1525"/>
      <c r="AX1290" s="1525"/>
      <c r="AY1290" s="1525"/>
      <c r="AZ1290" s="1525"/>
      <c r="BA1290" s="1525"/>
      <c r="BB1290" s="1525"/>
      <c r="BC1290" s="1525"/>
      <c r="BD1290" s="1525"/>
      <c r="BE1290" s="1525"/>
      <c r="BF1290" s="1525"/>
      <c r="BG1290" s="1525"/>
      <c r="BH1290" s="1525"/>
      <c r="BI1290" s="1525"/>
      <c r="BJ1290" s="1525"/>
      <c r="BK1290" s="1525"/>
      <c r="BL1290" s="1525"/>
      <c r="BM1290" s="1525"/>
      <c r="BN1290" s="1525"/>
      <c r="BO1290" s="1525"/>
      <c r="BP1290" s="1525"/>
      <c r="BQ1290" s="1525"/>
      <c r="BR1290" s="1525"/>
      <c r="BS1290" s="1525"/>
      <c r="BT1290" s="1670"/>
      <c r="BV1290"/>
      <c r="BW1290" s="913"/>
    </row>
    <row r="1291" spans="1:75" s="164" customFormat="1" ht="12.75" customHeight="1" x14ac:dyDescent="0.15">
      <c r="B1291" s="175"/>
      <c r="C1291" s="648" t="s">
        <v>344</v>
      </c>
      <c r="D1291" s="649" t="s">
        <v>346</v>
      </c>
      <c r="E1291" s="650" t="s">
        <v>1564</v>
      </c>
      <c r="F1291" s="343" t="s">
        <v>1216</v>
      </c>
      <c r="G1291" s="863">
        <f>COUNTA(G1241:G1290)</f>
        <v>35</v>
      </c>
      <c r="H1291" s="1348" t="s">
        <v>1508</v>
      </c>
      <c r="I1291" s="378"/>
      <c r="J1291" s="377"/>
      <c r="K1291" s="379">
        <f>K1245+K1266+K1288</f>
        <v>2</v>
      </c>
      <c r="L1291" s="863">
        <f>L1245+L1266+L1288</f>
        <v>31.5</v>
      </c>
      <c r="M1291" s="863">
        <f>M1245+M1266+M1288</f>
        <v>33.5</v>
      </c>
      <c r="N1291" s="840"/>
      <c r="O1291" s="840"/>
      <c r="P1291" s="1220"/>
      <c r="Q1291" s="1154"/>
      <c r="R1291" s="887"/>
      <c r="S1291" s="880"/>
      <c r="T1291" s="880"/>
      <c r="U1291" s="880"/>
      <c r="V1291" s="880"/>
      <c r="W1291" s="880"/>
      <c r="X1291" s="1276">
        <f>SUM(X1242:X1287)</f>
        <v>1404512.2</v>
      </c>
      <c r="Y1291" s="1511"/>
      <c r="Z1291" s="1654">
        <f>SUM(Z1242:Z1290)</f>
        <v>37.480503296218586</v>
      </c>
      <c r="AA1291" s="1827">
        <f>SUM(AA1242:AA1290)</f>
        <v>33.5</v>
      </c>
      <c r="AB1291" s="1813">
        <f t="shared" ref="AB1291" si="778">100*AA1291/Z1291</f>
        <v>89.379802974470252</v>
      </c>
      <c r="AC1291" s="1721"/>
      <c r="AD1291" s="1291"/>
      <c r="AE1291" s="1525"/>
      <c r="AF1291" s="1525"/>
      <c r="AG1291" s="1525"/>
      <c r="AH1291" s="1525"/>
      <c r="AI1291" s="1525"/>
      <c r="AJ1291" s="1525"/>
      <c r="AK1291" s="1525"/>
      <c r="AL1291" s="1525"/>
      <c r="AM1291" s="1525"/>
      <c r="AN1291" s="1525"/>
      <c r="AO1291" s="1525"/>
      <c r="AP1291" s="1525"/>
      <c r="AQ1291" s="1525"/>
      <c r="AR1291" s="1525"/>
      <c r="AS1291" s="1525"/>
      <c r="AU1291" s="1525"/>
      <c r="AV1291" s="1295"/>
      <c r="AW1291" s="1525"/>
      <c r="AX1291" s="1525"/>
      <c r="AY1291" s="1525"/>
      <c r="AZ1291" s="1525"/>
      <c r="BA1291" s="1525"/>
      <c r="BB1291" s="1525"/>
      <c r="BC1291" s="1525"/>
      <c r="BD1291" s="1525"/>
      <c r="BE1291" s="1525"/>
      <c r="BF1291" s="1525"/>
      <c r="BG1291" s="1525"/>
      <c r="BH1291" s="1525"/>
      <c r="BI1291" s="1525"/>
      <c r="BJ1291" s="1525"/>
      <c r="BK1291" s="1525"/>
      <c r="BL1291" s="1525"/>
      <c r="BM1291" s="1525"/>
      <c r="BN1291" s="1525"/>
      <c r="BO1291" s="1525"/>
      <c r="BP1291" s="1525"/>
      <c r="BQ1291" s="1525"/>
      <c r="BR1291" s="1525"/>
      <c r="BS1291" s="1525"/>
      <c r="BT1291" s="1670"/>
      <c r="BV1291"/>
      <c r="BW1291" s="864"/>
    </row>
    <row r="1292" spans="1:75" s="164" customFormat="1" ht="12.75" customHeight="1" x14ac:dyDescent="0.15">
      <c r="B1292" s="175"/>
      <c r="C1292" s="423" t="s">
        <v>136</v>
      </c>
      <c r="D1292" s="423"/>
      <c r="E1292" s="424" t="s">
        <v>1564</v>
      </c>
      <c r="F1292" s="424" t="s">
        <v>893</v>
      </c>
      <c r="G1292" s="867"/>
      <c r="H1292" s="1349" t="s">
        <v>1508</v>
      </c>
      <c r="I1292" s="426"/>
      <c r="J1292" s="425"/>
      <c r="K1292" s="425"/>
      <c r="L1292" s="866"/>
      <c r="M1292" s="866"/>
      <c r="N1292" s="926"/>
      <c r="O1292" s="926"/>
      <c r="P1292" s="1247"/>
      <c r="Q1292" s="1158"/>
      <c r="R1292" s="1027"/>
      <c r="S1292" s="1028"/>
      <c r="T1292" s="1028"/>
      <c r="U1292" s="1028"/>
      <c r="V1292" s="1028"/>
      <c r="W1292" s="1028"/>
      <c r="X1292" s="1697">
        <v>4832</v>
      </c>
      <c r="Y1292" s="1028"/>
      <c r="Z1292" s="1028"/>
      <c r="AA1292" s="1775"/>
      <c r="AB1292" s="1814"/>
      <c r="AC1292" s="876"/>
      <c r="AD1292" s="1295"/>
      <c r="AE1292" s="1525"/>
      <c r="AF1292" s="1525"/>
      <c r="AG1292" s="1525"/>
      <c r="AH1292" s="1525"/>
      <c r="AI1292" s="1525"/>
      <c r="AJ1292" s="1525"/>
      <c r="AK1292" s="1525"/>
      <c r="AL1292" s="1525"/>
      <c r="AM1292" s="1525"/>
      <c r="AN1292" s="1525"/>
      <c r="AO1292" s="1525"/>
      <c r="AP1292" s="1525"/>
      <c r="AQ1292" s="1525"/>
      <c r="AR1292" s="1525"/>
      <c r="AS1292" s="1525"/>
      <c r="AU1292" s="1525"/>
      <c r="AV1292" s="1295"/>
      <c r="AW1292" s="1525"/>
      <c r="AX1292" s="1525"/>
      <c r="AY1292" s="1525"/>
      <c r="AZ1292" s="1525"/>
      <c r="BA1292" s="1525"/>
      <c r="BB1292" s="1525"/>
      <c r="BC1292" s="1525"/>
      <c r="BD1292" s="1525"/>
      <c r="BE1292" s="1525"/>
      <c r="BF1292" s="1525"/>
      <c r="BG1292" s="1525"/>
      <c r="BH1292" s="1525"/>
      <c r="BI1292" s="1525"/>
      <c r="BJ1292" s="1525"/>
      <c r="BK1292" s="1525"/>
      <c r="BL1292" s="1525"/>
      <c r="BM1292" s="1525"/>
      <c r="BN1292" s="1525"/>
      <c r="BO1292" s="1525"/>
      <c r="BP1292" s="1525"/>
      <c r="BQ1292" s="1525"/>
      <c r="BR1292" s="1525"/>
      <c r="BS1292" s="1525"/>
      <c r="BT1292" s="1670"/>
      <c r="BV1292"/>
      <c r="BW1292" s="867"/>
    </row>
    <row r="1293" spans="1:75" s="164" customFormat="1" ht="12.75" customHeight="1" x14ac:dyDescent="0.15">
      <c r="B1293" s="175"/>
      <c r="C1293" s="1463" t="s">
        <v>794</v>
      </c>
      <c r="D1293" s="1464"/>
      <c r="E1293" s="1442" t="s">
        <v>1564</v>
      </c>
      <c r="F1293" s="1465" t="s">
        <v>884</v>
      </c>
      <c r="G1293" s="1458"/>
      <c r="H1293" s="1466" t="s">
        <v>1508</v>
      </c>
      <c r="I1293" s="1467"/>
      <c r="J1293" s="1468"/>
      <c r="K1293" s="1468"/>
      <c r="L1293" s="1469"/>
      <c r="M1293" s="1469"/>
      <c r="N1293" s="1458"/>
      <c r="O1293" s="1458"/>
      <c r="P1293" s="1459"/>
      <c r="Q1293" s="1470"/>
      <c r="R1293" s="1471"/>
      <c r="S1293" s="1462"/>
      <c r="T1293" s="1462"/>
      <c r="U1293" s="1462"/>
      <c r="V1293" s="1462"/>
      <c r="W1293" s="1462"/>
      <c r="X1293" s="1718"/>
      <c r="Y1293" s="1487"/>
      <c r="Z1293" s="1487"/>
      <c r="AA1293" s="1775"/>
      <c r="AB1293" s="1814"/>
      <c r="AC1293" s="876"/>
      <c r="AD1293" s="1291"/>
      <c r="AE1293" s="1292"/>
      <c r="AF1293" s="1292"/>
      <c r="AG1293" s="1292"/>
      <c r="AH1293" s="1292"/>
      <c r="AI1293" s="1292"/>
      <c r="AJ1293" s="1292"/>
      <c r="AK1293" s="1292"/>
      <c r="AL1293" s="1292"/>
      <c r="AM1293" s="1292"/>
      <c r="AN1293" s="1292"/>
      <c r="AO1293" s="1292"/>
      <c r="AP1293" s="1292"/>
      <c r="AQ1293" s="1292"/>
      <c r="AR1293" s="1292"/>
      <c r="AS1293" s="1292"/>
      <c r="AT1293" s="210"/>
      <c r="AU1293" s="1292"/>
      <c r="AV1293" s="1291"/>
      <c r="AW1293" s="1292"/>
      <c r="AX1293" s="1292"/>
      <c r="AY1293" s="1292"/>
      <c r="AZ1293" s="1292"/>
      <c r="BA1293" s="1292"/>
      <c r="BB1293" s="1292"/>
      <c r="BC1293" s="1292"/>
      <c r="BD1293" s="1292"/>
      <c r="BE1293" s="1292"/>
      <c r="BF1293" s="1292"/>
      <c r="BG1293" s="1292"/>
      <c r="BH1293" s="1292"/>
      <c r="BI1293" s="1292"/>
      <c r="BJ1293" s="1292"/>
      <c r="BK1293" s="1292"/>
      <c r="BL1293" s="1292"/>
      <c r="BM1293" s="1292"/>
      <c r="BN1293" s="1292"/>
      <c r="BO1293" s="1292"/>
      <c r="BP1293" s="1292"/>
      <c r="BQ1293" s="1292"/>
      <c r="BR1293" s="1292"/>
      <c r="BS1293" s="1292"/>
      <c r="BT1293" s="1670"/>
      <c r="BV1293"/>
      <c r="BW1293" s="1458"/>
    </row>
    <row r="1294" spans="1:75" s="164" customFormat="1" ht="12.75" customHeight="1" x14ac:dyDescent="0.15">
      <c r="B1294" s="175"/>
      <c r="F1294" s="13"/>
      <c r="G1294" s="832"/>
      <c r="H1294" s="1358" t="s">
        <v>1508</v>
      </c>
      <c r="I1294" s="180"/>
      <c r="J1294" s="173"/>
      <c r="K1294" s="173"/>
      <c r="L1294" s="893"/>
      <c r="M1294" s="893"/>
      <c r="N1294" s="832"/>
      <c r="O1294" s="1200"/>
      <c r="P1294" s="550"/>
      <c r="Q1294" s="1148"/>
      <c r="R1294" s="874"/>
      <c r="S1294" s="875"/>
      <c r="T1294" s="875"/>
      <c r="U1294" s="875"/>
      <c r="V1294" s="875"/>
      <c r="W1294" s="875"/>
      <c r="X1294" s="1026"/>
      <c r="Y1294" s="1757"/>
      <c r="Z1294" s="1756"/>
      <c r="AA1294" s="1775"/>
      <c r="AB1294" s="1814"/>
      <c r="AC1294" s="876"/>
      <c r="AD1294" s="1295"/>
      <c r="AE1294" s="1525"/>
      <c r="AF1294" s="1525"/>
      <c r="AG1294" s="1525"/>
      <c r="AH1294" s="1525"/>
      <c r="AI1294" s="1525"/>
      <c r="AJ1294" s="1525"/>
      <c r="AK1294" s="1525"/>
      <c r="AL1294" s="1525"/>
      <c r="AM1294" s="1525"/>
      <c r="AN1294" s="1525"/>
      <c r="AO1294" s="1525"/>
      <c r="AP1294" s="1525"/>
      <c r="AQ1294" s="1525"/>
      <c r="AR1294" s="1525"/>
      <c r="AS1294" s="1525"/>
      <c r="AU1294" s="1525"/>
      <c r="AV1294" s="1295"/>
      <c r="AW1294" s="1525"/>
      <c r="AX1294" s="1525"/>
      <c r="AY1294" s="1525"/>
      <c r="AZ1294" s="1525"/>
      <c r="BA1294" s="1525"/>
      <c r="BB1294" s="1525"/>
      <c r="BC1294" s="1525"/>
      <c r="BD1294" s="1525"/>
      <c r="BE1294" s="1525"/>
      <c r="BF1294" s="1525"/>
      <c r="BG1294" s="1525"/>
      <c r="BH1294" s="1525"/>
      <c r="BI1294" s="1525"/>
      <c r="BJ1294" s="1525"/>
      <c r="BK1294" s="1525"/>
      <c r="BL1294" s="1525"/>
      <c r="BM1294" s="1525"/>
      <c r="BN1294" s="1525"/>
      <c r="BO1294" s="1525"/>
      <c r="BP1294" s="1525"/>
      <c r="BQ1294" s="1525"/>
      <c r="BR1294" s="1525"/>
      <c r="BS1294" s="1525"/>
      <c r="BT1294" s="1670"/>
      <c r="BV1294"/>
      <c r="BW1294" s="832"/>
    </row>
    <row r="1295" spans="1:75" s="164" customFormat="1" ht="12.75" customHeight="1" x14ac:dyDescent="0.15">
      <c r="B1295" s="175"/>
      <c r="F1295" s="21" t="s">
        <v>1217</v>
      </c>
      <c r="G1295" s="821"/>
      <c r="H1295" s="1346" t="s">
        <v>1508</v>
      </c>
      <c r="I1295" s="244"/>
      <c r="J1295" s="233"/>
      <c r="K1295" s="233"/>
      <c r="L1295" s="858"/>
      <c r="M1295" s="858"/>
      <c r="N1295" s="857"/>
      <c r="O1295" s="1200"/>
      <c r="P1295" s="550"/>
      <c r="Q1295" s="1148"/>
      <c r="R1295" s="874"/>
      <c r="S1295" s="875"/>
      <c r="T1295" s="875"/>
      <c r="U1295" s="875"/>
      <c r="V1295" s="875"/>
      <c r="W1295" s="875"/>
      <c r="X1295" s="1026"/>
      <c r="Y1295" s="1757"/>
      <c r="Z1295" s="1756"/>
      <c r="AA1295" s="1775"/>
      <c r="AB1295" s="1814"/>
      <c r="AC1295" s="876"/>
      <c r="AD1295" s="1295"/>
      <c r="AE1295" s="1525"/>
      <c r="AF1295" s="1525"/>
      <c r="AG1295" s="1525"/>
      <c r="AH1295" s="1525"/>
      <c r="AI1295" s="1525"/>
      <c r="AJ1295" s="1525"/>
      <c r="AK1295" s="1525"/>
      <c r="AL1295" s="1525"/>
      <c r="AM1295" s="1525"/>
      <c r="AN1295" s="1525"/>
      <c r="AO1295" s="1525"/>
      <c r="AP1295" s="1525"/>
      <c r="AQ1295" s="1525"/>
      <c r="AR1295" s="1525"/>
      <c r="AS1295" s="1525"/>
      <c r="AU1295" s="1525"/>
      <c r="AV1295" s="1295"/>
      <c r="AW1295" s="1525"/>
      <c r="AX1295" s="1525"/>
      <c r="AY1295" s="1525"/>
      <c r="AZ1295" s="1525"/>
      <c r="BA1295" s="1525"/>
      <c r="BB1295" s="1525"/>
      <c r="BC1295" s="1525"/>
      <c r="BD1295" s="1525"/>
      <c r="BE1295" s="1525"/>
      <c r="BF1295" s="1525"/>
      <c r="BG1295" s="1525"/>
      <c r="BH1295" s="1525"/>
      <c r="BI1295" s="1525"/>
      <c r="BJ1295" s="1525"/>
      <c r="BK1295" s="1525"/>
      <c r="BL1295" s="1525"/>
      <c r="BM1295" s="1525"/>
      <c r="BN1295" s="1525"/>
      <c r="BO1295" s="1525"/>
      <c r="BP1295" s="1525"/>
      <c r="BQ1295" s="1525"/>
      <c r="BR1295" s="1525"/>
      <c r="BS1295" s="1525"/>
      <c r="BT1295" s="1670"/>
      <c r="BV1295"/>
      <c r="BW1295" s="821"/>
    </row>
    <row r="1296" spans="1:75" s="164" customFormat="1" ht="12.75" customHeight="1" x14ac:dyDescent="0.15">
      <c r="B1296" s="175"/>
      <c r="F1296" s="30"/>
      <c r="G1296" s="821"/>
      <c r="H1296" s="1346" t="s">
        <v>1508</v>
      </c>
      <c r="I1296" s="244"/>
      <c r="J1296" s="233"/>
      <c r="K1296" s="233"/>
      <c r="L1296" s="858"/>
      <c r="M1296" s="858"/>
      <c r="N1296" s="857"/>
      <c r="O1296" s="1200"/>
      <c r="P1296" s="550"/>
      <c r="Q1296" s="1148"/>
      <c r="R1296" s="874"/>
      <c r="S1296" s="875"/>
      <c r="T1296" s="875"/>
      <c r="U1296" s="875"/>
      <c r="V1296" s="875"/>
      <c r="W1296" s="875"/>
      <c r="X1296" s="1026"/>
      <c r="Y1296" s="1757"/>
      <c r="Z1296" s="1756"/>
      <c r="AA1296" s="1775"/>
      <c r="AB1296" s="1814"/>
      <c r="AC1296" s="876"/>
      <c r="AD1296" s="1295"/>
      <c r="AE1296" s="1525"/>
      <c r="AF1296" s="1525"/>
      <c r="AG1296" s="1525"/>
      <c r="AH1296" s="1525"/>
      <c r="AI1296" s="1525"/>
      <c r="AJ1296" s="1525"/>
      <c r="AK1296" s="1525"/>
      <c r="AL1296" s="1525"/>
      <c r="AM1296" s="1525"/>
      <c r="AN1296" s="1525"/>
      <c r="AO1296" s="1525"/>
      <c r="AP1296" s="1525"/>
      <c r="AQ1296" s="1525"/>
      <c r="AR1296" s="1525"/>
      <c r="AS1296" s="1525"/>
      <c r="AU1296" s="1525"/>
      <c r="AV1296" s="1295"/>
      <c r="AW1296" s="1525"/>
      <c r="AX1296" s="1525"/>
      <c r="AY1296" s="1525"/>
      <c r="AZ1296" s="1525"/>
      <c r="BA1296" s="1525"/>
      <c r="BB1296" s="1525"/>
      <c r="BC1296" s="1525"/>
      <c r="BD1296" s="1525"/>
      <c r="BE1296" s="1525"/>
      <c r="BF1296" s="1525"/>
      <c r="BG1296" s="1525"/>
      <c r="BH1296" s="1525"/>
      <c r="BI1296" s="1525"/>
      <c r="BJ1296" s="1525"/>
      <c r="BK1296" s="1525"/>
      <c r="BL1296" s="1525"/>
      <c r="BM1296" s="1525"/>
      <c r="BN1296" s="1525"/>
      <c r="BO1296" s="1525"/>
      <c r="BP1296" s="1525"/>
      <c r="BQ1296" s="1525"/>
      <c r="BR1296" s="1525"/>
      <c r="BS1296" s="1525"/>
      <c r="BT1296" s="1670"/>
      <c r="BV1296"/>
      <c r="BW1296" s="821"/>
    </row>
    <row r="1297" spans="1:75" ht="12.75" customHeight="1" x14ac:dyDescent="0.2">
      <c r="B1297" s="175">
        <f>B1296+1</f>
        <v>1</v>
      </c>
      <c r="C1297" s="581">
        <v>27</v>
      </c>
      <c r="D1297" s="1302"/>
      <c r="E1297" s="1306" t="s">
        <v>1565</v>
      </c>
      <c r="F1297" s="653" t="s">
        <v>1060</v>
      </c>
      <c r="G1297" s="825" t="s">
        <v>1218</v>
      </c>
      <c r="H1297" s="861">
        <v>7403</v>
      </c>
      <c r="I1297" s="643" t="s">
        <v>351</v>
      </c>
      <c r="J1297" s="593"/>
      <c r="K1297" s="593"/>
      <c r="L1297" s="861">
        <v>1</v>
      </c>
      <c r="M1297" s="861">
        <f>K1297+L1297</f>
        <v>1</v>
      </c>
      <c r="N1297" s="836" t="s">
        <v>1326</v>
      </c>
      <c r="O1297" s="1196">
        <v>16796</v>
      </c>
      <c r="P1297" s="1262">
        <f ca="1">YEARFRAC(TODAY(),O1297)</f>
        <v>71.769444444444446</v>
      </c>
      <c r="Q1297" s="1148">
        <v>52100</v>
      </c>
      <c r="R1297" s="874">
        <f>Q1297*0.1</f>
        <v>5210</v>
      </c>
      <c r="S1297" s="876">
        <v>3000</v>
      </c>
      <c r="T1297" s="876">
        <v>2000</v>
      </c>
      <c r="U1297" s="876">
        <v>4000</v>
      </c>
      <c r="V1297" s="876"/>
      <c r="W1297" s="876"/>
      <c r="X1297" s="1026">
        <f>(Q1297+R1297+S1297+T1297+U1297+V1297+W1297)*M1297</f>
        <v>66310</v>
      </c>
      <c r="Y1297" s="1512">
        <f>(T1297+U1297)*M1297/(X1297-M1297*(T1297+U1297))</f>
        <v>9.9485989056541199E-2</v>
      </c>
      <c r="Z1297" s="1741">
        <f>M1297*(1+Y1297)</f>
        <v>1.0994859890565412</v>
      </c>
      <c r="AA1297" s="1749">
        <f>SUM(AD1297:AS1297)</f>
        <v>0</v>
      </c>
      <c r="AB1297" s="1810">
        <f t="shared" ref="AB1297:AB1299" si="779">100*AA1297/Z1297</f>
        <v>0</v>
      </c>
      <c r="AC1297" s="876"/>
      <c r="AD1297" s="1525">
        <f t="shared" ref="AD1297:AS1299" si="780">SUMIF($AV$6:$BS$6,AD$5,$AV1297:$BS1297)</f>
        <v>0</v>
      </c>
      <c r="AE1297" s="1525">
        <f t="shared" si="780"/>
        <v>0</v>
      </c>
      <c r="AF1297" s="1525">
        <f t="shared" si="780"/>
        <v>0</v>
      </c>
      <c r="AG1297" s="1525">
        <f t="shared" si="780"/>
        <v>0</v>
      </c>
      <c r="AH1297" s="1525">
        <f t="shared" si="780"/>
        <v>0</v>
      </c>
      <c r="AI1297" s="1525">
        <f t="shared" si="780"/>
        <v>0</v>
      </c>
      <c r="AJ1297" s="1525">
        <f t="shared" si="780"/>
        <v>0</v>
      </c>
      <c r="AK1297" s="1525">
        <f t="shared" si="780"/>
        <v>0</v>
      </c>
      <c r="AL1297" s="1525">
        <f t="shared" si="780"/>
        <v>0</v>
      </c>
      <c r="AM1297" s="1525">
        <f t="shared" si="780"/>
        <v>0</v>
      </c>
      <c r="AN1297" s="1525">
        <f t="shared" si="780"/>
        <v>0</v>
      </c>
      <c r="AO1297" s="1525">
        <f t="shared" si="780"/>
        <v>0</v>
      </c>
      <c r="AP1297" s="1525">
        <f t="shared" si="780"/>
        <v>0</v>
      </c>
      <c r="AQ1297" s="1525">
        <f t="shared" si="780"/>
        <v>0</v>
      </c>
      <c r="AR1297" s="1525">
        <f t="shared" si="780"/>
        <v>0</v>
      </c>
      <c r="AS1297" s="1525">
        <f t="shared" si="780"/>
        <v>0</v>
      </c>
      <c r="AU1297" s="1525"/>
      <c r="AV1297" s="1291"/>
      <c r="AW1297" s="1292"/>
      <c r="AX1297" s="1292"/>
      <c r="AY1297" s="1292"/>
      <c r="AZ1297" s="1292"/>
      <c r="BA1297" s="1292"/>
      <c r="BB1297" s="1292"/>
      <c r="BC1297" s="1292"/>
      <c r="BD1297" s="1292"/>
      <c r="BE1297" s="1292"/>
      <c r="BF1297" s="1292"/>
      <c r="BG1297" s="1292"/>
      <c r="BH1297" s="1292"/>
      <c r="BI1297" s="1292"/>
      <c r="BJ1297" s="1292"/>
      <c r="BK1297" s="1292"/>
      <c r="BL1297" s="1292"/>
      <c r="BM1297" s="1292"/>
      <c r="BN1297" s="1292"/>
      <c r="BO1297" s="1292"/>
      <c r="BP1297" s="1292"/>
      <c r="BQ1297" s="1292"/>
      <c r="BR1297" s="1292"/>
      <c r="BS1297" s="1292"/>
      <c r="BT1297" s="1670">
        <f t="shared" ref="BT1297:BT1299" si="781">SUM(AV1297:BS1297)</f>
        <v>0</v>
      </c>
      <c r="BW1297" s="825" t="s">
        <v>1218</v>
      </c>
    </row>
    <row r="1298" spans="1:75" ht="12.75" customHeight="1" x14ac:dyDescent="0.2">
      <c r="B1298" s="175">
        <f>B1297+1</f>
        <v>2</v>
      </c>
      <c r="C1298" s="219">
        <v>21</v>
      </c>
      <c r="E1298" s="12" t="s">
        <v>1565</v>
      </c>
      <c r="F1298" s="24" t="s">
        <v>626</v>
      </c>
      <c r="G1298" s="821" t="s">
        <v>1219</v>
      </c>
      <c r="H1298" s="858">
        <v>7137</v>
      </c>
      <c r="I1298" s="200" t="s">
        <v>583</v>
      </c>
      <c r="J1298" s="189"/>
      <c r="K1298" s="189"/>
      <c r="L1298" s="858">
        <v>1</v>
      </c>
      <c r="M1298" s="858">
        <v>1</v>
      </c>
      <c r="N1298" s="855" t="s">
        <v>1402</v>
      </c>
      <c r="O1298" s="1196">
        <v>17062</v>
      </c>
      <c r="P1298" s="1218">
        <f ca="1">YEARFRAC(TODAY(),O1298)</f>
        <v>71.041666666666671</v>
      </c>
      <c r="Q1298" s="1148">
        <v>23600</v>
      </c>
      <c r="R1298" s="874">
        <f>Q1298*0.1</f>
        <v>2360</v>
      </c>
      <c r="S1298" s="875"/>
      <c r="T1298" s="875"/>
      <c r="U1298" s="875"/>
      <c r="V1298" s="875"/>
      <c r="W1298" s="875"/>
      <c r="X1298" s="1026">
        <f>(Q1298+R1298+S1298+T1298+U1298+V1298+W1298)*M1298</f>
        <v>25960</v>
      </c>
      <c r="Y1298" s="1512">
        <f>(T1298+U1298)*M1298/(X1298-M1298*(T1298+U1298))</f>
        <v>0</v>
      </c>
      <c r="Z1298" s="1741">
        <f>M1298*(1+Y1298)</f>
        <v>1</v>
      </c>
      <c r="AA1298" s="1749">
        <f>SUM(AD1298:AS1298)</f>
        <v>0</v>
      </c>
      <c r="AB1298" s="1810">
        <f t="shared" si="779"/>
        <v>0</v>
      </c>
      <c r="AC1298" s="876"/>
      <c r="AD1298" s="1525">
        <f t="shared" si="780"/>
        <v>0</v>
      </c>
      <c r="AE1298" s="1525">
        <f t="shared" si="780"/>
        <v>0</v>
      </c>
      <c r="AF1298" s="1525">
        <f t="shared" si="780"/>
        <v>0</v>
      </c>
      <c r="AG1298" s="1525">
        <f t="shared" si="780"/>
        <v>0</v>
      </c>
      <c r="AH1298" s="1525">
        <f t="shared" si="780"/>
        <v>0</v>
      </c>
      <c r="AI1298" s="1525">
        <f t="shared" si="780"/>
        <v>0</v>
      </c>
      <c r="AJ1298" s="1525">
        <f t="shared" si="780"/>
        <v>0</v>
      </c>
      <c r="AK1298" s="1525">
        <f t="shared" si="780"/>
        <v>0</v>
      </c>
      <c r="AL1298" s="1525">
        <f t="shared" si="780"/>
        <v>0</v>
      </c>
      <c r="AM1298" s="1525">
        <f t="shared" si="780"/>
        <v>0</v>
      </c>
      <c r="AN1298" s="1525">
        <f t="shared" si="780"/>
        <v>0</v>
      </c>
      <c r="AO1298" s="1525">
        <f t="shared" si="780"/>
        <v>0</v>
      </c>
      <c r="AP1298" s="1525">
        <f t="shared" si="780"/>
        <v>0</v>
      </c>
      <c r="AQ1298" s="1525">
        <f t="shared" si="780"/>
        <v>0</v>
      </c>
      <c r="AR1298" s="1525">
        <f t="shared" si="780"/>
        <v>0</v>
      </c>
      <c r="AS1298" s="1525">
        <f t="shared" si="780"/>
        <v>0</v>
      </c>
      <c r="AU1298" s="1525"/>
      <c r="AV1298" s="1291"/>
      <c r="AW1298" s="1292"/>
      <c r="AX1298" s="1292"/>
      <c r="AY1298" s="1292"/>
      <c r="AZ1298" s="1292"/>
      <c r="BA1298" s="1292"/>
      <c r="BB1298" s="1292"/>
      <c r="BC1298" s="1292"/>
      <c r="BD1298" s="1292"/>
      <c r="BE1298" s="1292"/>
      <c r="BF1298" s="1292"/>
      <c r="BG1298" s="1292"/>
      <c r="BH1298" s="1292"/>
      <c r="BI1298" s="1292"/>
      <c r="BJ1298" s="1292"/>
      <c r="BK1298" s="1292"/>
      <c r="BL1298" s="1292"/>
      <c r="BM1298" s="1292"/>
      <c r="BN1298" s="1292"/>
      <c r="BO1298" s="1292"/>
      <c r="BP1298" s="1292"/>
      <c r="BQ1298" s="1292"/>
      <c r="BR1298" s="1292"/>
      <c r="BS1298" s="1292"/>
      <c r="BT1298" s="1670">
        <f t="shared" si="781"/>
        <v>0</v>
      </c>
      <c r="BW1298" s="821" t="s">
        <v>1219</v>
      </c>
    </row>
    <row r="1299" spans="1:75" ht="12.75" customHeight="1" x14ac:dyDescent="0.2">
      <c r="B1299" s="175">
        <f>B1298+1</f>
        <v>3</v>
      </c>
      <c r="C1299" s="219">
        <v>21</v>
      </c>
      <c r="E1299" s="12" t="s">
        <v>1565</v>
      </c>
      <c r="F1299" s="26" t="s">
        <v>1583</v>
      </c>
      <c r="G1299" s="830" t="s">
        <v>589</v>
      </c>
      <c r="H1299" s="873">
        <v>6006</v>
      </c>
      <c r="I1299" s="196" t="s">
        <v>583</v>
      </c>
      <c r="J1299" s="195"/>
      <c r="K1299" s="195"/>
      <c r="L1299" s="873">
        <v>1</v>
      </c>
      <c r="M1299" s="873">
        <f>K1299+L1299</f>
        <v>1</v>
      </c>
      <c r="N1299" s="940" t="s">
        <v>892</v>
      </c>
      <c r="O1299" s="1211">
        <v>20998</v>
      </c>
      <c r="P1299" s="1218">
        <f ca="1">YEARFRAC(TODAY(),O1299)</f>
        <v>60.263888888888886</v>
      </c>
      <c r="Q1299" s="1071">
        <v>26000</v>
      </c>
      <c r="R1299" s="890"/>
      <c r="S1299" s="891"/>
      <c r="T1299" s="891"/>
      <c r="U1299" s="891"/>
      <c r="V1299" s="891"/>
      <c r="W1299" s="891"/>
      <c r="X1299" s="1026">
        <f>(Q1299+R1299+S1299+T1299+U1299+V1299+W1299)*M1299</f>
        <v>26000</v>
      </c>
      <c r="Y1299" s="1512">
        <f>(T1299+U1299)*M1299/(X1299-M1299*(T1299+U1299))</f>
        <v>0</v>
      </c>
      <c r="Z1299" s="1741">
        <f>M1299*(1+Y1299)</f>
        <v>1</v>
      </c>
      <c r="AA1299" s="1749">
        <f>SUM(AD1299:AS1299)</f>
        <v>0</v>
      </c>
      <c r="AB1299" s="1810">
        <f t="shared" si="779"/>
        <v>0</v>
      </c>
      <c r="AC1299" s="876"/>
      <c r="AD1299" s="1525">
        <f t="shared" si="780"/>
        <v>0</v>
      </c>
      <c r="AE1299" s="1525">
        <f t="shared" si="780"/>
        <v>0</v>
      </c>
      <c r="AF1299" s="1525">
        <f t="shared" si="780"/>
        <v>0</v>
      </c>
      <c r="AG1299" s="1525">
        <f t="shared" si="780"/>
        <v>0</v>
      </c>
      <c r="AH1299" s="1525">
        <f t="shared" si="780"/>
        <v>0</v>
      </c>
      <c r="AI1299" s="1525">
        <f t="shared" si="780"/>
        <v>0</v>
      </c>
      <c r="AJ1299" s="1525">
        <f t="shared" si="780"/>
        <v>0</v>
      </c>
      <c r="AK1299" s="1525">
        <f t="shared" si="780"/>
        <v>0</v>
      </c>
      <c r="AL1299" s="1525">
        <f t="shared" si="780"/>
        <v>0</v>
      </c>
      <c r="AM1299" s="1525">
        <f t="shared" si="780"/>
        <v>0</v>
      </c>
      <c r="AN1299" s="1525">
        <f t="shared" si="780"/>
        <v>0</v>
      </c>
      <c r="AO1299" s="1525">
        <f t="shared" si="780"/>
        <v>0</v>
      </c>
      <c r="AP1299" s="1525">
        <f t="shared" si="780"/>
        <v>0</v>
      </c>
      <c r="AQ1299" s="1525">
        <f t="shared" si="780"/>
        <v>0</v>
      </c>
      <c r="AR1299" s="1525">
        <f t="shared" si="780"/>
        <v>0</v>
      </c>
      <c r="AS1299" s="1525">
        <f t="shared" si="780"/>
        <v>0</v>
      </c>
      <c r="AU1299" s="1525"/>
      <c r="AV1299" s="1291"/>
      <c r="AW1299" s="1292"/>
      <c r="AX1299" s="1292"/>
      <c r="AY1299" s="1292"/>
      <c r="AZ1299" s="1292"/>
      <c r="BA1299" s="1292"/>
      <c r="BB1299" s="1292"/>
      <c r="BC1299" s="1292"/>
      <c r="BD1299" s="1292"/>
      <c r="BE1299" s="1292"/>
      <c r="BF1299" s="1292"/>
      <c r="BG1299" s="1292"/>
      <c r="BH1299" s="1292"/>
      <c r="BI1299" s="1292"/>
      <c r="BJ1299" s="1292"/>
      <c r="BK1299" s="1292"/>
      <c r="BL1299" s="1292"/>
      <c r="BM1299" s="1292"/>
      <c r="BN1299" s="1292"/>
      <c r="BO1299" s="1292"/>
      <c r="BP1299" s="1292"/>
      <c r="BQ1299" s="1292"/>
      <c r="BR1299" s="1292"/>
      <c r="BS1299" s="1292"/>
      <c r="BT1299" s="1670">
        <f t="shared" si="781"/>
        <v>0</v>
      </c>
      <c r="BW1299" s="830" t="s">
        <v>589</v>
      </c>
    </row>
    <row r="1300" spans="1:75" s="388" customFormat="1" ht="12.75" customHeight="1" x14ac:dyDescent="0.2">
      <c r="A1300" s="164"/>
      <c r="B1300" s="175"/>
      <c r="C1300" s="219" t="s">
        <v>1120</v>
      </c>
      <c r="D1300" s="265"/>
      <c r="E1300" s="387"/>
      <c r="F1300" s="24" t="s">
        <v>379</v>
      </c>
      <c r="G1300" s="821"/>
      <c r="H1300" s="1361" t="s">
        <v>1508</v>
      </c>
      <c r="I1300" s="200"/>
      <c r="J1300" s="189"/>
      <c r="K1300" s="448">
        <f>SUM(K1297:K1299)</f>
        <v>0</v>
      </c>
      <c r="L1300" s="902">
        <f>SUM(L1297:L1299)</f>
        <v>3</v>
      </c>
      <c r="M1300" s="902">
        <f>SUM(M1297:M1299)</f>
        <v>3</v>
      </c>
      <c r="N1300" s="857"/>
      <c r="O1300" s="1192"/>
      <c r="P1300" s="1253"/>
      <c r="Q1300" s="1153"/>
      <c r="R1300" s="877"/>
      <c r="S1300" s="875"/>
      <c r="T1300" s="875"/>
      <c r="U1300" s="875"/>
      <c r="V1300" s="875"/>
      <c r="W1300" s="875"/>
      <c r="X1300" s="1026"/>
      <c r="Y1300" s="1335"/>
      <c r="Z1300" s="1335"/>
      <c r="AA1300" s="1775"/>
      <c r="AB1300" s="1830"/>
      <c r="AC1300" s="876"/>
      <c r="AD1300" s="1534"/>
      <c r="AE1300" s="1535"/>
      <c r="AF1300" s="1535"/>
      <c r="AG1300" s="1535"/>
      <c r="AH1300" s="1535"/>
      <c r="AI1300" s="1535"/>
      <c r="AJ1300" s="1535"/>
      <c r="AK1300" s="1535"/>
      <c r="AL1300" s="1535"/>
      <c r="AM1300" s="1535"/>
      <c r="AN1300" s="1535"/>
      <c r="AO1300" s="1535"/>
      <c r="AP1300" s="1535"/>
      <c r="AQ1300" s="1535"/>
      <c r="AR1300" s="1535"/>
      <c r="AS1300" s="1535"/>
      <c r="AU1300" s="1525"/>
      <c r="AV1300" s="1534"/>
      <c r="AW1300" s="1535"/>
      <c r="AX1300" s="1535"/>
      <c r="AY1300" s="1535"/>
      <c r="AZ1300" s="1535"/>
      <c r="BA1300" s="1535"/>
      <c r="BB1300" s="1535"/>
      <c r="BC1300" s="1535"/>
      <c r="BD1300" s="1535"/>
      <c r="BE1300" s="1535"/>
      <c r="BF1300" s="1535"/>
      <c r="BG1300" s="1535"/>
      <c r="BH1300" s="1535"/>
      <c r="BI1300" s="1535"/>
      <c r="BJ1300" s="1535"/>
      <c r="BK1300" s="1535"/>
      <c r="BL1300" s="1535"/>
      <c r="BM1300" s="1535"/>
      <c r="BN1300" s="1535"/>
      <c r="BO1300" s="1535"/>
      <c r="BP1300" s="1535"/>
      <c r="BQ1300" s="1535"/>
      <c r="BR1300" s="1535"/>
      <c r="BS1300" s="1535"/>
      <c r="BT1300" s="1675"/>
      <c r="BV1300"/>
      <c r="BW1300" s="821"/>
    </row>
    <row r="1301" spans="1:75" s="164" customFormat="1" ht="12.75" customHeight="1" x14ac:dyDescent="0.15">
      <c r="B1301" s="175"/>
      <c r="F1301" s="24"/>
      <c r="G1301" s="821"/>
      <c r="H1301" s="1346" t="s">
        <v>1508</v>
      </c>
      <c r="I1301" s="200"/>
      <c r="J1301" s="189"/>
      <c r="K1301" s="189"/>
      <c r="L1301" s="858"/>
      <c r="M1301" s="858"/>
      <c r="N1301" s="857"/>
      <c r="O1301" s="1200"/>
      <c r="P1301" s="550"/>
      <c r="Q1301" s="1148"/>
      <c r="R1301" s="874"/>
      <c r="S1301" s="875"/>
      <c r="T1301" s="875"/>
      <c r="U1301" s="875"/>
      <c r="V1301" s="875"/>
      <c r="W1301" s="875"/>
      <c r="X1301" s="1026"/>
      <c r="Y1301" s="1754"/>
      <c r="Z1301" s="1755"/>
      <c r="AA1301" s="1775"/>
      <c r="AB1301" s="1814"/>
      <c r="AC1301" s="876"/>
      <c r="AD1301" s="1295"/>
      <c r="AE1301" s="1525"/>
      <c r="AF1301" s="1525"/>
      <c r="AG1301" s="1525"/>
      <c r="AH1301" s="1525"/>
      <c r="AI1301" s="1525"/>
      <c r="AJ1301" s="1525"/>
      <c r="AK1301" s="1525"/>
      <c r="AL1301" s="1525"/>
      <c r="AM1301" s="1525"/>
      <c r="AN1301" s="1525"/>
      <c r="AO1301" s="1525"/>
      <c r="AP1301" s="1525"/>
      <c r="AQ1301" s="1525"/>
      <c r="AR1301" s="1525"/>
      <c r="AS1301" s="1525"/>
      <c r="AU1301" s="1525"/>
      <c r="AV1301" s="1295"/>
      <c r="AW1301" s="1525"/>
      <c r="AX1301" s="1525"/>
      <c r="AY1301" s="1525"/>
      <c r="AZ1301" s="1525"/>
      <c r="BA1301" s="1525"/>
      <c r="BB1301" s="1525"/>
      <c r="BC1301" s="1525"/>
      <c r="BD1301" s="1525"/>
      <c r="BE1301" s="1525"/>
      <c r="BF1301" s="1525"/>
      <c r="BG1301" s="1525"/>
      <c r="BH1301" s="1525"/>
      <c r="BI1301" s="1525"/>
      <c r="BJ1301" s="1525"/>
      <c r="BK1301" s="1525"/>
      <c r="BL1301" s="1525"/>
      <c r="BM1301" s="1525"/>
      <c r="BN1301" s="1525"/>
      <c r="BO1301" s="1525"/>
      <c r="BP1301" s="1525"/>
      <c r="BQ1301" s="1525"/>
      <c r="BR1301" s="1525"/>
      <c r="BS1301" s="1525"/>
      <c r="BT1301" s="1670"/>
      <c r="BV1301"/>
      <c r="BW1301" s="821"/>
    </row>
    <row r="1302" spans="1:75" s="164" customFormat="1" ht="12.75" customHeight="1" x14ac:dyDescent="0.15">
      <c r="B1302" s="175"/>
      <c r="F1302" s="36" t="s">
        <v>598</v>
      </c>
      <c r="G1302" s="821"/>
      <c r="H1302" s="1346" t="s">
        <v>1508</v>
      </c>
      <c r="I1302" s="200"/>
      <c r="J1302" s="189"/>
      <c r="K1302" s="189"/>
      <c r="L1302" s="858"/>
      <c r="M1302" s="858"/>
      <c r="N1302" s="857"/>
      <c r="O1302" s="1200"/>
      <c r="P1302" s="550"/>
      <c r="Q1302" s="1148"/>
      <c r="R1302" s="874"/>
      <c r="S1302" s="875"/>
      <c r="T1302" s="875"/>
      <c r="U1302" s="875"/>
      <c r="V1302" s="875"/>
      <c r="W1302" s="875"/>
      <c r="X1302" s="1026"/>
      <c r="Y1302" s="1512"/>
      <c r="Z1302" s="1741"/>
      <c r="AA1302" s="1749"/>
      <c r="AB1302" s="1812"/>
      <c r="AC1302" s="876"/>
      <c r="AD1302" s="1295"/>
      <c r="AE1302" s="1525"/>
      <c r="AF1302" s="1525"/>
      <c r="AG1302" s="1525"/>
      <c r="AH1302" s="1525"/>
      <c r="AI1302" s="1525"/>
      <c r="AJ1302" s="1525"/>
      <c r="AK1302" s="1525"/>
      <c r="AL1302" s="1525"/>
      <c r="AM1302" s="1525"/>
      <c r="AN1302" s="1525"/>
      <c r="AO1302" s="1525"/>
      <c r="AP1302" s="1525"/>
      <c r="AQ1302" s="1525"/>
      <c r="AR1302" s="1525"/>
      <c r="AS1302" s="1525"/>
      <c r="AU1302" s="1525"/>
      <c r="AV1302" s="1295"/>
      <c r="AW1302" s="1525"/>
      <c r="AX1302" s="1525"/>
      <c r="AY1302" s="1525"/>
      <c r="AZ1302" s="1525"/>
      <c r="BA1302" s="1525"/>
      <c r="BB1302" s="1525"/>
      <c r="BC1302" s="1525"/>
      <c r="BD1302" s="1525"/>
      <c r="BE1302" s="1525"/>
      <c r="BF1302" s="1525"/>
      <c r="BG1302" s="1525"/>
      <c r="BH1302" s="1525"/>
      <c r="BI1302" s="1525"/>
      <c r="BJ1302" s="1525"/>
      <c r="BK1302" s="1525"/>
      <c r="BL1302" s="1525"/>
      <c r="BM1302" s="1525"/>
      <c r="BN1302" s="1525"/>
      <c r="BO1302" s="1525"/>
      <c r="BP1302" s="1525"/>
      <c r="BQ1302" s="1525"/>
      <c r="BR1302" s="1525"/>
      <c r="BS1302" s="1525"/>
      <c r="BT1302" s="1670"/>
      <c r="BV1302"/>
      <c r="BW1302" s="821"/>
    </row>
    <row r="1303" spans="1:75" ht="12.75" customHeight="1" x14ac:dyDescent="0.2">
      <c r="B1303" s="175">
        <f>B1302+1</f>
        <v>1</v>
      </c>
      <c r="C1303" s="236">
        <v>5</v>
      </c>
      <c r="D1303" s="218"/>
      <c r="E1303" s="166" t="s">
        <v>1565</v>
      </c>
      <c r="F1303" s="30" t="s">
        <v>599</v>
      </c>
      <c r="G1303" s="821" t="s">
        <v>1345</v>
      </c>
      <c r="H1303" s="858">
        <v>7074</v>
      </c>
      <c r="I1303" s="202" t="s">
        <v>351</v>
      </c>
      <c r="J1303" s="215"/>
      <c r="K1303" s="215"/>
      <c r="L1303" s="858">
        <v>1</v>
      </c>
      <c r="M1303" s="858">
        <f>K1303+L1303</f>
        <v>1</v>
      </c>
      <c r="N1303" s="857" t="s">
        <v>1326</v>
      </c>
      <c r="O1303" s="1196">
        <v>16155</v>
      </c>
      <c r="P1303" s="1218">
        <f t="shared" ref="P1303:P1311" ca="1" si="782">YEARFRAC(TODAY(),O1303)</f>
        <v>73.522222222222226</v>
      </c>
      <c r="Q1303" s="1148">
        <v>52100</v>
      </c>
      <c r="R1303" s="874">
        <f>Q1303*0.1</f>
        <v>5210</v>
      </c>
      <c r="S1303" s="875">
        <v>7000</v>
      </c>
      <c r="T1303" s="875"/>
      <c r="U1303" s="875"/>
      <c r="V1303" s="875"/>
      <c r="W1303" s="875"/>
      <c r="X1303" s="1026">
        <f t="shared" ref="X1303:X1312" si="783">(Q1303+R1303+S1303+T1303+U1303+V1303+W1303)*M1303</f>
        <v>64310</v>
      </c>
      <c r="Y1303" s="1512">
        <f t="shared" ref="Y1303:Y1312" si="784">(T1303+U1303)*M1303/(X1303-M1303*(T1303+U1303))</f>
        <v>0</v>
      </c>
      <c r="Z1303" s="1741">
        <f t="shared" ref="Z1303:Z1312" si="785">M1303*(1+Y1303)</f>
        <v>1</v>
      </c>
      <c r="AA1303" s="1749">
        <f t="shared" ref="AA1303:AA1312" si="786">SUM(AD1303:AS1303)</f>
        <v>1</v>
      </c>
      <c r="AB1303" s="1810">
        <f t="shared" ref="AB1303:AB1312" si="787">100*AA1303/Z1303</f>
        <v>100</v>
      </c>
      <c r="AC1303" s="876"/>
      <c r="AD1303" s="1525">
        <f t="shared" ref="AD1303:AS1312" si="788">SUMIF($AV$6:$BS$6,AD$5,$AV1303:$BS1303)</f>
        <v>0</v>
      </c>
      <c r="AE1303" s="1525">
        <f t="shared" si="788"/>
        <v>0</v>
      </c>
      <c r="AF1303" s="1525">
        <f t="shared" si="788"/>
        <v>0</v>
      </c>
      <c r="AG1303" s="1525">
        <f t="shared" si="788"/>
        <v>0</v>
      </c>
      <c r="AH1303" s="1525">
        <f t="shared" si="788"/>
        <v>0</v>
      </c>
      <c r="AI1303" s="1525">
        <f t="shared" si="788"/>
        <v>0</v>
      </c>
      <c r="AJ1303" s="1525">
        <f t="shared" si="788"/>
        <v>0</v>
      </c>
      <c r="AK1303" s="1525">
        <f t="shared" si="788"/>
        <v>1</v>
      </c>
      <c r="AL1303" s="1525">
        <f t="shared" si="788"/>
        <v>0</v>
      </c>
      <c r="AM1303" s="1525">
        <f t="shared" si="788"/>
        <v>0</v>
      </c>
      <c r="AN1303" s="1525">
        <f t="shared" si="788"/>
        <v>0</v>
      </c>
      <c r="AO1303" s="1525">
        <f t="shared" si="788"/>
        <v>0</v>
      </c>
      <c r="AP1303" s="1525">
        <f t="shared" si="788"/>
        <v>0</v>
      </c>
      <c r="AQ1303" s="1525">
        <f t="shared" si="788"/>
        <v>0</v>
      </c>
      <c r="AR1303" s="1525">
        <f t="shared" si="788"/>
        <v>0</v>
      </c>
      <c r="AS1303" s="1525">
        <f t="shared" si="788"/>
        <v>0</v>
      </c>
      <c r="AU1303" s="1525"/>
      <c r="AV1303" s="1291"/>
      <c r="AW1303" s="1292">
        <v>1</v>
      </c>
      <c r="AX1303" s="1292"/>
      <c r="AY1303" s="1292"/>
      <c r="AZ1303" s="1292"/>
      <c r="BA1303" s="1292"/>
      <c r="BB1303" s="1292"/>
      <c r="BC1303" s="1292"/>
      <c r="BD1303" s="1292"/>
      <c r="BE1303" s="1292"/>
      <c r="BF1303" s="1292"/>
      <c r="BG1303" s="1292"/>
      <c r="BH1303" s="1292"/>
      <c r="BI1303" s="1292"/>
      <c r="BJ1303" s="1292"/>
      <c r="BK1303" s="1292"/>
      <c r="BL1303" s="1292"/>
      <c r="BM1303" s="1292"/>
      <c r="BN1303" s="1292"/>
      <c r="BO1303" s="1292"/>
      <c r="BP1303" s="1292"/>
      <c r="BQ1303" s="1292"/>
      <c r="BR1303" s="1292"/>
      <c r="BS1303" s="1292"/>
      <c r="BT1303" s="1670">
        <f t="shared" ref="BT1303:BT1312" si="789">SUM(AV1303:BS1303)</f>
        <v>1</v>
      </c>
      <c r="BW1303" s="821" t="s">
        <v>1345</v>
      </c>
    </row>
    <row r="1304" spans="1:75" ht="12.75" customHeight="1" x14ac:dyDescent="0.2">
      <c r="B1304" s="175">
        <f t="shared" ref="B1304:B1312" si="790">B1303+1</f>
        <v>2</v>
      </c>
      <c r="C1304" s="236">
        <v>8</v>
      </c>
      <c r="D1304" s="218"/>
      <c r="E1304" s="166" t="s">
        <v>1565</v>
      </c>
      <c r="F1304" s="37" t="s">
        <v>353</v>
      </c>
      <c r="G1304" s="913" t="s">
        <v>920</v>
      </c>
      <c r="H1304" s="861">
        <v>102369</v>
      </c>
      <c r="I1304" s="274" t="s">
        <v>351</v>
      </c>
      <c r="J1304" s="182"/>
      <c r="K1304" s="182"/>
      <c r="L1304" s="861">
        <v>1</v>
      </c>
      <c r="M1304" s="861">
        <v>1</v>
      </c>
      <c r="N1304" s="832" t="s">
        <v>892</v>
      </c>
      <c r="O1304" s="1196">
        <v>23108</v>
      </c>
      <c r="P1304" s="1218">
        <f t="shared" ca="1" si="782"/>
        <v>54.486111111111114</v>
      </c>
      <c r="Q1304" s="1148">
        <v>33300</v>
      </c>
      <c r="R1304" s="874"/>
      <c r="S1304" s="875">
        <v>3000</v>
      </c>
      <c r="T1304" s="875">
        <v>2200</v>
      </c>
      <c r="U1304" s="875"/>
      <c r="V1304" s="875"/>
      <c r="W1304" s="875"/>
      <c r="X1304" s="1026">
        <f t="shared" si="783"/>
        <v>38500</v>
      </c>
      <c r="Y1304" s="1512">
        <f t="shared" si="784"/>
        <v>6.0606060606060608E-2</v>
      </c>
      <c r="Z1304" s="1741">
        <f t="shared" si="785"/>
        <v>1.0606060606060606</v>
      </c>
      <c r="AA1304" s="1749">
        <f t="shared" si="786"/>
        <v>1</v>
      </c>
      <c r="AB1304" s="1810">
        <f t="shared" si="787"/>
        <v>94.285714285714292</v>
      </c>
      <c r="AC1304" s="876"/>
      <c r="AD1304" s="1525">
        <f t="shared" si="788"/>
        <v>0</v>
      </c>
      <c r="AE1304" s="1525">
        <f t="shared" si="788"/>
        <v>0</v>
      </c>
      <c r="AF1304" s="1525">
        <f t="shared" si="788"/>
        <v>0</v>
      </c>
      <c r="AG1304" s="1525">
        <f t="shared" si="788"/>
        <v>0</v>
      </c>
      <c r="AH1304" s="1525">
        <f t="shared" si="788"/>
        <v>0</v>
      </c>
      <c r="AI1304" s="1525">
        <f t="shared" si="788"/>
        <v>0</v>
      </c>
      <c r="AJ1304" s="1525">
        <f t="shared" si="788"/>
        <v>0</v>
      </c>
      <c r="AK1304" s="1525">
        <f t="shared" si="788"/>
        <v>0</v>
      </c>
      <c r="AL1304" s="1525">
        <f t="shared" si="788"/>
        <v>0</v>
      </c>
      <c r="AM1304" s="1525">
        <f t="shared" si="788"/>
        <v>0</v>
      </c>
      <c r="AN1304" s="1525">
        <f t="shared" si="788"/>
        <v>0</v>
      </c>
      <c r="AO1304" s="1525">
        <f t="shared" si="788"/>
        <v>0</v>
      </c>
      <c r="AP1304" s="1525">
        <f t="shared" si="788"/>
        <v>1</v>
      </c>
      <c r="AQ1304" s="1525">
        <f t="shared" si="788"/>
        <v>0</v>
      </c>
      <c r="AR1304" s="1525">
        <f t="shared" si="788"/>
        <v>0</v>
      </c>
      <c r="AS1304" s="1525">
        <f t="shared" si="788"/>
        <v>0</v>
      </c>
      <c r="AU1304" s="1525"/>
      <c r="AV1304" s="1291"/>
      <c r="AW1304" s="1292"/>
      <c r="AX1304" s="1292">
        <v>1</v>
      </c>
      <c r="AY1304" s="1292"/>
      <c r="AZ1304" s="1292"/>
      <c r="BA1304" s="1292"/>
      <c r="BB1304" s="1292"/>
      <c r="BC1304" s="1292"/>
      <c r="BD1304" s="1292"/>
      <c r="BE1304" s="1292"/>
      <c r="BF1304" s="1292"/>
      <c r="BG1304" s="1292"/>
      <c r="BH1304" s="1292"/>
      <c r="BI1304" s="1292"/>
      <c r="BJ1304" s="1292"/>
      <c r="BK1304" s="1292"/>
      <c r="BL1304" s="1292"/>
      <c r="BM1304" s="1292"/>
      <c r="BN1304" s="1292"/>
      <c r="BO1304" s="1292"/>
      <c r="BP1304" s="1292"/>
      <c r="BQ1304" s="1292"/>
      <c r="BR1304" s="1292"/>
      <c r="BS1304" s="1292"/>
      <c r="BT1304" s="1670">
        <f t="shared" si="789"/>
        <v>1</v>
      </c>
      <c r="BW1304" s="913" t="s">
        <v>920</v>
      </c>
    </row>
    <row r="1305" spans="1:75" ht="12.75" customHeight="1" x14ac:dyDescent="0.2">
      <c r="B1305" s="175">
        <f t="shared" si="790"/>
        <v>3</v>
      </c>
      <c r="C1305" s="236">
        <v>7</v>
      </c>
      <c r="D1305" s="218"/>
      <c r="E1305" s="166" t="s">
        <v>1565</v>
      </c>
      <c r="F1305" s="30" t="s">
        <v>1334</v>
      </c>
      <c r="G1305" s="856" t="s">
        <v>655</v>
      </c>
      <c r="H1305" s="858">
        <v>12195</v>
      </c>
      <c r="I1305" s="202" t="s">
        <v>351</v>
      </c>
      <c r="J1305" s="215"/>
      <c r="K1305" s="215"/>
      <c r="L1305" s="858">
        <v>0.1</v>
      </c>
      <c r="M1305" s="858">
        <v>0.1</v>
      </c>
      <c r="N1305" s="857" t="s">
        <v>892</v>
      </c>
      <c r="O1305" s="1196">
        <v>18650</v>
      </c>
      <c r="P1305" s="1218">
        <f t="shared" ca="1" si="782"/>
        <v>66.694444444444443</v>
      </c>
      <c r="Q1305" s="1148">
        <v>43800</v>
      </c>
      <c r="R1305" s="874"/>
      <c r="S1305" s="875">
        <v>3000</v>
      </c>
      <c r="T1305" s="875"/>
      <c r="U1305" s="875"/>
      <c r="V1305" s="875"/>
      <c r="W1305" s="875"/>
      <c r="X1305" s="1026">
        <f t="shared" si="783"/>
        <v>4680</v>
      </c>
      <c r="Y1305" s="1512">
        <f t="shared" si="784"/>
        <v>0</v>
      </c>
      <c r="Z1305" s="1741">
        <f t="shared" si="785"/>
        <v>0.1</v>
      </c>
      <c r="AA1305" s="1749">
        <f t="shared" si="786"/>
        <v>0.1</v>
      </c>
      <c r="AB1305" s="1810">
        <f t="shared" si="787"/>
        <v>100</v>
      </c>
      <c r="AC1305" s="876"/>
      <c r="AD1305" s="1525">
        <f t="shared" si="788"/>
        <v>0</v>
      </c>
      <c r="AE1305" s="1525">
        <f t="shared" si="788"/>
        <v>0</v>
      </c>
      <c r="AF1305" s="1525">
        <f t="shared" si="788"/>
        <v>0.1</v>
      </c>
      <c r="AG1305" s="1525">
        <f t="shared" si="788"/>
        <v>0</v>
      </c>
      <c r="AH1305" s="1525">
        <f t="shared" si="788"/>
        <v>0</v>
      </c>
      <c r="AI1305" s="1525">
        <f t="shared" si="788"/>
        <v>0</v>
      </c>
      <c r="AJ1305" s="1525">
        <f t="shared" si="788"/>
        <v>0</v>
      </c>
      <c r="AK1305" s="1525">
        <f t="shared" si="788"/>
        <v>0</v>
      </c>
      <c r="AL1305" s="1525">
        <f t="shared" si="788"/>
        <v>0</v>
      </c>
      <c r="AM1305" s="1525">
        <f t="shared" si="788"/>
        <v>0</v>
      </c>
      <c r="AN1305" s="1525">
        <f t="shared" si="788"/>
        <v>0</v>
      </c>
      <c r="AO1305" s="1525">
        <f t="shared" si="788"/>
        <v>0</v>
      </c>
      <c r="AP1305" s="1525">
        <f t="shared" si="788"/>
        <v>0</v>
      </c>
      <c r="AQ1305" s="1525">
        <f t="shared" si="788"/>
        <v>0</v>
      </c>
      <c r="AR1305" s="1525">
        <f t="shared" si="788"/>
        <v>0</v>
      </c>
      <c r="AS1305" s="1525">
        <f t="shared" si="788"/>
        <v>0</v>
      </c>
      <c r="AU1305" s="1525"/>
      <c r="AV1305" s="1291"/>
      <c r="AW1305" s="1292"/>
      <c r="AX1305" s="1292"/>
      <c r="AY1305" s="1292">
        <v>0.1</v>
      </c>
      <c r="AZ1305" s="1292"/>
      <c r="BA1305" s="1292"/>
      <c r="BB1305" s="1292"/>
      <c r="BC1305" s="1292"/>
      <c r="BD1305" s="1292"/>
      <c r="BE1305" s="1292"/>
      <c r="BF1305" s="1292"/>
      <c r="BG1305" s="1292"/>
      <c r="BH1305" s="1292"/>
      <c r="BI1305" s="1292"/>
      <c r="BJ1305" s="1292"/>
      <c r="BK1305" s="1292"/>
      <c r="BL1305" s="1292"/>
      <c r="BM1305" s="1292"/>
      <c r="BN1305" s="1292"/>
      <c r="BO1305" s="1292"/>
      <c r="BP1305" s="1292"/>
      <c r="BQ1305" s="1292"/>
      <c r="BR1305" s="1292"/>
      <c r="BS1305" s="1292"/>
      <c r="BT1305" s="1670">
        <f t="shared" si="789"/>
        <v>0.1</v>
      </c>
      <c r="BW1305" s="856" t="s">
        <v>655</v>
      </c>
    </row>
    <row r="1306" spans="1:75" ht="12.75" customHeight="1" x14ac:dyDescent="0.2">
      <c r="B1306" s="175">
        <f t="shared" si="790"/>
        <v>4</v>
      </c>
      <c r="C1306" s="219">
        <v>7</v>
      </c>
      <c r="E1306" s="12" t="s">
        <v>1565</v>
      </c>
      <c r="F1306" s="30" t="s">
        <v>1334</v>
      </c>
      <c r="G1306" s="821" t="s">
        <v>1220</v>
      </c>
      <c r="H1306" s="858">
        <v>293050</v>
      </c>
      <c r="I1306" s="200" t="s">
        <v>351</v>
      </c>
      <c r="J1306" s="189">
        <v>2</v>
      </c>
      <c r="K1306" s="189"/>
      <c r="L1306" s="858">
        <v>0.5</v>
      </c>
      <c r="M1306" s="858">
        <f t="shared" ref="M1306:M1312" si="791">K1306+L1306</f>
        <v>0.5</v>
      </c>
      <c r="N1306" s="855" t="s">
        <v>892</v>
      </c>
      <c r="O1306" s="1196">
        <v>22850</v>
      </c>
      <c r="P1306" s="1218">
        <f t="shared" ca="1" si="782"/>
        <v>55.19166666666667</v>
      </c>
      <c r="Q1306" s="1148">
        <v>48050</v>
      </c>
      <c r="R1306" s="874"/>
      <c r="S1306" s="875"/>
      <c r="T1306" s="875">
        <v>13000</v>
      </c>
      <c r="U1306" s="875"/>
      <c r="V1306" s="875"/>
      <c r="W1306" s="875"/>
      <c r="X1306" s="1026">
        <f t="shared" si="783"/>
        <v>30525</v>
      </c>
      <c r="Y1306" s="1512">
        <f t="shared" si="784"/>
        <v>0.27055150884495316</v>
      </c>
      <c r="Z1306" s="1741">
        <f t="shared" si="785"/>
        <v>0.63527575442247652</v>
      </c>
      <c r="AA1306" s="1749">
        <f t="shared" si="786"/>
        <v>0.5</v>
      </c>
      <c r="AB1306" s="1810">
        <f t="shared" si="787"/>
        <v>78.705978705978708</v>
      </c>
      <c r="AC1306" s="876"/>
      <c r="AD1306" s="1525">
        <f t="shared" si="788"/>
        <v>0.1</v>
      </c>
      <c r="AE1306" s="1525">
        <f t="shared" si="788"/>
        <v>0</v>
      </c>
      <c r="AF1306" s="1525">
        <f t="shared" si="788"/>
        <v>0</v>
      </c>
      <c r="AG1306" s="1525">
        <f t="shared" si="788"/>
        <v>0</v>
      </c>
      <c r="AH1306" s="1525">
        <f t="shared" si="788"/>
        <v>0</v>
      </c>
      <c r="AI1306" s="1525">
        <f t="shared" si="788"/>
        <v>0</v>
      </c>
      <c r="AJ1306" s="1525">
        <f t="shared" si="788"/>
        <v>0</v>
      </c>
      <c r="AK1306" s="1525">
        <f t="shared" si="788"/>
        <v>0.4</v>
      </c>
      <c r="AL1306" s="1525">
        <f t="shared" si="788"/>
        <v>0</v>
      </c>
      <c r="AM1306" s="1525">
        <f t="shared" si="788"/>
        <v>0</v>
      </c>
      <c r="AN1306" s="1525">
        <f t="shared" si="788"/>
        <v>0</v>
      </c>
      <c r="AO1306" s="1525">
        <f t="shared" si="788"/>
        <v>0</v>
      </c>
      <c r="AP1306" s="1525">
        <f t="shared" si="788"/>
        <v>0</v>
      </c>
      <c r="AQ1306" s="1525">
        <f t="shared" si="788"/>
        <v>0</v>
      </c>
      <c r="AR1306" s="1525">
        <f t="shared" si="788"/>
        <v>0</v>
      </c>
      <c r="AS1306" s="1525">
        <f t="shared" si="788"/>
        <v>0</v>
      </c>
      <c r="AU1306" s="1525"/>
      <c r="AV1306" s="1291"/>
      <c r="AW1306" s="1292">
        <v>0.4</v>
      </c>
      <c r="AX1306" s="1292"/>
      <c r="AY1306" s="1292"/>
      <c r="AZ1306" s="1292"/>
      <c r="BA1306" s="1292"/>
      <c r="BB1306" s="1292"/>
      <c r="BC1306" s="1292"/>
      <c r="BD1306" s="1292"/>
      <c r="BE1306" s="1292"/>
      <c r="BF1306" s="1292"/>
      <c r="BG1306" s="1292"/>
      <c r="BH1306" s="1292"/>
      <c r="BI1306" s="1292"/>
      <c r="BJ1306" s="1292">
        <v>0.1</v>
      </c>
      <c r="BK1306" s="1292"/>
      <c r="BL1306" s="1292"/>
      <c r="BM1306" s="1292"/>
      <c r="BN1306" s="1292"/>
      <c r="BO1306" s="1292"/>
      <c r="BP1306" s="1292"/>
      <c r="BQ1306" s="1292"/>
      <c r="BR1306" s="1292"/>
      <c r="BS1306" s="1292"/>
      <c r="BT1306" s="1670">
        <f t="shared" si="789"/>
        <v>0.5</v>
      </c>
      <c r="BW1306" s="821" t="s">
        <v>1220</v>
      </c>
    </row>
    <row r="1307" spans="1:75" ht="12.75" customHeight="1" x14ac:dyDescent="0.2">
      <c r="B1307" s="175">
        <f t="shared" si="790"/>
        <v>5</v>
      </c>
      <c r="C1307" s="219">
        <v>7</v>
      </c>
      <c r="E1307" s="12" t="s">
        <v>1565</v>
      </c>
      <c r="F1307" s="30" t="s">
        <v>1334</v>
      </c>
      <c r="G1307" s="821" t="s">
        <v>1346</v>
      </c>
      <c r="H1307" s="858">
        <v>70740</v>
      </c>
      <c r="I1307" s="200" t="s">
        <v>351</v>
      </c>
      <c r="J1307" s="174"/>
      <c r="K1307" s="174"/>
      <c r="L1307" s="858">
        <v>1</v>
      </c>
      <c r="M1307" s="858">
        <f t="shared" si="791"/>
        <v>1</v>
      </c>
      <c r="N1307" s="836" t="s">
        <v>892</v>
      </c>
      <c r="O1307" s="1196">
        <v>23234</v>
      </c>
      <c r="P1307" s="1218">
        <f t="shared" ca="1" si="782"/>
        <v>54.141666666666666</v>
      </c>
      <c r="Q1307" s="1148">
        <v>39550</v>
      </c>
      <c r="R1307" s="874"/>
      <c r="S1307" s="875">
        <v>7000</v>
      </c>
      <c r="T1307" s="875"/>
      <c r="U1307" s="875"/>
      <c r="V1307" s="875"/>
      <c r="W1307" s="875"/>
      <c r="X1307" s="1026">
        <f t="shared" si="783"/>
        <v>46550</v>
      </c>
      <c r="Y1307" s="1512">
        <f t="shared" si="784"/>
        <v>0</v>
      </c>
      <c r="Z1307" s="1741">
        <f t="shared" si="785"/>
        <v>1</v>
      </c>
      <c r="AA1307" s="1749">
        <f t="shared" si="786"/>
        <v>1</v>
      </c>
      <c r="AB1307" s="1810">
        <f t="shared" si="787"/>
        <v>100</v>
      </c>
      <c r="AC1307" s="876"/>
      <c r="AD1307" s="1525">
        <f t="shared" si="788"/>
        <v>0</v>
      </c>
      <c r="AE1307" s="1525">
        <f t="shared" si="788"/>
        <v>0</v>
      </c>
      <c r="AF1307" s="1525">
        <f t="shared" si="788"/>
        <v>0</v>
      </c>
      <c r="AG1307" s="1525">
        <f t="shared" si="788"/>
        <v>0</v>
      </c>
      <c r="AH1307" s="1525">
        <f t="shared" si="788"/>
        <v>0</v>
      </c>
      <c r="AI1307" s="1525">
        <f t="shared" si="788"/>
        <v>0</v>
      </c>
      <c r="AJ1307" s="1525">
        <f t="shared" si="788"/>
        <v>0</v>
      </c>
      <c r="AK1307" s="1525">
        <f t="shared" si="788"/>
        <v>1</v>
      </c>
      <c r="AL1307" s="1525">
        <f t="shared" si="788"/>
        <v>0</v>
      </c>
      <c r="AM1307" s="1525">
        <f t="shared" si="788"/>
        <v>0</v>
      </c>
      <c r="AN1307" s="1525">
        <f t="shared" si="788"/>
        <v>0</v>
      </c>
      <c r="AO1307" s="1525">
        <f t="shared" si="788"/>
        <v>0</v>
      </c>
      <c r="AP1307" s="1525">
        <f t="shared" si="788"/>
        <v>0</v>
      </c>
      <c r="AQ1307" s="1525">
        <f t="shared" si="788"/>
        <v>0</v>
      </c>
      <c r="AR1307" s="1525">
        <f t="shared" si="788"/>
        <v>0</v>
      </c>
      <c r="AS1307" s="1525">
        <f t="shared" si="788"/>
        <v>0</v>
      </c>
      <c r="AU1307" s="1525"/>
      <c r="AV1307" s="1291"/>
      <c r="AW1307" s="1292">
        <v>1</v>
      </c>
      <c r="AX1307" s="1292"/>
      <c r="AY1307" s="1292"/>
      <c r="AZ1307" s="1292"/>
      <c r="BA1307" s="1292"/>
      <c r="BB1307" s="1292"/>
      <c r="BC1307" s="1292"/>
      <c r="BD1307" s="1292"/>
      <c r="BE1307" s="1292"/>
      <c r="BF1307" s="1292"/>
      <c r="BG1307" s="1292"/>
      <c r="BH1307" s="1292"/>
      <c r="BI1307" s="1292"/>
      <c r="BJ1307" s="1292"/>
      <c r="BK1307" s="1292"/>
      <c r="BL1307" s="1292"/>
      <c r="BM1307" s="1292"/>
      <c r="BN1307" s="1292"/>
      <c r="BO1307" s="1292"/>
      <c r="BP1307" s="1292"/>
      <c r="BQ1307" s="1292"/>
      <c r="BR1307" s="1292"/>
      <c r="BS1307" s="1292"/>
      <c r="BT1307" s="1670">
        <f t="shared" si="789"/>
        <v>1</v>
      </c>
      <c r="BW1307" s="821" t="s">
        <v>1346</v>
      </c>
    </row>
    <row r="1308" spans="1:75" ht="12.75" customHeight="1" x14ac:dyDescent="0.2">
      <c r="B1308" s="175">
        <f t="shared" si="790"/>
        <v>6</v>
      </c>
      <c r="C1308" s="219">
        <v>8</v>
      </c>
      <c r="E1308" s="12" t="s">
        <v>1565</v>
      </c>
      <c r="F1308" s="1" t="s">
        <v>353</v>
      </c>
      <c r="G1308" s="821" t="s">
        <v>1347</v>
      </c>
      <c r="H1308" s="858">
        <v>3072</v>
      </c>
      <c r="I1308" s="200" t="s">
        <v>351</v>
      </c>
      <c r="J1308" s="174"/>
      <c r="K1308" s="174"/>
      <c r="L1308" s="858">
        <v>1</v>
      </c>
      <c r="M1308" s="858">
        <f t="shared" si="791"/>
        <v>1</v>
      </c>
      <c r="N1308" s="836" t="s">
        <v>892</v>
      </c>
      <c r="O1308" s="1196">
        <v>17213</v>
      </c>
      <c r="P1308" s="1218">
        <f t="shared" ca="1" si="782"/>
        <v>70.63055555555556</v>
      </c>
      <c r="Q1308" s="1148">
        <v>29700</v>
      </c>
      <c r="R1308" s="874"/>
      <c r="S1308" s="875"/>
      <c r="T1308" s="875"/>
      <c r="U1308" s="875"/>
      <c r="V1308" s="875"/>
      <c r="W1308" s="875"/>
      <c r="X1308" s="1026">
        <f t="shared" si="783"/>
        <v>29700</v>
      </c>
      <c r="Y1308" s="1512">
        <f t="shared" si="784"/>
        <v>0</v>
      </c>
      <c r="Z1308" s="1741">
        <f t="shared" si="785"/>
        <v>1</v>
      </c>
      <c r="AA1308" s="1749">
        <f t="shared" si="786"/>
        <v>1</v>
      </c>
      <c r="AB1308" s="1810">
        <f t="shared" si="787"/>
        <v>100</v>
      </c>
      <c r="AC1308" s="876"/>
      <c r="AD1308" s="1525">
        <f t="shared" si="788"/>
        <v>0</v>
      </c>
      <c r="AE1308" s="1525">
        <f t="shared" si="788"/>
        <v>0</v>
      </c>
      <c r="AF1308" s="1525">
        <f t="shared" si="788"/>
        <v>0</v>
      </c>
      <c r="AG1308" s="1525">
        <f t="shared" si="788"/>
        <v>0</v>
      </c>
      <c r="AH1308" s="1525">
        <f t="shared" si="788"/>
        <v>0</v>
      </c>
      <c r="AI1308" s="1525">
        <f t="shared" si="788"/>
        <v>0</v>
      </c>
      <c r="AJ1308" s="1525">
        <f t="shared" si="788"/>
        <v>0</v>
      </c>
      <c r="AK1308" s="1525">
        <f t="shared" si="788"/>
        <v>1</v>
      </c>
      <c r="AL1308" s="1525">
        <f t="shared" si="788"/>
        <v>0</v>
      </c>
      <c r="AM1308" s="1525">
        <f t="shared" si="788"/>
        <v>0</v>
      </c>
      <c r="AN1308" s="1525">
        <f t="shared" si="788"/>
        <v>0</v>
      </c>
      <c r="AO1308" s="1525">
        <f t="shared" si="788"/>
        <v>0</v>
      </c>
      <c r="AP1308" s="1525">
        <f t="shared" si="788"/>
        <v>0</v>
      </c>
      <c r="AQ1308" s="1525">
        <f t="shared" si="788"/>
        <v>0</v>
      </c>
      <c r="AR1308" s="1525">
        <f t="shared" si="788"/>
        <v>0</v>
      </c>
      <c r="AS1308" s="1525">
        <f t="shared" si="788"/>
        <v>0</v>
      </c>
      <c r="AU1308" s="1525"/>
      <c r="AV1308" s="1291"/>
      <c r="AW1308" s="1292">
        <v>1</v>
      </c>
      <c r="AX1308" s="1292"/>
      <c r="AY1308" s="1292"/>
      <c r="AZ1308" s="1292"/>
      <c r="BA1308" s="1292"/>
      <c r="BB1308" s="1292"/>
      <c r="BC1308" s="1292"/>
      <c r="BD1308" s="1292"/>
      <c r="BE1308" s="1292"/>
      <c r="BF1308" s="1292"/>
      <c r="BG1308" s="1292"/>
      <c r="BH1308" s="1292"/>
      <c r="BI1308" s="1292"/>
      <c r="BJ1308" s="1292"/>
      <c r="BK1308" s="1292"/>
      <c r="BL1308" s="1292"/>
      <c r="BM1308" s="1292"/>
      <c r="BN1308" s="1292"/>
      <c r="BO1308" s="1292"/>
      <c r="BP1308" s="1292"/>
      <c r="BQ1308" s="1292"/>
      <c r="BR1308" s="1292"/>
      <c r="BS1308" s="1292"/>
      <c r="BT1308" s="1670">
        <f t="shared" si="789"/>
        <v>1</v>
      </c>
      <c r="BW1308" s="821" t="s">
        <v>1347</v>
      </c>
    </row>
    <row r="1309" spans="1:75" ht="12.75" customHeight="1" x14ac:dyDescent="0.2">
      <c r="B1309" s="175">
        <f t="shared" si="790"/>
        <v>7</v>
      </c>
      <c r="C1309" s="219">
        <v>8</v>
      </c>
      <c r="E1309" s="12" t="s">
        <v>1565</v>
      </c>
      <c r="F1309" s="1" t="s">
        <v>353</v>
      </c>
      <c r="G1309" s="856" t="s">
        <v>116</v>
      </c>
      <c r="H1309" s="858">
        <v>122343</v>
      </c>
      <c r="I1309" s="200" t="s">
        <v>351</v>
      </c>
      <c r="J1309" s="168"/>
      <c r="K1309" s="189"/>
      <c r="L1309" s="858">
        <v>0.5</v>
      </c>
      <c r="M1309" s="858">
        <f t="shared" si="791"/>
        <v>0.5</v>
      </c>
      <c r="N1309" s="968" t="s">
        <v>892</v>
      </c>
      <c r="O1309" s="1196">
        <v>23528</v>
      </c>
      <c r="P1309" s="1218">
        <f t="shared" ca="1" si="782"/>
        <v>53.338888888888889</v>
      </c>
      <c r="Q1309" s="1148">
        <v>45550</v>
      </c>
      <c r="R1309" s="874"/>
      <c r="S1309" s="875"/>
      <c r="T1309" s="875">
        <v>13000</v>
      </c>
      <c r="U1309" s="875"/>
      <c r="V1309" s="875"/>
      <c r="W1309" s="875"/>
      <c r="X1309" s="1026">
        <f t="shared" si="783"/>
        <v>29275</v>
      </c>
      <c r="Y1309" s="1512">
        <f t="shared" si="784"/>
        <v>0.2854006586169045</v>
      </c>
      <c r="Z1309" s="1741">
        <f t="shared" si="785"/>
        <v>0.64270032930845222</v>
      </c>
      <c r="AA1309" s="1749">
        <f t="shared" si="786"/>
        <v>0.5</v>
      </c>
      <c r="AB1309" s="1810">
        <f t="shared" si="787"/>
        <v>77.79675491033305</v>
      </c>
      <c r="AC1309" s="876"/>
      <c r="AD1309" s="1525">
        <f t="shared" si="788"/>
        <v>0</v>
      </c>
      <c r="AE1309" s="1525">
        <f t="shared" si="788"/>
        <v>0</v>
      </c>
      <c r="AF1309" s="1525">
        <f t="shared" si="788"/>
        <v>0</v>
      </c>
      <c r="AG1309" s="1525">
        <f t="shared" si="788"/>
        <v>0</v>
      </c>
      <c r="AH1309" s="1525">
        <f t="shared" si="788"/>
        <v>0</v>
      </c>
      <c r="AI1309" s="1525">
        <f t="shared" si="788"/>
        <v>0</v>
      </c>
      <c r="AJ1309" s="1525">
        <f t="shared" si="788"/>
        <v>0</v>
      </c>
      <c r="AK1309" s="1525">
        <f t="shared" si="788"/>
        <v>0.5</v>
      </c>
      <c r="AL1309" s="1525">
        <f t="shared" si="788"/>
        <v>0</v>
      </c>
      <c r="AM1309" s="1525">
        <f t="shared" si="788"/>
        <v>0</v>
      </c>
      <c r="AN1309" s="1525">
        <f t="shared" si="788"/>
        <v>0</v>
      </c>
      <c r="AO1309" s="1525">
        <f t="shared" si="788"/>
        <v>0</v>
      </c>
      <c r="AP1309" s="1525">
        <f t="shared" si="788"/>
        <v>0</v>
      </c>
      <c r="AQ1309" s="1525">
        <f t="shared" si="788"/>
        <v>0</v>
      </c>
      <c r="AR1309" s="1525">
        <f t="shared" si="788"/>
        <v>0</v>
      </c>
      <c r="AS1309" s="1525">
        <f t="shared" si="788"/>
        <v>0</v>
      </c>
      <c r="AU1309" s="1525"/>
      <c r="AV1309" s="1291"/>
      <c r="AW1309" s="1292">
        <v>0.5</v>
      </c>
      <c r="AX1309" s="1292"/>
      <c r="AY1309" s="1292"/>
      <c r="AZ1309" s="1292"/>
      <c r="BA1309" s="1292"/>
      <c r="BB1309" s="1292"/>
      <c r="BC1309" s="1292"/>
      <c r="BD1309" s="1292"/>
      <c r="BE1309" s="1292"/>
      <c r="BF1309" s="1292"/>
      <c r="BG1309" s="1292"/>
      <c r="BH1309" s="1292"/>
      <c r="BI1309" s="1292"/>
      <c r="BJ1309" s="1292"/>
      <c r="BK1309" s="1292"/>
      <c r="BL1309" s="1292"/>
      <c r="BM1309" s="1292"/>
      <c r="BN1309" s="1292"/>
      <c r="BO1309" s="1292"/>
      <c r="BP1309" s="1292"/>
      <c r="BQ1309" s="1292"/>
      <c r="BR1309" s="1292"/>
      <c r="BS1309" s="1292"/>
      <c r="BT1309" s="1670">
        <f t="shared" si="789"/>
        <v>0.5</v>
      </c>
      <c r="BW1309" s="856" t="s">
        <v>116</v>
      </c>
    </row>
    <row r="1310" spans="1:75" ht="12.75" customHeight="1" x14ac:dyDescent="0.2">
      <c r="B1310" s="175">
        <f t="shared" si="790"/>
        <v>8</v>
      </c>
      <c r="C1310" s="219">
        <v>8</v>
      </c>
      <c r="E1310" s="12" t="s">
        <v>1565</v>
      </c>
      <c r="F1310" s="1" t="s">
        <v>353</v>
      </c>
      <c r="G1310" s="856" t="s">
        <v>1632</v>
      </c>
      <c r="H1310" s="858">
        <v>101434</v>
      </c>
      <c r="I1310" s="200" t="s">
        <v>351</v>
      </c>
      <c r="J1310" s="168"/>
      <c r="K1310" s="189"/>
      <c r="L1310" s="858">
        <v>1</v>
      </c>
      <c r="M1310" s="858">
        <f t="shared" si="791"/>
        <v>1</v>
      </c>
      <c r="N1310" s="855" t="s">
        <v>892</v>
      </c>
      <c r="O1310" s="1196">
        <v>28499</v>
      </c>
      <c r="P1310" s="1218">
        <f t="shared" ca="1" si="782"/>
        <v>39.730555555555554</v>
      </c>
      <c r="Q1310" s="1148">
        <v>37400</v>
      </c>
      <c r="R1310" s="874"/>
      <c r="S1310" s="875">
        <v>3000</v>
      </c>
      <c r="T1310" s="875"/>
      <c r="U1310" s="875"/>
      <c r="V1310" s="875"/>
      <c r="W1310" s="875"/>
      <c r="X1310" s="1026">
        <f t="shared" si="783"/>
        <v>40400</v>
      </c>
      <c r="Y1310" s="1512">
        <f t="shared" si="784"/>
        <v>0</v>
      </c>
      <c r="Z1310" s="1741">
        <f t="shared" si="785"/>
        <v>1</v>
      </c>
      <c r="AA1310" s="1749">
        <f t="shared" si="786"/>
        <v>1</v>
      </c>
      <c r="AB1310" s="1810">
        <f t="shared" si="787"/>
        <v>100</v>
      </c>
      <c r="AC1310" s="876"/>
      <c r="AD1310" s="1525">
        <f t="shared" si="788"/>
        <v>0</v>
      </c>
      <c r="AE1310" s="1525">
        <f t="shared" si="788"/>
        <v>0</v>
      </c>
      <c r="AF1310" s="1525">
        <f t="shared" si="788"/>
        <v>0</v>
      </c>
      <c r="AG1310" s="1525">
        <f t="shared" si="788"/>
        <v>0</v>
      </c>
      <c r="AH1310" s="1525">
        <f t="shared" si="788"/>
        <v>0</v>
      </c>
      <c r="AI1310" s="1525">
        <f t="shared" si="788"/>
        <v>0</v>
      </c>
      <c r="AJ1310" s="1525">
        <f t="shared" si="788"/>
        <v>0</v>
      </c>
      <c r="AK1310" s="1525">
        <f t="shared" si="788"/>
        <v>1</v>
      </c>
      <c r="AL1310" s="1525">
        <f t="shared" si="788"/>
        <v>0</v>
      </c>
      <c r="AM1310" s="1525">
        <f t="shared" si="788"/>
        <v>0</v>
      </c>
      <c r="AN1310" s="1525">
        <f t="shared" si="788"/>
        <v>0</v>
      </c>
      <c r="AO1310" s="1525">
        <f t="shared" si="788"/>
        <v>0</v>
      </c>
      <c r="AP1310" s="1525">
        <f t="shared" si="788"/>
        <v>0</v>
      </c>
      <c r="AQ1310" s="1525">
        <f t="shared" si="788"/>
        <v>0</v>
      </c>
      <c r="AR1310" s="1525">
        <f t="shared" si="788"/>
        <v>0</v>
      </c>
      <c r="AS1310" s="1525">
        <f t="shared" si="788"/>
        <v>0</v>
      </c>
      <c r="AU1310" s="1525"/>
      <c r="AV1310" s="1291"/>
      <c r="AW1310" s="1292">
        <v>1</v>
      </c>
      <c r="AX1310" s="1292"/>
      <c r="AY1310" s="1292"/>
      <c r="AZ1310" s="1292"/>
      <c r="BA1310" s="1292"/>
      <c r="BB1310" s="1292"/>
      <c r="BC1310" s="1292"/>
      <c r="BD1310" s="1292"/>
      <c r="BE1310" s="1292"/>
      <c r="BF1310" s="1292"/>
      <c r="BG1310" s="1292"/>
      <c r="BH1310" s="1292"/>
      <c r="BI1310" s="1292"/>
      <c r="BJ1310" s="1292"/>
      <c r="BK1310" s="1292"/>
      <c r="BL1310" s="1292"/>
      <c r="BM1310" s="1292"/>
      <c r="BN1310" s="1292"/>
      <c r="BO1310" s="1292"/>
      <c r="BP1310" s="1292"/>
      <c r="BQ1310" s="1292"/>
      <c r="BR1310" s="1292"/>
      <c r="BS1310" s="1292"/>
      <c r="BT1310" s="1670">
        <f t="shared" si="789"/>
        <v>1</v>
      </c>
      <c r="BW1310" s="856" t="s">
        <v>1632</v>
      </c>
    </row>
    <row r="1311" spans="1:75" ht="12.75" customHeight="1" x14ac:dyDescent="0.2">
      <c r="B1311" s="175">
        <f t="shared" si="790"/>
        <v>9</v>
      </c>
      <c r="C1311" s="219">
        <v>10</v>
      </c>
      <c r="E1311" s="12" t="s">
        <v>1565</v>
      </c>
      <c r="F1311" s="1" t="s">
        <v>558</v>
      </c>
      <c r="G1311" s="856" t="s">
        <v>321</v>
      </c>
      <c r="H1311" s="858">
        <v>134428</v>
      </c>
      <c r="I1311" s="200" t="s">
        <v>351</v>
      </c>
      <c r="J1311" s="168"/>
      <c r="K1311" s="189"/>
      <c r="L1311" s="858">
        <v>1</v>
      </c>
      <c r="M1311" s="858">
        <f t="shared" si="791"/>
        <v>1</v>
      </c>
      <c r="N1311" s="855" t="s">
        <v>892</v>
      </c>
      <c r="O1311" s="1196">
        <v>29412</v>
      </c>
      <c r="P1311" s="1218">
        <f t="shared" ca="1" si="782"/>
        <v>37.227777777777774</v>
      </c>
      <c r="Q1311" s="1148">
        <v>20700</v>
      </c>
      <c r="R1311" s="874"/>
      <c r="S1311" s="875"/>
      <c r="T1311" s="875"/>
      <c r="U1311" s="875"/>
      <c r="V1311" s="875"/>
      <c r="W1311" s="875"/>
      <c r="X1311" s="1026">
        <f t="shared" si="783"/>
        <v>20700</v>
      </c>
      <c r="Y1311" s="1512">
        <f t="shared" si="784"/>
        <v>0</v>
      </c>
      <c r="Z1311" s="1741">
        <f t="shared" si="785"/>
        <v>1</v>
      </c>
      <c r="AA1311" s="1749">
        <f t="shared" si="786"/>
        <v>1</v>
      </c>
      <c r="AB1311" s="1810">
        <f t="shared" si="787"/>
        <v>100</v>
      </c>
      <c r="AC1311" s="876"/>
      <c r="AD1311" s="1525">
        <f t="shared" si="788"/>
        <v>0</v>
      </c>
      <c r="AE1311" s="1525">
        <f t="shared" si="788"/>
        <v>0</v>
      </c>
      <c r="AF1311" s="1525">
        <f t="shared" si="788"/>
        <v>0</v>
      </c>
      <c r="AG1311" s="1525">
        <f t="shared" si="788"/>
        <v>0</v>
      </c>
      <c r="AH1311" s="1525">
        <f t="shared" si="788"/>
        <v>0</v>
      </c>
      <c r="AI1311" s="1525">
        <f t="shared" si="788"/>
        <v>0</v>
      </c>
      <c r="AJ1311" s="1525">
        <f t="shared" si="788"/>
        <v>0</v>
      </c>
      <c r="AK1311" s="1525">
        <f t="shared" si="788"/>
        <v>1</v>
      </c>
      <c r="AL1311" s="1525">
        <f t="shared" si="788"/>
        <v>0</v>
      </c>
      <c r="AM1311" s="1525">
        <f t="shared" si="788"/>
        <v>0</v>
      </c>
      <c r="AN1311" s="1525">
        <f t="shared" si="788"/>
        <v>0</v>
      </c>
      <c r="AO1311" s="1525">
        <f t="shared" si="788"/>
        <v>0</v>
      </c>
      <c r="AP1311" s="1525">
        <f t="shared" si="788"/>
        <v>0</v>
      </c>
      <c r="AQ1311" s="1525">
        <f t="shared" si="788"/>
        <v>0</v>
      </c>
      <c r="AR1311" s="1525">
        <f t="shared" si="788"/>
        <v>0</v>
      </c>
      <c r="AS1311" s="1525">
        <f t="shared" si="788"/>
        <v>0</v>
      </c>
      <c r="AU1311" s="1525"/>
      <c r="AV1311" s="1291"/>
      <c r="AW1311" s="1292">
        <v>1</v>
      </c>
      <c r="AX1311" s="1292"/>
      <c r="AY1311" s="1292"/>
      <c r="AZ1311" s="1292"/>
      <c r="BA1311" s="1292"/>
      <c r="BB1311" s="1292"/>
      <c r="BC1311" s="1292"/>
      <c r="BD1311" s="1292"/>
      <c r="BE1311" s="1292"/>
      <c r="BF1311" s="1292"/>
      <c r="BG1311" s="1292"/>
      <c r="BH1311" s="1292"/>
      <c r="BI1311" s="1292"/>
      <c r="BJ1311" s="1292"/>
      <c r="BK1311" s="1292"/>
      <c r="BL1311" s="1292"/>
      <c r="BM1311" s="1292"/>
      <c r="BN1311" s="1292"/>
      <c r="BO1311" s="1292"/>
      <c r="BP1311" s="1292"/>
      <c r="BQ1311" s="1292"/>
      <c r="BR1311" s="1292"/>
      <c r="BS1311" s="1292"/>
      <c r="BT1311" s="1670">
        <f t="shared" si="789"/>
        <v>1</v>
      </c>
      <c r="BW1311" s="856" t="s">
        <v>321</v>
      </c>
    </row>
    <row r="1312" spans="1:75" ht="12.75" customHeight="1" x14ac:dyDescent="0.2">
      <c r="B1312" s="175">
        <f t="shared" si="790"/>
        <v>10</v>
      </c>
      <c r="C1312" s="219">
        <v>14</v>
      </c>
      <c r="E1312" s="12" t="s">
        <v>1565</v>
      </c>
      <c r="F1312" s="42" t="s">
        <v>626</v>
      </c>
      <c r="G1312" s="945" t="s">
        <v>1661</v>
      </c>
      <c r="H1312" s="873">
        <v>111629</v>
      </c>
      <c r="I1312" s="176" t="s">
        <v>583</v>
      </c>
      <c r="J1312" s="173"/>
      <c r="K1312" s="177"/>
      <c r="L1312" s="944">
        <v>0.5</v>
      </c>
      <c r="M1312" s="873">
        <f t="shared" si="791"/>
        <v>0.5</v>
      </c>
      <c r="N1312" s="940" t="s">
        <v>892</v>
      </c>
      <c r="O1312" s="1211">
        <v>23839</v>
      </c>
      <c r="P1312" s="1218">
        <f ca="1">YEARFRAC(TODAY(),O1312)</f>
        <v>52.486111111111114</v>
      </c>
      <c r="Q1312" s="1071">
        <v>28000</v>
      </c>
      <c r="R1312" s="890"/>
      <c r="S1312" s="891"/>
      <c r="T1312" s="891"/>
      <c r="U1312" s="891"/>
      <c r="V1312" s="891"/>
      <c r="W1312" s="891"/>
      <c r="X1312" s="1026">
        <f t="shared" si="783"/>
        <v>14000</v>
      </c>
      <c r="Y1312" s="1512">
        <f t="shared" si="784"/>
        <v>0</v>
      </c>
      <c r="Z1312" s="1741">
        <f t="shared" si="785"/>
        <v>0.5</v>
      </c>
      <c r="AA1312" s="1749">
        <f t="shared" si="786"/>
        <v>0</v>
      </c>
      <c r="AB1312" s="1810">
        <f t="shared" si="787"/>
        <v>0</v>
      </c>
      <c r="AC1312" s="876"/>
      <c r="AD1312" s="1525">
        <f t="shared" si="788"/>
        <v>0</v>
      </c>
      <c r="AE1312" s="1525">
        <f t="shared" si="788"/>
        <v>0</v>
      </c>
      <c r="AF1312" s="1525">
        <f t="shared" si="788"/>
        <v>0</v>
      </c>
      <c r="AG1312" s="1525">
        <f t="shared" si="788"/>
        <v>0</v>
      </c>
      <c r="AH1312" s="1525">
        <f t="shared" si="788"/>
        <v>0</v>
      </c>
      <c r="AI1312" s="1525">
        <f t="shared" si="788"/>
        <v>0</v>
      </c>
      <c r="AJ1312" s="1525">
        <f t="shared" si="788"/>
        <v>0</v>
      </c>
      <c r="AK1312" s="1525">
        <f t="shared" si="788"/>
        <v>0</v>
      </c>
      <c r="AL1312" s="1525">
        <f t="shared" si="788"/>
        <v>0</v>
      </c>
      <c r="AM1312" s="1525">
        <f t="shared" si="788"/>
        <v>0</v>
      </c>
      <c r="AN1312" s="1525">
        <f t="shared" si="788"/>
        <v>0</v>
      </c>
      <c r="AO1312" s="1525">
        <f t="shared" si="788"/>
        <v>0</v>
      </c>
      <c r="AP1312" s="1525">
        <f t="shared" si="788"/>
        <v>0</v>
      </c>
      <c r="AQ1312" s="1525">
        <f t="shared" si="788"/>
        <v>0</v>
      </c>
      <c r="AR1312" s="1525">
        <f t="shared" si="788"/>
        <v>0</v>
      </c>
      <c r="AS1312" s="1525">
        <f t="shared" si="788"/>
        <v>0</v>
      </c>
      <c r="AU1312" s="1525"/>
      <c r="AV1312" s="1291"/>
      <c r="AW1312" s="1292"/>
      <c r="AX1312" s="1292"/>
      <c r="AY1312" s="1292"/>
      <c r="AZ1312" s="1292"/>
      <c r="BA1312" s="1292"/>
      <c r="BB1312" s="1292"/>
      <c r="BC1312" s="1292"/>
      <c r="BD1312" s="1292"/>
      <c r="BE1312" s="1292"/>
      <c r="BF1312" s="1292"/>
      <c r="BG1312" s="1292"/>
      <c r="BH1312" s="1292"/>
      <c r="BI1312" s="1292"/>
      <c r="BJ1312" s="1292"/>
      <c r="BK1312" s="1292"/>
      <c r="BL1312" s="1292"/>
      <c r="BM1312" s="1292"/>
      <c r="BN1312" s="1292"/>
      <c r="BO1312" s="1292"/>
      <c r="BP1312" s="1292"/>
      <c r="BQ1312" s="1292"/>
      <c r="BR1312" s="1292"/>
      <c r="BS1312" s="1292"/>
      <c r="BT1312" s="1670">
        <f t="shared" si="789"/>
        <v>0</v>
      </c>
      <c r="BW1312" s="945" t="s">
        <v>1661</v>
      </c>
    </row>
    <row r="1313" spans="1:75" ht="12.75" customHeight="1" x14ac:dyDescent="0.2">
      <c r="B1313" s="175"/>
      <c r="C1313" s="219"/>
      <c r="E1313" s="12"/>
      <c r="F1313" s="37"/>
      <c r="G1313" s="913"/>
      <c r="H1313" s="861"/>
      <c r="I1313" s="180"/>
      <c r="J1313" s="173"/>
      <c r="K1313" s="173"/>
      <c r="L1313" s="893"/>
      <c r="M1313" s="861"/>
      <c r="N1313" s="832"/>
      <c r="O1313" s="1196"/>
      <c r="P1313" s="1218"/>
      <c r="Q1313" s="1148"/>
      <c r="R1313" s="874"/>
      <c r="S1313" s="876"/>
      <c r="T1313" s="876"/>
      <c r="U1313" s="876"/>
      <c r="V1313" s="876"/>
      <c r="W1313" s="876"/>
      <c r="X1313" s="1026"/>
      <c r="Y1313" s="1335"/>
      <c r="Z1313" s="1335"/>
      <c r="AA1313" s="1775"/>
      <c r="AB1313" s="1814"/>
      <c r="AC1313" s="876"/>
      <c r="AD1313" s="1525"/>
      <c r="AE1313" s="1525"/>
      <c r="AF1313" s="1525"/>
      <c r="AG1313" s="1525"/>
      <c r="AH1313" s="1525"/>
      <c r="AI1313" s="1525"/>
      <c r="AJ1313" s="1525"/>
      <c r="AK1313" s="1525"/>
      <c r="AL1313" s="1525"/>
      <c r="AM1313" s="1525"/>
      <c r="AN1313" s="1525"/>
      <c r="AO1313" s="1525"/>
      <c r="AP1313" s="1525"/>
      <c r="AQ1313" s="1525"/>
      <c r="AR1313" s="1525"/>
      <c r="AS1313" s="1525"/>
      <c r="AU1313" s="1525"/>
      <c r="AV1313" s="1291"/>
      <c r="AW1313" s="1292"/>
      <c r="AX1313" s="1292"/>
      <c r="AY1313" s="1292"/>
      <c r="AZ1313" s="1292"/>
      <c r="BA1313" s="1292"/>
      <c r="BB1313" s="1292"/>
      <c r="BC1313" s="1292"/>
      <c r="BD1313" s="1292"/>
      <c r="BE1313" s="1292"/>
      <c r="BF1313" s="1292"/>
      <c r="BG1313" s="1292"/>
      <c r="BH1313" s="1292"/>
      <c r="BI1313" s="1292"/>
      <c r="BJ1313" s="1292"/>
      <c r="BK1313" s="1292"/>
      <c r="BL1313" s="1292"/>
      <c r="BM1313" s="1292"/>
      <c r="BN1313" s="1292"/>
      <c r="BO1313" s="1292"/>
      <c r="BP1313" s="1292"/>
      <c r="BQ1313" s="1292"/>
      <c r="BR1313" s="1292"/>
      <c r="BS1313" s="1292"/>
      <c r="BT1313" s="1670"/>
      <c r="BW1313" s="913"/>
    </row>
    <row r="1314" spans="1:75" s="388" customFormat="1" ht="12.75" customHeight="1" x14ac:dyDescent="0.2">
      <c r="A1314" s="164"/>
      <c r="B1314" s="175"/>
      <c r="C1314" s="219"/>
      <c r="D1314" s="265"/>
      <c r="E1314" s="387"/>
      <c r="F1314" s="37" t="s">
        <v>436</v>
      </c>
      <c r="G1314" s="913"/>
      <c r="H1314" s="1394" t="s">
        <v>1508</v>
      </c>
      <c r="I1314" s="180"/>
      <c r="J1314" s="180"/>
      <c r="K1314" s="180"/>
      <c r="L1314" s="834"/>
      <c r="M1314" s="834"/>
      <c r="N1314" s="832"/>
      <c r="O1314" s="1192"/>
      <c r="P1314" s="1253"/>
      <c r="Q1314" s="1153"/>
      <c r="R1314" s="884"/>
      <c r="S1314" s="876"/>
      <c r="T1314" s="876"/>
      <c r="U1314" s="876"/>
      <c r="V1314" s="876"/>
      <c r="W1314" s="876"/>
      <c r="X1314" s="1026"/>
      <c r="Y1314" s="1754"/>
      <c r="Z1314" s="1755"/>
      <c r="AA1314" s="1775"/>
      <c r="AB1314" s="1830"/>
      <c r="AC1314" s="876"/>
      <c r="AD1314" s="1534"/>
      <c r="AE1314" s="1535"/>
      <c r="AF1314" s="1535"/>
      <c r="AG1314" s="1535"/>
      <c r="AH1314" s="1535"/>
      <c r="AI1314" s="1535"/>
      <c r="AJ1314" s="1535"/>
      <c r="AK1314" s="1535"/>
      <c r="AL1314" s="1535"/>
      <c r="AM1314" s="1535"/>
      <c r="AN1314" s="1535"/>
      <c r="AO1314" s="1535"/>
      <c r="AP1314" s="1535"/>
      <c r="AQ1314" s="1535"/>
      <c r="AR1314" s="1535"/>
      <c r="AS1314" s="1535"/>
      <c r="AU1314" s="1525"/>
      <c r="AV1314" s="1534"/>
      <c r="AW1314" s="1535"/>
      <c r="AX1314" s="1535"/>
      <c r="AY1314" s="1535"/>
      <c r="AZ1314" s="1535"/>
      <c r="BA1314" s="1535"/>
      <c r="BB1314" s="1535"/>
      <c r="BC1314" s="1535"/>
      <c r="BD1314" s="1535"/>
      <c r="BE1314" s="1535"/>
      <c r="BF1314" s="1535"/>
      <c r="BG1314" s="1535"/>
      <c r="BH1314" s="1535"/>
      <c r="BI1314" s="1535"/>
      <c r="BJ1314" s="1535"/>
      <c r="BK1314" s="1535"/>
      <c r="BL1314" s="1535"/>
      <c r="BM1314" s="1535"/>
      <c r="BN1314" s="1535"/>
      <c r="BO1314" s="1535"/>
      <c r="BP1314" s="1535"/>
      <c r="BQ1314" s="1535"/>
      <c r="BR1314" s="1535"/>
      <c r="BS1314" s="1535"/>
      <c r="BT1314" s="1675"/>
      <c r="BV1314"/>
      <c r="BW1314" s="913"/>
    </row>
    <row r="1315" spans="1:75" s="772" customFormat="1" ht="12.75" customHeight="1" x14ac:dyDescent="0.2">
      <c r="A1315" s="164"/>
      <c r="B1315" s="175">
        <f>B1314+1</f>
        <v>1</v>
      </c>
      <c r="C1315" s="219">
        <v>7</v>
      </c>
      <c r="D1315" s="265"/>
      <c r="E1315" s="12" t="s">
        <v>1565</v>
      </c>
      <c r="F1315" s="30" t="s">
        <v>1334</v>
      </c>
      <c r="G1315" s="856" t="s">
        <v>1001</v>
      </c>
      <c r="H1315" s="858">
        <v>280203</v>
      </c>
      <c r="I1315" s="200" t="s">
        <v>351</v>
      </c>
      <c r="J1315" s="168"/>
      <c r="K1315" s="168">
        <v>1</v>
      </c>
      <c r="L1315" s="841"/>
      <c r="M1315" s="858">
        <f>K1315+L1315</f>
        <v>1</v>
      </c>
      <c r="N1315" s="855" t="s">
        <v>892</v>
      </c>
      <c r="O1315" s="1196">
        <v>20099</v>
      </c>
      <c r="P1315" s="1218">
        <f ca="1">YEARFRAC(TODAY(),O1315)</f>
        <v>62.727777777777774</v>
      </c>
      <c r="Q1315" s="1148">
        <v>39550</v>
      </c>
      <c r="R1315" s="874"/>
      <c r="S1315" s="875">
        <v>3000</v>
      </c>
      <c r="T1315" s="875"/>
      <c r="U1315" s="875"/>
      <c r="V1315" s="875"/>
      <c r="W1315" s="875"/>
      <c r="X1315" s="1026">
        <f>(Q1315+R1315+S1315+T1315+U1315+V1315+W1315)*M1315</f>
        <v>42550</v>
      </c>
      <c r="Y1315" s="1512">
        <f>(T1315+U1315)*M1315/(X1315-M1315*(T1315+U1315))</f>
        <v>0</v>
      </c>
      <c r="Z1315" s="1741">
        <f>M1315*(1+Y1315)</f>
        <v>1</v>
      </c>
      <c r="AA1315" s="1749">
        <f>SUM(AD1315:AS1315)</f>
        <v>1</v>
      </c>
      <c r="AB1315" s="1810">
        <f t="shared" ref="AB1315" si="792">100*AA1315/Z1315</f>
        <v>100</v>
      </c>
      <c r="AC1315" s="876"/>
      <c r="AD1315" s="1525">
        <f t="shared" ref="AD1315:AS1315" si="793">SUMIF($AV$6:$BS$6,AD$5,$AV1315:$BS1315)</f>
        <v>0</v>
      </c>
      <c r="AE1315" s="1525">
        <f t="shared" si="793"/>
        <v>0</v>
      </c>
      <c r="AF1315" s="1525">
        <f t="shared" si="793"/>
        <v>0</v>
      </c>
      <c r="AG1315" s="1525">
        <f t="shared" si="793"/>
        <v>0</v>
      </c>
      <c r="AH1315" s="1525">
        <f t="shared" si="793"/>
        <v>0</v>
      </c>
      <c r="AI1315" s="1525">
        <f t="shared" si="793"/>
        <v>0</v>
      </c>
      <c r="AJ1315" s="1525">
        <f t="shared" si="793"/>
        <v>0</v>
      </c>
      <c r="AK1315" s="1525">
        <f t="shared" si="793"/>
        <v>1</v>
      </c>
      <c r="AL1315" s="1525">
        <f t="shared" si="793"/>
        <v>0</v>
      </c>
      <c r="AM1315" s="1525">
        <f t="shared" si="793"/>
        <v>0</v>
      </c>
      <c r="AN1315" s="1525">
        <f t="shared" si="793"/>
        <v>0</v>
      </c>
      <c r="AO1315" s="1525">
        <f t="shared" si="793"/>
        <v>0</v>
      </c>
      <c r="AP1315" s="1525">
        <f t="shared" si="793"/>
        <v>0</v>
      </c>
      <c r="AQ1315" s="1525">
        <f t="shared" si="793"/>
        <v>0</v>
      </c>
      <c r="AR1315" s="1525">
        <f t="shared" si="793"/>
        <v>0</v>
      </c>
      <c r="AS1315" s="1525">
        <f t="shared" si="793"/>
        <v>0</v>
      </c>
      <c r="AU1315" s="1525"/>
      <c r="AV1315" s="1536"/>
      <c r="AW1315" s="1537">
        <v>1</v>
      </c>
      <c r="AX1315" s="1537"/>
      <c r="AY1315" s="1537"/>
      <c r="AZ1315" s="1537"/>
      <c r="BA1315" s="1537"/>
      <c r="BB1315" s="1537"/>
      <c r="BC1315" s="1537"/>
      <c r="BD1315" s="1537"/>
      <c r="BE1315" s="1537"/>
      <c r="BF1315" s="1537"/>
      <c r="BG1315" s="1537"/>
      <c r="BH1315" s="1537"/>
      <c r="BI1315" s="1537"/>
      <c r="BJ1315" s="1537"/>
      <c r="BK1315" s="1537"/>
      <c r="BL1315" s="1537"/>
      <c r="BM1315" s="1537"/>
      <c r="BN1315" s="1537"/>
      <c r="BO1315" s="1537"/>
      <c r="BP1315" s="1537"/>
      <c r="BQ1315" s="1537"/>
      <c r="BR1315" s="1537"/>
      <c r="BS1315" s="1537"/>
      <c r="BT1315" s="1670">
        <f t="shared" ref="BT1315" si="794">SUM(AV1315:BS1315)</f>
        <v>1</v>
      </c>
      <c r="BV1315"/>
      <c r="BW1315" s="856" t="s">
        <v>1001</v>
      </c>
    </row>
    <row r="1316" spans="1:75" ht="12.75" customHeight="1" x14ac:dyDescent="0.2">
      <c r="B1316" s="175"/>
      <c r="C1316" s="219"/>
      <c r="E1316" s="12"/>
      <c r="F1316" s="37"/>
      <c r="G1316" s="913"/>
      <c r="H1316" s="861"/>
      <c r="I1316" s="180"/>
      <c r="J1316" s="173"/>
      <c r="K1316" s="173"/>
      <c r="L1316" s="893"/>
      <c r="M1316" s="861"/>
      <c r="N1316" s="832"/>
      <c r="O1316" s="1196"/>
      <c r="P1316" s="1218"/>
      <c r="Q1316" s="1148"/>
      <c r="R1316" s="874"/>
      <c r="S1316" s="876"/>
      <c r="T1316" s="876"/>
      <c r="U1316" s="876"/>
      <c r="V1316" s="876"/>
      <c r="W1316" s="876"/>
      <c r="X1316" s="1026"/>
      <c r="Y1316" s="1335"/>
      <c r="Z1316" s="1335"/>
      <c r="AA1316" s="1775"/>
      <c r="AB1316" s="1814"/>
      <c r="AC1316" s="876"/>
      <c r="AD1316" s="1525"/>
      <c r="AE1316" s="1525"/>
      <c r="AF1316" s="1525"/>
      <c r="AG1316" s="1525"/>
      <c r="AH1316" s="1525"/>
      <c r="AI1316" s="1525"/>
      <c r="AJ1316" s="1525"/>
      <c r="AK1316" s="1525"/>
      <c r="AL1316" s="1525"/>
      <c r="AM1316" s="1525"/>
      <c r="AN1316" s="1525"/>
      <c r="AO1316" s="1525"/>
      <c r="AP1316" s="1525"/>
      <c r="AQ1316" s="1525"/>
      <c r="AR1316" s="1525"/>
      <c r="AS1316" s="1525"/>
      <c r="AU1316" s="1525"/>
      <c r="AV1316" s="1291"/>
      <c r="AW1316" s="1292"/>
      <c r="AX1316" s="1292"/>
      <c r="AY1316" s="1292"/>
      <c r="AZ1316" s="1292"/>
      <c r="BA1316" s="1292"/>
      <c r="BB1316" s="1292"/>
      <c r="BC1316" s="1292"/>
      <c r="BD1316" s="1292"/>
      <c r="BE1316" s="1292"/>
      <c r="BF1316" s="1292"/>
      <c r="BG1316" s="1292"/>
      <c r="BH1316" s="1292"/>
      <c r="BI1316" s="1292"/>
      <c r="BJ1316" s="1292"/>
      <c r="BK1316" s="1292"/>
      <c r="BL1316" s="1292"/>
      <c r="BM1316" s="1292"/>
      <c r="BN1316" s="1292"/>
      <c r="BO1316" s="1292"/>
      <c r="BP1316" s="1292"/>
      <c r="BQ1316" s="1292"/>
      <c r="BR1316" s="1292"/>
      <c r="BS1316" s="1292"/>
      <c r="BT1316" s="1670"/>
      <c r="BW1316" s="913"/>
    </row>
    <row r="1317" spans="1:75" s="388" customFormat="1" ht="12.75" customHeight="1" x14ac:dyDescent="0.2">
      <c r="A1317" s="164"/>
      <c r="B1317" s="175"/>
      <c r="C1317" s="219" t="s">
        <v>1120</v>
      </c>
      <c r="D1317" s="265"/>
      <c r="E1317" s="387"/>
      <c r="F1317" s="1" t="s">
        <v>1125</v>
      </c>
      <c r="G1317" s="856"/>
      <c r="H1317" s="1361" t="s">
        <v>1508</v>
      </c>
      <c r="I1317" s="172"/>
      <c r="J1317" s="168"/>
      <c r="K1317" s="902">
        <f t="shared" ref="K1317:L1317" si="795">SUM(K1303:K1315)</f>
        <v>1</v>
      </c>
      <c r="L1317" s="902">
        <f t="shared" si="795"/>
        <v>7.6</v>
      </c>
      <c r="M1317" s="902">
        <f>SUM(M1303:M1315)</f>
        <v>8.6</v>
      </c>
      <c r="N1317" s="855"/>
      <c r="O1317" s="1192"/>
      <c r="P1317" s="1253"/>
      <c r="Q1317" s="1153"/>
      <c r="R1317" s="877"/>
      <c r="S1317" s="875"/>
      <c r="T1317" s="875"/>
      <c r="U1317" s="875"/>
      <c r="V1317" s="875"/>
      <c r="W1317" s="875"/>
      <c r="X1317" s="1026"/>
      <c r="Y1317" s="1335"/>
      <c r="Z1317" s="1335"/>
      <c r="AA1317" s="1775"/>
      <c r="AB1317" s="1830"/>
      <c r="AC1317" s="876"/>
      <c r="AD1317" s="1534"/>
      <c r="AE1317" s="1535"/>
      <c r="AF1317" s="1535"/>
      <c r="AG1317" s="1535"/>
      <c r="AH1317" s="1535"/>
      <c r="AI1317" s="1535"/>
      <c r="AJ1317" s="1535"/>
      <c r="AK1317" s="1535"/>
      <c r="AL1317" s="1535"/>
      <c r="AM1317" s="1535"/>
      <c r="AN1317" s="1535"/>
      <c r="AO1317" s="1535"/>
      <c r="AP1317" s="1535"/>
      <c r="AQ1317" s="1535"/>
      <c r="AR1317" s="1535"/>
      <c r="AS1317" s="1535"/>
      <c r="AU1317" s="1525"/>
      <c r="AV1317" s="1534"/>
      <c r="AW1317" s="1535"/>
      <c r="AX1317" s="1535"/>
      <c r="AY1317" s="1535"/>
      <c r="AZ1317" s="1535"/>
      <c r="BA1317" s="1535"/>
      <c r="BB1317" s="1535"/>
      <c r="BC1317" s="1535"/>
      <c r="BD1317" s="1535"/>
      <c r="BE1317" s="1535"/>
      <c r="BF1317" s="1535"/>
      <c r="BG1317" s="1535"/>
      <c r="BH1317" s="1535"/>
      <c r="BI1317" s="1535"/>
      <c r="BJ1317" s="1535"/>
      <c r="BK1317" s="1535"/>
      <c r="BL1317" s="1535"/>
      <c r="BM1317" s="1535"/>
      <c r="BN1317" s="1535"/>
      <c r="BO1317" s="1535"/>
      <c r="BP1317" s="1535"/>
      <c r="BQ1317" s="1535"/>
      <c r="BR1317" s="1535"/>
      <c r="BS1317" s="1535"/>
      <c r="BT1317" s="1675"/>
      <c r="BV1317"/>
      <c r="BW1317" s="856"/>
    </row>
    <row r="1318" spans="1:75" s="164" customFormat="1" ht="12.75" customHeight="1" x14ac:dyDescent="0.15">
      <c r="B1318" s="175"/>
      <c r="F1318" s="1"/>
      <c r="G1318" s="856"/>
      <c r="H1318" s="1364" t="s">
        <v>1508</v>
      </c>
      <c r="I1318" s="172"/>
      <c r="J1318" s="168"/>
      <c r="K1318" s="168"/>
      <c r="L1318" s="841"/>
      <c r="M1318" s="841"/>
      <c r="N1318" s="855"/>
      <c r="O1318" s="1200"/>
      <c r="P1318" s="550"/>
      <c r="Q1318" s="1148"/>
      <c r="R1318" s="874"/>
      <c r="S1318" s="875"/>
      <c r="T1318" s="875"/>
      <c r="U1318" s="875"/>
      <c r="V1318" s="875"/>
      <c r="W1318" s="875"/>
      <c r="X1318" s="1026"/>
      <c r="Y1318" s="1754"/>
      <c r="Z1318" s="1755"/>
      <c r="AA1318" s="1775"/>
      <c r="AB1318" s="1814"/>
      <c r="AC1318" s="876"/>
      <c r="AD1318" s="1295"/>
      <c r="AE1318" s="1525"/>
      <c r="AF1318" s="1525"/>
      <c r="AG1318" s="1525"/>
      <c r="AH1318" s="1525"/>
      <c r="AI1318" s="1525"/>
      <c r="AJ1318" s="1525"/>
      <c r="AK1318" s="1525"/>
      <c r="AL1318" s="1525"/>
      <c r="AM1318" s="1525"/>
      <c r="AN1318" s="1525"/>
      <c r="AO1318" s="1525"/>
      <c r="AP1318" s="1525"/>
      <c r="AQ1318" s="1525"/>
      <c r="AR1318" s="1525"/>
      <c r="AS1318" s="1525"/>
      <c r="AU1318" s="1525"/>
      <c r="AV1318" s="1295"/>
      <c r="AW1318" s="1525"/>
      <c r="AX1318" s="1525"/>
      <c r="AY1318" s="1525"/>
      <c r="AZ1318" s="1525"/>
      <c r="BA1318" s="1525"/>
      <c r="BB1318" s="1525"/>
      <c r="BC1318" s="1525"/>
      <c r="BD1318" s="1525"/>
      <c r="BE1318" s="1525"/>
      <c r="BF1318" s="1525"/>
      <c r="BG1318" s="1525"/>
      <c r="BH1318" s="1525"/>
      <c r="BI1318" s="1525"/>
      <c r="BJ1318" s="1525"/>
      <c r="BK1318" s="1525"/>
      <c r="BL1318" s="1525"/>
      <c r="BM1318" s="1525"/>
      <c r="BN1318" s="1525"/>
      <c r="BO1318" s="1525"/>
      <c r="BP1318" s="1525"/>
      <c r="BQ1318" s="1525"/>
      <c r="BR1318" s="1525"/>
      <c r="BS1318" s="1525"/>
      <c r="BT1318" s="1670"/>
      <c r="BV1318"/>
      <c r="BW1318" s="856"/>
    </row>
    <row r="1319" spans="1:75" s="164" customFormat="1" ht="12.75" customHeight="1" x14ac:dyDescent="0.15">
      <c r="B1319" s="175"/>
      <c r="F1319" s="36" t="s">
        <v>1320</v>
      </c>
      <c r="G1319" s="856"/>
      <c r="H1319" s="1364" t="s">
        <v>1508</v>
      </c>
      <c r="I1319" s="172"/>
      <c r="J1319" s="168"/>
      <c r="K1319" s="168"/>
      <c r="L1319" s="841"/>
      <c r="M1319" s="841"/>
      <c r="N1319" s="855"/>
      <c r="O1319" s="1200"/>
      <c r="P1319" s="550"/>
      <c r="Q1319" s="1148"/>
      <c r="R1319" s="874"/>
      <c r="S1319" s="875"/>
      <c r="T1319" s="875"/>
      <c r="U1319" s="875"/>
      <c r="V1319" s="875"/>
      <c r="W1319" s="875"/>
      <c r="X1319" s="1026"/>
      <c r="Y1319" s="1754"/>
      <c r="Z1319" s="1755"/>
      <c r="AA1319" s="1775"/>
      <c r="AB1319" s="1814"/>
      <c r="AC1319" s="876"/>
      <c r="AD1319" s="1295"/>
      <c r="AE1319" s="1525"/>
      <c r="AF1319" s="1525"/>
      <c r="AG1319" s="1525"/>
      <c r="AH1319" s="1525"/>
      <c r="AI1319" s="1525"/>
      <c r="AJ1319" s="1525"/>
      <c r="AK1319" s="1525"/>
      <c r="AL1319" s="1525"/>
      <c r="AM1319" s="1525"/>
      <c r="AN1319" s="1525"/>
      <c r="AO1319" s="1525"/>
      <c r="AP1319" s="1525"/>
      <c r="AQ1319" s="1525"/>
      <c r="AR1319" s="1525"/>
      <c r="AS1319" s="1525"/>
      <c r="AU1319" s="1525"/>
      <c r="AV1319" s="1295"/>
      <c r="AW1319" s="1525"/>
      <c r="AX1319" s="1525"/>
      <c r="AY1319" s="1525"/>
      <c r="AZ1319" s="1525"/>
      <c r="BA1319" s="1525"/>
      <c r="BB1319" s="1525"/>
      <c r="BC1319" s="1525"/>
      <c r="BD1319" s="1525"/>
      <c r="BE1319" s="1525"/>
      <c r="BF1319" s="1525"/>
      <c r="BG1319" s="1525"/>
      <c r="BH1319" s="1525"/>
      <c r="BI1319" s="1525"/>
      <c r="BJ1319" s="1525"/>
      <c r="BK1319" s="1525"/>
      <c r="BL1319" s="1525"/>
      <c r="BM1319" s="1525"/>
      <c r="BN1319" s="1525"/>
      <c r="BO1319" s="1525"/>
      <c r="BP1319" s="1525"/>
      <c r="BQ1319" s="1525"/>
      <c r="BR1319" s="1525"/>
      <c r="BS1319" s="1525"/>
      <c r="BT1319" s="1670"/>
      <c r="BV1319"/>
      <c r="BW1319" s="856"/>
    </row>
    <row r="1320" spans="1:75" ht="12.75" customHeight="1" x14ac:dyDescent="0.2">
      <c r="B1320" s="175">
        <f>B1319+1</f>
        <v>1</v>
      </c>
      <c r="C1320" s="219">
        <v>5</v>
      </c>
      <c r="E1320" s="12" t="s">
        <v>1565</v>
      </c>
      <c r="F1320" s="1" t="s">
        <v>166</v>
      </c>
      <c r="G1320" s="856" t="s">
        <v>1321</v>
      </c>
      <c r="H1320" s="858">
        <v>30269</v>
      </c>
      <c r="I1320" s="200" t="s">
        <v>351</v>
      </c>
      <c r="J1320" s="168"/>
      <c r="K1320" s="168"/>
      <c r="L1320" s="841">
        <v>1</v>
      </c>
      <c r="M1320" s="858">
        <f t="shared" ref="M1320:M1329" si="796">K1320+L1320</f>
        <v>1</v>
      </c>
      <c r="N1320" s="855" t="s">
        <v>1326</v>
      </c>
      <c r="O1320" s="1196">
        <v>17110</v>
      </c>
      <c r="P1320" s="1218">
        <f t="shared" ref="P1320:P1329" ca="1" si="797">YEARFRAC(TODAY(),O1320)</f>
        <v>70.911111111111111</v>
      </c>
      <c r="Q1320" s="1148">
        <v>52100</v>
      </c>
      <c r="R1320" s="874">
        <f>Q1320*0.1</f>
        <v>5210</v>
      </c>
      <c r="S1320" s="875">
        <v>3000</v>
      </c>
      <c r="T1320" s="875">
        <v>4000</v>
      </c>
      <c r="U1320" s="875"/>
      <c r="V1320" s="875"/>
      <c r="W1320" s="875"/>
      <c r="X1320" s="1026">
        <f t="shared" ref="X1320:X1329" si="798">(Q1320+R1320+S1320+T1320+U1320+V1320+W1320)*M1320</f>
        <v>64310</v>
      </c>
      <c r="Y1320" s="1512">
        <f t="shared" ref="Y1320:Y1329" si="799">(T1320+U1320)*M1320/(X1320-M1320*(T1320+U1320))</f>
        <v>6.6323992704360804E-2</v>
      </c>
      <c r="Z1320" s="1741">
        <f t="shared" ref="Z1320:Z1329" si="800">M1320*(1+Y1320)</f>
        <v>1.0663239927043608</v>
      </c>
      <c r="AA1320" s="1749">
        <f t="shared" ref="AA1320:AA1329" si="801">SUM(AD1320:AS1320)</f>
        <v>0.8</v>
      </c>
      <c r="AB1320" s="1810">
        <f t="shared" ref="AB1320:AB1329" si="802">100*AA1320/Z1320</f>
        <v>75.024102005908873</v>
      </c>
      <c r="AC1320" s="876"/>
      <c r="AD1320" s="1525">
        <f t="shared" ref="AD1320:AS1329" si="803">SUMIF($AV$6:$BS$6,AD$5,$AV1320:$BS1320)</f>
        <v>0.8</v>
      </c>
      <c r="AE1320" s="1525">
        <f t="shared" si="803"/>
        <v>0</v>
      </c>
      <c r="AF1320" s="1525">
        <f t="shared" si="803"/>
        <v>0</v>
      </c>
      <c r="AG1320" s="1525">
        <f t="shared" si="803"/>
        <v>0</v>
      </c>
      <c r="AH1320" s="1525">
        <f t="shared" si="803"/>
        <v>0</v>
      </c>
      <c r="AI1320" s="1525">
        <f t="shared" si="803"/>
        <v>0</v>
      </c>
      <c r="AJ1320" s="1525">
        <f t="shared" si="803"/>
        <v>0</v>
      </c>
      <c r="AK1320" s="1525">
        <f t="shared" si="803"/>
        <v>0</v>
      </c>
      <c r="AL1320" s="1525">
        <f t="shared" si="803"/>
        <v>0</v>
      </c>
      <c r="AM1320" s="1525">
        <f t="shared" si="803"/>
        <v>0</v>
      </c>
      <c r="AN1320" s="1525">
        <f t="shared" si="803"/>
        <v>0</v>
      </c>
      <c r="AO1320" s="1525">
        <f t="shared" si="803"/>
        <v>0</v>
      </c>
      <c r="AP1320" s="1525">
        <f t="shared" si="803"/>
        <v>0</v>
      </c>
      <c r="AQ1320" s="1525">
        <f t="shared" si="803"/>
        <v>0</v>
      </c>
      <c r="AR1320" s="1525">
        <f t="shared" si="803"/>
        <v>0</v>
      </c>
      <c r="AS1320" s="1525">
        <f t="shared" si="803"/>
        <v>0</v>
      </c>
      <c r="AU1320" s="1525"/>
      <c r="AV1320" s="1291"/>
      <c r="AW1320" s="1292"/>
      <c r="AX1320" s="1292"/>
      <c r="AY1320" s="1292"/>
      <c r="AZ1320" s="1292"/>
      <c r="BA1320" s="1292"/>
      <c r="BB1320" s="1292"/>
      <c r="BC1320" s="1292"/>
      <c r="BD1320" s="1292"/>
      <c r="BE1320" s="1292"/>
      <c r="BF1320" s="1292"/>
      <c r="BG1320" s="1292"/>
      <c r="BH1320" s="1292"/>
      <c r="BI1320" s="1292"/>
      <c r="BJ1320" s="1292">
        <v>0.8</v>
      </c>
      <c r="BK1320" s="1292"/>
      <c r="BL1320" s="1292"/>
      <c r="BM1320" s="1292"/>
      <c r="BN1320" s="1292"/>
      <c r="BO1320" s="1292"/>
      <c r="BP1320" s="1292"/>
      <c r="BQ1320" s="1292"/>
      <c r="BR1320" s="1292"/>
      <c r="BS1320" s="1292"/>
      <c r="BT1320" s="1670">
        <f t="shared" ref="BT1320:BT1329" si="804">SUM(AV1320:BS1320)</f>
        <v>0.8</v>
      </c>
      <c r="BW1320" s="856" t="s">
        <v>1321</v>
      </c>
    </row>
    <row r="1321" spans="1:75" ht="12.75" customHeight="1" x14ac:dyDescent="0.2">
      <c r="B1321" s="175">
        <f t="shared" ref="B1321:B1329" si="805">B1320+1</f>
        <v>2</v>
      </c>
      <c r="C1321" s="219">
        <v>7</v>
      </c>
      <c r="E1321" s="12" t="s">
        <v>1565</v>
      </c>
      <c r="F1321" s="30" t="s">
        <v>1334</v>
      </c>
      <c r="G1321" s="856" t="s">
        <v>1322</v>
      </c>
      <c r="H1321" s="858">
        <v>7471</v>
      </c>
      <c r="I1321" s="200" t="s">
        <v>351</v>
      </c>
      <c r="J1321" s="168"/>
      <c r="K1321" s="168"/>
      <c r="L1321" s="841">
        <v>1</v>
      </c>
      <c r="M1321" s="858">
        <f t="shared" si="796"/>
        <v>1</v>
      </c>
      <c r="N1321" s="855" t="s">
        <v>1326</v>
      </c>
      <c r="O1321" s="1196">
        <v>16422</v>
      </c>
      <c r="P1321" s="1218">
        <f t="shared" ca="1" si="797"/>
        <v>72.794444444444451</v>
      </c>
      <c r="Q1321" s="1148">
        <v>39550</v>
      </c>
      <c r="R1321" s="874">
        <f>Q1321*0.1</f>
        <v>3955</v>
      </c>
      <c r="S1321" s="875">
        <v>7000</v>
      </c>
      <c r="T1321" s="875"/>
      <c r="U1321" s="875"/>
      <c r="V1321" s="875"/>
      <c r="W1321" s="875"/>
      <c r="X1321" s="1026">
        <f t="shared" si="798"/>
        <v>50505</v>
      </c>
      <c r="Y1321" s="1512">
        <f t="shared" si="799"/>
        <v>0</v>
      </c>
      <c r="Z1321" s="1741">
        <f t="shared" si="800"/>
        <v>1</v>
      </c>
      <c r="AA1321" s="1749">
        <f t="shared" si="801"/>
        <v>1.1000000000000001</v>
      </c>
      <c r="AB1321" s="1810">
        <f t="shared" si="802"/>
        <v>110.00000000000001</v>
      </c>
      <c r="AC1321" s="876"/>
      <c r="AD1321" s="1525">
        <f t="shared" si="803"/>
        <v>0.1</v>
      </c>
      <c r="AE1321" s="1525">
        <f t="shared" si="803"/>
        <v>0</v>
      </c>
      <c r="AF1321" s="1525">
        <f t="shared" si="803"/>
        <v>0</v>
      </c>
      <c r="AG1321" s="1525">
        <f t="shared" si="803"/>
        <v>0</v>
      </c>
      <c r="AH1321" s="1525">
        <f t="shared" si="803"/>
        <v>0</v>
      </c>
      <c r="AI1321" s="1525">
        <f t="shared" si="803"/>
        <v>0</v>
      </c>
      <c r="AJ1321" s="1525">
        <f t="shared" si="803"/>
        <v>0</v>
      </c>
      <c r="AK1321" s="1525">
        <f t="shared" si="803"/>
        <v>1</v>
      </c>
      <c r="AL1321" s="1525">
        <f t="shared" si="803"/>
        <v>0</v>
      </c>
      <c r="AM1321" s="1525">
        <f t="shared" si="803"/>
        <v>0</v>
      </c>
      <c r="AN1321" s="1525">
        <f t="shared" si="803"/>
        <v>0</v>
      </c>
      <c r="AO1321" s="1525">
        <f t="shared" si="803"/>
        <v>0</v>
      </c>
      <c r="AP1321" s="1525">
        <f t="shared" si="803"/>
        <v>0</v>
      </c>
      <c r="AQ1321" s="1525">
        <f t="shared" si="803"/>
        <v>0</v>
      </c>
      <c r="AR1321" s="1525">
        <f t="shared" si="803"/>
        <v>0</v>
      </c>
      <c r="AS1321" s="1525">
        <f t="shared" si="803"/>
        <v>0</v>
      </c>
      <c r="AU1321" s="1525"/>
      <c r="AV1321" s="1291"/>
      <c r="AW1321" s="1292">
        <v>1</v>
      </c>
      <c r="AX1321" s="1292"/>
      <c r="AY1321" s="1292"/>
      <c r="AZ1321" s="1292"/>
      <c r="BA1321" s="1292"/>
      <c r="BB1321" s="1292"/>
      <c r="BC1321" s="1292"/>
      <c r="BD1321" s="1292"/>
      <c r="BE1321" s="1292"/>
      <c r="BF1321" s="1292"/>
      <c r="BG1321" s="1292"/>
      <c r="BH1321" s="1292"/>
      <c r="BI1321" s="1292"/>
      <c r="BJ1321" s="1292">
        <v>0.1</v>
      </c>
      <c r="BK1321" s="1292"/>
      <c r="BL1321" s="1292"/>
      <c r="BM1321" s="1292"/>
      <c r="BN1321" s="1292"/>
      <c r="BO1321" s="1292"/>
      <c r="BP1321" s="1292"/>
      <c r="BQ1321" s="1292"/>
      <c r="BR1321" s="1292"/>
      <c r="BS1321" s="1292"/>
      <c r="BT1321" s="1670">
        <f t="shared" si="804"/>
        <v>1.1000000000000001</v>
      </c>
      <c r="BW1321" s="856" t="s">
        <v>1322</v>
      </c>
    </row>
    <row r="1322" spans="1:75" ht="12.75" customHeight="1" x14ac:dyDescent="0.2">
      <c r="B1322" s="175">
        <f t="shared" si="805"/>
        <v>3</v>
      </c>
      <c r="C1322" s="569">
        <v>7</v>
      </c>
      <c r="D1322" s="570"/>
      <c r="E1322" s="472" t="s">
        <v>1565</v>
      </c>
      <c r="F1322" s="583" t="s">
        <v>1334</v>
      </c>
      <c r="G1322" s="856" t="s">
        <v>1323</v>
      </c>
      <c r="H1322" s="858">
        <v>322</v>
      </c>
      <c r="I1322" s="200" t="s">
        <v>351</v>
      </c>
      <c r="J1322" s="633"/>
      <c r="K1322" s="633"/>
      <c r="L1322" s="841">
        <v>1</v>
      </c>
      <c r="M1322" s="858">
        <f t="shared" si="796"/>
        <v>1</v>
      </c>
      <c r="N1322" s="855" t="s">
        <v>892</v>
      </c>
      <c r="O1322" s="1196">
        <v>16271</v>
      </c>
      <c r="P1322" s="1218">
        <f t="shared" ca="1" si="797"/>
        <v>73.205555555555549</v>
      </c>
      <c r="Q1322" s="1148">
        <v>43800</v>
      </c>
      <c r="R1322" s="874"/>
      <c r="S1322" s="875">
        <v>7000</v>
      </c>
      <c r="T1322" s="875">
        <v>2000</v>
      </c>
      <c r="U1322" s="875"/>
      <c r="V1322" s="875"/>
      <c r="W1322" s="875"/>
      <c r="X1322" s="1026">
        <f t="shared" si="798"/>
        <v>52800</v>
      </c>
      <c r="Y1322" s="1512">
        <f t="shared" si="799"/>
        <v>3.937007874015748E-2</v>
      </c>
      <c r="Z1322" s="1741">
        <f t="shared" si="800"/>
        <v>1.0393700787401574</v>
      </c>
      <c r="AA1322" s="1749">
        <f t="shared" si="801"/>
        <v>0.8</v>
      </c>
      <c r="AB1322" s="1810">
        <f t="shared" si="802"/>
        <v>76.969696969696969</v>
      </c>
      <c r="AC1322" s="876"/>
      <c r="AD1322" s="1525">
        <f t="shared" si="803"/>
        <v>0.8</v>
      </c>
      <c r="AE1322" s="1525">
        <f t="shared" si="803"/>
        <v>0</v>
      </c>
      <c r="AF1322" s="1525">
        <f t="shared" si="803"/>
        <v>0</v>
      </c>
      <c r="AG1322" s="1525">
        <f t="shared" si="803"/>
        <v>0</v>
      </c>
      <c r="AH1322" s="1525">
        <f t="shared" si="803"/>
        <v>0</v>
      </c>
      <c r="AI1322" s="1525">
        <f t="shared" si="803"/>
        <v>0</v>
      </c>
      <c r="AJ1322" s="1525">
        <f t="shared" si="803"/>
        <v>0</v>
      </c>
      <c r="AK1322" s="1525">
        <f t="shared" si="803"/>
        <v>0</v>
      </c>
      <c r="AL1322" s="1525">
        <f t="shared" si="803"/>
        <v>0</v>
      </c>
      <c r="AM1322" s="1525">
        <f t="shared" si="803"/>
        <v>0</v>
      </c>
      <c r="AN1322" s="1525">
        <f t="shared" si="803"/>
        <v>0</v>
      </c>
      <c r="AO1322" s="1525">
        <f t="shared" si="803"/>
        <v>0</v>
      </c>
      <c r="AP1322" s="1525">
        <f t="shared" si="803"/>
        <v>0</v>
      </c>
      <c r="AQ1322" s="1525">
        <f t="shared" si="803"/>
        <v>0</v>
      </c>
      <c r="AR1322" s="1525">
        <f t="shared" si="803"/>
        <v>0</v>
      </c>
      <c r="AS1322" s="1525">
        <f t="shared" si="803"/>
        <v>0</v>
      </c>
      <c r="AU1322" s="1525"/>
      <c r="AV1322" s="1291"/>
      <c r="AW1322" s="1292"/>
      <c r="AX1322" s="1292"/>
      <c r="AY1322" s="1292"/>
      <c r="AZ1322" s="1292"/>
      <c r="BA1322" s="1292"/>
      <c r="BB1322" s="1292"/>
      <c r="BC1322" s="1292"/>
      <c r="BD1322" s="1292"/>
      <c r="BE1322" s="1292"/>
      <c r="BF1322" s="1292"/>
      <c r="BG1322" s="1292"/>
      <c r="BH1322" s="1292"/>
      <c r="BI1322" s="1292"/>
      <c r="BJ1322" s="1292">
        <v>0.8</v>
      </c>
      <c r="BK1322" s="1292"/>
      <c r="BL1322" s="1292"/>
      <c r="BM1322" s="1292"/>
      <c r="BN1322" s="1292"/>
      <c r="BO1322" s="1292"/>
      <c r="BP1322" s="1292"/>
      <c r="BQ1322" s="1292"/>
      <c r="BR1322" s="1292"/>
      <c r="BS1322" s="1292"/>
      <c r="BT1322" s="1670">
        <f t="shared" si="804"/>
        <v>0.8</v>
      </c>
      <c r="BW1322" s="856" t="s">
        <v>1323</v>
      </c>
    </row>
    <row r="1323" spans="1:75" ht="12.75" customHeight="1" x14ac:dyDescent="0.2">
      <c r="B1323" s="175">
        <f t="shared" si="805"/>
        <v>4</v>
      </c>
      <c r="C1323" s="219">
        <v>7</v>
      </c>
      <c r="E1323" s="12" t="s">
        <v>1565</v>
      </c>
      <c r="F1323" s="30" t="s">
        <v>1334</v>
      </c>
      <c r="G1323" s="856" t="s">
        <v>999</v>
      </c>
      <c r="H1323" s="858">
        <v>104077</v>
      </c>
      <c r="I1323" s="200" t="s">
        <v>351</v>
      </c>
      <c r="J1323" s="174"/>
      <c r="K1323" s="174"/>
      <c r="L1323" s="841">
        <v>1</v>
      </c>
      <c r="M1323" s="858">
        <f t="shared" si="796"/>
        <v>1</v>
      </c>
      <c r="N1323" s="855" t="s">
        <v>892</v>
      </c>
      <c r="O1323" s="1196">
        <v>27039</v>
      </c>
      <c r="P1323" s="1218">
        <f t="shared" ca="1" si="797"/>
        <v>43.727777777777774</v>
      </c>
      <c r="Q1323" s="1148">
        <v>35300</v>
      </c>
      <c r="R1323" s="874"/>
      <c r="S1323" s="875">
        <v>3000</v>
      </c>
      <c r="T1323" s="875">
        <v>8000</v>
      </c>
      <c r="U1323" s="875"/>
      <c r="V1323" s="875"/>
      <c r="W1323" s="875"/>
      <c r="X1323" s="1026">
        <f t="shared" si="798"/>
        <v>46300</v>
      </c>
      <c r="Y1323" s="1512">
        <f t="shared" si="799"/>
        <v>0.20887728459530025</v>
      </c>
      <c r="Z1323" s="1741">
        <f t="shared" si="800"/>
        <v>1.2088772845953002</v>
      </c>
      <c r="AA1323" s="1749">
        <f t="shared" si="801"/>
        <v>0.7</v>
      </c>
      <c r="AB1323" s="1810">
        <f t="shared" si="802"/>
        <v>57.904967602591796</v>
      </c>
      <c r="AC1323" s="876"/>
      <c r="AD1323" s="1525">
        <f t="shared" si="803"/>
        <v>0.2</v>
      </c>
      <c r="AE1323" s="1525">
        <f t="shared" si="803"/>
        <v>0</v>
      </c>
      <c r="AF1323" s="1525">
        <f t="shared" si="803"/>
        <v>0</v>
      </c>
      <c r="AG1323" s="1525">
        <f t="shared" si="803"/>
        <v>0</v>
      </c>
      <c r="AH1323" s="1525">
        <f t="shared" si="803"/>
        <v>0</v>
      </c>
      <c r="AI1323" s="1525">
        <f t="shared" si="803"/>
        <v>0</v>
      </c>
      <c r="AJ1323" s="1525">
        <f t="shared" si="803"/>
        <v>0</v>
      </c>
      <c r="AK1323" s="1525">
        <f t="shared" si="803"/>
        <v>0</v>
      </c>
      <c r="AL1323" s="1525">
        <f t="shared" si="803"/>
        <v>0</v>
      </c>
      <c r="AM1323" s="1525">
        <f t="shared" si="803"/>
        <v>0</v>
      </c>
      <c r="AN1323" s="1525">
        <f t="shared" si="803"/>
        <v>0</v>
      </c>
      <c r="AO1323" s="1525">
        <f t="shared" si="803"/>
        <v>0</v>
      </c>
      <c r="AP1323" s="1525">
        <f t="shared" si="803"/>
        <v>0.5</v>
      </c>
      <c r="AQ1323" s="1525">
        <f t="shared" si="803"/>
        <v>0</v>
      </c>
      <c r="AR1323" s="1525">
        <f t="shared" si="803"/>
        <v>0</v>
      </c>
      <c r="AS1323" s="1525">
        <f t="shared" si="803"/>
        <v>0</v>
      </c>
      <c r="AU1323" s="1525"/>
      <c r="AV1323" s="1291"/>
      <c r="AW1323" s="1292"/>
      <c r="AX1323" s="1292">
        <v>0.5</v>
      </c>
      <c r="AY1323" s="1292"/>
      <c r="AZ1323" s="1292"/>
      <c r="BA1323" s="1292"/>
      <c r="BB1323" s="1292"/>
      <c r="BC1323" s="1292"/>
      <c r="BD1323" s="1292"/>
      <c r="BE1323" s="1292"/>
      <c r="BF1323" s="1292"/>
      <c r="BG1323" s="1292"/>
      <c r="BH1323" s="1292"/>
      <c r="BI1323" s="1292"/>
      <c r="BJ1323" s="1292">
        <v>0.2</v>
      </c>
      <c r="BK1323" s="1292"/>
      <c r="BL1323" s="1292"/>
      <c r="BM1323" s="1292"/>
      <c r="BN1323" s="1292"/>
      <c r="BO1323" s="1292"/>
      <c r="BP1323" s="1292"/>
      <c r="BQ1323" s="1292"/>
      <c r="BR1323" s="1292"/>
      <c r="BS1323" s="1292"/>
      <c r="BT1323" s="1670">
        <f t="shared" si="804"/>
        <v>0.7</v>
      </c>
      <c r="BW1323" s="856" t="s">
        <v>999</v>
      </c>
    </row>
    <row r="1324" spans="1:75" s="164" customFormat="1" ht="12.75" customHeight="1" x14ac:dyDescent="0.2">
      <c r="B1324" s="175">
        <f t="shared" si="805"/>
        <v>5</v>
      </c>
      <c r="C1324" s="219">
        <v>8</v>
      </c>
      <c r="E1324" s="12" t="s">
        <v>1565</v>
      </c>
      <c r="F1324" s="1" t="s">
        <v>353</v>
      </c>
      <c r="G1324" s="856" t="s">
        <v>143</v>
      </c>
      <c r="H1324" s="858">
        <v>82823</v>
      </c>
      <c r="I1324" s="200" t="s">
        <v>351</v>
      </c>
      <c r="J1324" s="168"/>
      <c r="K1324" s="168"/>
      <c r="L1324" s="841">
        <v>1</v>
      </c>
      <c r="M1324" s="858">
        <f t="shared" si="796"/>
        <v>1</v>
      </c>
      <c r="N1324" s="855" t="s">
        <v>1326</v>
      </c>
      <c r="O1324" s="1196">
        <v>18130</v>
      </c>
      <c r="P1324" s="1218">
        <f t="shared" ca="1" si="797"/>
        <v>68.11666666666666</v>
      </c>
      <c r="Q1324" s="1148">
        <v>25150</v>
      </c>
      <c r="R1324" s="874">
        <f>Q1324*0.1</f>
        <v>2515</v>
      </c>
      <c r="S1324" s="875">
        <v>3000</v>
      </c>
      <c r="T1324" s="875"/>
      <c r="U1324" s="875"/>
      <c r="V1324" s="875"/>
      <c r="W1324" s="875"/>
      <c r="X1324" s="1026">
        <f t="shared" si="798"/>
        <v>30665</v>
      </c>
      <c r="Y1324" s="1512">
        <f t="shared" si="799"/>
        <v>0</v>
      </c>
      <c r="Z1324" s="1741">
        <f t="shared" si="800"/>
        <v>1</v>
      </c>
      <c r="AA1324" s="1749">
        <f t="shared" si="801"/>
        <v>1</v>
      </c>
      <c r="AB1324" s="1810">
        <f t="shared" si="802"/>
        <v>100</v>
      </c>
      <c r="AC1324" s="876"/>
      <c r="AD1324" s="1525">
        <f t="shared" si="803"/>
        <v>1</v>
      </c>
      <c r="AE1324" s="1525">
        <f t="shared" si="803"/>
        <v>0</v>
      </c>
      <c r="AF1324" s="1525">
        <f t="shared" si="803"/>
        <v>0</v>
      </c>
      <c r="AG1324" s="1525">
        <f t="shared" si="803"/>
        <v>0</v>
      </c>
      <c r="AH1324" s="1525">
        <f t="shared" si="803"/>
        <v>0</v>
      </c>
      <c r="AI1324" s="1525">
        <f t="shared" si="803"/>
        <v>0</v>
      </c>
      <c r="AJ1324" s="1525">
        <f t="shared" si="803"/>
        <v>0</v>
      </c>
      <c r="AK1324" s="1525">
        <f t="shared" si="803"/>
        <v>0</v>
      </c>
      <c r="AL1324" s="1525">
        <f t="shared" si="803"/>
        <v>0</v>
      </c>
      <c r="AM1324" s="1525">
        <f t="shared" si="803"/>
        <v>0</v>
      </c>
      <c r="AN1324" s="1525">
        <f t="shared" si="803"/>
        <v>0</v>
      </c>
      <c r="AO1324" s="1525">
        <f t="shared" si="803"/>
        <v>0</v>
      </c>
      <c r="AP1324" s="1525">
        <f t="shared" si="803"/>
        <v>0</v>
      </c>
      <c r="AQ1324" s="1525">
        <f t="shared" si="803"/>
        <v>0</v>
      </c>
      <c r="AR1324" s="1525">
        <f t="shared" si="803"/>
        <v>0</v>
      </c>
      <c r="AS1324" s="1525">
        <f t="shared" si="803"/>
        <v>0</v>
      </c>
      <c r="AU1324" s="1525"/>
      <c r="AV1324" s="1295"/>
      <c r="AW1324" s="1525"/>
      <c r="AX1324" s="1525"/>
      <c r="AY1324" s="1525"/>
      <c r="AZ1324" s="1525"/>
      <c r="BA1324" s="1525"/>
      <c r="BB1324" s="1525"/>
      <c r="BC1324" s="1525"/>
      <c r="BD1324" s="1525"/>
      <c r="BE1324" s="1525"/>
      <c r="BF1324" s="1525"/>
      <c r="BG1324" s="1525"/>
      <c r="BH1324" s="1525"/>
      <c r="BI1324" s="1525"/>
      <c r="BJ1324" s="1525">
        <v>1</v>
      </c>
      <c r="BK1324" s="1525"/>
      <c r="BL1324" s="1525"/>
      <c r="BM1324" s="1525"/>
      <c r="BN1324" s="1525"/>
      <c r="BO1324" s="1525"/>
      <c r="BP1324" s="1525"/>
      <c r="BQ1324" s="1525"/>
      <c r="BR1324" s="1525"/>
      <c r="BS1324" s="1525"/>
      <c r="BT1324" s="1670">
        <f t="shared" si="804"/>
        <v>1</v>
      </c>
      <c r="BV1324"/>
      <c r="BW1324" s="856" t="s">
        <v>143</v>
      </c>
    </row>
    <row r="1325" spans="1:75" s="164" customFormat="1" ht="12.75" customHeight="1" x14ac:dyDescent="0.2">
      <c r="B1325" s="175">
        <f t="shared" si="805"/>
        <v>6</v>
      </c>
      <c r="C1325" s="219">
        <v>23</v>
      </c>
      <c r="E1325" s="12" t="s">
        <v>1565</v>
      </c>
      <c r="F1325" s="1" t="s">
        <v>1406</v>
      </c>
      <c r="G1325" s="856" t="s">
        <v>6</v>
      </c>
      <c r="H1325" s="858">
        <v>213688</v>
      </c>
      <c r="I1325" s="200"/>
      <c r="J1325" s="168"/>
      <c r="K1325" s="168"/>
      <c r="L1325" s="841">
        <v>1</v>
      </c>
      <c r="M1325" s="858">
        <f t="shared" si="796"/>
        <v>1</v>
      </c>
      <c r="N1325" s="855" t="s">
        <v>892</v>
      </c>
      <c r="O1325" s="1196">
        <v>19927</v>
      </c>
      <c r="P1325" s="1218">
        <f t="shared" ca="1" si="797"/>
        <v>63.194444444444443</v>
      </c>
      <c r="Q1325" s="1148">
        <v>27000</v>
      </c>
      <c r="R1325" s="874"/>
      <c r="S1325" s="875"/>
      <c r="T1325" s="875"/>
      <c r="U1325" s="875"/>
      <c r="V1325" s="875"/>
      <c r="W1325" s="875"/>
      <c r="X1325" s="1026">
        <f t="shared" si="798"/>
        <v>27000</v>
      </c>
      <c r="Y1325" s="1512">
        <f t="shared" si="799"/>
        <v>0</v>
      </c>
      <c r="Z1325" s="1741">
        <f t="shared" si="800"/>
        <v>1</v>
      </c>
      <c r="AA1325" s="1749">
        <f t="shared" si="801"/>
        <v>1</v>
      </c>
      <c r="AB1325" s="1810">
        <f t="shared" si="802"/>
        <v>100</v>
      </c>
      <c r="AC1325" s="876"/>
      <c r="AD1325" s="1525">
        <f t="shared" si="803"/>
        <v>0.7</v>
      </c>
      <c r="AE1325" s="1525">
        <f t="shared" si="803"/>
        <v>0</v>
      </c>
      <c r="AF1325" s="1525">
        <f t="shared" si="803"/>
        <v>0</v>
      </c>
      <c r="AG1325" s="1525">
        <f t="shared" si="803"/>
        <v>0</v>
      </c>
      <c r="AH1325" s="1525">
        <f t="shared" si="803"/>
        <v>0</v>
      </c>
      <c r="AI1325" s="1525">
        <f t="shared" si="803"/>
        <v>0</v>
      </c>
      <c r="AJ1325" s="1525">
        <f t="shared" si="803"/>
        <v>0</v>
      </c>
      <c r="AK1325" s="1525">
        <f t="shared" si="803"/>
        <v>0.3</v>
      </c>
      <c r="AL1325" s="1525">
        <f t="shared" si="803"/>
        <v>0</v>
      </c>
      <c r="AM1325" s="1525">
        <f t="shared" si="803"/>
        <v>0</v>
      </c>
      <c r="AN1325" s="1525">
        <f t="shared" si="803"/>
        <v>0</v>
      </c>
      <c r="AO1325" s="1525">
        <f t="shared" si="803"/>
        <v>0</v>
      </c>
      <c r="AP1325" s="1525">
        <f t="shared" si="803"/>
        <v>0</v>
      </c>
      <c r="AQ1325" s="1525">
        <f t="shared" si="803"/>
        <v>0</v>
      </c>
      <c r="AR1325" s="1525">
        <f t="shared" si="803"/>
        <v>0</v>
      </c>
      <c r="AS1325" s="1525">
        <f t="shared" si="803"/>
        <v>0</v>
      </c>
      <c r="AU1325" s="1525"/>
      <c r="AV1325" s="1295"/>
      <c r="AW1325" s="1525">
        <v>0.3</v>
      </c>
      <c r="AX1325" s="1525"/>
      <c r="AY1325" s="1525"/>
      <c r="AZ1325" s="1525"/>
      <c r="BA1325" s="1525"/>
      <c r="BB1325" s="1525"/>
      <c r="BC1325" s="1525"/>
      <c r="BD1325" s="1525"/>
      <c r="BE1325" s="1525"/>
      <c r="BF1325" s="1525"/>
      <c r="BG1325" s="1525"/>
      <c r="BH1325" s="1525"/>
      <c r="BI1325" s="1525"/>
      <c r="BJ1325" s="1771">
        <v>0.7</v>
      </c>
      <c r="BK1325" s="1525"/>
      <c r="BL1325" s="1525"/>
      <c r="BM1325" s="1525"/>
      <c r="BN1325" s="1525"/>
      <c r="BO1325" s="1525"/>
      <c r="BP1325" s="1525"/>
      <c r="BQ1325" s="1525"/>
      <c r="BR1325" s="1525"/>
      <c r="BS1325" s="1525"/>
      <c r="BT1325" s="1670">
        <f t="shared" si="804"/>
        <v>1</v>
      </c>
      <c r="BV1325"/>
      <c r="BW1325" s="856" t="s">
        <v>6</v>
      </c>
    </row>
    <row r="1326" spans="1:75" ht="12.75" customHeight="1" x14ac:dyDescent="0.2">
      <c r="B1326" s="175">
        <f t="shared" si="805"/>
        <v>7</v>
      </c>
      <c r="C1326" s="219">
        <v>12</v>
      </c>
      <c r="E1326" s="12" t="s">
        <v>1565</v>
      </c>
      <c r="F1326" s="1" t="s">
        <v>1235</v>
      </c>
      <c r="G1326" s="856" t="s">
        <v>1455</v>
      </c>
      <c r="H1326" s="858">
        <v>6393</v>
      </c>
      <c r="I1326" s="180" t="s">
        <v>583</v>
      </c>
      <c r="J1326" s="168"/>
      <c r="K1326" s="168"/>
      <c r="L1326" s="841">
        <v>1</v>
      </c>
      <c r="M1326" s="858">
        <f t="shared" si="796"/>
        <v>1</v>
      </c>
      <c r="N1326" s="855" t="s">
        <v>1326</v>
      </c>
      <c r="O1326" s="1196">
        <v>17744</v>
      </c>
      <c r="P1326" s="1218">
        <f t="shared" ca="1" si="797"/>
        <v>69.172222222222217</v>
      </c>
      <c r="Q1326" s="1148">
        <v>37500</v>
      </c>
      <c r="R1326" s="874">
        <f>Q1326*0.1</f>
        <v>3750</v>
      </c>
      <c r="S1326" s="875"/>
      <c r="T1326" s="875"/>
      <c r="U1326" s="875"/>
      <c r="V1326" s="875"/>
      <c r="W1326" s="875"/>
      <c r="X1326" s="1026">
        <f t="shared" si="798"/>
        <v>41250</v>
      </c>
      <c r="Y1326" s="1512">
        <f t="shared" si="799"/>
        <v>0</v>
      </c>
      <c r="Z1326" s="1741">
        <f t="shared" si="800"/>
        <v>1</v>
      </c>
      <c r="AA1326" s="1749">
        <f t="shared" si="801"/>
        <v>0</v>
      </c>
      <c r="AB1326" s="1810">
        <f t="shared" si="802"/>
        <v>0</v>
      </c>
      <c r="AC1326" s="876"/>
      <c r="AD1326" s="1525">
        <f t="shared" si="803"/>
        <v>0</v>
      </c>
      <c r="AE1326" s="1525">
        <f t="shared" si="803"/>
        <v>0</v>
      </c>
      <c r="AF1326" s="1525">
        <f t="shared" si="803"/>
        <v>0</v>
      </c>
      <c r="AG1326" s="1525">
        <f t="shared" si="803"/>
        <v>0</v>
      </c>
      <c r="AH1326" s="1525">
        <f t="shared" si="803"/>
        <v>0</v>
      </c>
      <c r="AI1326" s="1525">
        <f t="shared" si="803"/>
        <v>0</v>
      </c>
      <c r="AJ1326" s="1525">
        <f t="shared" si="803"/>
        <v>0</v>
      </c>
      <c r="AK1326" s="1525">
        <f t="shared" si="803"/>
        <v>0</v>
      </c>
      <c r="AL1326" s="1525">
        <f t="shared" si="803"/>
        <v>0</v>
      </c>
      <c r="AM1326" s="1525">
        <f t="shared" si="803"/>
        <v>0</v>
      </c>
      <c r="AN1326" s="1525">
        <f t="shared" si="803"/>
        <v>0</v>
      </c>
      <c r="AO1326" s="1525">
        <f t="shared" si="803"/>
        <v>0</v>
      </c>
      <c r="AP1326" s="1525">
        <f t="shared" si="803"/>
        <v>0</v>
      </c>
      <c r="AQ1326" s="1525">
        <f t="shared" si="803"/>
        <v>0</v>
      </c>
      <c r="AR1326" s="1525">
        <f t="shared" si="803"/>
        <v>0</v>
      </c>
      <c r="AS1326" s="1525">
        <f t="shared" si="803"/>
        <v>0</v>
      </c>
      <c r="AU1326" s="1525"/>
      <c r="AV1326" s="1291"/>
      <c r="AW1326" s="1292"/>
      <c r="AX1326" s="1292"/>
      <c r="AY1326" s="1292"/>
      <c r="AZ1326" s="1292"/>
      <c r="BA1326" s="1292"/>
      <c r="BB1326" s="1292"/>
      <c r="BC1326" s="1292"/>
      <c r="BD1326" s="1292"/>
      <c r="BE1326" s="1292"/>
      <c r="BF1326" s="1292"/>
      <c r="BG1326" s="1292"/>
      <c r="BH1326" s="1292"/>
      <c r="BI1326" s="1292"/>
      <c r="BJ1326" s="1292"/>
      <c r="BK1326" s="1292"/>
      <c r="BL1326" s="1292"/>
      <c r="BM1326" s="1292"/>
      <c r="BN1326" s="1292"/>
      <c r="BO1326" s="1292"/>
      <c r="BP1326" s="1292"/>
      <c r="BQ1326" s="1292"/>
      <c r="BR1326" s="1292"/>
      <c r="BS1326" s="1292"/>
      <c r="BT1326" s="1670">
        <f t="shared" si="804"/>
        <v>0</v>
      </c>
      <c r="BW1326" s="856" t="s">
        <v>1455</v>
      </c>
    </row>
    <row r="1327" spans="1:75" ht="12.75" customHeight="1" x14ac:dyDescent="0.2">
      <c r="B1327" s="175">
        <f t="shared" si="805"/>
        <v>8</v>
      </c>
      <c r="C1327" s="219">
        <v>12</v>
      </c>
      <c r="E1327" s="12" t="s">
        <v>1565</v>
      </c>
      <c r="F1327" s="1" t="s">
        <v>1235</v>
      </c>
      <c r="G1327" s="856" t="s">
        <v>1456</v>
      </c>
      <c r="H1327" s="858">
        <v>211656</v>
      </c>
      <c r="I1327" s="172" t="s">
        <v>583</v>
      </c>
      <c r="J1327" s="168"/>
      <c r="K1327" s="168"/>
      <c r="L1327" s="841">
        <v>1</v>
      </c>
      <c r="M1327" s="858">
        <f t="shared" si="796"/>
        <v>1</v>
      </c>
      <c r="N1327" s="855" t="s">
        <v>892</v>
      </c>
      <c r="O1327" s="1196">
        <v>23868</v>
      </c>
      <c r="P1327" s="1218">
        <f t="shared" ca="1" si="797"/>
        <v>52.405555555555559</v>
      </c>
      <c r="Q1327" s="1148">
        <v>38800</v>
      </c>
      <c r="R1327" s="874"/>
      <c r="S1327" s="875"/>
      <c r="T1327" s="875">
        <v>3000</v>
      </c>
      <c r="U1327" s="875"/>
      <c r="V1327" s="875"/>
      <c r="W1327" s="875"/>
      <c r="X1327" s="1026">
        <f t="shared" si="798"/>
        <v>41800</v>
      </c>
      <c r="Y1327" s="1512">
        <f t="shared" si="799"/>
        <v>7.7319587628865982E-2</v>
      </c>
      <c r="Z1327" s="1741">
        <f t="shared" si="800"/>
        <v>1.0773195876288659</v>
      </c>
      <c r="AA1327" s="1749">
        <f t="shared" si="801"/>
        <v>0.8</v>
      </c>
      <c r="AB1327" s="1810">
        <f t="shared" si="802"/>
        <v>74.258373205741634</v>
      </c>
      <c r="AC1327" s="876"/>
      <c r="AD1327" s="1525">
        <f t="shared" si="803"/>
        <v>0.8</v>
      </c>
      <c r="AE1327" s="1525">
        <f t="shared" si="803"/>
        <v>0</v>
      </c>
      <c r="AF1327" s="1525">
        <f t="shared" si="803"/>
        <v>0</v>
      </c>
      <c r="AG1327" s="1525">
        <f t="shared" si="803"/>
        <v>0</v>
      </c>
      <c r="AH1327" s="1525">
        <f t="shared" si="803"/>
        <v>0</v>
      </c>
      <c r="AI1327" s="1525">
        <f t="shared" si="803"/>
        <v>0</v>
      </c>
      <c r="AJ1327" s="1525">
        <f t="shared" si="803"/>
        <v>0</v>
      </c>
      <c r="AK1327" s="1525">
        <f t="shared" si="803"/>
        <v>0</v>
      </c>
      <c r="AL1327" s="1525">
        <f t="shared" si="803"/>
        <v>0</v>
      </c>
      <c r="AM1327" s="1525">
        <f t="shared" si="803"/>
        <v>0</v>
      </c>
      <c r="AN1327" s="1525">
        <f t="shared" si="803"/>
        <v>0</v>
      </c>
      <c r="AO1327" s="1525">
        <f t="shared" si="803"/>
        <v>0</v>
      </c>
      <c r="AP1327" s="1525">
        <f t="shared" si="803"/>
        <v>0</v>
      </c>
      <c r="AQ1327" s="1525">
        <f t="shared" si="803"/>
        <v>0</v>
      </c>
      <c r="AR1327" s="1525">
        <f t="shared" si="803"/>
        <v>0</v>
      </c>
      <c r="AS1327" s="1525">
        <f t="shared" si="803"/>
        <v>0</v>
      </c>
      <c r="AU1327" s="1525"/>
      <c r="AV1327" s="1291"/>
      <c r="AW1327" s="1292"/>
      <c r="AX1327" s="1292"/>
      <c r="AY1327" s="1292"/>
      <c r="AZ1327" s="1292"/>
      <c r="BA1327" s="1292"/>
      <c r="BB1327" s="1292"/>
      <c r="BC1327" s="1292"/>
      <c r="BD1327" s="1292"/>
      <c r="BE1327" s="1292"/>
      <c r="BF1327" s="1292"/>
      <c r="BG1327" s="1292"/>
      <c r="BH1327" s="1292"/>
      <c r="BI1327" s="1292"/>
      <c r="BJ1327" s="1292">
        <v>0.8</v>
      </c>
      <c r="BK1327" s="1292"/>
      <c r="BL1327" s="1292"/>
      <c r="BM1327" s="1292"/>
      <c r="BN1327" s="1292"/>
      <c r="BO1327" s="1292"/>
      <c r="BP1327" s="1292"/>
      <c r="BQ1327" s="1292"/>
      <c r="BR1327" s="1292"/>
      <c r="BS1327" s="1292"/>
      <c r="BT1327" s="1670">
        <f t="shared" si="804"/>
        <v>0.8</v>
      </c>
      <c r="BW1327" s="856" t="s">
        <v>1456</v>
      </c>
    </row>
    <row r="1328" spans="1:75" ht="12.75" customHeight="1" x14ac:dyDescent="0.2">
      <c r="B1328" s="175">
        <f t="shared" si="805"/>
        <v>9</v>
      </c>
      <c r="C1328" s="219">
        <v>12</v>
      </c>
      <c r="E1328" s="12" t="s">
        <v>1565</v>
      </c>
      <c r="F1328" s="1" t="s">
        <v>1235</v>
      </c>
      <c r="G1328" s="856" t="s">
        <v>1457</v>
      </c>
      <c r="H1328" s="858">
        <v>69074</v>
      </c>
      <c r="I1328" s="172" t="s">
        <v>583</v>
      </c>
      <c r="J1328" s="168"/>
      <c r="K1328" s="168"/>
      <c r="L1328" s="841">
        <v>1</v>
      </c>
      <c r="M1328" s="858">
        <f t="shared" si="796"/>
        <v>1</v>
      </c>
      <c r="N1328" s="855" t="s">
        <v>892</v>
      </c>
      <c r="O1328" s="1196">
        <v>19802</v>
      </c>
      <c r="P1328" s="1218">
        <f t="shared" ca="1" si="797"/>
        <v>63.536111111111111</v>
      </c>
      <c r="Q1328" s="1148">
        <v>21900</v>
      </c>
      <c r="R1328" s="874"/>
      <c r="S1328" s="875"/>
      <c r="T1328" s="875"/>
      <c r="U1328" s="875"/>
      <c r="V1328" s="875"/>
      <c r="W1328" s="875"/>
      <c r="X1328" s="1026">
        <f t="shared" si="798"/>
        <v>21900</v>
      </c>
      <c r="Y1328" s="1512">
        <f t="shared" si="799"/>
        <v>0</v>
      </c>
      <c r="Z1328" s="1741">
        <f t="shared" si="800"/>
        <v>1</v>
      </c>
      <c r="AA1328" s="1749">
        <f t="shared" si="801"/>
        <v>1</v>
      </c>
      <c r="AB1328" s="1810">
        <f t="shared" si="802"/>
        <v>100</v>
      </c>
      <c r="AC1328" s="876"/>
      <c r="AD1328" s="1525">
        <f t="shared" si="803"/>
        <v>1</v>
      </c>
      <c r="AE1328" s="1525">
        <f t="shared" si="803"/>
        <v>0</v>
      </c>
      <c r="AF1328" s="1525">
        <f t="shared" si="803"/>
        <v>0</v>
      </c>
      <c r="AG1328" s="1525">
        <f t="shared" si="803"/>
        <v>0</v>
      </c>
      <c r="AH1328" s="1525">
        <f t="shared" si="803"/>
        <v>0</v>
      </c>
      <c r="AI1328" s="1525">
        <f t="shared" si="803"/>
        <v>0</v>
      </c>
      <c r="AJ1328" s="1525">
        <f t="shared" si="803"/>
        <v>0</v>
      </c>
      <c r="AK1328" s="1525">
        <f t="shared" si="803"/>
        <v>0</v>
      </c>
      <c r="AL1328" s="1525">
        <f t="shared" si="803"/>
        <v>0</v>
      </c>
      <c r="AM1328" s="1525">
        <f t="shared" si="803"/>
        <v>0</v>
      </c>
      <c r="AN1328" s="1525">
        <f t="shared" si="803"/>
        <v>0</v>
      </c>
      <c r="AO1328" s="1525">
        <f t="shared" si="803"/>
        <v>0</v>
      </c>
      <c r="AP1328" s="1525">
        <f t="shared" si="803"/>
        <v>0</v>
      </c>
      <c r="AQ1328" s="1525">
        <f t="shared" si="803"/>
        <v>0</v>
      </c>
      <c r="AR1328" s="1525">
        <f t="shared" si="803"/>
        <v>0</v>
      </c>
      <c r="AS1328" s="1525">
        <f t="shared" si="803"/>
        <v>0</v>
      </c>
      <c r="AU1328" s="1525"/>
      <c r="AV1328" s="1291"/>
      <c r="AW1328" s="1292"/>
      <c r="AX1328" s="1292"/>
      <c r="AY1328" s="1292"/>
      <c r="AZ1328" s="1292"/>
      <c r="BA1328" s="1292"/>
      <c r="BB1328" s="1292"/>
      <c r="BC1328" s="1292"/>
      <c r="BD1328" s="1292"/>
      <c r="BE1328" s="1292"/>
      <c r="BF1328" s="1292"/>
      <c r="BG1328" s="1292"/>
      <c r="BH1328" s="1292"/>
      <c r="BI1328" s="1292"/>
      <c r="BJ1328" s="1292">
        <v>1</v>
      </c>
      <c r="BK1328" s="1292"/>
      <c r="BL1328" s="1292"/>
      <c r="BM1328" s="1292"/>
      <c r="BN1328" s="1292"/>
      <c r="BO1328" s="1292"/>
      <c r="BP1328" s="1292"/>
      <c r="BQ1328" s="1292"/>
      <c r="BR1328" s="1292"/>
      <c r="BS1328" s="1292"/>
      <c r="BT1328" s="1670">
        <f t="shared" si="804"/>
        <v>1</v>
      </c>
      <c r="BW1328" s="856" t="s">
        <v>1457</v>
      </c>
    </row>
    <row r="1329" spans="1:75" ht="12.75" customHeight="1" x14ac:dyDescent="0.2">
      <c r="B1329" s="175">
        <f t="shared" si="805"/>
        <v>10</v>
      </c>
      <c r="C1329" s="219">
        <v>14</v>
      </c>
      <c r="E1329" s="12" t="s">
        <v>1565</v>
      </c>
      <c r="F1329" s="37" t="s">
        <v>626</v>
      </c>
      <c r="G1329" s="913" t="s">
        <v>531</v>
      </c>
      <c r="H1329" s="861">
        <v>130573</v>
      </c>
      <c r="I1329" s="180" t="s">
        <v>583</v>
      </c>
      <c r="J1329" s="168"/>
      <c r="K1329" s="173"/>
      <c r="L1329" s="893">
        <v>1</v>
      </c>
      <c r="M1329" s="861">
        <f t="shared" si="796"/>
        <v>1</v>
      </c>
      <c r="N1329" s="832" t="s">
        <v>892</v>
      </c>
      <c r="O1329" s="1196">
        <v>23963</v>
      </c>
      <c r="P1329" s="1218">
        <f t="shared" ca="1" si="797"/>
        <v>52.147222222222226</v>
      </c>
      <c r="Q1329" s="1148">
        <v>25300</v>
      </c>
      <c r="R1329" s="874"/>
      <c r="S1329" s="875"/>
      <c r="T1329" s="875"/>
      <c r="U1329" s="875"/>
      <c r="V1329" s="875"/>
      <c r="W1329" s="875"/>
      <c r="X1329" s="1026">
        <f t="shared" si="798"/>
        <v>25300</v>
      </c>
      <c r="Y1329" s="1512">
        <f t="shared" si="799"/>
        <v>0</v>
      </c>
      <c r="Z1329" s="1741">
        <f t="shared" si="800"/>
        <v>1</v>
      </c>
      <c r="AA1329" s="1749">
        <f t="shared" si="801"/>
        <v>1</v>
      </c>
      <c r="AB1329" s="1810">
        <f t="shared" si="802"/>
        <v>100</v>
      </c>
      <c r="AC1329" s="876"/>
      <c r="AD1329" s="1525">
        <f t="shared" si="803"/>
        <v>1</v>
      </c>
      <c r="AE1329" s="1525">
        <f t="shared" si="803"/>
        <v>0</v>
      </c>
      <c r="AF1329" s="1525">
        <f t="shared" si="803"/>
        <v>0</v>
      </c>
      <c r="AG1329" s="1525">
        <f t="shared" si="803"/>
        <v>0</v>
      </c>
      <c r="AH1329" s="1525">
        <f t="shared" si="803"/>
        <v>0</v>
      </c>
      <c r="AI1329" s="1525">
        <f t="shared" si="803"/>
        <v>0</v>
      </c>
      <c r="AJ1329" s="1525">
        <f t="shared" si="803"/>
        <v>0</v>
      </c>
      <c r="AK1329" s="1525">
        <f t="shared" si="803"/>
        <v>0</v>
      </c>
      <c r="AL1329" s="1525">
        <f t="shared" si="803"/>
        <v>0</v>
      </c>
      <c r="AM1329" s="1525">
        <f t="shared" si="803"/>
        <v>0</v>
      </c>
      <c r="AN1329" s="1525">
        <f t="shared" si="803"/>
        <v>0</v>
      </c>
      <c r="AO1329" s="1525">
        <f t="shared" si="803"/>
        <v>0</v>
      </c>
      <c r="AP1329" s="1525">
        <f t="shared" si="803"/>
        <v>0</v>
      </c>
      <c r="AQ1329" s="1525">
        <f t="shared" si="803"/>
        <v>0</v>
      </c>
      <c r="AR1329" s="1525">
        <f t="shared" si="803"/>
        <v>0</v>
      </c>
      <c r="AS1329" s="1525">
        <f t="shared" si="803"/>
        <v>0</v>
      </c>
      <c r="AU1329" s="1525"/>
      <c r="AV1329" s="1291"/>
      <c r="AW1329" s="1292"/>
      <c r="AX1329" s="1292"/>
      <c r="AY1329" s="1292"/>
      <c r="AZ1329" s="1292"/>
      <c r="BA1329" s="1292"/>
      <c r="BB1329" s="1292"/>
      <c r="BC1329" s="1292"/>
      <c r="BD1329" s="1292"/>
      <c r="BE1329" s="1292"/>
      <c r="BF1329" s="1292"/>
      <c r="BG1329" s="1292"/>
      <c r="BH1329" s="1292"/>
      <c r="BI1329" s="1292"/>
      <c r="BJ1329" s="1292">
        <v>1</v>
      </c>
      <c r="BK1329" s="1292"/>
      <c r="BL1329" s="1292"/>
      <c r="BM1329" s="1292"/>
      <c r="BN1329" s="1292"/>
      <c r="BO1329" s="1292"/>
      <c r="BP1329" s="1292"/>
      <c r="BQ1329" s="1292"/>
      <c r="BR1329" s="1292"/>
      <c r="BS1329" s="1292"/>
      <c r="BT1329" s="1670">
        <f t="shared" si="804"/>
        <v>1</v>
      </c>
      <c r="BW1329" s="913" t="s">
        <v>531</v>
      </c>
    </row>
    <row r="1330" spans="1:75" s="65" customFormat="1" ht="12.75" customHeight="1" x14ac:dyDescent="0.2">
      <c r="A1330" s="164"/>
      <c r="B1330" s="175"/>
      <c r="C1330" s="185"/>
      <c r="D1330" s="185"/>
      <c r="E1330" s="345"/>
      <c r="F1330" s="42"/>
      <c r="G1330" s="945"/>
      <c r="H1330" s="1354" t="s">
        <v>1508</v>
      </c>
      <c r="I1330" s="176"/>
      <c r="J1330" s="177"/>
      <c r="K1330" s="177"/>
      <c r="L1330" s="944"/>
      <c r="M1330" s="873"/>
      <c r="N1330" s="940"/>
      <c r="O1330" s="1211"/>
      <c r="P1330" s="1235"/>
      <c r="Q1330" s="1071"/>
      <c r="R1330" s="890"/>
      <c r="S1330" s="891"/>
      <c r="T1330" s="891"/>
      <c r="U1330" s="891"/>
      <c r="V1330" s="891"/>
      <c r="W1330" s="891"/>
      <c r="X1330" s="1026"/>
      <c r="Y1330" s="1754"/>
      <c r="Z1330" s="1755"/>
      <c r="AA1330" s="1775"/>
      <c r="AB1330" s="1815"/>
      <c r="AC1330" s="876"/>
      <c r="AD1330" s="1527"/>
      <c r="AE1330" s="1528"/>
      <c r="AF1330" s="1528"/>
      <c r="AG1330" s="1528"/>
      <c r="AH1330" s="1528"/>
      <c r="AI1330" s="1528"/>
      <c r="AJ1330" s="1528"/>
      <c r="AK1330" s="1528"/>
      <c r="AL1330" s="1528"/>
      <c r="AM1330" s="1528"/>
      <c r="AN1330" s="1528"/>
      <c r="AO1330" s="1528"/>
      <c r="AP1330" s="1525"/>
      <c r="AQ1330" s="1525"/>
      <c r="AR1330" s="1525"/>
      <c r="AS1330" s="1528"/>
      <c r="AU1330" s="1525"/>
      <c r="AV1330" s="1529"/>
      <c r="AW1330" s="1530"/>
      <c r="AX1330" s="1530"/>
      <c r="AY1330" s="1530"/>
      <c r="AZ1330" s="1530"/>
      <c r="BA1330" s="1530"/>
      <c r="BB1330" s="1530"/>
      <c r="BC1330" s="1530"/>
      <c r="BD1330" s="1530"/>
      <c r="BE1330" s="1530"/>
      <c r="BF1330" s="1530"/>
      <c r="BG1330" s="1530"/>
      <c r="BH1330" s="1530"/>
      <c r="BI1330" s="1530"/>
      <c r="BJ1330" s="1530"/>
      <c r="BK1330" s="1530"/>
      <c r="BL1330" s="1530"/>
      <c r="BM1330" s="1530"/>
      <c r="BN1330" s="1530"/>
      <c r="BO1330" s="1530"/>
      <c r="BP1330" s="1530"/>
      <c r="BQ1330" s="1530"/>
      <c r="BR1330" s="1530"/>
      <c r="BS1330" s="1530"/>
      <c r="BT1330" s="1674"/>
      <c r="BV1330"/>
      <c r="BW1330" s="945"/>
    </row>
    <row r="1331" spans="1:75" s="388" customFormat="1" ht="12.75" customHeight="1" x14ac:dyDescent="0.2">
      <c r="A1331" s="164"/>
      <c r="B1331" s="175"/>
      <c r="C1331" s="219" t="s">
        <v>1120</v>
      </c>
      <c r="D1331" s="265"/>
      <c r="E1331" s="387"/>
      <c r="F1331" s="1" t="s">
        <v>1239</v>
      </c>
      <c r="G1331" s="856"/>
      <c r="H1331" s="1361" t="s">
        <v>1508</v>
      </c>
      <c r="I1331" s="172"/>
      <c r="J1331" s="168"/>
      <c r="K1331" s="902">
        <f>SUM(K1320:K1330)</f>
        <v>0</v>
      </c>
      <c r="L1331" s="902">
        <f>SUM(L1320:L1330)</f>
        <v>10</v>
      </c>
      <c r="M1331" s="902">
        <f>SUM(M1320:M1330)</f>
        <v>10</v>
      </c>
      <c r="N1331" s="855"/>
      <c r="O1331" s="1192"/>
      <c r="P1331" s="1253"/>
      <c r="Q1331" s="1153"/>
      <c r="R1331" s="877"/>
      <c r="S1331" s="875"/>
      <c r="T1331" s="875"/>
      <c r="U1331" s="875"/>
      <c r="V1331" s="875"/>
      <c r="W1331" s="875"/>
      <c r="X1331" s="1026"/>
      <c r="Y1331" s="1335"/>
      <c r="Z1331" s="1335"/>
      <c r="AA1331" s="1775"/>
      <c r="AB1331" s="1830"/>
      <c r="AC1331" s="876"/>
      <c r="AD1331" s="1534"/>
      <c r="AE1331" s="1535"/>
      <c r="AF1331" s="1535"/>
      <c r="AG1331" s="1535"/>
      <c r="AH1331" s="1535"/>
      <c r="AI1331" s="1535"/>
      <c r="AJ1331" s="1535"/>
      <c r="AK1331" s="1535"/>
      <c r="AL1331" s="1535"/>
      <c r="AM1331" s="1535"/>
      <c r="AN1331" s="1535"/>
      <c r="AO1331" s="1535"/>
      <c r="AP1331" s="1535"/>
      <c r="AQ1331" s="1535"/>
      <c r="AR1331" s="1535"/>
      <c r="AS1331" s="1535"/>
      <c r="AU1331" s="1525"/>
      <c r="AV1331" s="1534"/>
      <c r="AW1331" s="1535"/>
      <c r="AX1331" s="1535"/>
      <c r="AY1331" s="1535"/>
      <c r="AZ1331" s="1535"/>
      <c r="BA1331" s="1535"/>
      <c r="BB1331" s="1535"/>
      <c r="BC1331" s="1535"/>
      <c r="BD1331" s="1535"/>
      <c r="BE1331" s="1535"/>
      <c r="BF1331" s="1535"/>
      <c r="BG1331" s="1535"/>
      <c r="BH1331" s="1535"/>
      <c r="BI1331" s="1535"/>
      <c r="BJ1331" s="1535"/>
      <c r="BK1331" s="1535"/>
      <c r="BL1331" s="1535"/>
      <c r="BM1331" s="1535"/>
      <c r="BN1331" s="1535"/>
      <c r="BO1331" s="1535"/>
      <c r="BP1331" s="1535"/>
      <c r="BQ1331" s="1535"/>
      <c r="BR1331" s="1535"/>
      <c r="BS1331" s="1535"/>
      <c r="BT1331" s="1675"/>
      <c r="BV1331"/>
      <c r="BW1331" s="856"/>
    </row>
    <row r="1332" spans="1:75" s="164" customFormat="1" ht="12.75" customHeight="1" x14ac:dyDescent="0.15">
      <c r="B1332" s="175"/>
      <c r="F1332" s="1"/>
      <c r="G1332" s="856"/>
      <c r="H1332" s="1364" t="s">
        <v>1508</v>
      </c>
      <c r="I1332" s="172"/>
      <c r="J1332" s="168"/>
      <c r="K1332" s="168"/>
      <c r="L1332" s="841"/>
      <c r="M1332" s="841"/>
      <c r="N1332" s="855"/>
      <c r="O1332" s="1200"/>
      <c r="P1332" s="550"/>
      <c r="Q1332" s="1148"/>
      <c r="R1332" s="874"/>
      <c r="S1332" s="875"/>
      <c r="T1332" s="875"/>
      <c r="U1332" s="875"/>
      <c r="V1332" s="875"/>
      <c r="W1332" s="875"/>
      <c r="X1332" s="1026"/>
      <c r="Y1332" s="1754"/>
      <c r="Z1332" s="1755"/>
      <c r="AA1332" s="1775"/>
      <c r="AB1332" s="1814"/>
      <c r="AC1332" s="876"/>
      <c r="AD1332" s="1295"/>
      <c r="AE1332" s="1525"/>
      <c r="AF1332" s="1525"/>
      <c r="AG1332" s="1525"/>
      <c r="AH1332" s="1525"/>
      <c r="AI1332" s="1525"/>
      <c r="AJ1332" s="1525"/>
      <c r="AK1332" s="1525"/>
      <c r="AL1332" s="1525"/>
      <c r="AM1332" s="1525"/>
      <c r="AN1332" s="1525"/>
      <c r="AO1332" s="1525"/>
      <c r="AP1332" s="1525"/>
      <c r="AQ1332" s="1525"/>
      <c r="AR1332" s="1525"/>
      <c r="AS1332" s="1525"/>
      <c r="AU1332" s="1525"/>
      <c r="AV1332" s="1295"/>
      <c r="AW1332" s="1525"/>
      <c r="AX1332" s="1525"/>
      <c r="AY1332" s="1525"/>
      <c r="AZ1332" s="1525"/>
      <c r="BA1332" s="1525"/>
      <c r="BB1332" s="1525"/>
      <c r="BC1332" s="1525"/>
      <c r="BD1332" s="1525"/>
      <c r="BE1332" s="1525"/>
      <c r="BF1332" s="1525"/>
      <c r="BG1332" s="1525"/>
      <c r="BH1332" s="1525"/>
      <c r="BI1332" s="1525"/>
      <c r="BJ1332" s="1525"/>
      <c r="BK1332" s="1525"/>
      <c r="BL1332" s="1525"/>
      <c r="BM1332" s="1525"/>
      <c r="BN1332" s="1525"/>
      <c r="BO1332" s="1525"/>
      <c r="BP1332" s="1525"/>
      <c r="BQ1332" s="1525"/>
      <c r="BR1332" s="1525"/>
      <c r="BS1332" s="1525"/>
      <c r="BT1332" s="1670"/>
      <c r="BV1332"/>
      <c r="BW1332" s="856"/>
    </row>
    <row r="1333" spans="1:75" s="164" customFormat="1" ht="12.75" customHeight="1" x14ac:dyDescent="0.15">
      <c r="B1333" s="175"/>
      <c r="F1333" s="4"/>
      <c r="G1333" s="821"/>
      <c r="H1333" s="1341" t="s">
        <v>1508</v>
      </c>
      <c r="I1333" s="197"/>
      <c r="J1333" s="174"/>
      <c r="K1333" s="174"/>
      <c r="L1333" s="843"/>
      <c r="M1333" s="843"/>
      <c r="N1333" s="857"/>
      <c r="O1333" s="1200"/>
      <c r="P1333" s="550"/>
      <c r="Q1333" s="1148"/>
      <c r="R1333" s="874"/>
      <c r="S1333" s="875"/>
      <c r="T1333" s="875"/>
      <c r="U1333" s="875"/>
      <c r="V1333" s="875"/>
      <c r="W1333" s="875"/>
      <c r="X1333" s="1026"/>
      <c r="Y1333" s="1754"/>
      <c r="Z1333" s="1755"/>
      <c r="AA1333" s="1775"/>
      <c r="AB1333" s="1814"/>
      <c r="AC1333" s="876"/>
      <c r="AD1333" s="1295"/>
      <c r="AE1333" s="1525"/>
      <c r="AF1333" s="1525"/>
      <c r="AG1333" s="1525"/>
      <c r="AH1333" s="1525"/>
      <c r="AI1333" s="1525"/>
      <c r="AJ1333" s="1525"/>
      <c r="AK1333" s="1525"/>
      <c r="AL1333" s="1525"/>
      <c r="AM1333" s="1525"/>
      <c r="AN1333" s="1525"/>
      <c r="AO1333" s="1525"/>
      <c r="AP1333" s="1525"/>
      <c r="AQ1333" s="1525"/>
      <c r="AR1333" s="1525"/>
      <c r="AS1333" s="1525"/>
      <c r="AU1333" s="1525"/>
      <c r="AV1333" s="1295"/>
      <c r="AW1333" s="1525"/>
      <c r="AX1333" s="1525"/>
      <c r="AY1333" s="1525"/>
      <c r="AZ1333" s="1525"/>
      <c r="BA1333" s="1525"/>
      <c r="BB1333" s="1525"/>
      <c r="BC1333" s="1525"/>
      <c r="BD1333" s="1525"/>
      <c r="BE1333" s="1525"/>
      <c r="BF1333" s="1525"/>
      <c r="BG1333" s="1525"/>
      <c r="BH1333" s="1525"/>
      <c r="BI1333" s="1525"/>
      <c r="BJ1333" s="1525"/>
      <c r="BK1333" s="1525"/>
      <c r="BL1333" s="1525"/>
      <c r="BM1333" s="1525"/>
      <c r="BN1333" s="1525"/>
      <c r="BO1333" s="1525"/>
      <c r="BP1333" s="1525"/>
      <c r="BQ1333" s="1525"/>
      <c r="BR1333" s="1525"/>
      <c r="BS1333" s="1525"/>
      <c r="BT1333" s="1670"/>
      <c r="BV1333"/>
      <c r="BW1333" s="821"/>
    </row>
    <row r="1334" spans="1:75" s="164" customFormat="1" ht="12.75" customHeight="1" x14ac:dyDescent="0.15">
      <c r="B1334" s="175"/>
      <c r="F1334" s="2" t="s">
        <v>431</v>
      </c>
      <c r="G1334" s="871"/>
      <c r="H1334" s="1345" t="s">
        <v>1508</v>
      </c>
      <c r="I1334" s="257"/>
      <c r="J1334" s="248"/>
      <c r="K1334" s="248"/>
      <c r="L1334" s="846"/>
      <c r="M1334" s="846"/>
      <c r="N1334" s="855"/>
      <c r="O1334" s="1200"/>
      <c r="P1334" s="550"/>
      <c r="Q1334" s="1148"/>
      <c r="R1334" s="874"/>
      <c r="S1334" s="875"/>
      <c r="T1334" s="875"/>
      <c r="U1334" s="875"/>
      <c r="V1334" s="875"/>
      <c r="W1334" s="875"/>
      <c r="X1334" s="1026"/>
      <c r="Y1334" s="1754"/>
      <c r="Z1334" s="1755"/>
      <c r="AA1334" s="1775"/>
      <c r="AB1334" s="1814"/>
      <c r="AC1334" s="876"/>
      <c r="AD1334" s="1295"/>
      <c r="AE1334" s="1525"/>
      <c r="AF1334" s="1525"/>
      <c r="AG1334" s="1525"/>
      <c r="AH1334" s="1525"/>
      <c r="AI1334" s="1525"/>
      <c r="AJ1334" s="1525"/>
      <c r="AK1334" s="1525"/>
      <c r="AL1334" s="1525"/>
      <c r="AM1334" s="1525"/>
      <c r="AN1334" s="1525"/>
      <c r="AO1334" s="1525"/>
      <c r="AP1334" s="1525"/>
      <c r="AQ1334" s="1525"/>
      <c r="AR1334" s="1525"/>
      <c r="AS1334" s="1525"/>
      <c r="AU1334" s="1525"/>
      <c r="AV1334" s="1295"/>
      <c r="AW1334" s="1525"/>
      <c r="AX1334" s="1525"/>
      <c r="AY1334" s="1525"/>
      <c r="AZ1334" s="1525"/>
      <c r="BA1334" s="1525"/>
      <c r="BB1334" s="1525"/>
      <c r="BC1334" s="1525"/>
      <c r="BD1334" s="1525"/>
      <c r="BE1334" s="1525"/>
      <c r="BF1334" s="1525"/>
      <c r="BG1334" s="1525"/>
      <c r="BH1334" s="1525"/>
      <c r="BI1334" s="1525"/>
      <c r="BJ1334" s="1525"/>
      <c r="BK1334" s="1525"/>
      <c r="BL1334" s="1525"/>
      <c r="BM1334" s="1525"/>
      <c r="BN1334" s="1525"/>
      <c r="BO1334" s="1525"/>
      <c r="BP1334" s="1525"/>
      <c r="BQ1334" s="1525"/>
      <c r="BR1334" s="1525"/>
      <c r="BS1334" s="1525"/>
      <c r="BT1334" s="1670"/>
      <c r="BV1334"/>
      <c r="BW1334" s="871"/>
    </row>
    <row r="1335" spans="1:75" s="164" customFormat="1" ht="12.75" customHeight="1" x14ac:dyDescent="0.15">
      <c r="B1335" s="175"/>
      <c r="F1335" s="2"/>
      <c r="G1335" s="856"/>
      <c r="H1335" s="1364" t="s">
        <v>1508</v>
      </c>
      <c r="I1335" s="172"/>
      <c r="J1335" s="168"/>
      <c r="K1335" s="168"/>
      <c r="L1335" s="841"/>
      <c r="M1335" s="841"/>
      <c r="N1335" s="855"/>
      <c r="O1335" s="1200"/>
      <c r="P1335" s="550"/>
      <c r="Q1335" s="1148"/>
      <c r="R1335" s="874"/>
      <c r="S1335" s="875"/>
      <c r="T1335" s="875"/>
      <c r="U1335" s="875"/>
      <c r="V1335" s="875"/>
      <c r="W1335" s="875"/>
      <c r="X1335" s="1026"/>
      <c r="Y1335" s="1754"/>
      <c r="Z1335" s="1755"/>
      <c r="AA1335" s="1775"/>
      <c r="AB1335" s="1814"/>
      <c r="AC1335" s="876"/>
      <c r="AD1335" s="1295"/>
      <c r="AE1335" s="1525"/>
      <c r="AF1335" s="1525"/>
      <c r="AG1335" s="1525"/>
      <c r="AH1335" s="1525"/>
      <c r="AI1335" s="1525"/>
      <c r="AJ1335" s="1525"/>
      <c r="AK1335" s="1525"/>
      <c r="AL1335" s="1525"/>
      <c r="AM1335" s="1525"/>
      <c r="AN1335" s="1525"/>
      <c r="AO1335" s="1525"/>
      <c r="AP1335" s="1525"/>
      <c r="AQ1335" s="1525"/>
      <c r="AR1335" s="1525"/>
      <c r="AS1335" s="1525"/>
      <c r="AU1335" s="1525"/>
      <c r="AV1335" s="1295"/>
      <c r="AW1335" s="1525"/>
      <c r="AX1335" s="1525"/>
      <c r="AY1335" s="1525"/>
      <c r="AZ1335" s="1525"/>
      <c r="BA1335" s="1525"/>
      <c r="BB1335" s="1525"/>
      <c r="BC1335" s="1525"/>
      <c r="BD1335" s="1525"/>
      <c r="BE1335" s="1525"/>
      <c r="BF1335" s="1525"/>
      <c r="BG1335" s="1525"/>
      <c r="BH1335" s="1525"/>
      <c r="BI1335" s="1525"/>
      <c r="BJ1335" s="1525"/>
      <c r="BK1335" s="1525"/>
      <c r="BL1335" s="1525"/>
      <c r="BM1335" s="1525"/>
      <c r="BN1335" s="1525"/>
      <c r="BO1335" s="1525"/>
      <c r="BP1335" s="1525"/>
      <c r="BQ1335" s="1525"/>
      <c r="BR1335" s="1525"/>
      <c r="BS1335" s="1525"/>
      <c r="BT1335" s="1670"/>
      <c r="BV1335"/>
      <c r="BW1335" s="856"/>
    </row>
    <row r="1336" spans="1:75" ht="12.75" customHeight="1" x14ac:dyDescent="0.2">
      <c r="B1336" s="175">
        <f t="shared" ref="B1336:B1337" si="806">B1335+1</f>
        <v>1</v>
      </c>
      <c r="C1336" s="219">
        <v>5</v>
      </c>
      <c r="E1336" s="12" t="s">
        <v>1565</v>
      </c>
      <c r="F1336" s="1" t="s">
        <v>166</v>
      </c>
      <c r="G1336" s="856" t="s">
        <v>1590</v>
      </c>
      <c r="H1336" s="858">
        <v>48441</v>
      </c>
      <c r="I1336" s="200" t="s">
        <v>351</v>
      </c>
      <c r="J1336" s="168"/>
      <c r="K1336" s="168"/>
      <c r="L1336" s="841">
        <v>1</v>
      </c>
      <c r="M1336" s="858">
        <f>K1336+L1336</f>
        <v>1</v>
      </c>
      <c r="N1336" s="855" t="s">
        <v>1326</v>
      </c>
      <c r="O1336" s="1196">
        <v>22727</v>
      </c>
      <c r="P1336" s="1218">
        <f ca="1">YEARFRAC(TODAY(),O1336)</f>
        <v>55.527777777777779</v>
      </c>
      <c r="Q1336" s="1148">
        <v>46750</v>
      </c>
      <c r="R1336" s="874">
        <f>Q1336*0.1</f>
        <v>4675</v>
      </c>
      <c r="S1336" s="875">
        <v>7000</v>
      </c>
      <c r="T1336" s="875"/>
      <c r="U1336" s="875"/>
      <c r="V1336" s="875"/>
      <c r="W1336" s="875"/>
      <c r="X1336" s="1026">
        <f>(Q1336+R1336+S1336+T1336+U1336+V1336+W1336)*M1336</f>
        <v>58425</v>
      </c>
      <c r="Y1336" s="1512">
        <f>(T1336+U1336)*M1336/(X1336-M1336*(T1336+U1336))</f>
        <v>0</v>
      </c>
      <c r="Z1336" s="1741">
        <f>M1336*(1+Y1336)</f>
        <v>1</v>
      </c>
      <c r="AA1336" s="1749">
        <f>SUM(AD1336:AS1336)</f>
        <v>0.6</v>
      </c>
      <c r="AB1336" s="1810">
        <f t="shared" ref="AB1336:AB1337" si="807">100*AA1336/Z1336</f>
        <v>60</v>
      </c>
      <c r="AC1336" s="876"/>
      <c r="AD1336" s="1525">
        <f t="shared" ref="AD1336:AS1337" si="808">SUMIF($AV$6:$BS$6,AD$5,$AV1336:$BS1336)</f>
        <v>0</v>
      </c>
      <c r="AE1336" s="1525">
        <f t="shared" si="808"/>
        <v>0</v>
      </c>
      <c r="AF1336" s="1525">
        <f t="shared" si="808"/>
        <v>0</v>
      </c>
      <c r="AG1336" s="1525">
        <f t="shared" si="808"/>
        <v>0</v>
      </c>
      <c r="AH1336" s="1525">
        <f t="shared" si="808"/>
        <v>0</v>
      </c>
      <c r="AI1336" s="1525">
        <f t="shared" si="808"/>
        <v>0</v>
      </c>
      <c r="AJ1336" s="1525">
        <f t="shared" si="808"/>
        <v>0.1</v>
      </c>
      <c r="AK1336" s="1525">
        <f t="shared" si="808"/>
        <v>0</v>
      </c>
      <c r="AL1336" s="1525">
        <f t="shared" si="808"/>
        <v>0</v>
      </c>
      <c r="AM1336" s="1525">
        <f t="shared" si="808"/>
        <v>0</v>
      </c>
      <c r="AN1336" s="1525">
        <f t="shared" si="808"/>
        <v>0</v>
      </c>
      <c r="AO1336" s="1525">
        <f t="shared" si="808"/>
        <v>0.5</v>
      </c>
      <c r="AP1336" s="1525">
        <f t="shared" si="808"/>
        <v>0</v>
      </c>
      <c r="AQ1336" s="1525">
        <f t="shared" si="808"/>
        <v>0</v>
      </c>
      <c r="AR1336" s="1525">
        <f t="shared" si="808"/>
        <v>0</v>
      </c>
      <c r="AS1336" s="1525">
        <f t="shared" si="808"/>
        <v>0</v>
      </c>
      <c r="AU1336" s="1525"/>
      <c r="AV1336" s="1291"/>
      <c r="AW1336" s="1292"/>
      <c r="AX1336" s="1292"/>
      <c r="AY1336" s="1292"/>
      <c r="AZ1336" s="1292"/>
      <c r="BA1336" s="1292"/>
      <c r="BB1336" s="1292"/>
      <c r="BC1336" s="1292"/>
      <c r="BD1336" s="1292">
        <v>0.5</v>
      </c>
      <c r="BE1336" s="1292"/>
      <c r="BF1336" s="1292"/>
      <c r="BG1336" s="1292"/>
      <c r="BH1336" s="1292">
        <v>0.1</v>
      </c>
      <c r="BI1336" s="1292"/>
      <c r="BJ1336" s="1292"/>
      <c r="BK1336" s="1292"/>
      <c r="BL1336" s="1292"/>
      <c r="BM1336" s="1292"/>
      <c r="BN1336" s="1292"/>
      <c r="BO1336" s="1292"/>
      <c r="BP1336" s="1292"/>
      <c r="BQ1336" s="1292"/>
      <c r="BR1336" s="1292"/>
      <c r="BS1336" s="1292"/>
      <c r="BT1336" s="1670">
        <f t="shared" ref="BT1336:BT1337" si="809">SUM(AV1336:BS1336)</f>
        <v>0.6</v>
      </c>
      <c r="BW1336" s="856" t="s">
        <v>1590</v>
      </c>
    </row>
    <row r="1337" spans="1:75" ht="12.75" customHeight="1" x14ac:dyDescent="0.2">
      <c r="B1337" s="175">
        <f t="shared" si="806"/>
        <v>2</v>
      </c>
      <c r="C1337" s="219">
        <v>21</v>
      </c>
      <c r="E1337" s="12" t="s">
        <v>1565</v>
      </c>
      <c r="F1337" s="42" t="s">
        <v>923</v>
      </c>
      <c r="G1337" s="945" t="s">
        <v>1591</v>
      </c>
      <c r="H1337" s="873">
        <v>6021</v>
      </c>
      <c r="I1337" s="176" t="s">
        <v>583</v>
      </c>
      <c r="J1337" s="177"/>
      <c r="K1337" s="177"/>
      <c r="L1337" s="944">
        <v>0.5</v>
      </c>
      <c r="M1337" s="873">
        <f>K1337+L1337</f>
        <v>0.5</v>
      </c>
      <c r="N1337" s="940" t="s">
        <v>892</v>
      </c>
      <c r="O1337" s="1211">
        <v>19620</v>
      </c>
      <c r="P1337" s="1218">
        <f ca="1">YEARFRAC(TODAY(),O1337)</f>
        <v>64.038888888888891</v>
      </c>
      <c r="Q1337" s="1071">
        <v>17600</v>
      </c>
      <c r="R1337" s="890"/>
      <c r="S1337" s="891"/>
      <c r="T1337" s="891"/>
      <c r="U1337" s="891"/>
      <c r="V1337" s="891"/>
      <c r="W1337" s="891"/>
      <c r="X1337" s="1026">
        <f>(Q1337+R1337+S1337+T1337+U1337+V1337+W1337)*M1337</f>
        <v>8800</v>
      </c>
      <c r="Y1337" s="1512">
        <f>(T1337+U1337)*M1337/(X1337-M1337*(T1337+U1337))</f>
        <v>0</v>
      </c>
      <c r="Z1337" s="1741">
        <f>M1337*(1+Y1337)</f>
        <v>0.5</v>
      </c>
      <c r="AA1337" s="1749">
        <f>SUM(AD1337:AS1337)</f>
        <v>0</v>
      </c>
      <c r="AB1337" s="1810">
        <f t="shared" si="807"/>
        <v>0</v>
      </c>
      <c r="AC1337" s="876"/>
      <c r="AD1337" s="1525">
        <f t="shared" si="808"/>
        <v>0</v>
      </c>
      <c r="AE1337" s="1525">
        <f t="shared" si="808"/>
        <v>0</v>
      </c>
      <c r="AF1337" s="1525">
        <f t="shared" si="808"/>
        <v>0</v>
      </c>
      <c r="AG1337" s="1525">
        <f t="shared" si="808"/>
        <v>0</v>
      </c>
      <c r="AH1337" s="1525">
        <f t="shared" si="808"/>
        <v>0</v>
      </c>
      <c r="AI1337" s="1525">
        <f t="shared" si="808"/>
        <v>0</v>
      </c>
      <c r="AJ1337" s="1525">
        <f t="shared" si="808"/>
        <v>0</v>
      </c>
      <c r="AK1337" s="1525">
        <f t="shared" si="808"/>
        <v>0</v>
      </c>
      <c r="AL1337" s="1525">
        <f t="shared" si="808"/>
        <v>0</v>
      </c>
      <c r="AM1337" s="1525">
        <f t="shared" si="808"/>
        <v>0</v>
      </c>
      <c r="AN1337" s="1525">
        <f t="shared" si="808"/>
        <v>0</v>
      </c>
      <c r="AO1337" s="1525">
        <f t="shared" si="808"/>
        <v>0</v>
      </c>
      <c r="AP1337" s="1525">
        <f t="shared" si="808"/>
        <v>0</v>
      </c>
      <c r="AQ1337" s="1525">
        <f t="shared" si="808"/>
        <v>0</v>
      </c>
      <c r="AR1337" s="1525">
        <f t="shared" si="808"/>
        <v>0</v>
      </c>
      <c r="AS1337" s="1525">
        <f t="shared" si="808"/>
        <v>0</v>
      </c>
      <c r="AU1337" s="1525"/>
      <c r="AV1337" s="1291"/>
      <c r="AW1337" s="1292"/>
      <c r="AX1337" s="1292"/>
      <c r="AY1337" s="1292"/>
      <c r="AZ1337" s="1292"/>
      <c r="BA1337" s="1292"/>
      <c r="BB1337" s="1292"/>
      <c r="BC1337" s="1292"/>
      <c r="BD1337" s="1292"/>
      <c r="BE1337" s="1292"/>
      <c r="BF1337" s="1292"/>
      <c r="BG1337" s="1292"/>
      <c r="BH1337" s="1292"/>
      <c r="BI1337" s="1292"/>
      <c r="BJ1337" s="1292"/>
      <c r="BK1337" s="1292"/>
      <c r="BL1337" s="1292"/>
      <c r="BM1337" s="1292"/>
      <c r="BN1337" s="1292"/>
      <c r="BO1337" s="1292"/>
      <c r="BP1337" s="1292"/>
      <c r="BQ1337" s="1292"/>
      <c r="BR1337" s="1292"/>
      <c r="BS1337" s="1292"/>
      <c r="BT1337" s="1670">
        <f t="shared" si="809"/>
        <v>0</v>
      </c>
      <c r="BW1337" s="945" t="s">
        <v>1591</v>
      </c>
    </row>
    <row r="1338" spans="1:75" s="164" customFormat="1" ht="12.75" customHeight="1" x14ac:dyDescent="0.15">
      <c r="B1338" s="175"/>
      <c r="C1338" s="219" t="s">
        <v>1120</v>
      </c>
      <c r="F1338" s="37" t="s">
        <v>379</v>
      </c>
      <c r="G1338" s="913"/>
      <c r="H1338" s="1347" t="s">
        <v>1508</v>
      </c>
      <c r="I1338" s="180"/>
      <c r="J1338" s="173"/>
      <c r="K1338" s="1127">
        <f>SUM(K1339:K1339)</f>
        <v>0</v>
      </c>
      <c r="L1338" s="1133">
        <f>SUM(L1336:L1337)</f>
        <v>1.5</v>
      </c>
      <c r="M1338" s="1133">
        <f>SUM(M1336:M1337)</f>
        <v>1.5</v>
      </c>
      <c r="N1338" s="832"/>
      <c r="O1338" s="1200"/>
      <c r="P1338" s="550"/>
      <c r="Q1338" s="1153"/>
      <c r="R1338" s="877"/>
      <c r="S1338" s="875"/>
      <c r="T1338" s="875"/>
      <c r="U1338" s="875"/>
      <c r="V1338" s="875"/>
      <c r="W1338" s="875"/>
      <c r="X1338" s="1026"/>
      <c r="Y1338" s="1335"/>
      <c r="Z1338" s="1335"/>
      <c r="AA1338" s="1775"/>
      <c r="AB1338" s="1814"/>
      <c r="AC1338" s="876"/>
      <c r="AD1338" s="1295"/>
      <c r="AE1338" s="1525"/>
      <c r="AF1338" s="1525"/>
      <c r="AG1338" s="1525"/>
      <c r="AH1338" s="1525"/>
      <c r="AI1338" s="1525"/>
      <c r="AJ1338" s="1525"/>
      <c r="AK1338" s="1525"/>
      <c r="AL1338" s="1525"/>
      <c r="AM1338" s="1525"/>
      <c r="AN1338" s="1525"/>
      <c r="AO1338" s="1525"/>
      <c r="AP1338" s="1525"/>
      <c r="AQ1338" s="1525"/>
      <c r="AR1338" s="1525"/>
      <c r="AS1338" s="1525"/>
      <c r="AU1338" s="1525"/>
      <c r="AV1338" s="1295"/>
      <c r="AW1338" s="1525"/>
      <c r="AX1338" s="1525"/>
      <c r="AY1338" s="1525"/>
      <c r="AZ1338" s="1525"/>
      <c r="BA1338" s="1525"/>
      <c r="BB1338" s="1525"/>
      <c r="BC1338" s="1525"/>
      <c r="BD1338" s="1525"/>
      <c r="BE1338" s="1525"/>
      <c r="BF1338" s="1525"/>
      <c r="BG1338" s="1525"/>
      <c r="BH1338" s="1525"/>
      <c r="BI1338" s="1525"/>
      <c r="BJ1338" s="1525"/>
      <c r="BK1338" s="1525"/>
      <c r="BL1338" s="1525"/>
      <c r="BM1338" s="1525"/>
      <c r="BN1338" s="1525"/>
      <c r="BO1338" s="1525"/>
      <c r="BP1338" s="1525"/>
      <c r="BQ1338" s="1525"/>
      <c r="BR1338" s="1525"/>
      <c r="BS1338" s="1525"/>
      <c r="BT1338" s="1670"/>
      <c r="BV1338"/>
      <c r="BW1338" s="913"/>
    </row>
    <row r="1339" spans="1:75" s="164" customFormat="1" ht="12.75" customHeight="1" x14ac:dyDescent="0.15">
      <c r="B1339" s="175"/>
      <c r="F1339" s="37"/>
      <c r="G1339" s="913"/>
      <c r="H1339" s="1358" t="s">
        <v>1508</v>
      </c>
      <c r="I1339" s="180"/>
      <c r="J1339" s="173"/>
      <c r="K1339" s="173"/>
      <c r="L1339" s="893"/>
      <c r="M1339" s="893"/>
      <c r="N1339" s="832"/>
      <c r="O1339" s="1200"/>
      <c r="P1339" s="550"/>
      <c r="Q1339" s="1148"/>
      <c r="R1339" s="874"/>
      <c r="S1339" s="875"/>
      <c r="T1339" s="875"/>
      <c r="U1339" s="875"/>
      <c r="V1339" s="875"/>
      <c r="W1339" s="875"/>
      <c r="X1339" s="1026"/>
      <c r="Y1339" s="1754"/>
      <c r="Z1339" s="1755"/>
      <c r="AA1339" s="1775"/>
      <c r="AB1339" s="1814"/>
      <c r="AC1339" s="876"/>
      <c r="AD1339" s="1295"/>
      <c r="AE1339" s="1525"/>
      <c r="AF1339" s="1525"/>
      <c r="AG1339" s="1525"/>
      <c r="AH1339" s="1525"/>
      <c r="AI1339" s="1525"/>
      <c r="AJ1339" s="1525"/>
      <c r="AK1339" s="1525"/>
      <c r="AL1339" s="1525"/>
      <c r="AM1339" s="1525"/>
      <c r="AN1339" s="1525"/>
      <c r="AO1339" s="1525"/>
      <c r="AP1339" s="1525"/>
      <c r="AQ1339" s="1525"/>
      <c r="AR1339" s="1525"/>
      <c r="AS1339" s="1525"/>
      <c r="AU1339" s="1525"/>
      <c r="AV1339" s="1295"/>
      <c r="AW1339" s="1525"/>
      <c r="AX1339" s="1525"/>
      <c r="AY1339" s="1525"/>
      <c r="AZ1339" s="1525"/>
      <c r="BA1339" s="1525"/>
      <c r="BB1339" s="1525"/>
      <c r="BC1339" s="1525"/>
      <c r="BD1339" s="1525"/>
      <c r="BE1339" s="1525"/>
      <c r="BF1339" s="1525"/>
      <c r="BG1339" s="1525"/>
      <c r="BH1339" s="1525"/>
      <c r="BI1339" s="1525"/>
      <c r="BJ1339" s="1525"/>
      <c r="BK1339" s="1525"/>
      <c r="BL1339" s="1525"/>
      <c r="BM1339" s="1525"/>
      <c r="BN1339" s="1525"/>
      <c r="BO1339" s="1525"/>
      <c r="BP1339" s="1525"/>
      <c r="BQ1339" s="1525"/>
      <c r="BR1339" s="1525"/>
      <c r="BS1339" s="1525"/>
      <c r="BT1339" s="1670"/>
      <c r="BV1339"/>
      <c r="BW1339" s="913"/>
    </row>
    <row r="1340" spans="1:75" s="164" customFormat="1" ht="12.75" customHeight="1" x14ac:dyDescent="0.15">
      <c r="B1340" s="175"/>
      <c r="F1340" s="1"/>
      <c r="G1340" s="856"/>
      <c r="H1340" s="1364" t="s">
        <v>1508</v>
      </c>
      <c r="I1340" s="172"/>
      <c r="J1340" s="168"/>
      <c r="K1340" s="168"/>
      <c r="L1340" s="841"/>
      <c r="M1340" s="841"/>
      <c r="N1340" s="855"/>
      <c r="O1340" s="1200"/>
      <c r="P1340" s="550"/>
      <c r="Q1340" s="1148"/>
      <c r="R1340" s="874"/>
      <c r="S1340" s="875"/>
      <c r="T1340" s="875"/>
      <c r="U1340" s="875"/>
      <c r="V1340" s="875"/>
      <c r="W1340" s="875"/>
      <c r="X1340" s="1026"/>
      <c r="Y1340" s="1754"/>
      <c r="Z1340" s="1755"/>
      <c r="AA1340" s="1775"/>
      <c r="AB1340" s="1814"/>
      <c r="AC1340" s="876"/>
      <c r="AD1340" s="1295"/>
      <c r="AE1340" s="1525"/>
      <c r="AF1340" s="1525"/>
      <c r="AG1340" s="1525"/>
      <c r="AH1340" s="1525"/>
      <c r="AI1340" s="1525"/>
      <c r="AJ1340" s="1525"/>
      <c r="AK1340" s="1525"/>
      <c r="AL1340" s="1525"/>
      <c r="AM1340" s="1525"/>
      <c r="AN1340" s="1525"/>
      <c r="AO1340" s="1525"/>
      <c r="AP1340" s="1525"/>
      <c r="AQ1340" s="1525"/>
      <c r="AR1340" s="1525"/>
      <c r="AS1340" s="1525"/>
      <c r="AU1340" s="1525"/>
      <c r="AV1340" s="1295"/>
      <c r="AW1340" s="1525"/>
      <c r="AX1340" s="1525"/>
      <c r="AY1340" s="1525"/>
      <c r="AZ1340" s="1525"/>
      <c r="BA1340" s="1525"/>
      <c r="BB1340" s="1525"/>
      <c r="BC1340" s="1525"/>
      <c r="BD1340" s="1525"/>
      <c r="BE1340" s="1525"/>
      <c r="BF1340" s="1525"/>
      <c r="BG1340" s="1525"/>
      <c r="BH1340" s="1525"/>
      <c r="BI1340" s="1525"/>
      <c r="BJ1340" s="1525"/>
      <c r="BK1340" s="1525"/>
      <c r="BL1340" s="1525"/>
      <c r="BM1340" s="1525"/>
      <c r="BN1340" s="1525"/>
      <c r="BO1340" s="1525"/>
      <c r="BP1340" s="1525"/>
      <c r="BQ1340" s="1525"/>
      <c r="BR1340" s="1525"/>
      <c r="BS1340" s="1525"/>
      <c r="BT1340" s="1670"/>
      <c r="BV1340"/>
      <c r="BW1340" s="856"/>
    </row>
    <row r="1341" spans="1:75" s="164" customFormat="1" ht="12.75" customHeight="1" x14ac:dyDescent="0.15">
      <c r="B1341" s="175"/>
      <c r="F1341" s="2" t="s">
        <v>392</v>
      </c>
      <c r="G1341" s="856"/>
      <c r="H1341" s="1364" t="s">
        <v>1508</v>
      </c>
      <c r="I1341" s="172"/>
      <c r="J1341" s="168"/>
      <c r="K1341" s="168"/>
      <c r="L1341" s="841"/>
      <c r="M1341" s="841"/>
      <c r="N1341" s="855"/>
      <c r="O1341" s="1200"/>
      <c r="P1341" s="550"/>
      <c r="Q1341" s="1148"/>
      <c r="R1341" s="874"/>
      <c r="S1341" s="875"/>
      <c r="T1341" s="875"/>
      <c r="U1341" s="875"/>
      <c r="V1341" s="875"/>
      <c r="W1341" s="875"/>
      <c r="X1341" s="1026"/>
      <c r="Y1341" s="1754"/>
      <c r="Z1341" s="1755"/>
      <c r="AA1341" s="1775"/>
      <c r="AB1341" s="1814"/>
      <c r="AC1341" s="876"/>
      <c r="AD1341" s="1295"/>
      <c r="AE1341" s="1525"/>
      <c r="AF1341" s="1525"/>
      <c r="AG1341" s="1525"/>
      <c r="AH1341" s="1525"/>
      <c r="AI1341" s="1525"/>
      <c r="AJ1341" s="1525"/>
      <c r="AK1341" s="1525"/>
      <c r="AL1341" s="1525"/>
      <c r="AM1341" s="1525"/>
      <c r="AN1341" s="1525"/>
      <c r="AO1341" s="1525"/>
      <c r="AP1341" s="1525"/>
      <c r="AQ1341" s="1525"/>
      <c r="AR1341" s="1525"/>
      <c r="AS1341" s="1525"/>
      <c r="AU1341" s="1525"/>
      <c r="AV1341" s="1295"/>
      <c r="AW1341" s="1525"/>
      <c r="AX1341" s="1525"/>
      <c r="AY1341" s="1525"/>
      <c r="AZ1341" s="1525"/>
      <c r="BA1341" s="1525"/>
      <c r="BB1341" s="1525"/>
      <c r="BC1341" s="1525"/>
      <c r="BD1341" s="1525"/>
      <c r="BE1341" s="1525"/>
      <c r="BF1341" s="1525"/>
      <c r="BG1341" s="1525"/>
      <c r="BH1341" s="1525"/>
      <c r="BI1341" s="1525"/>
      <c r="BJ1341" s="1525"/>
      <c r="BK1341" s="1525"/>
      <c r="BL1341" s="1525"/>
      <c r="BM1341" s="1525"/>
      <c r="BN1341" s="1525"/>
      <c r="BO1341" s="1525"/>
      <c r="BP1341" s="1525"/>
      <c r="BQ1341" s="1525"/>
      <c r="BR1341" s="1525"/>
      <c r="BS1341" s="1525"/>
      <c r="BT1341" s="1670"/>
      <c r="BV1341"/>
      <c r="BW1341" s="856"/>
    </row>
    <row r="1342" spans="1:75" s="164" customFormat="1" ht="12.75" customHeight="1" x14ac:dyDescent="0.15">
      <c r="B1342" s="175"/>
      <c r="F1342" s="1" t="s">
        <v>393</v>
      </c>
      <c r="G1342" s="856"/>
      <c r="H1342" s="1364" t="s">
        <v>1508</v>
      </c>
      <c r="I1342" s="172"/>
      <c r="J1342" s="168"/>
      <c r="K1342" s="168"/>
      <c r="L1342" s="841"/>
      <c r="M1342" s="841"/>
      <c r="N1342" s="855"/>
      <c r="O1342" s="1200"/>
      <c r="P1342" s="550"/>
      <c r="Q1342" s="1148"/>
      <c r="R1342" s="874"/>
      <c r="S1342" s="875"/>
      <c r="T1342" s="875"/>
      <c r="U1342" s="875"/>
      <c r="V1342" s="875"/>
      <c r="W1342" s="875"/>
      <c r="X1342" s="1026"/>
      <c r="Y1342" s="1754"/>
      <c r="Z1342" s="1755"/>
      <c r="AA1342" s="1775"/>
      <c r="AB1342" s="1814"/>
      <c r="AC1342" s="876"/>
      <c r="AD1342" s="1295"/>
      <c r="AE1342" s="1525"/>
      <c r="AF1342" s="1525"/>
      <c r="AG1342" s="1525"/>
      <c r="AH1342" s="1525"/>
      <c r="AI1342" s="1525"/>
      <c r="AJ1342" s="1525"/>
      <c r="AK1342" s="1525"/>
      <c r="AL1342" s="1525"/>
      <c r="AM1342" s="1525"/>
      <c r="AN1342" s="1525"/>
      <c r="AO1342" s="1525"/>
      <c r="AP1342" s="1525"/>
      <c r="AQ1342" s="1525"/>
      <c r="AR1342" s="1525"/>
      <c r="AS1342" s="1525"/>
      <c r="AU1342" s="1525"/>
      <c r="AV1342" s="1295"/>
      <c r="AW1342" s="1525"/>
      <c r="AX1342" s="1525"/>
      <c r="AY1342" s="1525"/>
      <c r="AZ1342" s="1525"/>
      <c r="BA1342" s="1525"/>
      <c r="BB1342" s="1525"/>
      <c r="BC1342" s="1525"/>
      <c r="BD1342" s="1525"/>
      <c r="BE1342" s="1525"/>
      <c r="BF1342" s="1525"/>
      <c r="BG1342" s="1525"/>
      <c r="BH1342" s="1525"/>
      <c r="BI1342" s="1525"/>
      <c r="BJ1342" s="1525"/>
      <c r="BK1342" s="1525"/>
      <c r="BL1342" s="1525"/>
      <c r="BM1342" s="1525"/>
      <c r="BN1342" s="1525"/>
      <c r="BO1342" s="1525"/>
      <c r="BP1342" s="1525"/>
      <c r="BQ1342" s="1525"/>
      <c r="BR1342" s="1525"/>
      <c r="BS1342" s="1525"/>
      <c r="BT1342" s="1670"/>
      <c r="BV1342"/>
      <c r="BW1342" s="856"/>
    </row>
    <row r="1343" spans="1:75" ht="12.75" customHeight="1" x14ac:dyDescent="0.2">
      <c r="B1343" s="175">
        <f t="shared" ref="B1343:B1346" si="810">B1342+1</f>
        <v>1</v>
      </c>
      <c r="C1343" s="219">
        <v>8</v>
      </c>
      <c r="E1343" s="12" t="s">
        <v>1565</v>
      </c>
      <c r="F1343" s="1" t="s">
        <v>353</v>
      </c>
      <c r="G1343" s="856" t="s">
        <v>488</v>
      </c>
      <c r="H1343" s="858">
        <v>98090</v>
      </c>
      <c r="I1343" s="200" t="s">
        <v>351</v>
      </c>
      <c r="J1343" s="168"/>
      <c r="K1343" s="168"/>
      <c r="L1343" s="841">
        <v>1</v>
      </c>
      <c r="M1343" s="858">
        <f>K1343+L1343</f>
        <v>1</v>
      </c>
      <c r="N1343" s="855" t="s">
        <v>1573</v>
      </c>
      <c r="O1343" s="1196">
        <v>20916</v>
      </c>
      <c r="P1343" s="1218">
        <f ca="1">YEARFRAC(TODAY(),O1343)</f>
        <v>60.488888888888887</v>
      </c>
      <c r="Q1343" s="1148">
        <v>33300</v>
      </c>
      <c r="R1343" s="874">
        <f>Q1343*0.1</f>
        <v>3330</v>
      </c>
      <c r="S1343" s="875"/>
      <c r="T1343" s="875"/>
      <c r="U1343" s="875"/>
      <c r="V1343" s="875"/>
      <c r="W1343" s="875"/>
      <c r="X1343" s="1026">
        <f>(Q1343+R1343+S1343+T1343+U1343+V1343+W1343)*M1343</f>
        <v>36630</v>
      </c>
      <c r="Y1343" s="1512">
        <f>(T1343+U1343)*M1343/(X1343-M1343*(T1343+U1343))</f>
        <v>0</v>
      </c>
      <c r="Z1343" s="1741">
        <f>M1343*(1+Y1343)</f>
        <v>1</v>
      </c>
      <c r="AA1343" s="1749">
        <f>SUM(AD1343:AS1343)</f>
        <v>0.1</v>
      </c>
      <c r="AB1343" s="1810">
        <f t="shared" ref="AB1343:AB1346" si="811">100*AA1343/Z1343</f>
        <v>10</v>
      </c>
      <c r="AC1343" s="876"/>
      <c r="AD1343" s="1525">
        <f t="shared" ref="AD1343:AS1346" si="812">SUMIF($AV$6:$BS$6,AD$5,$AV1343:$BS1343)</f>
        <v>0</v>
      </c>
      <c r="AE1343" s="1525">
        <f t="shared" si="812"/>
        <v>0</v>
      </c>
      <c r="AF1343" s="1525">
        <f t="shared" si="812"/>
        <v>0</v>
      </c>
      <c r="AG1343" s="1525">
        <f t="shared" si="812"/>
        <v>0</v>
      </c>
      <c r="AH1343" s="1525">
        <f t="shared" si="812"/>
        <v>0</v>
      </c>
      <c r="AI1343" s="1525">
        <f t="shared" si="812"/>
        <v>0</v>
      </c>
      <c r="AJ1343" s="1525">
        <f t="shared" si="812"/>
        <v>0.1</v>
      </c>
      <c r="AK1343" s="1525">
        <f t="shared" si="812"/>
        <v>0</v>
      </c>
      <c r="AL1343" s="1525">
        <f t="shared" si="812"/>
        <v>0</v>
      </c>
      <c r="AM1343" s="1525">
        <f t="shared" si="812"/>
        <v>0</v>
      </c>
      <c r="AN1343" s="1525">
        <f t="shared" si="812"/>
        <v>0</v>
      </c>
      <c r="AO1343" s="1525">
        <f t="shared" si="812"/>
        <v>0</v>
      </c>
      <c r="AP1343" s="1525">
        <f t="shared" si="812"/>
        <v>0</v>
      </c>
      <c r="AQ1343" s="1525">
        <f t="shared" si="812"/>
        <v>0</v>
      </c>
      <c r="AR1343" s="1525">
        <f t="shared" si="812"/>
        <v>0</v>
      </c>
      <c r="AS1343" s="1525">
        <f t="shared" si="812"/>
        <v>0</v>
      </c>
      <c r="AU1343" s="1525"/>
      <c r="AV1343" s="1291"/>
      <c r="AW1343" s="1292"/>
      <c r="AX1343" s="1292"/>
      <c r="AY1343" s="1292"/>
      <c r="AZ1343" s="1292"/>
      <c r="BA1343" s="1292"/>
      <c r="BB1343" s="1292"/>
      <c r="BC1343" s="1292"/>
      <c r="BD1343" s="1292"/>
      <c r="BE1343" s="1292"/>
      <c r="BF1343" s="1292"/>
      <c r="BG1343" s="1292"/>
      <c r="BH1343" s="1292">
        <v>0.1</v>
      </c>
      <c r="BI1343" s="1292"/>
      <c r="BJ1343" s="1292"/>
      <c r="BK1343" s="1292"/>
      <c r="BL1343" s="1292"/>
      <c r="BM1343" s="1292"/>
      <c r="BN1343" s="1292"/>
      <c r="BO1343" s="1292"/>
      <c r="BP1343" s="1292"/>
      <c r="BQ1343" s="1292"/>
      <c r="BR1343" s="1292"/>
      <c r="BS1343" s="1292"/>
      <c r="BT1343" s="1670">
        <f t="shared" ref="BT1343:BT1346" si="813">SUM(AV1343:BS1343)</f>
        <v>0.1</v>
      </c>
      <c r="BW1343" s="856" t="s">
        <v>488</v>
      </c>
    </row>
    <row r="1344" spans="1:75" s="164" customFormat="1" ht="12.75" customHeight="1" x14ac:dyDescent="0.2">
      <c r="B1344" s="175">
        <f t="shared" si="810"/>
        <v>2</v>
      </c>
      <c r="C1344" s="219">
        <v>8</v>
      </c>
      <c r="E1344" s="12" t="s">
        <v>1565</v>
      </c>
      <c r="F1344" s="37" t="s">
        <v>353</v>
      </c>
      <c r="G1344" s="856" t="s">
        <v>1365</v>
      </c>
      <c r="H1344" s="858">
        <v>7166</v>
      </c>
      <c r="I1344" s="200" t="s">
        <v>351</v>
      </c>
      <c r="J1344" s="168"/>
      <c r="K1344" s="168"/>
      <c r="L1344" s="893">
        <v>0.5</v>
      </c>
      <c r="M1344" s="861">
        <f>K1344+L1344</f>
        <v>0.5</v>
      </c>
      <c r="N1344" s="855" t="s">
        <v>892</v>
      </c>
      <c r="O1344" s="1196">
        <v>11479</v>
      </c>
      <c r="P1344" s="1218">
        <f ca="1">YEARFRAC(TODAY(),O1344)</f>
        <v>86.325000000000003</v>
      </c>
      <c r="Q1344" s="1148">
        <v>17000</v>
      </c>
      <c r="R1344" s="874"/>
      <c r="S1344" s="876">
        <v>3000</v>
      </c>
      <c r="T1344" s="876"/>
      <c r="U1344" s="876"/>
      <c r="V1344" s="876"/>
      <c r="W1344" s="876"/>
      <c r="X1344" s="1026">
        <f>(Q1344+R1344+S1344+T1344+U1344+V1344+W1344)*M1344</f>
        <v>10000</v>
      </c>
      <c r="Y1344" s="1512">
        <f>(T1344+U1344)*M1344/(X1344-M1344*(T1344+U1344))</f>
        <v>0</v>
      </c>
      <c r="Z1344" s="1741">
        <f>M1344*(1+Y1344)</f>
        <v>0.5</v>
      </c>
      <c r="AA1344" s="1749">
        <f>SUM(AD1344:AS1344)</f>
        <v>0</v>
      </c>
      <c r="AB1344" s="1810">
        <f t="shared" si="811"/>
        <v>0</v>
      </c>
      <c r="AC1344" s="876"/>
      <c r="AD1344" s="1525">
        <f t="shared" si="812"/>
        <v>0</v>
      </c>
      <c r="AE1344" s="1525">
        <f t="shared" si="812"/>
        <v>0</v>
      </c>
      <c r="AF1344" s="1525">
        <f t="shared" si="812"/>
        <v>0</v>
      </c>
      <c r="AG1344" s="1525">
        <f t="shared" si="812"/>
        <v>0</v>
      </c>
      <c r="AH1344" s="1525">
        <f t="shared" si="812"/>
        <v>0</v>
      </c>
      <c r="AI1344" s="1525">
        <f t="shared" si="812"/>
        <v>0</v>
      </c>
      <c r="AJ1344" s="1525">
        <f t="shared" si="812"/>
        <v>0</v>
      </c>
      <c r="AK1344" s="1525">
        <f t="shared" si="812"/>
        <v>0</v>
      </c>
      <c r="AL1344" s="1525">
        <f t="shared" si="812"/>
        <v>0</v>
      </c>
      <c r="AM1344" s="1525">
        <f t="shared" si="812"/>
        <v>0</v>
      </c>
      <c r="AN1344" s="1525">
        <f t="shared" si="812"/>
        <v>0</v>
      </c>
      <c r="AO1344" s="1525">
        <f t="shared" si="812"/>
        <v>0</v>
      </c>
      <c r="AP1344" s="1525">
        <f t="shared" si="812"/>
        <v>0</v>
      </c>
      <c r="AQ1344" s="1525">
        <f t="shared" si="812"/>
        <v>0</v>
      </c>
      <c r="AR1344" s="1525">
        <f t="shared" si="812"/>
        <v>0</v>
      </c>
      <c r="AS1344" s="1525">
        <f t="shared" si="812"/>
        <v>0</v>
      </c>
      <c r="AU1344" s="1525"/>
      <c r="AV1344" s="1295"/>
      <c r="AW1344" s="1525"/>
      <c r="AX1344" s="1525"/>
      <c r="AY1344" s="1525"/>
      <c r="AZ1344" s="1525"/>
      <c r="BA1344" s="1525"/>
      <c r="BB1344" s="1525"/>
      <c r="BC1344" s="1525"/>
      <c r="BD1344" s="1525"/>
      <c r="BE1344" s="1525"/>
      <c r="BF1344" s="1525"/>
      <c r="BG1344" s="1525"/>
      <c r="BH1344" s="1525"/>
      <c r="BI1344" s="1525"/>
      <c r="BJ1344" s="1525"/>
      <c r="BK1344" s="1525"/>
      <c r="BL1344" s="1525"/>
      <c r="BM1344" s="1525"/>
      <c r="BN1344" s="1525"/>
      <c r="BO1344" s="1525"/>
      <c r="BP1344" s="1525"/>
      <c r="BQ1344" s="1525"/>
      <c r="BR1344" s="1525"/>
      <c r="BS1344" s="1525"/>
      <c r="BT1344" s="1670">
        <f t="shared" si="813"/>
        <v>0</v>
      </c>
      <c r="BV1344"/>
      <c r="BW1344" s="856" t="s">
        <v>1365</v>
      </c>
    </row>
    <row r="1345" spans="2:75" s="164" customFormat="1" ht="12.75" customHeight="1" x14ac:dyDescent="0.2">
      <c r="B1345" s="175">
        <f t="shared" si="810"/>
        <v>3</v>
      </c>
      <c r="C1345" s="219">
        <v>8</v>
      </c>
      <c r="E1345" s="12" t="s">
        <v>1565</v>
      </c>
      <c r="F1345" s="1" t="s">
        <v>353</v>
      </c>
      <c r="G1345" s="913" t="s">
        <v>489</v>
      </c>
      <c r="H1345" s="858">
        <v>87997</v>
      </c>
      <c r="I1345" s="200" t="s">
        <v>351</v>
      </c>
      <c r="J1345" s="168"/>
      <c r="K1345" s="168"/>
      <c r="L1345" s="893">
        <v>1</v>
      </c>
      <c r="M1345" s="858">
        <f>K1345+L1345</f>
        <v>1</v>
      </c>
      <c r="N1345" s="832" t="s">
        <v>892</v>
      </c>
      <c r="O1345" s="1196">
        <v>17245</v>
      </c>
      <c r="P1345" s="1218">
        <f ca="1">YEARFRAC(TODAY(),O1345)</f>
        <v>70.536111111111111</v>
      </c>
      <c r="Q1345" s="1148">
        <v>29250</v>
      </c>
      <c r="R1345" s="874"/>
      <c r="S1345" s="876"/>
      <c r="T1345" s="875"/>
      <c r="U1345" s="875"/>
      <c r="V1345" s="875"/>
      <c r="W1345" s="875"/>
      <c r="X1345" s="1026">
        <f>(Q1345+R1345+S1345+T1345+U1345+V1345+W1345)*M1345</f>
        <v>29250</v>
      </c>
      <c r="Y1345" s="1512">
        <f>(T1345+U1345)*M1345/(X1345-M1345*(T1345+U1345))</f>
        <v>0</v>
      </c>
      <c r="Z1345" s="1741">
        <f>M1345*(1+Y1345)</f>
        <v>1</v>
      </c>
      <c r="AA1345" s="1749">
        <f>SUM(AD1345:AS1345)</f>
        <v>0.5</v>
      </c>
      <c r="AB1345" s="1810">
        <f t="shared" si="811"/>
        <v>50</v>
      </c>
      <c r="AC1345" s="876"/>
      <c r="AD1345" s="1525">
        <f t="shared" si="812"/>
        <v>0</v>
      </c>
      <c r="AE1345" s="1525">
        <f t="shared" si="812"/>
        <v>0</v>
      </c>
      <c r="AF1345" s="1525">
        <f t="shared" si="812"/>
        <v>0</v>
      </c>
      <c r="AG1345" s="1525">
        <f t="shared" si="812"/>
        <v>0</v>
      </c>
      <c r="AH1345" s="1525">
        <f t="shared" si="812"/>
        <v>0</v>
      </c>
      <c r="AI1345" s="1525">
        <f t="shared" si="812"/>
        <v>0</v>
      </c>
      <c r="AJ1345" s="1525">
        <f t="shared" si="812"/>
        <v>0</v>
      </c>
      <c r="AK1345" s="1525">
        <f t="shared" si="812"/>
        <v>0</v>
      </c>
      <c r="AL1345" s="1525">
        <f t="shared" si="812"/>
        <v>0</v>
      </c>
      <c r="AM1345" s="1525">
        <f t="shared" si="812"/>
        <v>0</v>
      </c>
      <c r="AN1345" s="1525">
        <f t="shared" si="812"/>
        <v>0.5</v>
      </c>
      <c r="AO1345" s="1525">
        <f t="shared" si="812"/>
        <v>0</v>
      </c>
      <c r="AP1345" s="1525">
        <f t="shared" si="812"/>
        <v>0</v>
      </c>
      <c r="AQ1345" s="1525">
        <f t="shared" si="812"/>
        <v>0</v>
      </c>
      <c r="AR1345" s="1525">
        <f t="shared" si="812"/>
        <v>0</v>
      </c>
      <c r="AS1345" s="1525">
        <f t="shared" si="812"/>
        <v>0</v>
      </c>
      <c r="AU1345" s="1525"/>
      <c r="AV1345" s="1295"/>
      <c r="AW1345" s="1525"/>
      <c r="AX1345" s="1525"/>
      <c r="AY1345" s="1525"/>
      <c r="AZ1345" s="1525"/>
      <c r="BA1345" s="1525"/>
      <c r="BB1345" s="1525"/>
      <c r="BC1345" s="1525"/>
      <c r="BD1345" s="1525"/>
      <c r="BE1345" s="1525"/>
      <c r="BF1345" s="1525">
        <v>0.5</v>
      </c>
      <c r="BG1345" s="1525"/>
      <c r="BH1345" s="1525"/>
      <c r="BI1345" s="1525"/>
      <c r="BJ1345" s="1525"/>
      <c r="BK1345" s="1525"/>
      <c r="BL1345" s="1525"/>
      <c r="BM1345" s="1525"/>
      <c r="BN1345" s="1525"/>
      <c r="BO1345" s="1525"/>
      <c r="BP1345" s="1525"/>
      <c r="BQ1345" s="1525"/>
      <c r="BR1345" s="1525"/>
      <c r="BS1345" s="1525"/>
      <c r="BT1345" s="1670">
        <f t="shared" si="813"/>
        <v>0.5</v>
      </c>
      <c r="BV1345"/>
      <c r="BW1345" s="913" t="s">
        <v>489</v>
      </c>
    </row>
    <row r="1346" spans="2:75" ht="12.75" customHeight="1" x14ac:dyDescent="0.2">
      <c r="B1346" s="175">
        <f t="shared" si="810"/>
        <v>4</v>
      </c>
      <c r="C1346" s="219">
        <v>2</v>
      </c>
      <c r="E1346" s="12" t="s">
        <v>1565</v>
      </c>
      <c r="F1346" s="42" t="s">
        <v>231</v>
      </c>
      <c r="G1346" s="945" t="s">
        <v>286</v>
      </c>
      <c r="H1346" s="873">
        <v>102184</v>
      </c>
      <c r="I1346" s="196" t="s">
        <v>351</v>
      </c>
      <c r="J1346" s="177"/>
      <c r="K1346" s="177"/>
      <c r="L1346" s="944">
        <v>0.5</v>
      </c>
      <c r="M1346" s="873">
        <f>K1346+L1346</f>
        <v>0.5</v>
      </c>
      <c r="N1346" s="940" t="s">
        <v>892</v>
      </c>
      <c r="O1346" s="1211">
        <v>13277</v>
      </c>
      <c r="P1346" s="1218">
        <f ca="1">YEARFRAC(TODAY(),O1346)</f>
        <v>81.402777777777771</v>
      </c>
      <c r="Q1346" s="1148">
        <v>33300</v>
      </c>
      <c r="R1346" s="874"/>
      <c r="S1346" s="875">
        <v>3000</v>
      </c>
      <c r="T1346" s="875"/>
      <c r="U1346" s="875"/>
      <c r="V1346" s="875"/>
      <c r="W1346" s="875"/>
      <c r="X1346" s="1026">
        <f>(Q1346+R1346+S1346+T1346+U1346+V1346+W1346)*M1346</f>
        <v>18150</v>
      </c>
      <c r="Y1346" s="1512">
        <f>(T1346+U1346)*M1346/(X1346-M1346*(T1346+U1346))</f>
        <v>0</v>
      </c>
      <c r="Z1346" s="1741">
        <f>M1346*(1+Y1346)</f>
        <v>0.5</v>
      </c>
      <c r="AA1346" s="1749">
        <f>SUM(AD1346:AS1346)</f>
        <v>0</v>
      </c>
      <c r="AB1346" s="1810">
        <f t="shared" si="811"/>
        <v>0</v>
      </c>
      <c r="AC1346" s="876"/>
      <c r="AD1346" s="1525">
        <f t="shared" si="812"/>
        <v>0</v>
      </c>
      <c r="AE1346" s="1525">
        <f t="shared" si="812"/>
        <v>0</v>
      </c>
      <c r="AF1346" s="1525">
        <f t="shared" si="812"/>
        <v>0</v>
      </c>
      <c r="AG1346" s="1525">
        <f t="shared" si="812"/>
        <v>0</v>
      </c>
      <c r="AH1346" s="1525">
        <f t="shared" si="812"/>
        <v>0</v>
      </c>
      <c r="AI1346" s="1525">
        <f t="shared" si="812"/>
        <v>0</v>
      </c>
      <c r="AJ1346" s="1525">
        <f t="shared" si="812"/>
        <v>0</v>
      </c>
      <c r="AK1346" s="1525">
        <f t="shared" si="812"/>
        <v>0</v>
      </c>
      <c r="AL1346" s="1525">
        <f t="shared" si="812"/>
        <v>0</v>
      </c>
      <c r="AM1346" s="1525">
        <f t="shared" si="812"/>
        <v>0</v>
      </c>
      <c r="AN1346" s="1525">
        <f t="shared" si="812"/>
        <v>0</v>
      </c>
      <c r="AO1346" s="1525">
        <f t="shared" si="812"/>
        <v>0</v>
      </c>
      <c r="AP1346" s="1525">
        <f t="shared" si="812"/>
        <v>0</v>
      </c>
      <c r="AQ1346" s="1525">
        <f t="shared" si="812"/>
        <v>0</v>
      </c>
      <c r="AR1346" s="1525">
        <f t="shared" si="812"/>
        <v>0</v>
      </c>
      <c r="AS1346" s="1525">
        <f t="shared" si="812"/>
        <v>0</v>
      </c>
      <c r="AU1346" s="1525"/>
      <c r="AV1346" s="1291"/>
      <c r="AW1346" s="1292"/>
      <c r="AX1346" s="1292"/>
      <c r="AY1346" s="1292"/>
      <c r="AZ1346" s="1292"/>
      <c r="BA1346" s="1292"/>
      <c r="BB1346" s="1292"/>
      <c r="BC1346" s="1292"/>
      <c r="BD1346" s="1292"/>
      <c r="BE1346" s="1292"/>
      <c r="BF1346" s="1292"/>
      <c r="BG1346" s="1292"/>
      <c r="BH1346" s="1292"/>
      <c r="BI1346" s="1292"/>
      <c r="BJ1346" s="1292"/>
      <c r="BK1346" s="1292"/>
      <c r="BL1346" s="1292"/>
      <c r="BM1346" s="1292"/>
      <c r="BN1346" s="1292"/>
      <c r="BO1346" s="1292"/>
      <c r="BP1346" s="1292"/>
      <c r="BQ1346" s="1292"/>
      <c r="BR1346" s="1292"/>
      <c r="BS1346" s="1292"/>
      <c r="BT1346" s="1670">
        <f t="shared" si="813"/>
        <v>0</v>
      </c>
      <c r="BW1346" s="945" t="s">
        <v>286</v>
      </c>
    </row>
    <row r="1347" spans="2:75" ht="12.75" customHeight="1" x14ac:dyDescent="0.2">
      <c r="B1347" s="175"/>
      <c r="C1347" s="219"/>
      <c r="E1347" s="12"/>
      <c r="F1347" s="37"/>
      <c r="G1347" s="913"/>
      <c r="H1347" s="861"/>
      <c r="I1347" s="197"/>
      <c r="J1347" s="173"/>
      <c r="K1347" s="173"/>
      <c r="L1347" s="893"/>
      <c r="M1347" s="861"/>
      <c r="N1347" s="832"/>
      <c r="O1347" s="1196"/>
      <c r="P1347" s="1218"/>
      <c r="Q1347" s="1148"/>
      <c r="R1347" s="874"/>
      <c r="S1347" s="875"/>
      <c r="T1347" s="875"/>
      <c r="U1347" s="875"/>
      <c r="V1347" s="875"/>
      <c r="W1347" s="875"/>
      <c r="X1347" s="1026"/>
      <c r="Y1347" s="1520"/>
      <c r="Z1347" s="1520"/>
      <c r="AA1347" s="1749"/>
      <c r="AB1347" s="1810"/>
      <c r="AC1347" s="876"/>
      <c r="AD1347" s="1525"/>
      <c r="AE1347" s="1525"/>
      <c r="AF1347" s="1525"/>
      <c r="AG1347" s="1525"/>
      <c r="AH1347" s="1525"/>
      <c r="AI1347" s="1525"/>
      <c r="AJ1347" s="1525"/>
      <c r="AK1347" s="1525"/>
      <c r="AL1347" s="1525"/>
      <c r="AM1347" s="1525"/>
      <c r="AN1347" s="1525"/>
      <c r="AO1347" s="1525"/>
      <c r="AP1347" s="1525"/>
      <c r="AQ1347" s="1525"/>
      <c r="AR1347" s="1525"/>
      <c r="AS1347" s="1525"/>
      <c r="AU1347" s="1525"/>
      <c r="AV1347" s="1291"/>
      <c r="AW1347" s="1292"/>
      <c r="AX1347" s="1292"/>
      <c r="AY1347" s="1292"/>
      <c r="AZ1347" s="1292"/>
      <c r="BA1347" s="1292"/>
      <c r="BB1347" s="1292"/>
      <c r="BC1347" s="1292"/>
      <c r="BD1347" s="1292"/>
      <c r="BE1347" s="1292"/>
      <c r="BF1347" s="1292"/>
      <c r="BG1347" s="1292"/>
      <c r="BH1347" s="1292"/>
      <c r="BI1347" s="1292"/>
      <c r="BJ1347" s="1292"/>
      <c r="BK1347" s="1292"/>
      <c r="BL1347" s="1292"/>
      <c r="BM1347" s="1292"/>
      <c r="BN1347" s="1292"/>
      <c r="BO1347" s="1292"/>
      <c r="BP1347" s="1292"/>
      <c r="BQ1347" s="1292"/>
      <c r="BR1347" s="1292"/>
      <c r="BS1347" s="1292"/>
      <c r="BT1347" s="1670"/>
      <c r="BW1347" s="913"/>
    </row>
    <row r="1348" spans="2:75" s="164" customFormat="1" ht="12.75" customHeight="1" x14ac:dyDescent="0.15">
      <c r="B1348" s="175"/>
      <c r="F1348" s="4" t="s">
        <v>436</v>
      </c>
      <c r="G1348" s="856"/>
      <c r="H1348" s="1364" t="s">
        <v>1508</v>
      </c>
      <c r="I1348" s="172"/>
      <c r="J1348" s="168"/>
      <c r="K1348" s="168"/>
      <c r="L1348" s="841"/>
      <c r="M1348" s="841"/>
      <c r="N1348" s="855"/>
      <c r="O1348" s="1200"/>
      <c r="P1348" s="550"/>
      <c r="Q1348" s="1148"/>
      <c r="R1348" s="874"/>
      <c r="S1348" s="875"/>
      <c r="T1348" s="875"/>
      <c r="U1348" s="875"/>
      <c r="V1348" s="875"/>
      <c r="W1348" s="875"/>
      <c r="X1348" s="1026"/>
      <c r="Y1348" s="1512"/>
      <c r="Z1348" s="1741"/>
      <c r="AA1348" s="1749"/>
      <c r="AB1348" s="1812"/>
      <c r="AC1348" s="876"/>
      <c r="AD1348" s="1295"/>
      <c r="AE1348" s="1525"/>
      <c r="AF1348" s="1525"/>
      <c r="AG1348" s="1525"/>
      <c r="AH1348" s="1525"/>
      <c r="AI1348" s="1525"/>
      <c r="AJ1348" s="1525"/>
      <c r="AK1348" s="1525"/>
      <c r="AL1348" s="1525"/>
      <c r="AM1348" s="1525"/>
      <c r="AN1348" s="1525"/>
      <c r="AO1348" s="1525"/>
      <c r="AP1348" s="1525"/>
      <c r="AQ1348" s="1525"/>
      <c r="AR1348" s="1525"/>
      <c r="AS1348" s="1525"/>
      <c r="AU1348" s="1525"/>
      <c r="AV1348" s="1295"/>
      <c r="AW1348" s="1525"/>
      <c r="AX1348" s="1525"/>
      <c r="AY1348" s="1525"/>
      <c r="AZ1348" s="1525"/>
      <c r="BA1348" s="1525"/>
      <c r="BB1348" s="1525"/>
      <c r="BC1348" s="1525"/>
      <c r="BD1348" s="1525"/>
      <c r="BE1348" s="1525"/>
      <c r="BF1348" s="1525"/>
      <c r="BG1348" s="1525"/>
      <c r="BH1348" s="1525"/>
      <c r="BI1348" s="1525"/>
      <c r="BJ1348" s="1525"/>
      <c r="BK1348" s="1525"/>
      <c r="BL1348" s="1525"/>
      <c r="BM1348" s="1525"/>
      <c r="BN1348" s="1525"/>
      <c r="BO1348" s="1525"/>
      <c r="BP1348" s="1525"/>
      <c r="BQ1348" s="1525"/>
      <c r="BR1348" s="1525"/>
      <c r="BS1348" s="1525"/>
      <c r="BT1348" s="1670"/>
      <c r="BV1348"/>
      <c r="BW1348" s="856"/>
    </row>
    <row r="1349" spans="2:75" ht="12.75" customHeight="1" x14ac:dyDescent="0.2">
      <c r="B1349" s="175">
        <f t="shared" ref="B1349" si="814">B1348+1</f>
        <v>1</v>
      </c>
      <c r="C1349" s="219">
        <v>7</v>
      </c>
      <c r="E1349" s="12" t="s">
        <v>1565</v>
      </c>
      <c r="F1349" s="30" t="s">
        <v>1334</v>
      </c>
      <c r="G1349" s="856" t="s">
        <v>1250</v>
      </c>
      <c r="H1349" s="858">
        <v>15259</v>
      </c>
      <c r="I1349" s="200" t="s">
        <v>351</v>
      </c>
      <c r="J1349" s="168"/>
      <c r="K1349" s="168">
        <v>0.5</v>
      </c>
      <c r="L1349" s="841"/>
      <c r="M1349" s="858">
        <v>0.5</v>
      </c>
      <c r="N1349" s="855" t="s">
        <v>892</v>
      </c>
      <c r="O1349" s="1196">
        <v>11929</v>
      </c>
      <c r="P1349" s="1218">
        <f ca="1">YEARFRAC(TODAY(),O1349)</f>
        <v>85.094444444444449</v>
      </c>
      <c r="Q1349" s="1148">
        <v>22700</v>
      </c>
      <c r="R1349" s="874"/>
      <c r="S1349" s="875">
        <v>7000</v>
      </c>
      <c r="T1349" s="875"/>
      <c r="U1349" s="875"/>
      <c r="V1349" s="875"/>
      <c r="W1349" s="875"/>
      <c r="X1349" s="1026">
        <f>(Q1349+R1349+S1349+T1349+U1349+V1349+W1349)*M1349</f>
        <v>14850</v>
      </c>
      <c r="Y1349" s="1512">
        <f>(T1349+U1349)*M1349/(X1349-M1349*(T1349+U1349))</f>
        <v>0</v>
      </c>
      <c r="Z1349" s="1741">
        <f>M1349*(1+Y1349)</f>
        <v>0.5</v>
      </c>
      <c r="AA1349" s="1749">
        <f>SUM(AD1349:AS1349)</f>
        <v>0</v>
      </c>
      <c r="AB1349" s="1810">
        <f t="shared" ref="AB1349" si="815">100*AA1349/Z1349</f>
        <v>0</v>
      </c>
      <c r="AC1349" s="876"/>
      <c r="AD1349" s="1525">
        <f t="shared" ref="AD1349:AS1349" si="816">SUMIF($AV$6:$BS$6,AD$5,$AV1349:$BS1349)</f>
        <v>0</v>
      </c>
      <c r="AE1349" s="1525">
        <f t="shared" si="816"/>
        <v>0</v>
      </c>
      <c r="AF1349" s="1525">
        <f t="shared" si="816"/>
        <v>0</v>
      </c>
      <c r="AG1349" s="1525">
        <f t="shared" si="816"/>
        <v>0</v>
      </c>
      <c r="AH1349" s="1525">
        <f t="shared" si="816"/>
        <v>0</v>
      </c>
      <c r="AI1349" s="1525">
        <f t="shared" si="816"/>
        <v>0</v>
      </c>
      <c r="AJ1349" s="1525">
        <f t="shared" si="816"/>
        <v>0</v>
      </c>
      <c r="AK1349" s="1525">
        <f t="shared" si="816"/>
        <v>0</v>
      </c>
      <c r="AL1349" s="1525">
        <f t="shared" si="816"/>
        <v>0</v>
      </c>
      <c r="AM1349" s="1525">
        <f t="shared" si="816"/>
        <v>0</v>
      </c>
      <c r="AN1349" s="1525">
        <f t="shared" si="816"/>
        <v>0</v>
      </c>
      <c r="AO1349" s="1525">
        <f t="shared" si="816"/>
        <v>0</v>
      </c>
      <c r="AP1349" s="1525">
        <f t="shared" si="816"/>
        <v>0</v>
      </c>
      <c r="AQ1349" s="1525">
        <f t="shared" si="816"/>
        <v>0</v>
      </c>
      <c r="AR1349" s="1525">
        <f t="shared" si="816"/>
        <v>0</v>
      </c>
      <c r="AS1349" s="1525">
        <f t="shared" si="816"/>
        <v>0</v>
      </c>
      <c r="AU1349" s="1525"/>
      <c r="AV1349" s="1291"/>
      <c r="AW1349" s="1292"/>
      <c r="AX1349" s="1292"/>
      <c r="AY1349" s="1292"/>
      <c r="AZ1349" s="1292"/>
      <c r="BA1349" s="1292"/>
      <c r="BB1349" s="1292"/>
      <c r="BC1349" s="1292"/>
      <c r="BD1349" s="1292"/>
      <c r="BE1349" s="1292"/>
      <c r="BF1349" s="1292"/>
      <c r="BG1349" s="1292"/>
      <c r="BH1349" s="1292"/>
      <c r="BI1349" s="1292"/>
      <c r="BJ1349" s="1292"/>
      <c r="BK1349" s="1292"/>
      <c r="BL1349" s="1292"/>
      <c r="BM1349" s="1292"/>
      <c r="BN1349" s="1292"/>
      <c r="BO1349" s="1292"/>
      <c r="BP1349" s="1292"/>
      <c r="BQ1349" s="1292"/>
      <c r="BR1349" s="1292"/>
      <c r="BS1349" s="1292"/>
      <c r="BT1349" s="1670">
        <f t="shared" ref="BT1349" si="817">SUM(AV1349:BS1349)</f>
        <v>0</v>
      </c>
      <c r="BW1349" s="856" t="s">
        <v>1250</v>
      </c>
    </row>
    <row r="1350" spans="2:75" ht="12.75" customHeight="1" x14ac:dyDescent="0.2">
      <c r="B1350" s="175"/>
      <c r="C1350" s="219"/>
      <c r="E1350" s="12"/>
      <c r="F1350" s="37"/>
      <c r="G1350" s="913"/>
      <c r="H1350" s="861"/>
      <c r="I1350" s="197"/>
      <c r="J1350" s="173"/>
      <c r="K1350" s="173"/>
      <c r="L1350" s="893"/>
      <c r="M1350" s="861"/>
      <c r="N1350" s="832"/>
      <c r="O1350" s="1196"/>
      <c r="P1350" s="1218"/>
      <c r="Q1350" s="1148"/>
      <c r="R1350" s="874"/>
      <c r="S1350" s="875"/>
      <c r="T1350" s="875"/>
      <c r="U1350" s="875"/>
      <c r="V1350" s="875"/>
      <c r="W1350" s="875"/>
      <c r="X1350" s="1026"/>
      <c r="Y1350" s="1335"/>
      <c r="Z1350" s="1335"/>
      <c r="AA1350" s="1775"/>
      <c r="AB1350" s="1814"/>
      <c r="AC1350" s="876"/>
      <c r="AD1350" s="1525"/>
      <c r="AE1350" s="1525"/>
      <c r="AF1350" s="1525"/>
      <c r="AG1350" s="1525"/>
      <c r="AH1350" s="1525"/>
      <c r="AI1350" s="1525"/>
      <c r="AJ1350" s="1525"/>
      <c r="AK1350" s="1525"/>
      <c r="AL1350" s="1525"/>
      <c r="AM1350" s="1525"/>
      <c r="AN1350" s="1525"/>
      <c r="AO1350" s="1525"/>
      <c r="AP1350" s="1525"/>
      <c r="AQ1350" s="1525"/>
      <c r="AR1350" s="1525"/>
      <c r="AS1350" s="1525"/>
      <c r="AU1350" s="1525"/>
      <c r="AV1350" s="1291"/>
      <c r="AW1350" s="1292"/>
      <c r="AX1350" s="1292"/>
      <c r="AY1350" s="1292"/>
      <c r="AZ1350" s="1292"/>
      <c r="BA1350" s="1292"/>
      <c r="BB1350" s="1292"/>
      <c r="BC1350" s="1292"/>
      <c r="BD1350" s="1292"/>
      <c r="BE1350" s="1292"/>
      <c r="BF1350" s="1292"/>
      <c r="BG1350" s="1292"/>
      <c r="BH1350" s="1292"/>
      <c r="BI1350" s="1292"/>
      <c r="BJ1350" s="1292"/>
      <c r="BK1350" s="1292"/>
      <c r="BL1350" s="1292"/>
      <c r="BM1350" s="1292"/>
      <c r="BN1350" s="1292"/>
      <c r="BO1350" s="1292"/>
      <c r="BP1350" s="1292"/>
      <c r="BQ1350" s="1292"/>
      <c r="BR1350" s="1292"/>
      <c r="BS1350" s="1292"/>
      <c r="BT1350" s="1670"/>
      <c r="BW1350" s="913"/>
    </row>
    <row r="1351" spans="2:75" s="164" customFormat="1" ht="12.75" customHeight="1" x14ac:dyDescent="0.15">
      <c r="B1351" s="175"/>
      <c r="C1351" s="219" t="s">
        <v>1120</v>
      </c>
      <c r="F1351" s="4" t="s">
        <v>1238</v>
      </c>
      <c r="G1351" s="856"/>
      <c r="H1351" s="1358" t="s">
        <v>1508</v>
      </c>
      <c r="I1351" s="172"/>
      <c r="J1351" s="168"/>
      <c r="K1351" s="1133">
        <f t="shared" ref="K1351:L1351" si="818">SUM(K1343:K1350)</f>
        <v>0.5</v>
      </c>
      <c r="L1351" s="1133">
        <f t="shared" si="818"/>
        <v>3</v>
      </c>
      <c r="M1351" s="1133">
        <f>SUM(M1343:M1350)</f>
        <v>3.5</v>
      </c>
      <c r="N1351" s="855"/>
      <c r="O1351" s="1200"/>
      <c r="P1351" s="550"/>
      <c r="Q1351" s="1153"/>
      <c r="R1351" s="877"/>
      <c r="S1351" s="875"/>
      <c r="T1351" s="875"/>
      <c r="U1351" s="875"/>
      <c r="V1351" s="875"/>
      <c r="W1351" s="875"/>
      <c r="X1351" s="1026"/>
      <c r="Y1351" s="1335"/>
      <c r="Z1351" s="1335"/>
      <c r="AA1351" s="1775"/>
      <c r="AB1351" s="1814"/>
      <c r="AC1351" s="876"/>
      <c r="AD1351" s="1295"/>
      <c r="AE1351" s="1525"/>
      <c r="AF1351" s="1525"/>
      <c r="AG1351" s="1525"/>
      <c r="AH1351" s="1525"/>
      <c r="AI1351" s="1525"/>
      <c r="AJ1351" s="1525"/>
      <c r="AK1351" s="1525"/>
      <c r="AL1351" s="1525"/>
      <c r="AM1351" s="1525"/>
      <c r="AN1351" s="1525"/>
      <c r="AO1351" s="1525"/>
      <c r="AP1351" s="1525"/>
      <c r="AQ1351" s="1525"/>
      <c r="AR1351" s="1525"/>
      <c r="AS1351" s="1525"/>
      <c r="AU1351" s="1525"/>
      <c r="AV1351" s="1295"/>
      <c r="AW1351" s="1525"/>
      <c r="AX1351" s="1525"/>
      <c r="AY1351" s="1525"/>
      <c r="AZ1351" s="1525"/>
      <c r="BA1351" s="1525"/>
      <c r="BB1351" s="1525"/>
      <c r="BC1351" s="1525"/>
      <c r="BD1351" s="1525"/>
      <c r="BE1351" s="1525"/>
      <c r="BF1351" s="1525"/>
      <c r="BG1351" s="1525"/>
      <c r="BH1351" s="1525"/>
      <c r="BI1351" s="1525"/>
      <c r="BJ1351" s="1525"/>
      <c r="BK1351" s="1525"/>
      <c r="BL1351" s="1525"/>
      <c r="BM1351" s="1525"/>
      <c r="BN1351" s="1525"/>
      <c r="BO1351" s="1525"/>
      <c r="BP1351" s="1525"/>
      <c r="BQ1351" s="1525"/>
      <c r="BR1351" s="1525"/>
      <c r="BS1351" s="1525"/>
      <c r="BT1351" s="1670"/>
      <c r="BV1351"/>
      <c r="BW1351" s="856"/>
    </row>
    <row r="1352" spans="2:75" s="164" customFormat="1" ht="12.75" customHeight="1" x14ac:dyDescent="0.15">
      <c r="B1352" s="175"/>
      <c r="F1352" s="4"/>
      <c r="G1352" s="856"/>
      <c r="H1352" s="1364" t="s">
        <v>1508</v>
      </c>
      <c r="I1352" s="172"/>
      <c r="J1352" s="168"/>
      <c r="K1352" s="168"/>
      <c r="L1352" s="841"/>
      <c r="M1352" s="841"/>
      <c r="N1352" s="855"/>
      <c r="O1352" s="1200"/>
      <c r="P1352" s="550"/>
      <c r="Q1352" s="1148"/>
      <c r="R1352" s="874"/>
      <c r="S1352" s="875"/>
      <c r="T1352" s="875"/>
      <c r="U1352" s="875"/>
      <c r="V1352" s="875"/>
      <c r="W1352" s="875"/>
      <c r="X1352" s="1026"/>
      <c r="Y1352" s="1754"/>
      <c r="Z1352" s="1755"/>
      <c r="AA1352" s="1775"/>
      <c r="AB1352" s="1814"/>
      <c r="AC1352" s="876"/>
      <c r="AD1352" s="1295"/>
      <c r="AE1352" s="1525"/>
      <c r="AF1352" s="1525"/>
      <c r="AG1352" s="1525"/>
      <c r="AH1352" s="1525"/>
      <c r="AI1352" s="1525"/>
      <c r="AJ1352" s="1525"/>
      <c r="AK1352" s="1525"/>
      <c r="AL1352" s="1525"/>
      <c r="AM1352" s="1525"/>
      <c r="AN1352" s="1525"/>
      <c r="AO1352" s="1525"/>
      <c r="AP1352" s="1525"/>
      <c r="AQ1352" s="1525"/>
      <c r="AR1352" s="1525"/>
      <c r="AS1352" s="1525"/>
      <c r="AU1352" s="1525"/>
      <c r="AV1352" s="1295"/>
      <c r="AW1352" s="1525"/>
      <c r="AX1352" s="1525"/>
      <c r="AY1352" s="1525"/>
      <c r="AZ1352" s="1525"/>
      <c r="BA1352" s="1525"/>
      <c r="BB1352" s="1525"/>
      <c r="BC1352" s="1525"/>
      <c r="BD1352" s="1525"/>
      <c r="BE1352" s="1525"/>
      <c r="BF1352" s="1525"/>
      <c r="BG1352" s="1525"/>
      <c r="BH1352" s="1525"/>
      <c r="BI1352" s="1525"/>
      <c r="BJ1352" s="1525"/>
      <c r="BK1352" s="1525"/>
      <c r="BL1352" s="1525"/>
      <c r="BM1352" s="1525"/>
      <c r="BN1352" s="1525"/>
      <c r="BO1352" s="1525"/>
      <c r="BP1352" s="1525"/>
      <c r="BQ1352" s="1525"/>
      <c r="BR1352" s="1525"/>
      <c r="BS1352" s="1525"/>
      <c r="BT1352" s="1670"/>
      <c r="BV1352"/>
      <c r="BW1352" s="856"/>
    </row>
    <row r="1353" spans="2:75" x14ac:dyDescent="0.15">
      <c r="X1353" s="1709"/>
      <c r="Y1353" s="210"/>
      <c r="Z1353" s="210"/>
      <c r="AA1353" s="1763"/>
      <c r="AB1353" s="1760"/>
      <c r="AC1353" s="210"/>
      <c r="AD1353" s="553"/>
      <c r="AE1353" s="553"/>
      <c r="AF1353" s="553"/>
      <c r="AG1353" s="553"/>
      <c r="AH1353" s="553"/>
      <c r="AI1353" s="553"/>
      <c r="AJ1353" s="553"/>
      <c r="AK1353" s="553"/>
      <c r="AL1353" s="553"/>
      <c r="AM1353" s="553"/>
      <c r="AN1353" s="553"/>
      <c r="AO1353" s="553"/>
      <c r="AP1353" s="553"/>
      <c r="AQ1353" s="553"/>
      <c r="AR1353" s="553"/>
      <c r="AS1353" s="553"/>
      <c r="AV1353" s="1292"/>
      <c r="AX1353" s="1292"/>
      <c r="BT1353" s="1671"/>
    </row>
    <row r="1354" spans="2:75" x14ac:dyDescent="0.15">
      <c r="X1354" s="1709"/>
      <c r="Y1354" s="210"/>
      <c r="Z1354" s="210"/>
      <c r="AA1354" s="1763"/>
      <c r="AB1354" s="1760"/>
      <c r="AC1354" s="210"/>
      <c r="AD1354" s="553"/>
      <c r="AE1354" s="553"/>
      <c r="AF1354" s="553"/>
      <c r="AG1354" s="553"/>
      <c r="AH1354" s="553"/>
      <c r="AI1354" s="553"/>
      <c r="AJ1354" s="553"/>
      <c r="AK1354" s="553"/>
      <c r="AL1354" s="553"/>
      <c r="AM1354" s="553"/>
      <c r="AN1354" s="553"/>
      <c r="AO1354" s="553"/>
      <c r="AP1354" s="553"/>
      <c r="AQ1354" s="553"/>
      <c r="AR1354" s="553"/>
      <c r="AS1354" s="553"/>
      <c r="AV1354" s="1292"/>
      <c r="AX1354" s="1292"/>
      <c r="BT1354" s="1671"/>
    </row>
    <row r="1355" spans="2:75" s="164" customFormat="1" ht="12.75" customHeight="1" x14ac:dyDescent="0.15">
      <c r="B1355" s="175"/>
      <c r="F1355" s="37"/>
      <c r="G1355" s="913"/>
      <c r="H1355" s="1358" t="s">
        <v>1508</v>
      </c>
      <c r="I1355" s="180"/>
      <c r="J1355" s="173"/>
      <c r="K1355" s="173"/>
      <c r="L1355" s="893"/>
      <c r="M1355" s="893"/>
      <c r="N1355" s="832"/>
      <c r="O1355" s="1200"/>
      <c r="P1355" s="550"/>
      <c r="Q1355" s="1148"/>
      <c r="R1355" s="874"/>
      <c r="S1355" s="876"/>
      <c r="T1355" s="876"/>
      <c r="U1355" s="876"/>
      <c r="V1355" s="876"/>
      <c r="W1355" s="876"/>
      <c r="X1355" s="1026"/>
      <c r="Y1355" s="1754"/>
      <c r="Z1355" s="1755"/>
      <c r="AA1355" s="1775"/>
      <c r="AB1355" s="1814"/>
      <c r="AC1355" s="876"/>
      <c r="AD1355" s="1295"/>
      <c r="AE1355" s="1525"/>
      <c r="AF1355" s="1525"/>
      <c r="AG1355" s="1525"/>
      <c r="AH1355" s="1525"/>
      <c r="AI1355" s="1525"/>
      <c r="AJ1355" s="1525"/>
      <c r="AK1355" s="1525"/>
      <c r="AL1355" s="1525"/>
      <c r="AM1355" s="1525"/>
      <c r="AN1355" s="1525"/>
      <c r="AO1355" s="1525"/>
      <c r="AP1355" s="1525"/>
      <c r="AQ1355" s="1525"/>
      <c r="AR1355" s="1525"/>
      <c r="AS1355" s="1525"/>
      <c r="AU1355" s="1525"/>
      <c r="AV1355" s="1295"/>
      <c r="AW1355" s="1525"/>
      <c r="AX1355" s="1525"/>
      <c r="AY1355" s="1525"/>
      <c r="AZ1355" s="1525"/>
      <c r="BA1355" s="1525"/>
      <c r="BB1355" s="1525"/>
      <c r="BC1355" s="1525"/>
      <c r="BD1355" s="1525"/>
      <c r="BE1355" s="1525"/>
      <c r="BF1355" s="1525"/>
      <c r="BG1355" s="1525"/>
      <c r="BH1355" s="1525"/>
      <c r="BI1355" s="1525"/>
      <c r="BJ1355" s="1525"/>
      <c r="BK1355" s="1525"/>
      <c r="BL1355" s="1525"/>
      <c r="BM1355" s="1525"/>
      <c r="BN1355" s="1525"/>
      <c r="BO1355" s="1525"/>
      <c r="BP1355" s="1525"/>
      <c r="BQ1355" s="1525"/>
      <c r="BR1355" s="1525"/>
      <c r="BS1355" s="1525"/>
      <c r="BT1355" s="1670"/>
      <c r="BV1355"/>
      <c r="BW1355" s="913"/>
    </row>
    <row r="1356" spans="2:75" s="164" customFormat="1" ht="12.75" customHeight="1" x14ac:dyDescent="0.15">
      <c r="B1356" s="175"/>
      <c r="F1356" s="2" t="s">
        <v>1434</v>
      </c>
      <c r="G1356" s="856"/>
      <c r="H1356" s="1364" t="s">
        <v>1508</v>
      </c>
      <c r="I1356" s="172"/>
      <c r="J1356" s="168"/>
      <c r="K1356" s="168"/>
      <c r="L1356" s="841"/>
      <c r="M1356" s="841"/>
      <c r="N1356" s="855"/>
      <c r="O1356" s="1200"/>
      <c r="P1356" s="550"/>
      <c r="Q1356" s="1148"/>
      <c r="R1356" s="874"/>
      <c r="S1356" s="875"/>
      <c r="T1356" s="875"/>
      <c r="U1356" s="875"/>
      <c r="V1356" s="875"/>
      <c r="W1356" s="875"/>
      <c r="X1356" s="1026"/>
      <c r="Y1356" s="1754"/>
      <c r="Z1356" s="1755"/>
      <c r="AA1356" s="1775"/>
      <c r="AB1356" s="1814"/>
      <c r="AC1356" s="876"/>
      <c r="AD1356" s="1295"/>
      <c r="AE1356" s="1525"/>
      <c r="AF1356" s="1525"/>
      <c r="AG1356" s="1525"/>
      <c r="AH1356" s="1525"/>
      <c r="AI1356" s="1525"/>
      <c r="AJ1356" s="1525"/>
      <c r="AK1356" s="1525"/>
      <c r="AL1356" s="1525"/>
      <c r="AM1356" s="1525"/>
      <c r="AN1356" s="1525"/>
      <c r="AO1356" s="1525"/>
      <c r="AP1356" s="1525"/>
      <c r="AQ1356" s="1525"/>
      <c r="AR1356" s="1525"/>
      <c r="AS1356" s="1525"/>
      <c r="AU1356" s="1525"/>
      <c r="AV1356" s="1295"/>
      <c r="AW1356" s="1525"/>
      <c r="AX1356" s="1525"/>
      <c r="AY1356" s="1525"/>
      <c r="AZ1356" s="1525"/>
      <c r="BA1356" s="1525"/>
      <c r="BB1356" s="1525"/>
      <c r="BC1356" s="1525"/>
      <c r="BD1356" s="1525"/>
      <c r="BE1356" s="1525"/>
      <c r="BF1356" s="1525"/>
      <c r="BG1356" s="1525"/>
      <c r="BH1356" s="1525"/>
      <c r="BI1356" s="1525"/>
      <c r="BJ1356" s="1525"/>
      <c r="BK1356" s="1525"/>
      <c r="BL1356" s="1525"/>
      <c r="BM1356" s="1525"/>
      <c r="BN1356" s="1525"/>
      <c r="BO1356" s="1525"/>
      <c r="BP1356" s="1525"/>
      <c r="BQ1356" s="1525"/>
      <c r="BR1356" s="1525"/>
      <c r="BS1356" s="1525"/>
      <c r="BT1356" s="1670"/>
      <c r="BV1356"/>
      <c r="BW1356" s="856"/>
    </row>
    <row r="1357" spans="2:75" s="164" customFormat="1" ht="12.75" customHeight="1" x14ac:dyDescent="0.15">
      <c r="B1357" s="175"/>
      <c r="C1357" s="170"/>
      <c r="D1357" s="170"/>
      <c r="E1357" s="170"/>
      <c r="F1357" s="37"/>
      <c r="G1357" s="913"/>
      <c r="H1357" s="1358" t="s">
        <v>1508</v>
      </c>
      <c r="I1357" s="180"/>
      <c r="J1357" s="173"/>
      <c r="K1357" s="173"/>
      <c r="L1357" s="893"/>
      <c r="M1357" s="893"/>
      <c r="N1357" s="832"/>
      <c r="O1357" s="1200"/>
      <c r="P1357" s="1294"/>
      <c r="Q1357" s="1148"/>
      <c r="R1357" s="874"/>
      <c r="S1357" s="876"/>
      <c r="T1357" s="876"/>
      <c r="U1357" s="876"/>
      <c r="V1357" s="876"/>
      <c r="W1357" s="876"/>
      <c r="X1357" s="1026"/>
      <c r="Y1357" s="1754"/>
      <c r="Z1357" s="1755"/>
      <c r="AA1357" s="1775"/>
      <c r="AB1357" s="1814"/>
      <c r="AC1357" s="876"/>
      <c r="AD1357" s="1295"/>
      <c r="AE1357" s="1525"/>
      <c r="AF1357" s="1525"/>
      <c r="AG1357" s="1525"/>
      <c r="AH1357" s="1525"/>
      <c r="AI1357" s="1525"/>
      <c r="AJ1357" s="1525"/>
      <c r="AK1357" s="1525"/>
      <c r="AL1357" s="1525"/>
      <c r="AM1357" s="1525"/>
      <c r="AN1357" s="1525"/>
      <c r="AO1357" s="1525"/>
      <c r="AP1357" s="1525"/>
      <c r="AQ1357" s="1525"/>
      <c r="AR1357" s="1525"/>
      <c r="AS1357" s="1525"/>
      <c r="AU1357" s="1525"/>
      <c r="AV1357" s="1295"/>
      <c r="AW1357" s="1525"/>
      <c r="AX1357" s="1525"/>
      <c r="AY1357" s="1525"/>
      <c r="AZ1357" s="1525"/>
      <c r="BA1357" s="1525"/>
      <c r="BB1357" s="1525"/>
      <c r="BC1357" s="1525"/>
      <c r="BD1357" s="1525"/>
      <c r="BE1357" s="1525"/>
      <c r="BF1357" s="1525"/>
      <c r="BG1357" s="1525"/>
      <c r="BH1357" s="1525"/>
      <c r="BI1357" s="1525"/>
      <c r="BJ1357" s="1525"/>
      <c r="BK1357" s="1525"/>
      <c r="BL1357" s="1525"/>
      <c r="BM1357" s="1525"/>
      <c r="BN1357" s="1525"/>
      <c r="BO1357" s="1525"/>
      <c r="BP1357" s="1525"/>
      <c r="BQ1357" s="1525"/>
      <c r="BR1357" s="1525"/>
      <c r="BS1357" s="1525"/>
      <c r="BT1357" s="1670"/>
      <c r="BV1357"/>
      <c r="BW1357" s="913"/>
    </row>
    <row r="1358" spans="2:75" s="164" customFormat="1" ht="12.75" customHeight="1" x14ac:dyDescent="0.15">
      <c r="B1358" s="175">
        <f t="shared" ref="B1358:B1366" si="819">B1357+1</f>
        <v>1</v>
      </c>
      <c r="C1358" s="219">
        <v>11</v>
      </c>
      <c r="E1358" s="12" t="s">
        <v>1565</v>
      </c>
      <c r="F1358" s="1" t="s">
        <v>824</v>
      </c>
      <c r="G1358" s="856" t="s">
        <v>1267</v>
      </c>
      <c r="H1358" s="841">
        <v>273468</v>
      </c>
      <c r="I1358" s="172" t="s">
        <v>161</v>
      </c>
      <c r="J1358" s="168"/>
      <c r="K1358" s="168"/>
      <c r="L1358" s="841">
        <v>1</v>
      </c>
      <c r="M1358" s="841">
        <v>1</v>
      </c>
      <c r="N1358" s="855" t="s">
        <v>1326</v>
      </c>
      <c r="O1358" s="1200"/>
      <c r="P1358" s="550"/>
      <c r="Q1358" s="1148">
        <v>28800</v>
      </c>
      <c r="R1358" s="874">
        <f>Q1358*0.1</f>
        <v>2880</v>
      </c>
      <c r="S1358" s="875"/>
      <c r="T1358" s="875"/>
      <c r="U1358" s="875"/>
      <c r="V1358" s="875"/>
      <c r="W1358" s="875"/>
      <c r="X1358" s="1026">
        <f t="shared" ref="X1358:X1366" si="820">(Q1358+R1358+S1358+T1358+U1358+V1358+W1358)*M1358</f>
        <v>31680</v>
      </c>
      <c r="Y1358" s="1512">
        <f t="shared" ref="Y1358:Y1366" si="821">(T1358+U1358)*M1358/(X1358-M1358*(T1358+U1358))</f>
        <v>0</v>
      </c>
      <c r="Z1358" s="1741">
        <f t="shared" ref="Z1358:Z1366" si="822">M1358*(1+Y1358)</f>
        <v>1</v>
      </c>
      <c r="AA1358" s="1749">
        <f t="shared" ref="AA1358:AA1366" si="823">SUM(AD1358:AS1358)</f>
        <v>0.1</v>
      </c>
      <c r="AB1358" s="1810">
        <f t="shared" ref="AB1358:AB1366" si="824">100*AA1358/Z1358</f>
        <v>10</v>
      </c>
      <c r="AC1358" s="876"/>
      <c r="AD1358" s="1525">
        <f t="shared" ref="AD1358:AS1366" si="825">SUMIF($AV$6:$BS$6,AD$5,$AV1358:$BS1358)</f>
        <v>0</v>
      </c>
      <c r="AE1358" s="1525">
        <f t="shared" si="825"/>
        <v>0</v>
      </c>
      <c r="AF1358" s="1525">
        <f t="shared" si="825"/>
        <v>0</v>
      </c>
      <c r="AG1358" s="1525">
        <f t="shared" si="825"/>
        <v>0</v>
      </c>
      <c r="AH1358" s="1525">
        <f t="shared" si="825"/>
        <v>0</v>
      </c>
      <c r="AI1358" s="1525">
        <f t="shared" si="825"/>
        <v>0</v>
      </c>
      <c r="AJ1358" s="1525">
        <f t="shared" si="825"/>
        <v>0.1</v>
      </c>
      <c r="AK1358" s="1525">
        <f t="shared" si="825"/>
        <v>0</v>
      </c>
      <c r="AL1358" s="1525">
        <f t="shared" si="825"/>
        <v>0</v>
      </c>
      <c r="AM1358" s="1525">
        <f t="shared" si="825"/>
        <v>0</v>
      </c>
      <c r="AN1358" s="1525">
        <f t="shared" si="825"/>
        <v>0</v>
      </c>
      <c r="AO1358" s="1525">
        <f t="shared" si="825"/>
        <v>0</v>
      </c>
      <c r="AP1358" s="1525">
        <f t="shared" si="825"/>
        <v>0</v>
      </c>
      <c r="AQ1358" s="1525">
        <f t="shared" si="825"/>
        <v>0</v>
      </c>
      <c r="AR1358" s="1525">
        <f t="shared" si="825"/>
        <v>0</v>
      </c>
      <c r="AS1358" s="1525">
        <f t="shared" si="825"/>
        <v>0</v>
      </c>
      <c r="AU1358" s="1525"/>
      <c r="AV1358" s="1295"/>
      <c r="AW1358" s="1525"/>
      <c r="AX1358" s="1525"/>
      <c r="AY1358" s="1525"/>
      <c r="AZ1358" s="1525"/>
      <c r="BA1358" s="1525"/>
      <c r="BB1358" s="1525"/>
      <c r="BC1358" s="1525"/>
      <c r="BD1358" s="1525"/>
      <c r="BE1358" s="1525"/>
      <c r="BF1358" s="1525"/>
      <c r="BG1358" s="1525"/>
      <c r="BH1358" s="1525">
        <v>0.1</v>
      </c>
      <c r="BI1358" s="1525"/>
      <c r="BJ1358" s="1525"/>
      <c r="BK1358" s="1525"/>
      <c r="BL1358" s="1525"/>
      <c r="BM1358" s="1525"/>
      <c r="BN1358" s="1525"/>
      <c r="BO1358" s="1525"/>
      <c r="BP1358" s="1525"/>
      <c r="BQ1358" s="1525"/>
      <c r="BR1358" s="1525"/>
      <c r="BS1358" s="1525"/>
      <c r="BT1358" s="1670">
        <f t="shared" ref="BT1358:BT1366" si="826">SUM(AV1358:BS1358)</f>
        <v>0.1</v>
      </c>
      <c r="BV1358"/>
      <c r="BW1358" s="856" t="s">
        <v>1267</v>
      </c>
    </row>
    <row r="1359" spans="2:75" ht="12.75" customHeight="1" x14ac:dyDescent="0.2">
      <c r="B1359" s="175">
        <f t="shared" si="819"/>
        <v>2</v>
      </c>
      <c r="C1359" s="219">
        <v>2</v>
      </c>
      <c r="E1359" s="12" t="s">
        <v>1565</v>
      </c>
      <c r="F1359" s="1" t="s">
        <v>1630</v>
      </c>
      <c r="G1359" s="856" t="s">
        <v>1435</v>
      </c>
      <c r="H1359" s="858">
        <v>5163</v>
      </c>
      <c r="I1359" s="200" t="s">
        <v>351</v>
      </c>
      <c r="J1359" s="168"/>
      <c r="K1359" s="168"/>
      <c r="L1359" s="841">
        <v>0.5</v>
      </c>
      <c r="M1359" s="858">
        <f>K1359+L1359</f>
        <v>0.5</v>
      </c>
      <c r="N1359" s="832" t="s">
        <v>892</v>
      </c>
      <c r="O1359" s="1196">
        <v>11212</v>
      </c>
      <c r="P1359" s="1218">
        <f t="shared" ref="P1359:P1366" ca="1" si="827">YEARFRAC(TODAY(),O1359)</f>
        <v>87.058333333333337</v>
      </c>
      <c r="Q1359" s="1148">
        <v>26850</v>
      </c>
      <c r="R1359" s="874"/>
      <c r="S1359" s="875">
        <v>7000</v>
      </c>
      <c r="T1359" s="875">
        <v>13200</v>
      </c>
      <c r="U1359" s="875"/>
      <c r="V1359" s="875"/>
      <c r="W1359" s="875"/>
      <c r="X1359" s="1026">
        <f t="shared" si="820"/>
        <v>23525</v>
      </c>
      <c r="Y1359" s="1512">
        <f t="shared" si="821"/>
        <v>0.38995568685376664</v>
      </c>
      <c r="Z1359" s="1741">
        <f t="shared" si="822"/>
        <v>0.69497784342688329</v>
      </c>
      <c r="AA1359" s="1749">
        <f t="shared" si="823"/>
        <v>0</v>
      </c>
      <c r="AB1359" s="1810">
        <f t="shared" si="824"/>
        <v>0</v>
      </c>
      <c r="AC1359" s="876"/>
      <c r="AD1359" s="1525">
        <f t="shared" si="825"/>
        <v>0</v>
      </c>
      <c r="AE1359" s="1525">
        <f t="shared" si="825"/>
        <v>0</v>
      </c>
      <c r="AF1359" s="1525">
        <f t="shared" si="825"/>
        <v>0</v>
      </c>
      <c r="AG1359" s="1525">
        <f t="shared" si="825"/>
        <v>0</v>
      </c>
      <c r="AH1359" s="1525">
        <f t="shared" si="825"/>
        <v>0</v>
      </c>
      <c r="AI1359" s="1525">
        <f t="shared" si="825"/>
        <v>0</v>
      </c>
      <c r="AJ1359" s="1525">
        <f t="shared" si="825"/>
        <v>0</v>
      </c>
      <c r="AK1359" s="1525">
        <f t="shared" si="825"/>
        <v>0</v>
      </c>
      <c r="AL1359" s="1525">
        <f t="shared" si="825"/>
        <v>0</v>
      </c>
      <c r="AM1359" s="1525">
        <f t="shared" si="825"/>
        <v>0</v>
      </c>
      <c r="AN1359" s="1525">
        <f t="shared" si="825"/>
        <v>0</v>
      </c>
      <c r="AO1359" s="1525">
        <f t="shared" si="825"/>
        <v>0</v>
      </c>
      <c r="AP1359" s="1525">
        <f t="shared" si="825"/>
        <v>0</v>
      </c>
      <c r="AQ1359" s="1525">
        <f t="shared" si="825"/>
        <v>0</v>
      </c>
      <c r="AR1359" s="1525">
        <f t="shared" si="825"/>
        <v>0</v>
      </c>
      <c r="AS1359" s="1525">
        <f t="shared" si="825"/>
        <v>0</v>
      </c>
      <c r="AU1359" s="1525"/>
      <c r="AV1359" s="1291"/>
      <c r="AW1359" s="1292"/>
      <c r="AX1359" s="1292"/>
      <c r="AY1359" s="1292"/>
      <c r="AZ1359" s="1292"/>
      <c r="BA1359" s="1292"/>
      <c r="BB1359" s="1292"/>
      <c r="BC1359" s="1292"/>
      <c r="BD1359" s="1292"/>
      <c r="BE1359" s="1292"/>
      <c r="BF1359" s="1292"/>
      <c r="BG1359" s="1292"/>
      <c r="BH1359" s="1292"/>
      <c r="BI1359" s="1292"/>
      <c r="BJ1359" s="1292"/>
      <c r="BK1359" s="1292"/>
      <c r="BL1359" s="1292"/>
      <c r="BM1359" s="1292"/>
      <c r="BN1359" s="1292"/>
      <c r="BO1359" s="1292"/>
      <c r="BP1359" s="1292"/>
      <c r="BQ1359" s="1292"/>
      <c r="BR1359" s="1292"/>
      <c r="BS1359" s="1292"/>
      <c r="BT1359" s="1670">
        <f t="shared" si="826"/>
        <v>0</v>
      </c>
      <c r="BW1359" s="856" t="s">
        <v>1435</v>
      </c>
    </row>
    <row r="1360" spans="2:75" s="164" customFormat="1" ht="12.75" customHeight="1" x14ac:dyDescent="0.2">
      <c r="B1360" s="175">
        <f t="shared" si="819"/>
        <v>3</v>
      </c>
      <c r="C1360" s="219">
        <v>7</v>
      </c>
      <c r="E1360" s="12" t="s">
        <v>1565</v>
      </c>
      <c r="F1360" s="30" t="s">
        <v>1334</v>
      </c>
      <c r="G1360" s="856" t="s">
        <v>1436</v>
      </c>
      <c r="H1360" s="858">
        <v>1276</v>
      </c>
      <c r="I1360" s="200" t="s">
        <v>351</v>
      </c>
      <c r="J1360" s="168"/>
      <c r="K1360" s="168"/>
      <c r="L1360" s="841">
        <v>1</v>
      </c>
      <c r="M1360" s="858">
        <f>K1360+L1360</f>
        <v>1</v>
      </c>
      <c r="N1360" s="855" t="s">
        <v>892</v>
      </c>
      <c r="O1360" s="1196">
        <v>16255</v>
      </c>
      <c r="P1360" s="1218">
        <f t="shared" ca="1" si="827"/>
        <v>73.25</v>
      </c>
      <c r="Q1360" s="1148">
        <v>19300</v>
      </c>
      <c r="R1360" s="874"/>
      <c r="S1360" s="875">
        <v>3000</v>
      </c>
      <c r="T1360" s="875"/>
      <c r="U1360" s="875"/>
      <c r="V1360" s="875"/>
      <c r="W1360" s="875"/>
      <c r="X1360" s="1026">
        <f t="shared" si="820"/>
        <v>22300</v>
      </c>
      <c r="Y1360" s="1512">
        <f t="shared" si="821"/>
        <v>0</v>
      </c>
      <c r="Z1360" s="1741">
        <f t="shared" si="822"/>
        <v>1</v>
      </c>
      <c r="AA1360" s="1749">
        <f t="shared" si="823"/>
        <v>0</v>
      </c>
      <c r="AB1360" s="1810">
        <f t="shared" si="824"/>
        <v>0</v>
      </c>
      <c r="AC1360" s="876"/>
      <c r="AD1360" s="1525">
        <f t="shared" si="825"/>
        <v>0</v>
      </c>
      <c r="AE1360" s="1525">
        <f t="shared" si="825"/>
        <v>0</v>
      </c>
      <c r="AF1360" s="1525">
        <f t="shared" si="825"/>
        <v>0</v>
      </c>
      <c r="AG1360" s="1525">
        <f t="shared" si="825"/>
        <v>0</v>
      </c>
      <c r="AH1360" s="1525">
        <f t="shared" si="825"/>
        <v>0</v>
      </c>
      <c r="AI1360" s="1525">
        <f t="shared" si="825"/>
        <v>0</v>
      </c>
      <c r="AJ1360" s="1525">
        <f t="shared" si="825"/>
        <v>0</v>
      </c>
      <c r="AK1360" s="1525">
        <f t="shared" si="825"/>
        <v>0</v>
      </c>
      <c r="AL1360" s="1525">
        <f t="shared" si="825"/>
        <v>0</v>
      </c>
      <c r="AM1360" s="1525">
        <f t="shared" si="825"/>
        <v>0</v>
      </c>
      <c r="AN1360" s="1525">
        <f t="shared" si="825"/>
        <v>0</v>
      </c>
      <c r="AO1360" s="1525">
        <f t="shared" si="825"/>
        <v>0</v>
      </c>
      <c r="AP1360" s="1525">
        <f t="shared" si="825"/>
        <v>0</v>
      </c>
      <c r="AQ1360" s="1525">
        <f t="shared" si="825"/>
        <v>0</v>
      </c>
      <c r="AR1360" s="1525">
        <f t="shared" si="825"/>
        <v>0</v>
      </c>
      <c r="AS1360" s="1525">
        <f t="shared" si="825"/>
        <v>0</v>
      </c>
      <c r="AU1360" s="1525"/>
      <c r="AV1360" s="1295"/>
      <c r="AW1360" s="1525"/>
      <c r="AX1360" s="1525"/>
      <c r="AY1360" s="1525"/>
      <c r="AZ1360" s="1525"/>
      <c r="BA1360" s="1525"/>
      <c r="BB1360" s="1525"/>
      <c r="BC1360" s="1525"/>
      <c r="BD1360" s="1525"/>
      <c r="BE1360" s="1525"/>
      <c r="BF1360" s="1525"/>
      <c r="BG1360" s="1525"/>
      <c r="BH1360" s="1525"/>
      <c r="BI1360" s="1525"/>
      <c r="BJ1360" s="1525"/>
      <c r="BK1360" s="1525"/>
      <c r="BL1360" s="1525"/>
      <c r="BM1360" s="1525"/>
      <c r="BN1360" s="1525"/>
      <c r="BO1360" s="1525"/>
      <c r="BP1360" s="1525"/>
      <c r="BQ1360" s="1525"/>
      <c r="BR1360" s="1525"/>
      <c r="BS1360" s="1525"/>
      <c r="BT1360" s="1670">
        <f t="shared" si="826"/>
        <v>0</v>
      </c>
      <c r="BV1360"/>
      <c r="BW1360" s="856" t="s">
        <v>1436</v>
      </c>
    </row>
    <row r="1361" spans="2:75" ht="12.75" customHeight="1" x14ac:dyDescent="0.2">
      <c r="B1361" s="175">
        <f t="shared" si="819"/>
        <v>4</v>
      </c>
      <c r="C1361" s="219">
        <v>2</v>
      </c>
      <c r="E1361" s="12" t="s">
        <v>1565</v>
      </c>
      <c r="F1361" s="24" t="s">
        <v>231</v>
      </c>
      <c r="G1361" s="856" t="s">
        <v>1366</v>
      </c>
      <c r="H1361" s="858">
        <v>7424</v>
      </c>
      <c r="I1361" s="200" t="s">
        <v>351</v>
      </c>
      <c r="J1361" s="168"/>
      <c r="K1361" s="168"/>
      <c r="L1361" s="841">
        <v>0.5</v>
      </c>
      <c r="M1361" s="858">
        <f>K1361+L1361</f>
        <v>0.5</v>
      </c>
      <c r="N1361" s="855" t="s">
        <v>892</v>
      </c>
      <c r="O1361" s="1196">
        <v>11495</v>
      </c>
      <c r="P1361" s="1218">
        <f t="shared" ca="1" si="827"/>
        <v>86.280555555555551</v>
      </c>
      <c r="Q1361" s="1148">
        <v>36100</v>
      </c>
      <c r="R1361" s="874"/>
      <c r="S1361" s="875">
        <v>3000</v>
      </c>
      <c r="T1361" s="875"/>
      <c r="U1361" s="875"/>
      <c r="V1361" s="875"/>
      <c r="W1361" s="875"/>
      <c r="X1361" s="1026">
        <f t="shared" si="820"/>
        <v>19550</v>
      </c>
      <c r="Y1361" s="1512">
        <f t="shared" si="821"/>
        <v>0</v>
      </c>
      <c r="Z1361" s="1741">
        <f t="shared" si="822"/>
        <v>0.5</v>
      </c>
      <c r="AA1361" s="1749">
        <f t="shared" si="823"/>
        <v>0</v>
      </c>
      <c r="AB1361" s="1810">
        <f t="shared" si="824"/>
        <v>0</v>
      </c>
      <c r="AC1361" s="876"/>
      <c r="AD1361" s="1525">
        <f t="shared" si="825"/>
        <v>0</v>
      </c>
      <c r="AE1361" s="1525">
        <f t="shared" si="825"/>
        <v>0</v>
      </c>
      <c r="AF1361" s="1525">
        <f t="shared" si="825"/>
        <v>0</v>
      </c>
      <c r="AG1361" s="1525">
        <f t="shared" si="825"/>
        <v>0</v>
      </c>
      <c r="AH1361" s="1525">
        <f t="shared" si="825"/>
        <v>0</v>
      </c>
      <c r="AI1361" s="1525">
        <f t="shared" si="825"/>
        <v>0</v>
      </c>
      <c r="AJ1361" s="1525">
        <f t="shared" si="825"/>
        <v>0</v>
      </c>
      <c r="AK1361" s="1525">
        <f t="shared" si="825"/>
        <v>0</v>
      </c>
      <c r="AL1361" s="1525">
        <f t="shared" si="825"/>
        <v>0</v>
      </c>
      <c r="AM1361" s="1525">
        <f t="shared" si="825"/>
        <v>0</v>
      </c>
      <c r="AN1361" s="1525">
        <f t="shared" si="825"/>
        <v>0</v>
      </c>
      <c r="AO1361" s="1525">
        <f t="shared" si="825"/>
        <v>0</v>
      </c>
      <c r="AP1361" s="1525">
        <f t="shared" si="825"/>
        <v>0</v>
      </c>
      <c r="AQ1361" s="1525">
        <f t="shared" si="825"/>
        <v>0</v>
      </c>
      <c r="AR1361" s="1525">
        <f t="shared" si="825"/>
        <v>0</v>
      </c>
      <c r="AS1361" s="1525">
        <f t="shared" si="825"/>
        <v>0</v>
      </c>
      <c r="AU1361" s="1525"/>
      <c r="AV1361" s="1291"/>
      <c r="AW1361" s="1292"/>
      <c r="AX1361" s="1292"/>
      <c r="AY1361" s="1292"/>
      <c r="AZ1361" s="1292"/>
      <c r="BA1361" s="1292"/>
      <c r="BB1361" s="1292"/>
      <c r="BC1361" s="1292"/>
      <c r="BD1361" s="1292"/>
      <c r="BE1361" s="1292"/>
      <c r="BF1361" s="1292"/>
      <c r="BG1361" s="1292"/>
      <c r="BH1361" s="1292"/>
      <c r="BI1361" s="1292"/>
      <c r="BJ1361" s="1292"/>
      <c r="BK1361" s="1292"/>
      <c r="BL1361" s="1292"/>
      <c r="BM1361" s="1292"/>
      <c r="BN1361" s="1292"/>
      <c r="BO1361" s="1292"/>
      <c r="BP1361" s="1292"/>
      <c r="BQ1361" s="1292"/>
      <c r="BR1361" s="1292"/>
      <c r="BS1361" s="1292"/>
      <c r="BT1361" s="1670">
        <f t="shared" si="826"/>
        <v>0</v>
      </c>
      <c r="BW1361" s="856" t="s">
        <v>1366</v>
      </c>
    </row>
    <row r="1362" spans="2:75" s="164" customFormat="1" ht="12.75" customHeight="1" x14ac:dyDescent="0.2">
      <c r="B1362" s="175">
        <f t="shared" si="819"/>
        <v>5</v>
      </c>
      <c r="C1362" s="219">
        <v>12</v>
      </c>
      <c r="E1362" s="12" t="s">
        <v>1565</v>
      </c>
      <c r="F1362" s="1" t="s">
        <v>1235</v>
      </c>
      <c r="G1362" s="856" t="s">
        <v>1367</v>
      </c>
      <c r="H1362" s="858">
        <v>56043</v>
      </c>
      <c r="I1362" s="172" t="s">
        <v>583</v>
      </c>
      <c r="J1362" s="168"/>
      <c r="K1362" s="189"/>
      <c r="L1362" s="858">
        <v>0.1</v>
      </c>
      <c r="M1362" s="858">
        <v>0.1</v>
      </c>
      <c r="N1362" s="855" t="s">
        <v>1573</v>
      </c>
      <c r="O1362" s="1196">
        <v>22190</v>
      </c>
      <c r="P1362" s="1218">
        <f t="shared" ca="1" si="827"/>
        <v>57.00277777777778</v>
      </c>
      <c r="Q1362" s="1148">
        <v>14900</v>
      </c>
      <c r="R1362" s="874"/>
      <c r="S1362" s="875"/>
      <c r="T1362" s="875"/>
      <c r="U1362" s="875"/>
      <c r="V1362" s="875"/>
      <c r="W1362" s="875"/>
      <c r="X1362" s="1026">
        <f t="shared" si="820"/>
        <v>1490</v>
      </c>
      <c r="Y1362" s="1512">
        <f t="shared" si="821"/>
        <v>0</v>
      </c>
      <c r="Z1362" s="1741">
        <f t="shared" si="822"/>
        <v>0.1</v>
      </c>
      <c r="AA1362" s="1749">
        <f t="shared" si="823"/>
        <v>0</v>
      </c>
      <c r="AB1362" s="1810">
        <f t="shared" si="824"/>
        <v>0</v>
      </c>
      <c r="AC1362" s="876"/>
      <c r="AD1362" s="1525">
        <f t="shared" si="825"/>
        <v>0</v>
      </c>
      <c r="AE1362" s="1525">
        <f t="shared" si="825"/>
        <v>0</v>
      </c>
      <c r="AF1362" s="1525">
        <f t="shared" si="825"/>
        <v>0</v>
      </c>
      <c r="AG1362" s="1525">
        <f t="shared" si="825"/>
        <v>0</v>
      </c>
      <c r="AH1362" s="1525">
        <f t="shared" si="825"/>
        <v>0</v>
      </c>
      <c r="AI1362" s="1525">
        <f t="shared" si="825"/>
        <v>0</v>
      </c>
      <c r="AJ1362" s="1525">
        <f t="shared" si="825"/>
        <v>0</v>
      </c>
      <c r="AK1362" s="1525">
        <f t="shared" si="825"/>
        <v>0</v>
      </c>
      <c r="AL1362" s="1525">
        <f t="shared" si="825"/>
        <v>0</v>
      </c>
      <c r="AM1362" s="1525">
        <f t="shared" si="825"/>
        <v>0</v>
      </c>
      <c r="AN1362" s="1525">
        <f t="shared" si="825"/>
        <v>0</v>
      </c>
      <c r="AO1362" s="1525">
        <f t="shared" si="825"/>
        <v>0</v>
      </c>
      <c r="AP1362" s="1525">
        <f t="shared" si="825"/>
        <v>0</v>
      </c>
      <c r="AQ1362" s="1525">
        <f t="shared" si="825"/>
        <v>0</v>
      </c>
      <c r="AR1362" s="1525">
        <f t="shared" si="825"/>
        <v>0</v>
      </c>
      <c r="AS1362" s="1525">
        <f t="shared" si="825"/>
        <v>0</v>
      </c>
      <c r="AU1362" s="1525"/>
      <c r="AV1362" s="1295"/>
      <c r="AW1362" s="1525"/>
      <c r="AX1362" s="1525"/>
      <c r="AY1362" s="1525"/>
      <c r="AZ1362" s="1525"/>
      <c r="BA1362" s="1525"/>
      <c r="BB1362" s="1525"/>
      <c r="BC1362" s="1525"/>
      <c r="BD1362" s="1525"/>
      <c r="BE1362" s="1525"/>
      <c r="BF1362" s="1525"/>
      <c r="BG1362" s="1525"/>
      <c r="BH1362" s="1525"/>
      <c r="BI1362" s="1525"/>
      <c r="BJ1362" s="1525"/>
      <c r="BK1362" s="1525"/>
      <c r="BL1362" s="1525"/>
      <c r="BM1362" s="1525"/>
      <c r="BN1362" s="1525"/>
      <c r="BO1362" s="1525"/>
      <c r="BP1362" s="1525"/>
      <c r="BQ1362" s="1525"/>
      <c r="BR1362" s="1525"/>
      <c r="BS1362" s="1525"/>
      <c r="BT1362" s="1670">
        <f t="shared" si="826"/>
        <v>0</v>
      </c>
      <c r="BV1362"/>
      <c r="BW1362" s="856" t="s">
        <v>1367</v>
      </c>
    </row>
    <row r="1363" spans="2:75" ht="12.75" customHeight="1" x14ac:dyDescent="0.2">
      <c r="B1363" s="175">
        <f t="shared" si="819"/>
        <v>6</v>
      </c>
      <c r="C1363" s="219">
        <v>12</v>
      </c>
      <c r="E1363" s="12" t="s">
        <v>1565</v>
      </c>
      <c r="F1363" s="1" t="s">
        <v>1235</v>
      </c>
      <c r="G1363" s="913" t="s">
        <v>1249</v>
      </c>
      <c r="H1363" s="861">
        <v>6016</v>
      </c>
      <c r="I1363" s="180" t="s">
        <v>583</v>
      </c>
      <c r="J1363" s="168"/>
      <c r="K1363" s="189"/>
      <c r="L1363" s="893">
        <v>1</v>
      </c>
      <c r="M1363" s="861">
        <f>K1363+L1363</f>
        <v>1</v>
      </c>
      <c r="N1363" s="832" t="s">
        <v>1573</v>
      </c>
      <c r="O1363" s="1196">
        <v>14683</v>
      </c>
      <c r="P1363" s="1218">
        <f t="shared" ca="1" si="827"/>
        <v>77.552777777777777</v>
      </c>
      <c r="Q1363" s="1148">
        <v>26400</v>
      </c>
      <c r="R1363" s="874">
        <f>Q1363*0.1</f>
        <v>2640</v>
      </c>
      <c r="S1363" s="875"/>
      <c r="T1363" s="875"/>
      <c r="U1363" s="875"/>
      <c r="V1363" s="875"/>
      <c r="W1363" s="875"/>
      <c r="X1363" s="1026">
        <f t="shared" si="820"/>
        <v>29040</v>
      </c>
      <c r="Y1363" s="1512">
        <f t="shared" si="821"/>
        <v>0</v>
      </c>
      <c r="Z1363" s="1741">
        <f t="shared" si="822"/>
        <v>1</v>
      </c>
      <c r="AA1363" s="1749">
        <f t="shared" si="823"/>
        <v>0</v>
      </c>
      <c r="AB1363" s="1810">
        <f t="shared" si="824"/>
        <v>0</v>
      </c>
      <c r="AC1363" s="876"/>
      <c r="AD1363" s="1525">
        <f t="shared" si="825"/>
        <v>0</v>
      </c>
      <c r="AE1363" s="1525">
        <f t="shared" si="825"/>
        <v>0</v>
      </c>
      <c r="AF1363" s="1525">
        <f t="shared" si="825"/>
        <v>0</v>
      </c>
      <c r="AG1363" s="1525">
        <f t="shared" si="825"/>
        <v>0</v>
      </c>
      <c r="AH1363" s="1525">
        <f t="shared" si="825"/>
        <v>0</v>
      </c>
      <c r="AI1363" s="1525">
        <f t="shared" si="825"/>
        <v>0</v>
      </c>
      <c r="AJ1363" s="1525">
        <f t="shared" si="825"/>
        <v>0</v>
      </c>
      <c r="AK1363" s="1525">
        <f t="shared" si="825"/>
        <v>0</v>
      </c>
      <c r="AL1363" s="1525">
        <f t="shared" si="825"/>
        <v>0</v>
      </c>
      <c r="AM1363" s="1525">
        <f t="shared" si="825"/>
        <v>0</v>
      </c>
      <c r="AN1363" s="1525">
        <f t="shared" si="825"/>
        <v>0</v>
      </c>
      <c r="AO1363" s="1525">
        <f t="shared" si="825"/>
        <v>0</v>
      </c>
      <c r="AP1363" s="1525">
        <f t="shared" si="825"/>
        <v>0</v>
      </c>
      <c r="AQ1363" s="1525">
        <f t="shared" si="825"/>
        <v>0</v>
      </c>
      <c r="AR1363" s="1525">
        <f t="shared" si="825"/>
        <v>0</v>
      </c>
      <c r="AS1363" s="1525">
        <f t="shared" si="825"/>
        <v>0</v>
      </c>
      <c r="AU1363" s="1525"/>
      <c r="AV1363" s="1291"/>
      <c r="AW1363" s="1292"/>
      <c r="AX1363" s="1292"/>
      <c r="AY1363" s="1292"/>
      <c r="AZ1363" s="1292"/>
      <c r="BA1363" s="1292"/>
      <c r="BB1363" s="1292"/>
      <c r="BC1363" s="1292"/>
      <c r="BD1363" s="1292"/>
      <c r="BE1363" s="1292"/>
      <c r="BF1363" s="1292"/>
      <c r="BG1363" s="1292"/>
      <c r="BH1363" s="1292"/>
      <c r="BI1363" s="1292"/>
      <c r="BJ1363" s="1292"/>
      <c r="BK1363" s="1292"/>
      <c r="BL1363" s="1292"/>
      <c r="BM1363" s="1292"/>
      <c r="BN1363" s="1292"/>
      <c r="BO1363" s="1292"/>
      <c r="BP1363" s="1292"/>
      <c r="BQ1363" s="1292"/>
      <c r="BR1363" s="1292"/>
      <c r="BS1363" s="1292"/>
      <c r="BT1363" s="1670">
        <f t="shared" si="826"/>
        <v>0</v>
      </c>
      <c r="BW1363" s="913" t="s">
        <v>1249</v>
      </c>
    </row>
    <row r="1364" spans="2:75" ht="12.75" customHeight="1" x14ac:dyDescent="0.2">
      <c r="B1364" s="175">
        <f t="shared" si="819"/>
        <v>7</v>
      </c>
      <c r="C1364" s="219">
        <v>14</v>
      </c>
      <c r="E1364" s="12" t="s">
        <v>1565</v>
      </c>
      <c r="F1364" s="37" t="s">
        <v>1158</v>
      </c>
      <c r="G1364" s="913" t="s">
        <v>681</v>
      </c>
      <c r="H1364" s="858">
        <v>212650</v>
      </c>
      <c r="I1364" s="180" t="s">
        <v>583</v>
      </c>
      <c r="J1364" s="173"/>
      <c r="K1364" s="173"/>
      <c r="L1364" s="893">
        <v>1</v>
      </c>
      <c r="M1364" s="858">
        <f>K1364+L1364</f>
        <v>1</v>
      </c>
      <c r="N1364" s="832" t="s">
        <v>1326</v>
      </c>
      <c r="O1364" s="1196">
        <v>21488</v>
      </c>
      <c r="P1364" s="1218">
        <f t="shared" ca="1" si="827"/>
        <v>58.922222222222224</v>
      </c>
      <c r="Q1364" s="1148">
        <v>16100</v>
      </c>
      <c r="R1364" s="874">
        <f>Q1364*0.1</f>
        <v>1610</v>
      </c>
      <c r="S1364" s="875"/>
      <c r="T1364" s="875"/>
      <c r="U1364" s="875"/>
      <c r="V1364" s="875"/>
      <c r="W1364" s="875"/>
      <c r="X1364" s="1026">
        <f t="shared" si="820"/>
        <v>17710</v>
      </c>
      <c r="Y1364" s="1512">
        <f t="shared" si="821"/>
        <v>0</v>
      </c>
      <c r="Z1364" s="1741">
        <f t="shared" si="822"/>
        <v>1</v>
      </c>
      <c r="AA1364" s="1749">
        <f t="shared" si="823"/>
        <v>0</v>
      </c>
      <c r="AB1364" s="1810">
        <f t="shared" si="824"/>
        <v>0</v>
      </c>
      <c r="AC1364" s="876"/>
      <c r="AD1364" s="1525">
        <f t="shared" si="825"/>
        <v>0</v>
      </c>
      <c r="AE1364" s="1525">
        <f t="shared" si="825"/>
        <v>0</v>
      </c>
      <c r="AF1364" s="1525">
        <f t="shared" si="825"/>
        <v>0</v>
      </c>
      <c r="AG1364" s="1525">
        <f t="shared" si="825"/>
        <v>0</v>
      </c>
      <c r="AH1364" s="1525">
        <f t="shared" si="825"/>
        <v>0</v>
      </c>
      <c r="AI1364" s="1525">
        <f t="shared" si="825"/>
        <v>0</v>
      </c>
      <c r="AJ1364" s="1525">
        <f t="shared" si="825"/>
        <v>0</v>
      </c>
      <c r="AK1364" s="1525">
        <f t="shared" si="825"/>
        <v>0</v>
      </c>
      <c r="AL1364" s="1525">
        <f t="shared" si="825"/>
        <v>0</v>
      </c>
      <c r="AM1364" s="1525">
        <f t="shared" si="825"/>
        <v>0</v>
      </c>
      <c r="AN1364" s="1525">
        <f t="shared" si="825"/>
        <v>0</v>
      </c>
      <c r="AO1364" s="1525">
        <f t="shared" si="825"/>
        <v>0</v>
      </c>
      <c r="AP1364" s="1525">
        <f t="shared" si="825"/>
        <v>0</v>
      </c>
      <c r="AQ1364" s="1525">
        <f t="shared" si="825"/>
        <v>0</v>
      </c>
      <c r="AR1364" s="1525">
        <f t="shared" si="825"/>
        <v>0</v>
      </c>
      <c r="AS1364" s="1525">
        <f t="shared" si="825"/>
        <v>0</v>
      </c>
      <c r="AU1364" s="1525"/>
      <c r="AV1364" s="1291"/>
      <c r="AW1364" s="1292"/>
      <c r="AX1364" s="1292"/>
      <c r="AY1364" s="1292"/>
      <c r="AZ1364" s="1292"/>
      <c r="BA1364" s="1292"/>
      <c r="BB1364" s="1292"/>
      <c r="BC1364" s="1292"/>
      <c r="BD1364" s="1292"/>
      <c r="BE1364" s="1292"/>
      <c r="BF1364" s="1292"/>
      <c r="BG1364" s="1292"/>
      <c r="BH1364" s="1292"/>
      <c r="BI1364" s="1292"/>
      <c r="BJ1364" s="1292"/>
      <c r="BK1364" s="1292"/>
      <c r="BL1364" s="1292"/>
      <c r="BM1364" s="1292"/>
      <c r="BN1364" s="1292"/>
      <c r="BO1364" s="1292"/>
      <c r="BP1364" s="1292"/>
      <c r="BQ1364" s="1292"/>
      <c r="BR1364" s="1292"/>
      <c r="BS1364" s="1292"/>
      <c r="BT1364" s="1670">
        <f t="shared" si="826"/>
        <v>0</v>
      </c>
      <c r="BW1364" s="913" t="s">
        <v>681</v>
      </c>
    </row>
    <row r="1365" spans="2:75" ht="12.75" customHeight="1" x14ac:dyDescent="0.2">
      <c r="B1365" s="175">
        <f t="shared" si="819"/>
        <v>8</v>
      </c>
      <c r="C1365" s="219">
        <v>14</v>
      </c>
      <c r="E1365" s="12" t="s">
        <v>1565</v>
      </c>
      <c r="F1365" s="37" t="s">
        <v>1158</v>
      </c>
      <c r="G1365" s="913" t="s">
        <v>682</v>
      </c>
      <c r="H1365" s="861">
        <v>254047</v>
      </c>
      <c r="I1365" s="180" t="s">
        <v>583</v>
      </c>
      <c r="J1365" s="177"/>
      <c r="K1365" s="173"/>
      <c r="L1365" s="893">
        <v>1</v>
      </c>
      <c r="M1365" s="861">
        <f>K1365+L1365</f>
        <v>1</v>
      </c>
      <c r="N1365" s="832" t="s">
        <v>1326</v>
      </c>
      <c r="O1365" s="1196">
        <v>31670</v>
      </c>
      <c r="P1365" s="1218">
        <f t="shared" ca="1" si="827"/>
        <v>31.047222222222221</v>
      </c>
      <c r="Q1365" s="1148">
        <v>27300</v>
      </c>
      <c r="R1365" s="874">
        <f>Q1365*0.1</f>
        <v>2730</v>
      </c>
      <c r="S1365" s="876"/>
      <c r="T1365" s="876"/>
      <c r="U1365" s="876"/>
      <c r="V1365" s="876"/>
      <c r="W1365" s="876"/>
      <c r="X1365" s="1026">
        <f t="shared" si="820"/>
        <v>30030</v>
      </c>
      <c r="Y1365" s="1512">
        <f t="shared" si="821"/>
        <v>0</v>
      </c>
      <c r="Z1365" s="1741">
        <f t="shared" si="822"/>
        <v>1</v>
      </c>
      <c r="AA1365" s="1749">
        <f t="shared" si="823"/>
        <v>1</v>
      </c>
      <c r="AB1365" s="1810">
        <f t="shared" si="824"/>
        <v>100</v>
      </c>
      <c r="AC1365" s="876"/>
      <c r="AD1365" s="1525">
        <f t="shared" si="825"/>
        <v>0</v>
      </c>
      <c r="AE1365" s="1525">
        <f t="shared" si="825"/>
        <v>0</v>
      </c>
      <c r="AF1365" s="1525">
        <f t="shared" si="825"/>
        <v>0</v>
      </c>
      <c r="AG1365" s="1525">
        <f t="shared" si="825"/>
        <v>0</v>
      </c>
      <c r="AH1365" s="1525">
        <f t="shared" si="825"/>
        <v>0</v>
      </c>
      <c r="AI1365" s="1525">
        <f t="shared" si="825"/>
        <v>0</v>
      </c>
      <c r="AJ1365" s="1525">
        <f t="shared" si="825"/>
        <v>0</v>
      </c>
      <c r="AK1365" s="1525">
        <f t="shared" si="825"/>
        <v>1</v>
      </c>
      <c r="AL1365" s="1525">
        <f t="shared" si="825"/>
        <v>0</v>
      </c>
      <c r="AM1365" s="1525">
        <f t="shared" si="825"/>
        <v>0</v>
      </c>
      <c r="AN1365" s="1525">
        <f t="shared" si="825"/>
        <v>0</v>
      </c>
      <c r="AO1365" s="1525">
        <f t="shared" si="825"/>
        <v>0</v>
      </c>
      <c r="AP1365" s="1525">
        <f t="shared" si="825"/>
        <v>0</v>
      </c>
      <c r="AQ1365" s="1525">
        <f t="shared" si="825"/>
        <v>0</v>
      </c>
      <c r="AR1365" s="1525">
        <f t="shared" si="825"/>
        <v>0</v>
      </c>
      <c r="AS1365" s="1525">
        <f t="shared" si="825"/>
        <v>0</v>
      </c>
      <c r="AU1365" s="1525"/>
      <c r="AV1365" s="1291"/>
      <c r="AW1365" s="1292">
        <v>1</v>
      </c>
      <c r="AX1365" s="1292"/>
      <c r="AY1365" s="1292"/>
      <c r="AZ1365" s="1292"/>
      <c r="BA1365" s="1292"/>
      <c r="BB1365" s="1292"/>
      <c r="BC1365" s="1292"/>
      <c r="BD1365" s="1292"/>
      <c r="BE1365" s="1292"/>
      <c r="BF1365" s="1292"/>
      <c r="BG1365" s="1292"/>
      <c r="BH1365" s="1292"/>
      <c r="BI1365" s="1292"/>
      <c r="BJ1365" s="1292"/>
      <c r="BK1365" s="1292"/>
      <c r="BL1365" s="1292"/>
      <c r="BM1365" s="1292"/>
      <c r="BN1365" s="1292"/>
      <c r="BO1365" s="1292"/>
      <c r="BP1365" s="1292"/>
      <c r="BQ1365" s="1292"/>
      <c r="BR1365" s="1292"/>
      <c r="BS1365" s="1292"/>
      <c r="BT1365" s="1670">
        <f t="shared" si="826"/>
        <v>1</v>
      </c>
      <c r="BW1365" s="913" t="s">
        <v>682</v>
      </c>
    </row>
    <row r="1366" spans="2:75" ht="12.75" customHeight="1" x14ac:dyDescent="0.2">
      <c r="B1366" s="175">
        <f t="shared" si="819"/>
        <v>9</v>
      </c>
      <c r="C1366" s="219">
        <v>17</v>
      </c>
      <c r="E1366" s="12" t="s">
        <v>1565</v>
      </c>
      <c r="F1366" s="42" t="s">
        <v>1639</v>
      </c>
      <c r="G1366" s="945" t="s">
        <v>1222</v>
      </c>
      <c r="H1366" s="873">
        <v>140789</v>
      </c>
      <c r="I1366" s="176" t="s">
        <v>583</v>
      </c>
      <c r="J1366" s="173"/>
      <c r="K1366" s="177"/>
      <c r="L1366" s="944">
        <v>0.25</v>
      </c>
      <c r="M1366" s="873">
        <f>K1366+L1366</f>
        <v>0.25</v>
      </c>
      <c r="N1366" s="940" t="s">
        <v>892</v>
      </c>
      <c r="O1366" s="1211">
        <v>32876</v>
      </c>
      <c r="P1366" s="1218">
        <f t="shared" ca="1" si="827"/>
        <v>27.747222222222224</v>
      </c>
      <c r="Q1366" s="1148">
        <v>26400</v>
      </c>
      <c r="R1366" s="874"/>
      <c r="S1366" s="876"/>
      <c r="T1366" s="876"/>
      <c r="U1366" s="876"/>
      <c r="V1366" s="876"/>
      <c r="W1366" s="876"/>
      <c r="X1366" s="1026">
        <f t="shared" si="820"/>
        <v>6600</v>
      </c>
      <c r="Y1366" s="1512">
        <f t="shared" si="821"/>
        <v>0</v>
      </c>
      <c r="Z1366" s="1741">
        <f t="shared" si="822"/>
        <v>0.25</v>
      </c>
      <c r="AA1366" s="1749">
        <f t="shared" si="823"/>
        <v>0</v>
      </c>
      <c r="AB1366" s="1810">
        <f t="shared" si="824"/>
        <v>0</v>
      </c>
      <c r="AC1366" s="876"/>
      <c r="AD1366" s="1525">
        <f t="shared" si="825"/>
        <v>0</v>
      </c>
      <c r="AE1366" s="1525">
        <f t="shared" si="825"/>
        <v>0</v>
      </c>
      <c r="AF1366" s="1525">
        <f t="shared" si="825"/>
        <v>0</v>
      </c>
      <c r="AG1366" s="1525">
        <f t="shared" si="825"/>
        <v>0</v>
      </c>
      <c r="AH1366" s="1525">
        <f t="shared" si="825"/>
        <v>0</v>
      </c>
      <c r="AI1366" s="1525">
        <f t="shared" si="825"/>
        <v>0</v>
      </c>
      <c r="AJ1366" s="1525">
        <f t="shared" si="825"/>
        <v>0</v>
      </c>
      <c r="AK1366" s="1525">
        <f t="shared" si="825"/>
        <v>0</v>
      </c>
      <c r="AL1366" s="1525">
        <f t="shared" si="825"/>
        <v>0</v>
      </c>
      <c r="AM1366" s="1525">
        <f t="shared" si="825"/>
        <v>0</v>
      </c>
      <c r="AN1366" s="1525">
        <f t="shared" si="825"/>
        <v>0</v>
      </c>
      <c r="AO1366" s="1525">
        <f t="shared" si="825"/>
        <v>0</v>
      </c>
      <c r="AP1366" s="1525">
        <f t="shared" si="825"/>
        <v>0</v>
      </c>
      <c r="AQ1366" s="1525">
        <f t="shared" si="825"/>
        <v>0</v>
      </c>
      <c r="AR1366" s="1525">
        <f t="shared" si="825"/>
        <v>0</v>
      </c>
      <c r="AS1366" s="1525">
        <f t="shared" si="825"/>
        <v>0</v>
      </c>
      <c r="AU1366" s="1525"/>
      <c r="AV1366" s="1291"/>
      <c r="AW1366" s="1292"/>
      <c r="AX1366" s="1292"/>
      <c r="AY1366" s="1292"/>
      <c r="AZ1366" s="1292"/>
      <c r="BA1366" s="1292"/>
      <c r="BB1366" s="1292"/>
      <c r="BC1366" s="1292"/>
      <c r="BD1366" s="1292"/>
      <c r="BE1366" s="1292"/>
      <c r="BF1366" s="1292"/>
      <c r="BG1366" s="1292"/>
      <c r="BH1366" s="1292"/>
      <c r="BI1366" s="1292"/>
      <c r="BJ1366" s="1292"/>
      <c r="BK1366" s="1292"/>
      <c r="BL1366" s="1292"/>
      <c r="BM1366" s="1292"/>
      <c r="BN1366" s="1292"/>
      <c r="BO1366" s="1292"/>
      <c r="BP1366" s="1292"/>
      <c r="BQ1366" s="1292"/>
      <c r="BR1366" s="1292"/>
      <c r="BS1366" s="1292"/>
      <c r="BT1366" s="1670">
        <f t="shared" si="826"/>
        <v>0</v>
      </c>
      <c r="BW1366" s="945" t="s">
        <v>1222</v>
      </c>
    </row>
    <row r="1367" spans="2:75" s="164" customFormat="1" ht="12.75" customHeight="1" x14ac:dyDescent="0.15">
      <c r="B1367" s="175"/>
      <c r="C1367" s="220" t="s">
        <v>1120</v>
      </c>
      <c r="D1367" s="170"/>
      <c r="E1367" s="170"/>
      <c r="F1367" s="4" t="s">
        <v>1188</v>
      </c>
      <c r="G1367" s="913"/>
      <c r="H1367" s="1358" t="s">
        <v>1508</v>
      </c>
      <c r="I1367" s="180"/>
      <c r="J1367" s="173"/>
      <c r="K1367" s="1133">
        <f t="shared" ref="K1367:L1367" si="828">SUM(K1358:K1366)</f>
        <v>0</v>
      </c>
      <c r="L1367" s="1133">
        <f t="shared" si="828"/>
        <v>6.35</v>
      </c>
      <c r="M1367" s="1133">
        <f>SUM(M1358:M1366)</f>
        <v>6.35</v>
      </c>
      <c r="N1367" s="832"/>
      <c r="O1367" s="1200"/>
      <c r="P1367" s="1294"/>
      <c r="Q1367" s="1153"/>
      <c r="R1367" s="884"/>
      <c r="S1367" s="876"/>
      <c r="T1367" s="876"/>
      <c r="U1367" s="876"/>
      <c r="V1367" s="876"/>
      <c r="W1367" s="876"/>
      <c r="X1367" s="1026"/>
      <c r="Y1367" s="1335"/>
      <c r="Z1367" s="1335"/>
      <c r="AA1367" s="1775"/>
      <c r="AB1367" s="1814"/>
      <c r="AC1367" s="876"/>
      <c r="AD1367" s="1295"/>
      <c r="AE1367" s="1525"/>
      <c r="AF1367" s="1525"/>
      <c r="AG1367" s="1525"/>
      <c r="AH1367" s="1525"/>
      <c r="AI1367" s="1525"/>
      <c r="AJ1367" s="1525"/>
      <c r="AK1367" s="1525"/>
      <c r="AL1367" s="1525"/>
      <c r="AM1367" s="1525"/>
      <c r="AN1367" s="1525"/>
      <c r="AO1367" s="1525"/>
      <c r="AP1367" s="1525"/>
      <c r="AQ1367" s="1525"/>
      <c r="AR1367" s="1525"/>
      <c r="AS1367" s="1525"/>
      <c r="AU1367" s="1525"/>
      <c r="AV1367" s="1295"/>
      <c r="AW1367" s="1525"/>
      <c r="AX1367" s="1525"/>
      <c r="AY1367" s="1525"/>
      <c r="AZ1367" s="1525"/>
      <c r="BA1367" s="1525"/>
      <c r="BB1367" s="1525"/>
      <c r="BC1367" s="1525"/>
      <c r="BD1367" s="1525"/>
      <c r="BE1367" s="1525"/>
      <c r="BF1367" s="1525"/>
      <c r="BG1367" s="1525"/>
      <c r="BH1367" s="1525"/>
      <c r="BI1367" s="1525"/>
      <c r="BJ1367" s="1525"/>
      <c r="BK1367" s="1525"/>
      <c r="BL1367" s="1525"/>
      <c r="BM1367" s="1525"/>
      <c r="BN1367" s="1525"/>
      <c r="BO1367" s="1525"/>
      <c r="BP1367" s="1525"/>
      <c r="BQ1367" s="1525"/>
      <c r="BR1367" s="1525"/>
      <c r="BS1367" s="1525"/>
      <c r="BT1367" s="1670"/>
      <c r="BV1367"/>
      <c r="BW1367" s="913"/>
    </row>
    <row r="1368" spans="2:75" s="164" customFormat="1" ht="12.75" customHeight="1" x14ac:dyDescent="0.15">
      <c r="B1368" s="175"/>
      <c r="C1368" s="170"/>
      <c r="D1368" s="170"/>
      <c r="E1368" s="170"/>
      <c r="F1368" s="37"/>
      <c r="G1368" s="913"/>
      <c r="H1368" s="1358" t="s">
        <v>1508</v>
      </c>
      <c r="I1368" s="180"/>
      <c r="J1368" s="173"/>
      <c r="K1368" s="173"/>
      <c r="L1368" s="893"/>
      <c r="M1368" s="893"/>
      <c r="N1368" s="832"/>
      <c r="O1368" s="1200"/>
      <c r="P1368" s="1294"/>
      <c r="Q1368" s="1148"/>
      <c r="R1368" s="874"/>
      <c r="S1368" s="876"/>
      <c r="T1368" s="876"/>
      <c r="U1368" s="876"/>
      <c r="V1368" s="876"/>
      <c r="W1368" s="876"/>
      <c r="X1368" s="1026"/>
      <c r="Y1368" s="1754"/>
      <c r="Z1368" s="1755"/>
      <c r="AA1368" s="1775"/>
      <c r="AB1368" s="1814"/>
      <c r="AC1368" s="876"/>
      <c r="AD1368" s="1295"/>
      <c r="AE1368" s="1525"/>
      <c r="AF1368" s="1525"/>
      <c r="AG1368" s="1525"/>
      <c r="AH1368" s="1525"/>
      <c r="AI1368" s="1525"/>
      <c r="AJ1368" s="1525"/>
      <c r="AK1368" s="1525"/>
      <c r="AL1368" s="1525"/>
      <c r="AM1368" s="1525"/>
      <c r="AN1368" s="1525"/>
      <c r="AO1368" s="1525"/>
      <c r="AP1368" s="1525"/>
      <c r="AQ1368" s="1525"/>
      <c r="AR1368" s="1525"/>
      <c r="AS1368" s="1525"/>
      <c r="AU1368" s="1525"/>
      <c r="AV1368" s="1295"/>
      <c r="AW1368" s="1525"/>
      <c r="AX1368" s="1525"/>
      <c r="AY1368" s="1525"/>
      <c r="AZ1368" s="1525"/>
      <c r="BA1368" s="1525"/>
      <c r="BB1368" s="1525"/>
      <c r="BC1368" s="1525"/>
      <c r="BD1368" s="1525"/>
      <c r="BE1368" s="1525"/>
      <c r="BF1368" s="1525"/>
      <c r="BG1368" s="1525"/>
      <c r="BH1368" s="1525"/>
      <c r="BI1368" s="1525"/>
      <c r="BJ1368" s="1525"/>
      <c r="BK1368" s="1525"/>
      <c r="BL1368" s="1525"/>
      <c r="BM1368" s="1525"/>
      <c r="BN1368" s="1525"/>
      <c r="BO1368" s="1525"/>
      <c r="BP1368" s="1525"/>
      <c r="BQ1368" s="1525"/>
      <c r="BR1368" s="1525"/>
      <c r="BS1368" s="1525"/>
      <c r="BT1368" s="1670"/>
      <c r="BV1368"/>
      <c r="BW1368" s="913"/>
    </row>
    <row r="1369" spans="2:75" s="164" customFormat="1" ht="12.75" customHeight="1" x14ac:dyDescent="0.15">
      <c r="B1369" s="175"/>
      <c r="F1369" s="2" t="s">
        <v>683</v>
      </c>
      <c r="G1369" s="856"/>
      <c r="H1369" s="1364" t="s">
        <v>1508</v>
      </c>
      <c r="I1369" s="172"/>
      <c r="J1369" s="168"/>
      <c r="K1369" s="168"/>
      <c r="L1369" s="841"/>
      <c r="M1369" s="841"/>
      <c r="N1369" s="855"/>
      <c r="O1369" s="1200"/>
      <c r="P1369" s="550"/>
      <c r="Q1369" s="1148"/>
      <c r="R1369" s="874"/>
      <c r="S1369" s="875"/>
      <c r="T1369" s="875"/>
      <c r="U1369" s="875"/>
      <c r="V1369" s="875"/>
      <c r="W1369" s="875"/>
      <c r="X1369" s="1026"/>
      <c r="Y1369" s="1754"/>
      <c r="Z1369" s="1755"/>
      <c r="AA1369" s="1775"/>
      <c r="AB1369" s="1814"/>
      <c r="AC1369" s="876"/>
      <c r="AD1369" s="1295"/>
      <c r="AE1369" s="1525"/>
      <c r="AF1369" s="1525"/>
      <c r="AG1369" s="1525"/>
      <c r="AH1369" s="1525"/>
      <c r="AI1369" s="1525"/>
      <c r="AJ1369" s="1525"/>
      <c r="AK1369" s="1525"/>
      <c r="AL1369" s="1525"/>
      <c r="AM1369" s="1525"/>
      <c r="AN1369" s="1525"/>
      <c r="AO1369" s="1525"/>
      <c r="AP1369" s="1525"/>
      <c r="AQ1369" s="1525"/>
      <c r="AR1369" s="1525"/>
      <c r="AS1369" s="1525"/>
      <c r="AU1369" s="1525"/>
      <c r="AV1369" s="1295"/>
      <c r="AW1369" s="1525"/>
      <c r="AX1369" s="1525"/>
      <c r="AY1369" s="1525"/>
      <c r="AZ1369" s="1525"/>
      <c r="BA1369" s="1525"/>
      <c r="BB1369" s="1525"/>
      <c r="BC1369" s="1525"/>
      <c r="BD1369" s="1525"/>
      <c r="BE1369" s="1525"/>
      <c r="BF1369" s="1525"/>
      <c r="BG1369" s="1525"/>
      <c r="BH1369" s="1525"/>
      <c r="BI1369" s="1525"/>
      <c r="BJ1369" s="1525"/>
      <c r="BK1369" s="1525"/>
      <c r="BL1369" s="1525"/>
      <c r="BM1369" s="1525"/>
      <c r="BN1369" s="1525"/>
      <c r="BO1369" s="1525"/>
      <c r="BP1369" s="1525"/>
      <c r="BQ1369" s="1525"/>
      <c r="BR1369" s="1525"/>
      <c r="BS1369" s="1525"/>
      <c r="BT1369" s="1670"/>
      <c r="BV1369"/>
      <c r="BW1369" s="856"/>
    </row>
    <row r="1370" spans="2:75" s="164" customFormat="1" ht="12.75" customHeight="1" x14ac:dyDescent="0.15">
      <c r="B1370" s="175"/>
      <c r="F1370" s="2"/>
      <c r="G1370" s="856"/>
      <c r="H1370" s="1364" t="s">
        <v>1508</v>
      </c>
      <c r="I1370" s="172"/>
      <c r="J1370" s="168"/>
      <c r="K1370" s="168"/>
      <c r="L1370" s="841"/>
      <c r="M1370" s="841"/>
      <c r="N1370" s="855"/>
      <c r="O1370" s="1200"/>
      <c r="P1370" s="550"/>
      <c r="Q1370" s="1148"/>
      <c r="R1370" s="874"/>
      <c r="S1370" s="875"/>
      <c r="T1370" s="875"/>
      <c r="U1370" s="875"/>
      <c r="V1370" s="875"/>
      <c r="W1370" s="875"/>
      <c r="X1370" s="1026"/>
      <c r="Y1370" s="1754"/>
      <c r="Z1370" s="1755"/>
      <c r="AA1370" s="1775"/>
      <c r="AB1370" s="1814"/>
      <c r="AC1370" s="876"/>
      <c r="AD1370" s="1295"/>
      <c r="AE1370" s="1525"/>
      <c r="AF1370" s="1525"/>
      <c r="AG1370" s="1525"/>
      <c r="AH1370" s="1525"/>
      <c r="AI1370" s="1525"/>
      <c r="AJ1370" s="1525"/>
      <c r="AK1370" s="1525"/>
      <c r="AL1370" s="1525"/>
      <c r="AM1370" s="1525"/>
      <c r="AN1370" s="1525"/>
      <c r="AO1370" s="1525"/>
      <c r="AP1370" s="1525"/>
      <c r="AQ1370" s="1525"/>
      <c r="AR1370" s="1525"/>
      <c r="AS1370" s="1525"/>
      <c r="AU1370" s="1525"/>
      <c r="AV1370" s="1295"/>
      <c r="AW1370" s="1525"/>
      <c r="AX1370" s="1525"/>
      <c r="AY1370" s="1525"/>
      <c r="AZ1370" s="1525"/>
      <c r="BA1370" s="1525"/>
      <c r="BB1370" s="1525"/>
      <c r="BC1370" s="1525"/>
      <c r="BD1370" s="1525"/>
      <c r="BE1370" s="1525"/>
      <c r="BF1370" s="1525"/>
      <c r="BG1370" s="1525"/>
      <c r="BH1370" s="1525"/>
      <c r="BI1370" s="1525"/>
      <c r="BJ1370" s="1525"/>
      <c r="BK1370" s="1525"/>
      <c r="BL1370" s="1525"/>
      <c r="BM1370" s="1525"/>
      <c r="BN1370" s="1525"/>
      <c r="BO1370" s="1525"/>
      <c r="BP1370" s="1525"/>
      <c r="BQ1370" s="1525"/>
      <c r="BR1370" s="1525"/>
      <c r="BS1370" s="1525"/>
      <c r="BT1370" s="1670"/>
      <c r="BV1370"/>
      <c r="BW1370" s="856"/>
    </row>
    <row r="1371" spans="2:75" s="164" customFormat="1" ht="12.75" customHeight="1" x14ac:dyDescent="0.2">
      <c r="B1371" s="175">
        <f t="shared" ref="B1371:B1378" si="829">B1370+1</f>
        <v>1</v>
      </c>
      <c r="C1371" s="219">
        <v>11</v>
      </c>
      <c r="E1371" s="12" t="s">
        <v>1565</v>
      </c>
      <c r="F1371" s="1" t="s">
        <v>824</v>
      </c>
      <c r="G1371" s="856" t="s">
        <v>684</v>
      </c>
      <c r="H1371" s="858">
        <v>26538</v>
      </c>
      <c r="I1371" s="172" t="s">
        <v>161</v>
      </c>
      <c r="J1371" s="168"/>
      <c r="K1371" s="168"/>
      <c r="L1371" s="858">
        <v>1</v>
      </c>
      <c r="M1371" s="858">
        <f>K1371+L1371</f>
        <v>1</v>
      </c>
      <c r="N1371" s="855" t="s">
        <v>1326</v>
      </c>
      <c r="O1371" s="1196">
        <v>21229</v>
      </c>
      <c r="P1371" s="1218">
        <f t="shared" ref="P1371:P1378" ca="1" si="830">YEARFRAC(TODAY(),O1371)</f>
        <v>59.636111111111113</v>
      </c>
      <c r="Q1371" s="1148">
        <v>29250</v>
      </c>
      <c r="R1371" s="874">
        <f>Q1371*0.1</f>
        <v>2925</v>
      </c>
      <c r="S1371" s="875"/>
      <c r="T1371" s="875"/>
      <c r="U1371" s="875"/>
      <c r="V1371" s="875"/>
      <c r="W1371" s="875"/>
      <c r="X1371" s="1026">
        <f t="shared" ref="X1371:X1378" si="831">(Q1371+R1371+S1371+T1371+U1371+V1371+W1371)*M1371</f>
        <v>32175</v>
      </c>
      <c r="Y1371" s="1512">
        <f t="shared" ref="Y1371:Y1378" si="832">(T1371+U1371)*M1371/(X1371-M1371*(T1371+U1371))</f>
        <v>0</v>
      </c>
      <c r="Z1371" s="1741">
        <f t="shared" ref="Z1371:Z1378" si="833">M1371*(1+Y1371)</f>
        <v>1</v>
      </c>
      <c r="AA1371" s="1749">
        <f t="shared" ref="AA1371:AA1378" si="834">SUM(AD1371:AS1371)</f>
        <v>0.5</v>
      </c>
      <c r="AB1371" s="1810">
        <f t="shared" ref="AB1371:AB1378" si="835">100*AA1371/Z1371</f>
        <v>50</v>
      </c>
      <c r="AC1371" s="876"/>
      <c r="AD1371" s="1525">
        <f t="shared" ref="AD1371:AS1378" si="836">SUMIF($AV$6:$BS$6,AD$5,$AV1371:$BS1371)</f>
        <v>0</v>
      </c>
      <c r="AE1371" s="1525">
        <f t="shared" si="836"/>
        <v>0</v>
      </c>
      <c r="AF1371" s="1525">
        <f t="shared" si="836"/>
        <v>0</v>
      </c>
      <c r="AG1371" s="1525">
        <f t="shared" si="836"/>
        <v>0</v>
      </c>
      <c r="AH1371" s="1525">
        <f t="shared" si="836"/>
        <v>0</v>
      </c>
      <c r="AI1371" s="1525">
        <f t="shared" si="836"/>
        <v>0</v>
      </c>
      <c r="AJ1371" s="1525">
        <f t="shared" si="836"/>
        <v>0</v>
      </c>
      <c r="AK1371" s="1525">
        <f t="shared" si="836"/>
        <v>0</v>
      </c>
      <c r="AL1371" s="1525">
        <f t="shared" si="836"/>
        <v>0</v>
      </c>
      <c r="AM1371" s="1525">
        <f t="shared" si="836"/>
        <v>0</v>
      </c>
      <c r="AN1371" s="1525">
        <f t="shared" si="836"/>
        <v>0.5</v>
      </c>
      <c r="AO1371" s="1525">
        <f t="shared" si="836"/>
        <v>0</v>
      </c>
      <c r="AP1371" s="1525">
        <f t="shared" si="836"/>
        <v>0</v>
      </c>
      <c r="AQ1371" s="1525">
        <f t="shared" si="836"/>
        <v>0</v>
      </c>
      <c r="AR1371" s="1525">
        <f t="shared" si="836"/>
        <v>0</v>
      </c>
      <c r="AS1371" s="1525">
        <f t="shared" si="836"/>
        <v>0</v>
      </c>
      <c r="AU1371" s="1525"/>
      <c r="AV1371" s="1295"/>
      <c r="AW1371" s="1525"/>
      <c r="AX1371" s="1525"/>
      <c r="AY1371" s="1525"/>
      <c r="AZ1371" s="1525"/>
      <c r="BA1371" s="1525"/>
      <c r="BB1371" s="1525"/>
      <c r="BC1371" s="1525"/>
      <c r="BD1371" s="1525"/>
      <c r="BE1371" s="1525"/>
      <c r="BF1371" s="1525">
        <v>0.5</v>
      </c>
      <c r="BG1371" s="1525"/>
      <c r="BH1371" s="1525"/>
      <c r="BI1371" s="1525"/>
      <c r="BJ1371" s="1525"/>
      <c r="BK1371" s="1525"/>
      <c r="BL1371" s="1525"/>
      <c r="BM1371" s="1525"/>
      <c r="BN1371" s="1525"/>
      <c r="BO1371" s="1525"/>
      <c r="BP1371" s="1525"/>
      <c r="BQ1371" s="1525"/>
      <c r="BR1371" s="1525"/>
      <c r="BS1371" s="1525"/>
      <c r="BT1371" s="1670">
        <f t="shared" ref="BT1371:BT1378" si="837">SUM(AV1371:BS1371)</f>
        <v>0.5</v>
      </c>
      <c r="BV1371"/>
      <c r="BW1371" s="856" t="s">
        <v>684</v>
      </c>
    </row>
    <row r="1372" spans="2:75" ht="12.75" customHeight="1" x14ac:dyDescent="0.2">
      <c r="B1372" s="175">
        <f t="shared" si="829"/>
        <v>2</v>
      </c>
      <c r="C1372" s="219">
        <v>9</v>
      </c>
      <c r="E1372" s="12" t="s">
        <v>1565</v>
      </c>
      <c r="F1372" s="1" t="s">
        <v>1396</v>
      </c>
      <c r="G1372" s="856" t="s">
        <v>1401</v>
      </c>
      <c r="H1372" s="858">
        <v>102762</v>
      </c>
      <c r="I1372" s="200" t="s">
        <v>351</v>
      </c>
      <c r="J1372" s="168"/>
      <c r="K1372" s="168"/>
      <c r="L1372" s="858">
        <v>1</v>
      </c>
      <c r="M1372" s="858">
        <v>1</v>
      </c>
      <c r="N1372" s="855" t="s">
        <v>892</v>
      </c>
      <c r="O1372" s="1196">
        <v>17199</v>
      </c>
      <c r="P1372" s="1218">
        <f t="shared" ca="1" si="830"/>
        <v>70.669444444444451</v>
      </c>
      <c r="Q1372" s="1148">
        <v>18300</v>
      </c>
      <c r="R1372" s="874"/>
      <c r="S1372" s="875"/>
      <c r="T1372" s="875"/>
      <c r="U1372" s="875"/>
      <c r="V1372" s="875"/>
      <c r="W1372" s="875"/>
      <c r="X1372" s="1026">
        <f t="shared" si="831"/>
        <v>18300</v>
      </c>
      <c r="Y1372" s="1512">
        <f t="shared" si="832"/>
        <v>0</v>
      </c>
      <c r="Z1372" s="1741">
        <f t="shared" si="833"/>
        <v>1</v>
      </c>
      <c r="AA1372" s="1749">
        <f t="shared" si="834"/>
        <v>0</v>
      </c>
      <c r="AB1372" s="1810">
        <f t="shared" si="835"/>
        <v>0</v>
      </c>
      <c r="AC1372" s="876"/>
      <c r="AD1372" s="1525">
        <f t="shared" si="836"/>
        <v>0</v>
      </c>
      <c r="AE1372" s="1525">
        <f t="shared" si="836"/>
        <v>0</v>
      </c>
      <c r="AF1372" s="1525">
        <f t="shared" si="836"/>
        <v>0</v>
      </c>
      <c r="AG1372" s="1525">
        <f t="shared" si="836"/>
        <v>0</v>
      </c>
      <c r="AH1372" s="1525">
        <f t="shared" si="836"/>
        <v>0</v>
      </c>
      <c r="AI1372" s="1525">
        <f t="shared" si="836"/>
        <v>0</v>
      </c>
      <c r="AJ1372" s="1525">
        <f t="shared" si="836"/>
        <v>0</v>
      </c>
      <c r="AK1372" s="1525">
        <f t="shared" si="836"/>
        <v>0</v>
      </c>
      <c r="AL1372" s="1525">
        <f t="shared" si="836"/>
        <v>0</v>
      </c>
      <c r="AM1372" s="1525">
        <f t="shared" si="836"/>
        <v>0</v>
      </c>
      <c r="AN1372" s="1525">
        <f t="shared" si="836"/>
        <v>0</v>
      </c>
      <c r="AO1372" s="1525">
        <f t="shared" si="836"/>
        <v>0</v>
      </c>
      <c r="AP1372" s="1525">
        <f t="shared" si="836"/>
        <v>0</v>
      </c>
      <c r="AQ1372" s="1525">
        <f t="shared" si="836"/>
        <v>0</v>
      </c>
      <c r="AR1372" s="1525">
        <f t="shared" si="836"/>
        <v>0</v>
      </c>
      <c r="AS1372" s="1525">
        <f t="shared" si="836"/>
        <v>0</v>
      </c>
      <c r="AU1372" s="1525"/>
      <c r="AV1372" s="1291"/>
      <c r="AW1372" s="1292"/>
      <c r="AX1372" s="1292"/>
      <c r="AY1372" s="1292"/>
      <c r="AZ1372" s="1292"/>
      <c r="BA1372" s="1292"/>
      <c r="BB1372" s="1292"/>
      <c r="BC1372" s="1292"/>
      <c r="BD1372" s="1292"/>
      <c r="BE1372" s="1292"/>
      <c r="BF1372" s="1292"/>
      <c r="BG1372" s="1292"/>
      <c r="BH1372" s="1292"/>
      <c r="BI1372" s="1292"/>
      <c r="BJ1372" s="1292"/>
      <c r="BK1372" s="1292"/>
      <c r="BL1372" s="1292"/>
      <c r="BM1372" s="1292"/>
      <c r="BN1372" s="1292"/>
      <c r="BO1372" s="1292"/>
      <c r="BP1372" s="1292"/>
      <c r="BQ1372" s="1292"/>
      <c r="BR1372" s="1292"/>
      <c r="BS1372" s="1292"/>
      <c r="BT1372" s="1670">
        <f t="shared" si="837"/>
        <v>0</v>
      </c>
      <c r="BW1372" s="856" t="s">
        <v>1401</v>
      </c>
    </row>
    <row r="1373" spans="2:75" ht="12.75" customHeight="1" x14ac:dyDescent="0.2">
      <c r="B1373" s="175">
        <f t="shared" si="829"/>
        <v>3</v>
      </c>
      <c r="C1373" s="219">
        <v>10</v>
      </c>
      <c r="E1373" s="12" t="s">
        <v>1565</v>
      </c>
      <c r="F1373" s="1" t="s">
        <v>558</v>
      </c>
      <c r="G1373" s="856" t="s">
        <v>1368</v>
      </c>
      <c r="H1373" s="858">
        <v>7426</v>
      </c>
      <c r="I1373" s="200" t="s">
        <v>351</v>
      </c>
      <c r="J1373" s="168"/>
      <c r="K1373" s="168"/>
      <c r="L1373" s="841">
        <v>0.5</v>
      </c>
      <c r="M1373" s="858">
        <f>K1373+L1373</f>
        <v>0.5</v>
      </c>
      <c r="N1373" s="855" t="s">
        <v>892</v>
      </c>
      <c r="O1373" s="1196">
        <v>15991</v>
      </c>
      <c r="P1373" s="1218">
        <f t="shared" ca="1" si="830"/>
        <v>73.972222222222229</v>
      </c>
      <c r="Q1373" s="1148">
        <v>27050</v>
      </c>
      <c r="R1373" s="874"/>
      <c r="S1373" s="875"/>
      <c r="T1373" s="875"/>
      <c r="U1373" s="875"/>
      <c r="V1373" s="875"/>
      <c r="W1373" s="875"/>
      <c r="X1373" s="1026">
        <f t="shared" si="831"/>
        <v>13525</v>
      </c>
      <c r="Y1373" s="1512">
        <f t="shared" si="832"/>
        <v>0</v>
      </c>
      <c r="Z1373" s="1741">
        <f t="shared" si="833"/>
        <v>0.5</v>
      </c>
      <c r="AA1373" s="1749">
        <f t="shared" si="834"/>
        <v>0</v>
      </c>
      <c r="AB1373" s="1810">
        <f t="shared" si="835"/>
        <v>0</v>
      </c>
      <c r="AC1373" s="876"/>
      <c r="AD1373" s="1525">
        <f t="shared" si="836"/>
        <v>0</v>
      </c>
      <c r="AE1373" s="1525">
        <f t="shared" si="836"/>
        <v>0</v>
      </c>
      <c r="AF1373" s="1525">
        <f t="shared" si="836"/>
        <v>0</v>
      </c>
      <c r="AG1373" s="1525">
        <f t="shared" si="836"/>
        <v>0</v>
      </c>
      <c r="AH1373" s="1525">
        <f t="shared" si="836"/>
        <v>0</v>
      </c>
      <c r="AI1373" s="1525">
        <f t="shared" si="836"/>
        <v>0</v>
      </c>
      <c r="AJ1373" s="1525">
        <f t="shared" si="836"/>
        <v>0</v>
      </c>
      <c r="AK1373" s="1525">
        <f t="shared" si="836"/>
        <v>0</v>
      </c>
      <c r="AL1373" s="1525">
        <f t="shared" si="836"/>
        <v>0</v>
      </c>
      <c r="AM1373" s="1525">
        <f t="shared" si="836"/>
        <v>0</v>
      </c>
      <c r="AN1373" s="1525">
        <f t="shared" si="836"/>
        <v>0</v>
      </c>
      <c r="AO1373" s="1525">
        <f t="shared" si="836"/>
        <v>0</v>
      </c>
      <c r="AP1373" s="1525">
        <f t="shared" si="836"/>
        <v>0</v>
      </c>
      <c r="AQ1373" s="1525">
        <f t="shared" si="836"/>
        <v>0</v>
      </c>
      <c r="AR1373" s="1525">
        <f t="shared" si="836"/>
        <v>0</v>
      </c>
      <c r="AS1373" s="1525">
        <f t="shared" si="836"/>
        <v>0</v>
      </c>
      <c r="AU1373" s="1525"/>
      <c r="AV1373" s="1291"/>
      <c r="AW1373" s="1292"/>
      <c r="AX1373" s="1292"/>
      <c r="AY1373" s="1292"/>
      <c r="AZ1373" s="1292"/>
      <c r="BA1373" s="1292"/>
      <c r="BB1373" s="1292"/>
      <c r="BC1373" s="1292"/>
      <c r="BD1373" s="1292"/>
      <c r="BE1373" s="1292"/>
      <c r="BF1373" s="1292"/>
      <c r="BG1373" s="1292"/>
      <c r="BH1373" s="1292"/>
      <c r="BI1373" s="1292"/>
      <c r="BJ1373" s="1292"/>
      <c r="BK1373" s="1292"/>
      <c r="BL1373" s="1292"/>
      <c r="BM1373" s="1292"/>
      <c r="BN1373" s="1292"/>
      <c r="BO1373" s="1292"/>
      <c r="BP1373" s="1292"/>
      <c r="BQ1373" s="1292"/>
      <c r="BR1373" s="1292"/>
      <c r="BS1373" s="1292"/>
      <c r="BT1373" s="1670">
        <f t="shared" si="837"/>
        <v>0</v>
      </c>
      <c r="BW1373" s="856" t="s">
        <v>1368</v>
      </c>
    </row>
    <row r="1374" spans="2:75" ht="12.75" customHeight="1" x14ac:dyDescent="0.2">
      <c r="B1374" s="175">
        <f t="shared" si="829"/>
        <v>4</v>
      </c>
      <c r="C1374" s="219">
        <v>26</v>
      </c>
      <c r="E1374" s="12" t="s">
        <v>1565</v>
      </c>
      <c r="F1374" s="1" t="s">
        <v>41</v>
      </c>
      <c r="G1374" s="856" t="s">
        <v>685</v>
      </c>
      <c r="H1374" s="858">
        <v>75492</v>
      </c>
      <c r="I1374" s="172" t="s">
        <v>583</v>
      </c>
      <c r="J1374" s="168"/>
      <c r="K1374" s="168"/>
      <c r="L1374" s="841">
        <v>1</v>
      </c>
      <c r="M1374" s="858">
        <f>K1374+L1374</f>
        <v>1</v>
      </c>
      <c r="N1374" s="855" t="s">
        <v>892</v>
      </c>
      <c r="O1374" s="1196">
        <v>27725</v>
      </c>
      <c r="P1374" s="1218">
        <f t="shared" ca="1" si="830"/>
        <v>41.847222222222221</v>
      </c>
      <c r="Q1374" s="1148">
        <v>15600</v>
      </c>
      <c r="R1374" s="874"/>
      <c r="S1374" s="875"/>
      <c r="T1374" s="875"/>
      <c r="U1374" s="875"/>
      <c r="V1374" s="875"/>
      <c r="W1374" s="875"/>
      <c r="X1374" s="1026">
        <f t="shared" si="831"/>
        <v>15600</v>
      </c>
      <c r="Y1374" s="1512">
        <f t="shared" si="832"/>
        <v>0</v>
      </c>
      <c r="Z1374" s="1741">
        <f t="shared" si="833"/>
        <v>1</v>
      </c>
      <c r="AA1374" s="1749">
        <f t="shared" si="834"/>
        <v>0</v>
      </c>
      <c r="AB1374" s="1810">
        <f t="shared" si="835"/>
        <v>0</v>
      </c>
      <c r="AC1374" s="876"/>
      <c r="AD1374" s="1525">
        <f t="shared" si="836"/>
        <v>0</v>
      </c>
      <c r="AE1374" s="1525">
        <f t="shared" si="836"/>
        <v>0</v>
      </c>
      <c r="AF1374" s="1525">
        <f t="shared" si="836"/>
        <v>0</v>
      </c>
      <c r="AG1374" s="1525">
        <f t="shared" si="836"/>
        <v>0</v>
      </c>
      <c r="AH1374" s="1525">
        <f t="shared" si="836"/>
        <v>0</v>
      </c>
      <c r="AI1374" s="1525">
        <f t="shared" si="836"/>
        <v>0</v>
      </c>
      <c r="AJ1374" s="1525">
        <f t="shared" si="836"/>
        <v>0</v>
      </c>
      <c r="AK1374" s="1525">
        <f t="shared" si="836"/>
        <v>0</v>
      </c>
      <c r="AL1374" s="1525">
        <f t="shared" si="836"/>
        <v>0</v>
      </c>
      <c r="AM1374" s="1525">
        <f t="shared" si="836"/>
        <v>0</v>
      </c>
      <c r="AN1374" s="1525">
        <f t="shared" si="836"/>
        <v>0</v>
      </c>
      <c r="AO1374" s="1525">
        <f t="shared" si="836"/>
        <v>0</v>
      </c>
      <c r="AP1374" s="1525">
        <f t="shared" si="836"/>
        <v>0</v>
      </c>
      <c r="AQ1374" s="1525">
        <f t="shared" si="836"/>
        <v>0</v>
      </c>
      <c r="AR1374" s="1525">
        <f t="shared" si="836"/>
        <v>0</v>
      </c>
      <c r="AS1374" s="1525">
        <f t="shared" si="836"/>
        <v>0</v>
      </c>
      <c r="AU1374" s="1525"/>
      <c r="AV1374" s="1291"/>
      <c r="AW1374" s="1292"/>
      <c r="AX1374" s="1292"/>
      <c r="AY1374" s="1292"/>
      <c r="AZ1374" s="1292"/>
      <c r="BA1374" s="1292"/>
      <c r="BB1374" s="1292"/>
      <c r="BC1374" s="1292"/>
      <c r="BD1374" s="1292"/>
      <c r="BE1374" s="1292"/>
      <c r="BF1374" s="1292"/>
      <c r="BG1374" s="1292"/>
      <c r="BH1374" s="1292"/>
      <c r="BI1374" s="1292"/>
      <c r="BJ1374" s="1292"/>
      <c r="BK1374" s="1292"/>
      <c r="BL1374" s="1292"/>
      <c r="BM1374" s="1292"/>
      <c r="BN1374" s="1292"/>
      <c r="BO1374" s="1292"/>
      <c r="BP1374" s="1292"/>
      <c r="BQ1374" s="1292"/>
      <c r="BR1374" s="1292"/>
      <c r="BS1374" s="1292"/>
      <c r="BT1374" s="1670">
        <f t="shared" si="837"/>
        <v>0</v>
      </c>
      <c r="BW1374" s="856" t="s">
        <v>685</v>
      </c>
    </row>
    <row r="1375" spans="2:75" ht="12.75" customHeight="1" x14ac:dyDescent="0.2">
      <c r="B1375" s="175">
        <f t="shared" si="829"/>
        <v>5</v>
      </c>
      <c r="C1375" s="219">
        <v>17</v>
      </c>
      <c r="E1375" s="12" t="s">
        <v>1565</v>
      </c>
      <c r="F1375" s="37" t="s">
        <v>1639</v>
      </c>
      <c r="G1375" s="856" t="s">
        <v>1662</v>
      </c>
      <c r="H1375" s="858">
        <v>141788</v>
      </c>
      <c r="I1375" s="172" t="s">
        <v>583</v>
      </c>
      <c r="J1375" s="168"/>
      <c r="K1375" s="168"/>
      <c r="L1375" s="841">
        <v>0.25</v>
      </c>
      <c r="M1375" s="858">
        <v>0.25</v>
      </c>
      <c r="N1375" s="855" t="s">
        <v>892</v>
      </c>
      <c r="O1375" s="1196">
        <v>25966</v>
      </c>
      <c r="P1375" s="1218">
        <f t="shared" ca="1" si="830"/>
        <v>46.666666666666664</v>
      </c>
      <c r="Q1375" s="1148">
        <v>25200</v>
      </c>
      <c r="R1375" s="874"/>
      <c r="S1375" s="875"/>
      <c r="T1375" s="875"/>
      <c r="U1375" s="875"/>
      <c r="V1375" s="875"/>
      <c r="W1375" s="875"/>
      <c r="X1375" s="1026">
        <f t="shared" si="831"/>
        <v>6300</v>
      </c>
      <c r="Y1375" s="1512">
        <f t="shared" si="832"/>
        <v>0</v>
      </c>
      <c r="Z1375" s="1741">
        <f t="shared" si="833"/>
        <v>0.25</v>
      </c>
      <c r="AA1375" s="1749">
        <f t="shared" si="834"/>
        <v>0</v>
      </c>
      <c r="AB1375" s="1810">
        <f t="shared" si="835"/>
        <v>0</v>
      </c>
      <c r="AC1375" s="876"/>
      <c r="AD1375" s="1525">
        <f t="shared" si="836"/>
        <v>0</v>
      </c>
      <c r="AE1375" s="1525">
        <f t="shared" si="836"/>
        <v>0</v>
      </c>
      <c r="AF1375" s="1525">
        <f t="shared" si="836"/>
        <v>0</v>
      </c>
      <c r="AG1375" s="1525">
        <f t="shared" si="836"/>
        <v>0</v>
      </c>
      <c r="AH1375" s="1525">
        <f t="shared" si="836"/>
        <v>0</v>
      </c>
      <c r="AI1375" s="1525">
        <f t="shared" si="836"/>
        <v>0</v>
      </c>
      <c r="AJ1375" s="1525">
        <f t="shared" si="836"/>
        <v>0</v>
      </c>
      <c r="AK1375" s="1525">
        <f t="shared" si="836"/>
        <v>0</v>
      </c>
      <c r="AL1375" s="1525">
        <f t="shared" si="836"/>
        <v>0</v>
      </c>
      <c r="AM1375" s="1525">
        <f t="shared" si="836"/>
        <v>0</v>
      </c>
      <c r="AN1375" s="1525">
        <f t="shared" si="836"/>
        <v>0</v>
      </c>
      <c r="AO1375" s="1525">
        <f t="shared" si="836"/>
        <v>0</v>
      </c>
      <c r="AP1375" s="1525">
        <f t="shared" si="836"/>
        <v>0</v>
      </c>
      <c r="AQ1375" s="1525">
        <f t="shared" si="836"/>
        <v>0</v>
      </c>
      <c r="AR1375" s="1525">
        <f t="shared" si="836"/>
        <v>0</v>
      </c>
      <c r="AS1375" s="1525">
        <f t="shared" si="836"/>
        <v>0</v>
      </c>
      <c r="AU1375" s="1525"/>
      <c r="AV1375" s="1291"/>
      <c r="AW1375" s="1292"/>
      <c r="AX1375" s="1292"/>
      <c r="AY1375" s="1292"/>
      <c r="AZ1375" s="1292"/>
      <c r="BA1375" s="1292"/>
      <c r="BB1375" s="1292"/>
      <c r="BC1375" s="1292"/>
      <c r="BD1375" s="1292"/>
      <c r="BE1375" s="1292"/>
      <c r="BF1375" s="1292"/>
      <c r="BG1375" s="1292"/>
      <c r="BH1375" s="1292"/>
      <c r="BI1375" s="1292"/>
      <c r="BJ1375" s="1292"/>
      <c r="BK1375" s="1292"/>
      <c r="BL1375" s="1292"/>
      <c r="BM1375" s="1292"/>
      <c r="BN1375" s="1292"/>
      <c r="BO1375" s="1292"/>
      <c r="BP1375" s="1292"/>
      <c r="BQ1375" s="1292"/>
      <c r="BR1375" s="1292"/>
      <c r="BS1375" s="1292"/>
      <c r="BT1375" s="1670">
        <f t="shared" si="837"/>
        <v>0</v>
      </c>
      <c r="BW1375" s="856" t="s">
        <v>1662</v>
      </c>
    </row>
    <row r="1376" spans="2:75" ht="12.75" customHeight="1" x14ac:dyDescent="0.2">
      <c r="B1376" s="175">
        <f t="shared" si="829"/>
        <v>6</v>
      </c>
      <c r="C1376" s="219">
        <v>17</v>
      </c>
      <c r="E1376" s="12" t="s">
        <v>1565</v>
      </c>
      <c r="F1376" s="37" t="s">
        <v>1639</v>
      </c>
      <c r="G1376" s="856" t="s">
        <v>1663</v>
      </c>
      <c r="H1376" s="858">
        <v>293803</v>
      </c>
      <c r="I1376" s="172" t="s">
        <v>583</v>
      </c>
      <c r="J1376" s="168"/>
      <c r="K1376" s="168"/>
      <c r="L1376" s="841">
        <v>1</v>
      </c>
      <c r="M1376" s="858">
        <v>1</v>
      </c>
      <c r="N1376" s="855" t="s">
        <v>892</v>
      </c>
      <c r="O1376" s="1196">
        <v>23382</v>
      </c>
      <c r="P1376" s="1218">
        <f t="shared" ca="1" si="830"/>
        <v>53.738888888888887</v>
      </c>
      <c r="Q1376" s="1148">
        <v>18200</v>
      </c>
      <c r="R1376" s="874"/>
      <c r="S1376" s="875"/>
      <c r="T1376" s="875">
        <v>5000</v>
      </c>
      <c r="U1376" s="875"/>
      <c r="V1376" s="875"/>
      <c r="W1376" s="875"/>
      <c r="X1376" s="1026">
        <f t="shared" si="831"/>
        <v>23200</v>
      </c>
      <c r="Y1376" s="1512">
        <f t="shared" si="832"/>
        <v>0.27472527472527475</v>
      </c>
      <c r="Z1376" s="1741">
        <f t="shared" si="833"/>
        <v>1.2747252747252746</v>
      </c>
      <c r="AA1376" s="1749">
        <f t="shared" si="834"/>
        <v>0</v>
      </c>
      <c r="AB1376" s="1810">
        <f t="shared" si="835"/>
        <v>0</v>
      </c>
      <c r="AC1376" s="876"/>
      <c r="AD1376" s="1525">
        <f t="shared" si="836"/>
        <v>0</v>
      </c>
      <c r="AE1376" s="1525">
        <f t="shared" si="836"/>
        <v>0</v>
      </c>
      <c r="AF1376" s="1525">
        <f t="shared" si="836"/>
        <v>0</v>
      </c>
      <c r="AG1376" s="1525">
        <f t="shared" si="836"/>
        <v>0</v>
      </c>
      <c r="AH1376" s="1525">
        <f t="shared" si="836"/>
        <v>0</v>
      </c>
      <c r="AI1376" s="1525">
        <f t="shared" si="836"/>
        <v>0</v>
      </c>
      <c r="AJ1376" s="1525">
        <f t="shared" si="836"/>
        <v>0</v>
      </c>
      <c r="AK1376" s="1525">
        <f t="shared" si="836"/>
        <v>0</v>
      </c>
      <c r="AL1376" s="1525">
        <f t="shared" si="836"/>
        <v>0</v>
      </c>
      <c r="AM1376" s="1525">
        <f t="shared" si="836"/>
        <v>0</v>
      </c>
      <c r="AN1376" s="1525">
        <f t="shared" si="836"/>
        <v>0</v>
      </c>
      <c r="AO1376" s="1525">
        <f t="shared" si="836"/>
        <v>0</v>
      </c>
      <c r="AP1376" s="1525">
        <f t="shared" si="836"/>
        <v>0</v>
      </c>
      <c r="AQ1376" s="1525">
        <f t="shared" si="836"/>
        <v>0</v>
      </c>
      <c r="AR1376" s="1525">
        <f t="shared" si="836"/>
        <v>0</v>
      </c>
      <c r="AS1376" s="1525">
        <f t="shared" si="836"/>
        <v>0</v>
      </c>
      <c r="AU1376" s="1525"/>
      <c r="AV1376" s="1291"/>
      <c r="AW1376" s="1292"/>
      <c r="AX1376" s="1292"/>
      <c r="AY1376" s="1292"/>
      <c r="AZ1376" s="1292"/>
      <c r="BA1376" s="1292"/>
      <c r="BB1376" s="1292"/>
      <c r="BC1376" s="1292"/>
      <c r="BD1376" s="1292"/>
      <c r="BE1376" s="1292"/>
      <c r="BF1376" s="1292"/>
      <c r="BG1376" s="1292"/>
      <c r="BH1376" s="1292"/>
      <c r="BI1376" s="1292"/>
      <c r="BJ1376" s="1292"/>
      <c r="BK1376" s="1292"/>
      <c r="BL1376" s="1292"/>
      <c r="BM1376" s="1292"/>
      <c r="BN1376" s="1292"/>
      <c r="BO1376" s="1292"/>
      <c r="BP1376" s="1292"/>
      <c r="BQ1376" s="1292"/>
      <c r="BR1376" s="1292"/>
      <c r="BS1376" s="1292"/>
      <c r="BT1376" s="1670">
        <f t="shared" si="837"/>
        <v>0</v>
      </c>
      <c r="BW1376" s="856" t="s">
        <v>1663</v>
      </c>
    </row>
    <row r="1377" spans="2:75" ht="12.75" customHeight="1" x14ac:dyDescent="0.2">
      <c r="B1377" s="175">
        <f t="shared" si="829"/>
        <v>7</v>
      </c>
      <c r="C1377" s="219">
        <v>18</v>
      </c>
      <c r="E1377" s="12" t="s">
        <v>1565</v>
      </c>
      <c r="F1377" s="1" t="s">
        <v>517</v>
      </c>
      <c r="G1377" s="856" t="s">
        <v>908</v>
      </c>
      <c r="H1377" s="858">
        <v>80254</v>
      </c>
      <c r="I1377" s="172" t="s">
        <v>1442</v>
      </c>
      <c r="J1377" s="168"/>
      <c r="K1377" s="168"/>
      <c r="L1377" s="841">
        <v>0.5</v>
      </c>
      <c r="M1377" s="858">
        <f>K1377+L1377</f>
        <v>0.5</v>
      </c>
      <c r="N1377" s="836" t="s">
        <v>1402</v>
      </c>
      <c r="O1377" s="1196">
        <v>23659</v>
      </c>
      <c r="P1377" s="1218">
        <f t="shared" ca="1" si="830"/>
        <v>52.980555555555554</v>
      </c>
      <c r="Q1377" s="1148">
        <v>14400</v>
      </c>
      <c r="R1377" s="874">
        <f>Q1377*0.1</f>
        <v>1440</v>
      </c>
      <c r="S1377" s="875"/>
      <c r="T1377" s="875"/>
      <c r="U1377" s="875"/>
      <c r="V1377" s="875"/>
      <c r="W1377" s="875"/>
      <c r="X1377" s="1026">
        <f t="shared" si="831"/>
        <v>7920</v>
      </c>
      <c r="Y1377" s="1512">
        <f t="shared" si="832"/>
        <v>0</v>
      </c>
      <c r="Z1377" s="1741">
        <f t="shared" si="833"/>
        <v>0.5</v>
      </c>
      <c r="AA1377" s="1749">
        <f t="shared" si="834"/>
        <v>0</v>
      </c>
      <c r="AB1377" s="1810">
        <f t="shared" si="835"/>
        <v>0</v>
      </c>
      <c r="AC1377" s="876"/>
      <c r="AD1377" s="1525">
        <f t="shared" si="836"/>
        <v>0</v>
      </c>
      <c r="AE1377" s="1525">
        <f t="shared" si="836"/>
        <v>0</v>
      </c>
      <c r="AF1377" s="1525">
        <f t="shared" si="836"/>
        <v>0</v>
      </c>
      <c r="AG1377" s="1525">
        <f t="shared" si="836"/>
        <v>0</v>
      </c>
      <c r="AH1377" s="1525">
        <f t="shared" si="836"/>
        <v>0</v>
      </c>
      <c r="AI1377" s="1525">
        <f t="shared" si="836"/>
        <v>0</v>
      </c>
      <c r="AJ1377" s="1525">
        <f t="shared" si="836"/>
        <v>0</v>
      </c>
      <c r="AK1377" s="1525">
        <f t="shared" si="836"/>
        <v>0</v>
      </c>
      <c r="AL1377" s="1525">
        <f t="shared" si="836"/>
        <v>0</v>
      </c>
      <c r="AM1377" s="1525">
        <f t="shared" si="836"/>
        <v>0</v>
      </c>
      <c r="AN1377" s="1525">
        <f t="shared" si="836"/>
        <v>0</v>
      </c>
      <c r="AO1377" s="1525">
        <f t="shared" si="836"/>
        <v>0</v>
      </c>
      <c r="AP1377" s="1525">
        <f t="shared" si="836"/>
        <v>0</v>
      </c>
      <c r="AQ1377" s="1525">
        <f t="shared" si="836"/>
        <v>0</v>
      </c>
      <c r="AR1377" s="1525">
        <f t="shared" si="836"/>
        <v>0</v>
      </c>
      <c r="AS1377" s="1525">
        <f t="shared" si="836"/>
        <v>0</v>
      </c>
      <c r="AU1377" s="1525"/>
      <c r="AV1377" s="1291"/>
      <c r="AW1377" s="1292"/>
      <c r="AX1377" s="1292"/>
      <c r="AY1377" s="1292"/>
      <c r="AZ1377" s="1292"/>
      <c r="BA1377" s="1292"/>
      <c r="BB1377" s="1292"/>
      <c r="BC1377" s="1292"/>
      <c r="BD1377" s="1292"/>
      <c r="BE1377" s="1292"/>
      <c r="BF1377" s="1292"/>
      <c r="BG1377" s="1292"/>
      <c r="BH1377" s="1292"/>
      <c r="BI1377" s="1292"/>
      <c r="BJ1377" s="1292"/>
      <c r="BK1377" s="1292"/>
      <c r="BL1377" s="1292"/>
      <c r="BM1377" s="1292"/>
      <c r="BN1377" s="1292"/>
      <c r="BO1377" s="1292"/>
      <c r="BP1377" s="1292"/>
      <c r="BQ1377" s="1292"/>
      <c r="BR1377" s="1292"/>
      <c r="BS1377" s="1292"/>
      <c r="BT1377" s="1670">
        <f t="shared" si="837"/>
        <v>0</v>
      </c>
      <c r="BW1377" s="856" t="s">
        <v>908</v>
      </c>
    </row>
    <row r="1378" spans="2:75" ht="12.75" customHeight="1" x14ac:dyDescent="0.2">
      <c r="B1378" s="175">
        <f t="shared" si="829"/>
        <v>8</v>
      </c>
      <c r="C1378" s="219">
        <v>18</v>
      </c>
      <c r="E1378" s="12" t="s">
        <v>1565</v>
      </c>
      <c r="F1378" s="1" t="s">
        <v>518</v>
      </c>
      <c r="G1378" s="945" t="s">
        <v>909</v>
      </c>
      <c r="H1378" s="873">
        <v>7167</v>
      </c>
      <c r="I1378" s="176" t="s">
        <v>108</v>
      </c>
      <c r="J1378" s="177"/>
      <c r="K1378" s="177"/>
      <c r="L1378" s="944">
        <v>0.5</v>
      </c>
      <c r="M1378" s="873">
        <f>K1378+L1378</f>
        <v>0.5</v>
      </c>
      <c r="N1378" s="872" t="s">
        <v>1402</v>
      </c>
      <c r="O1378" s="1211">
        <v>17467</v>
      </c>
      <c r="P1378" s="1218">
        <f t="shared" ca="1" si="830"/>
        <v>69.930555555555557</v>
      </c>
      <c r="Q1378" s="1071">
        <v>15100</v>
      </c>
      <c r="R1378" s="890">
        <f>Q1378*0.1</f>
        <v>1510</v>
      </c>
      <c r="S1378" s="891"/>
      <c r="T1378" s="891"/>
      <c r="U1378" s="891"/>
      <c r="V1378" s="891"/>
      <c r="W1378" s="891"/>
      <c r="X1378" s="1026">
        <f t="shared" si="831"/>
        <v>8305</v>
      </c>
      <c r="Y1378" s="1512">
        <f t="shared" si="832"/>
        <v>0</v>
      </c>
      <c r="Z1378" s="1741">
        <f t="shared" si="833"/>
        <v>0.5</v>
      </c>
      <c r="AA1378" s="1749">
        <f t="shared" si="834"/>
        <v>0</v>
      </c>
      <c r="AB1378" s="1810">
        <f t="shared" si="835"/>
        <v>0</v>
      </c>
      <c r="AC1378" s="876"/>
      <c r="AD1378" s="1525">
        <f t="shared" si="836"/>
        <v>0</v>
      </c>
      <c r="AE1378" s="1525">
        <f t="shared" si="836"/>
        <v>0</v>
      </c>
      <c r="AF1378" s="1525">
        <f t="shared" si="836"/>
        <v>0</v>
      </c>
      <c r="AG1378" s="1525">
        <f t="shared" si="836"/>
        <v>0</v>
      </c>
      <c r="AH1378" s="1525">
        <f t="shared" si="836"/>
        <v>0</v>
      </c>
      <c r="AI1378" s="1525">
        <f t="shared" si="836"/>
        <v>0</v>
      </c>
      <c r="AJ1378" s="1525">
        <f t="shared" si="836"/>
        <v>0</v>
      </c>
      <c r="AK1378" s="1525">
        <f t="shared" si="836"/>
        <v>0</v>
      </c>
      <c r="AL1378" s="1525">
        <f t="shared" si="836"/>
        <v>0</v>
      </c>
      <c r="AM1378" s="1525">
        <f t="shared" si="836"/>
        <v>0</v>
      </c>
      <c r="AN1378" s="1525">
        <f t="shared" si="836"/>
        <v>0</v>
      </c>
      <c r="AO1378" s="1525">
        <f t="shared" si="836"/>
        <v>0</v>
      </c>
      <c r="AP1378" s="1525">
        <f t="shared" si="836"/>
        <v>0</v>
      </c>
      <c r="AQ1378" s="1525">
        <f t="shared" si="836"/>
        <v>0</v>
      </c>
      <c r="AR1378" s="1525">
        <f t="shared" si="836"/>
        <v>0</v>
      </c>
      <c r="AS1378" s="1525">
        <f t="shared" si="836"/>
        <v>0</v>
      </c>
      <c r="AU1378" s="1525"/>
      <c r="AV1378" s="1291"/>
      <c r="AW1378" s="1292"/>
      <c r="AX1378" s="1292"/>
      <c r="AY1378" s="1292"/>
      <c r="AZ1378" s="1292"/>
      <c r="BA1378" s="1292"/>
      <c r="BB1378" s="1292"/>
      <c r="BC1378" s="1292"/>
      <c r="BD1378" s="1292"/>
      <c r="BE1378" s="1292"/>
      <c r="BF1378" s="1292"/>
      <c r="BG1378" s="1292"/>
      <c r="BH1378" s="1292"/>
      <c r="BI1378" s="1292"/>
      <c r="BJ1378" s="1292"/>
      <c r="BK1378" s="1292"/>
      <c r="BL1378" s="1292"/>
      <c r="BM1378" s="1292"/>
      <c r="BN1378" s="1292"/>
      <c r="BO1378" s="1292"/>
      <c r="BP1378" s="1292"/>
      <c r="BQ1378" s="1292"/>
      <c r="BR1378" s="1292"/>
      <c r="BS1378" s="1292"/>
      <c r="BT1378" s="1670">
        <f t="shared" si="837"/>
        <v>0</v>
      </c>
      <c r="BW1378" s="945" t="s">
        <v>909</v>
      </c>
    </row>
    <row r="1379" spans="2:75" s="164" customFormat="1" ht="12.75" customHeight="1" x14ac:dyDescent="0.15">
      <c r="B1379" s="175"/>
      <c r="C1379" s="219" t="s">
        <v>1120</v>
      </c>
      <c r="F1379" s="4" t="s">
        <v>339</v>
      </c>
      <c r="G1379" s="856"/>
      <c r="H1379" s="1346" t="s">
        <v>1508</v>
      </c>
      <c r="I1379" s="243"/>
      <c r="J1379" s="209"/>
      <c r="K1379" s="1123">
        <f t="shared" ref="K1379:L1379" si="838">SUM(K1371:K1378)</f>
        <v>0</v>
      </c>
      <c r="L1379" s="1123">
        <f t="shared" si="838"/>
        <v>5.75</v>
      </c>
      <c r="M1379" s="1123">
        <f>SUM(M1371:M1378)</f>
        <v>5.75</v>
      </c>
      <c r="N1379" s="855"/>
      <c r="O1379" s="1200"/>
      <c r="P1379" s="550"/>
      <c r="Q1379" s="1153"/>
      <c r="R1379" s="877"/>
      <c r="S1379" s="875"/>
      <c r="T1379" s="875"/>
      <c r="U1379" s="875"/>
      <c r="V1379" s="875"/>
      <c r="W1379" s="875"/>
      <c r="X1379" s="1026"/>
      <c r="Y1379" s="875"/>
      <c r="Z1379" s="875"/>
      <c r="AA1379" s="1775"/>
      <c r="AB1379" s="1814"/>
      <c r="AC1379" s="876"/>
      <c r="AD1379" s="1295"/>
      <c r="AE1379" s="1525"/>
      <c r="AF1379" s="1525"/>
      <c r="AG1379" s="1525"/>
      <c r="AH1379" s="1525"/>
      <c r="AI1379" s="1525"/>
      <c r="AJ1379" s="1525"/>
      <c r="AK1379" s="1525"/>
      <c r="AL1379" s="1525"/>
      <c r="AM1379" s="1525"/>
      <c r="AN1379" s="1525"/>
      <c r="AO1379" s="1525"/>
      <c r="AP1379" s="1525"/>
      <c r="AQ1379" s="1525"/>
      <c r="AR1379" s="1525"/>
      <c r="AS1379" s="1525"/>
      <c r="AU1379" s="1525"/>
      <c r="AV1379" s="1295"/>
      <c r="AW1379" s="1525"/>
      <c r="AX1379" s="1525"/>
      <c r="AY1379" s="1525"/>
      <c r="AZ1379" s="1525"/>
      <c r="BA1379" s="1525"/>
      <c r="BB1379" s="1525"/>
      <c r="BC1379" s="1525"/>
      <c r="BD1379" s="1525"/>
      <c r="BE1379" s="1525"/>
      <c r="BF1379" s="1525"/>
      <c r="BG1379" s="1525"/>
      <c r="BH1379" s="1525"/>
      <c r="BI1379" s="1525"/>
      <c r="BJ1379" s="1525"/>
      <c r="BK1379" s="1525"/>
      <c r="BL1379" s="1525"/>
      <c r="BM1379" s="1525"/>
      <c r="BN1379" s="1525"/>
      <c r="BO1379" s="1525"/>
      <c r="BP1379" s="1525"/>
      <c r="BQ1379" s="1525"/>
      <c r="BR1379" s="1525"/>
      <c r="BS1379" s="1525"/>
      <c r="BT1379" s="1670"/>
      <c r="BV1379"/>
      <c r="BW1379" s="856"/>
    </row>
    <row r="1380" spans="2:75" s="164" customFormat="1" ht="12.75" customHeight="1" x14ac:dyDescent="0.15">
      <c r="B1380" s="175"/>
      <c r="F1380" s="1"/>
      <c r="G1380" s="856"/>
      <c r="H1380" s="1364" t="s">
        <v>1508</v>
      </c>
      <c r="I1380" s="172"/>
      <c r="J1380" s="168"/>
      <c r="K1380" s="168"/>
      <c r="L1380" s="841"/>
      <c r="M1380" s="841"/>
      <c r="N1380" s="855"/>
      <c r="O1380" s="1200"/>
      <c r="P1380" s="550"/>
      <c r="Q1380" s="1148"/>
      <c r="R1380" s="874"/>
      <c r="S1380" s="875"/>
      <c r="T1380" s="875"/>
      <c r="U1380" s="875"/>
      <c r="V1380" s="875"/>
      <c r="W1380" s="875"/>
      <c r="X1380" s="1026"/>
      <c r="Y1380" s="1757"/>
      <c r="Z1380" s="1756"/>
      <c r="AA1380" s="1775"/>
      <c r="AB1380" s="1814"/>
      <c r="AC1380" s="876"/>
      <c r="AD1380" s="1295"/>
      <c r="AE1380" s="1525"/>
      <c r="AF1380" s="1525"/>
      <c r="AG1380" s="1525"/>
      <c r="AH1380" s="1525"/>
      <c r="AI1380" s="1525"/>
      <c r="AJ1380" s="1525"/>
      <c r="AK1380" s="1525"/>
      <c r="AL1380" s="1525"/>
      <c r="AM1380" s="1525"/>
      <c r="AN1380" s="1525"/>
      <c r="AO1380" s="1525"/>
      <c r="AP1380" s="1525"/>
      <c r="AQ1380" s="1525"/>
      <c r="AR1380" s="1525"/>
      <c r="AS1380" s="1525"/>
      <c r="AU1380" s="1525"/>
      <c r="AV1380" s="1295"/>
      <c r="AW1380" s="1525"/>
      <c r="AX1380" s="1525"/>
      <c r="AY1380" s="1525"/>
      <c r="AZ1380" s="1525"/>
      <c r="BA1380" s="1525"/>
      <c r="BB1380" s="1525"/>
      <c r="BC1380" s="1525"/>
      <c r="BD1380" s="1525"/>
      <c r="BE1380" s="1525"/>
      <c r="BF1380" s="1525"/>
      <c r="BG1380" s="1525"/>
      <c r="BH1380" s="1525"/>
      <c r="BI1380" s="1525"/>
      <c r="BJ1380" s="1525"/>
      <c r="BK1380" s="1525"/>
      <c r="BL1380" s="1525"/>
      <c r="BM1380" s="1525"/>
      <c r="BN1380" s="1525"/>
      <c r="BO1380" s="1525"/>
      <c r="BP1380" s="1525"/>
      <c r="BQ1380" s="1525"/>
      <c r="BR1380" s="1525"/>
      <c r="BS1380" s="1525"/>
      <c r="BT1380" s="1670"/>
      <c r="BV1380"/>
      <c r="BW1380" s="856"/>
    </row>
    <row r="1381" spans="2:75" s="164" customFormat="1" ht="12.75" customHeight="1" thickBot="1" x14ac:dyDescent="0.2">
      <c r="B1381" s="175"/>
      <c r="F1381" s="39"/>
      <c r="G1381" s="995"/>
      <c r="H1381" s="1395" t="s">
        <v>1508</v>
      </c>
      <c r="I1381" s="230"/>
      <c r="J1381" s="207"/>
      <c r="K1381" s="207"/>
      <c r="L1381" s="994"/>
      <c r="M1381" s="994"/>
      <c r="N1381" s="996"/>
      <c r="O1381" s="996"/>
      <c r="P1381" s="1254"/>
      <c r="Q1381" s="1182"/>
      <c r="R1381" s="1067"/>
      <c r="S1381" s="1068"/>
      <c r="T1381" s="1068"/>
      <c r="U1381" s="1068"/>
      <c r="V1381" s="1068"/>
      <c r="W1381" s="1068"/>
      <c r="X1381" s="1720"/>
      <c r="Y1381" s="1757"/>
      <c r="Z1381" s="1756"/>
      <c r="AA1381" s="1775"/>
      <c r="AB1381" s="1814"/>
      <c r="AC1381" s="876"/>
      <c r="AD1381" s="1295"/>
      <c r="AE1381" s="1525"/>
      <c r="AF1381" s="1525"/>
      <c r="AG1381" s="1525"/>
      <c r="AH1381" s="1525"/>
      <c r="AI1381" s="1525"/>
      <c r="AJ1381" s="1525"/>
      <c r="AK1381" s="1525"/>
      <c r="AL1381" s="1525"/>
      <c r="AM1381" s="1525"/>
      <c r="AN1381" s="1525"/>
      <c r="AO1381" s="1525"/>
      <c r="AP1381" s="1525"/>
      <c r="AQ1381" s="1525"/>
      <c r="AR1381" s="1525"/>
      <c r="AS1381" s="1525"/>
      <c r="AU1381" s="1525"/>
      <c r="AV1381" s="1295"/>
      <c r="AW1381" s="1525"/>
      <c r="AX1381" s="1525"/>
      <c r="AY1381" s="1525"/>
      <c r="AZ1381" s="1525"/>
      <c r="BA1381" s="1525"/>
      <c r="BB1381" s="1525"/>
      <c r="BC1381" s="1525"/>
      <c r="BD1381" s="1525"/>
      <c r="BE1381" s="1525"/>
      <c r="BF1381" s="1525"/>
      <c r="BG1381" s="1525"/>
      <c r="BH1381" s="1525"/>
      <c r="BI1381" s="1525"/>
      <c r="BJ1381" s="1525"/>
      <c r="BK1381" s="1525"/>
      <c r="BL1381" s="1525"/>
      <c r="BM1381" s="1525"/>
      <c r="BN1381" s="1525"/>
      <c r="BO1381" s="1525"/>
      <c r="BP1381" s="1525"/>
      <c r="BQ1381" s="1525"/>
      <c r="BR1381" s="1525"/>
      <c r="BS1381" s="1525"/>
      <c r="BT1381" s="1670"/>
      <c r="BV1381"/>
      <c r="BW1381" s="995"/>
    </row>
    <row r="1382" spans="2:75" s="164" customFormat="1" ht="12.75" customHeight="1" x14ac:dyDescent="0.15">
      <c r="B1382" s="175"/>
      <c r="C1382" s="219" t="s">
        <v>1120</v>
      </c>
      <c r="D1382" s="265"/>
      <c r="E1382" s="387"/>
      <c r="F1382" s="43" t="s">
        <v>1055</v>
      </c>
      <c r="G1382" s="856"/>
      <c r="H1382" s="1365" t="s">
        <v>1508</v>
      </c>
      <c r="I1382" s="172"/>
      <c r="J1382" s="168"/>
      <c r="K1382" s="754">
        <f>K1338+K1351+K1367+K1379</f>
        <v>0.5</v>
      </c>
      <c r="L1382" s="911">
        <f>L1338+L1351+L1367+L1379</f>
        <v>16.600000000000001</v>
      </c>
      <c r="M1382" s="911">
        <f>M1338+M1351+M1367+M1379</f>
        <v>17.100000000000001</v>
      </c>
      <c r="N1382" s="855"/>
      <c r="O1382" s="855"/>
      <c r="P1382" s="1253"/>
      <c r="Q1382" s="1153"/>
      <c r="R1382" s="877"/>
      <c r="S1382" s="875"/>
      <c r="T1382" s="875"/>
      <c r="U1382" s="875"/>
      <c r="V1382" s="875"/>
      <c r="W1382" s="875"/>
      <c r="X1382" s="1026"/>
      <c r="Y1382" s="875"/>
      <c r="Z1382" s="875"/>
      <c r="AA1382" s="1775"/>
      <c r="AB1382" s="1814"/>
      <c r="AC1382" s="876"/>
      <c r="AD1382" s="1295"/>
      <c r="AE1382" s="1525"/>
      <c r="AF1382" s="1525"/>
      <c r="AG1382" s="1525"/>
      <c r="AH1382" s="1525"/>
      <c r="AI1382" s="1525"/>
      <c r="AJ1382" s="1525"/>
      <c r="AK1382" s="1525"/>
      <c r="AL1382" s="1525"/>
      <c r="AM1382" s="1525"/>
      <c r="AN1382" s="1525"/>
      <c r="AO1382" s="1525"/>
      <c r="AP1382" s="1525"/>
      <c r="AQ1382" s="1525"/>
      <c r="AR1382" s="1525"/>
      <c r="AS1382" s="1525"/>
      <c r="AU1382" s="1525"/>
      <c r="AV1382" s="1295"/>
      <c r="AW1382" s="1525"/>
      <c r="AX1382" s="1525"/>
      <c r="AY1382" s="1525"/>
      <c r="AZ1382" s="1525"/>
      <c r="BA1382" s="1525"/>
      <c r="BB1382" s="1525"/>
      <c r="BC1382" s="1525"/>
      <c r="BD1382" s="1525"/>
      <c r="BE1382" s="1525"/>
      <c r="BF1382" s="1525"/>
      <c r="BG1382" s="1525"/>
      <c r="BH1382" s="1525"/>
      <c r="BI1382" s="1525"/>
      <c r="BJ1382" s="1525"/>
      <c r="BK1382" s="1525"/>
      <c r="BL1382" s="1525"/>
      <c r="BM1382" s="1525"/>
      <c r="BN1382" s="1525"/>
      <c r="BO1382" s="1525"/>
      <c r="BP1382" s="1525"/>
      <c r="BQ1382" s="1525"/>
      <c r="BR1382" s="1525"/>
      <c r="BS1382" s="1525"/>
      <c r="BT1382" s="1670"/>
      <c r="BV1382"/>
      <c r="BW1382" s="856"/>
    </row>
    <row r="1383" spans="2:75" s="164" customFormat="1" ht="12.75" customHeight="1" x14ac:dyDescent="0.15">
      <c r="B1383" s="175"/>
      <c r="C1383" s="170"/>
      <c r="D1383" s="170"/>
      <c r="E1383" s="170"/>
      <c r="F1383" s="37"/>
      <c r="G1383" s="913"/>
      <c r="H1383" s="1358" t="s">
        <v>1508</v>
      </c>
      <c r="I1383" s="180"/>
      <c r="J1383" s="173"/>
      <c r="K1383" s="173"/>
      <c r="L1383" s="893"/>
      <c r="M1383" s="893"/>
      <c r="N1383" s="832"/>
      <c r="O1383" s="832"/>
      <c r="P1383" s="550"/>
      <c r="Q1383" s="1148"/>
      <c r="R1383" s="874"/>
      <c r="S1383" s="876"/>
      <c r="T1383" s="876"/>
      <c r="U1383" s="876"/>
      <c r="V1383" s="876"/>
      <c r="W1383" s="876"/>
      <c r="X1383" s="1026"/>
      <c r="Y1383" s="1757"/>
      <c r="Z1383" s="1756"/>
      <c r="AA1383" s="1775"/>
      <c r="AB1383" s="1814"/>
      <c r="AC1383" s="876"/>
      <c r="AD1383" s="1295"/>
      <c r="AE1383" s="1525"/>
      <c r="AF1383" s="1525"/>
      <c r="AG1383" s="1525"/>
      <c r="AH1383" s="1525"/>
      <c r="AI1383" s="1525"/>
      <c r="AJ1383" s="1525"/>
      <c r="AK1383" s="1525"/>
      <c r="AL1383" s="1525"/>
      <c r="AM1383" s="1525"/>
      <c r="AN1383" s="1525"/>
      <c r="AO1383" s="1525"/>
      <c r="AP1383" s="1525"/>
      <c r="AQ1383" s="1525"/>
      <c r="AR1383" s="1525"/>
      <c r="AS1383" s="1525"/>
      <c r="AU1383" s="1525"/>
      <c r="AV1383" s="1295"/>
      <c r="AW1383" s="1525"/>
      <c r="AX1383" s="1525"/>
      <c r="AY1383" s="1525"/>
      <c r="AZ1383" s="1525"/>
      <c r="BA1383" s="1525"/>
      <c r="BB1383" s="1525"/>
      <c r="BC1383" s="1525"/>
      <c r="BD1383" s="1525"/>
      <c r="BE1383" s="1525"/>
      <c r="BF1383" s="1525"/>
      <c r="BG1383" s="1525"/>
      <c r="BH1383" s="1525"/>
      <c r="BI1383" s="1525"/>
      <c r="BJ1383" s="1525"/>
      <c r="BK1383" s="1525"/>
      <c r="BL1383" s="1525"/>
      <c r="BM1383" s="1525"/>
      <c r="BN1383" s="1525"/>
      <c r="BO1383" s="1525"/>
      <c r="BP1383" s="1525"/>
      <c r="BQ1383" s="1525"/>
      <c r="BR1383" s="1525"/>
      <c r="BS1383" s="1525"/>
      <c r="BT1383" s="1670"/>
      <c r="BV1383"/>
      <c r="BW1383" s="913"/>
    </row>
    <row r="1384" spans="2:75" s="164" customFormat="1" ht="12.75" customHeight="1" x14ac:dyDescent="0.15">
      <c r="B1384" s="175"/>
      <c r="C1384" s="671" t="s">
        <v>344</v>
      </c>
      <c r="D1384" s="672" t="s">
        <v>346</v>
      </c>
      <c r="E1384" s="673" t="s">
        <v>1565</v>
      </c>
      <c r="F1384" s="674" t="s">
        <v>1002</v>
      </c>
      <c r="G1384" s="953">
        <f>COUNTA(G1297:G1383)</f>
        <v>48</v>
      </c>
      <c r="H1384" s="1379" t="s">
        <v>1508</v>
      </c>
      <c r="I1384" s="675"/>
      <c r="J1384" s="676"/>
      <c r="K1384" s="953">
        <f t="shared" ref="K1384:L1384" si="839">K1300+K1317+K1331+K1382</f>
        <v>1.5</v>
      </c>
      <c r="L1384" s="953">
        <f t="shared" si="839"/>
        <v>37.200000000000003</v>
      </c>
      <c r="M1384" s="953">
        <f>M1300+M1317+M1331+M1382</f>
        <v>38.700000000000003</v>
      </c>
      <c r="N1384" s="840"/>
      <c r="O1384" s="840"/>
      <c r="P1384" s="1222"/>
      <c r="Q1384" s="1154"/>
      <c r="R1384" s="887"/>
      <c r="S1384" s="880"/>
      <c r="T1384" s="880"/>
      <c r="U1384" s="880"/>
      <c r="V1384" s="880"/>
      <c r="W1384" s="880"/>
      <c r="X1384" s="1276">
        <f>SUM(X1297:X1383)</f>
        <v>1364645</v>
      </c>
      <c r="Y1384" s="1511"/>
      <c r="Z1384" s="1654">
        <f>SUM(Z1297:Z1383)</f>
        <v>39.999662195214377</v>
      </c>
      <c r="AA1384" s="1827">
        <f>SUM(AA1297:AA1383)</f>
        <v>19.100000000000005</v>
      </c>
      <c r="AB1384" s="1813">
        <f t="shared" ref="AB1384" si="840">100*AA1384/Z1384</f>
        <v>47.750403257868413</v>
      </c>
      <c r="AC1384" s="1721"/>
      <c r="AD1384" s="1295"/>
      <c r="AE1384" s="1525"/>
      <c r="AF1384" s="1525"/>
      <c r="AG1384" s="1525"/>
      <c r="AH1384" s="1525"/>
      <c r="AI1384" s="1525"/>
      <c r="AJ1384" s="1525"/>
      <c r="AK1384" s="1525"/>
      <c r="AL1384" s="1525"/>
      <c r="AM1384" s="1525"/>
      <c r="AN1384" s="1525"/>
      <c r="AO1384" s="1525"/>
      <c r="AP1384" s="1525"/>
      <c r="AQ1384" s="1525"/>
      <c r="AR1384" s="1525"/>
      <c r="AS1384" s="1525"/>
      <c r="AU1384" s="1525"/>
      <c r="AV1384" s="1295"/>
      <c r="AW1384" s="1525"/>
      <c r="AX1384" s="1525"/>
      <c r="AY1384" s="1525"/>
      <c r="AZ1384" s="1525"/>
      <c r="BA1384" s="1525"/>
      <c r="BB1384" s="1525"/>
      <c r="BC1384" s="1525"/>
      <c r="BD1384" s="1525"/>
      <c r="BE1384" s="1525"/>
      <c r="BF1384" s="1525"/>
      <c r="BG1384" s="1525"/>
      <c r="BH1384" s="1525"/>
      <c r="BI1384" s="1525"/>
      <c r="BJ1384" s="1525"/>
      <c r="BK1384" s="1525"/>
      <c r="BL1384" s="1525"/>
      <c r="BM1384" s="1525"/>
      <c r="BN1384" s="1525"/>
      <c r="BO1384" s="1525"/>
      <c r="BP1384" s="1525"/>
      <c r="BQ1384" s="1525"/>
      <c r="BR1384" s="1525"/>
      <c r="BS1384" s="1525"/>
      <c r="BT1384" s="1670"/>
      <c r="BV1384"/>
      <c r="BW1384" s="954"/>
    </row>
    <row r="1385" spans="2:75" s="164" customFormat="1" ht="12.75" customHeight="1" x14ac:dyDescent="0.15">
      <c r="B1385" s="175"/>
      <c r="C1385" s="423" t="s">
        <v>136</v>
      </c>
      <c r="D1385" s="423"/>
      <c r="E1385" s="424" t="s">
        <v>1565</v>
      </c>
      <c r="F1385" s="424" t="s">
        <v>893</v>
      </c>
      <c r="G1385" s="867"/>
      <c r="H1385" s="1349" t="s">
        <v>1508</v>
      </c>
      <c r="I1385" s="426"/>
      <c r="J1385" s="425"/>
      <c r="K1385" s="425"/>
      <c r="L1385" s="866"/>
      <c r="M1385" s="866"/>
      <c r="N1385" s="926"/>
      <c r="O1385" s="926"/>
      <c r="P1385" s="1223"/>
      <c r="Q1385" s="1158"/>
      <c r="R1385" s="1027"/>
      <c r="S1385" s="1028"/>
      <c r="T1385" s="1028"/>
      <c r="U1385" s="1028"/>
      <c r="V1385" s="1028"/>
      <c r="W1385" s="1028"/>
      <c r="X1385" s="1697">
        <v>20259</v>
      </c>
      <c r="Y1385" s="1028"/>
      <c r="Z1385" s="1028"/>
      <c r="AA1385" s="1749"/>
      <c r="AB1385" s="1812"/>
      <c r="AC1385" s="876"/>
      <c r="AD1385" s="1295"/>
      <c r="AE1385" s="1525"/>
      <c r="AF1385" s="1525"/>
      <c r="AG1385" s="1525"/>
      <c r="AH1385" s="1525"/>
      <c r="AI1385" s="1525"/>
      <c r="AJ1385" s="1525"/>
      <c r="AK1385" s="1525"/>
      <c r="AL1385" s="1525"/>
      <c r="AM1385" s="1525"/>
      <c r="AN1385" s="1525"/>
      <c r="AO1385" s="1525"/>
      <c r="AP1385" s="1525"/>
      <c r="AQ1385" s="1525"/>
      <c r="AR1385" s="1525"/>
      <c r="AS1385" s="1525"/>
      <c r="AU1385" s="1525"/>
      <c r="AV1385" s="1295"/>
      <c r="AW1385" s="1525"/>
      <c r="AX1385" s="1525"/>
      <c r="AY1385" s="1525"/>
      <c r="AZ1385" s="1525"/>
      <c r="BA1385" s="1525"/>
      <c r="BB1385" s="1525"/>
      <c r="BC1385" s="1525"/>
      <c r="BD1385" s="1525"/>
      <c r="BE1385" s="1525"/>
      <c r="BF1385" s="1525"/>
      <c r="BG1385" s="1525"/>
      <c r="BH1385" s="1525"/>
      <c r="BI1385" s="1525"/>
      <c r="BJ1385" s="1525"/>
      <c r="BK1385" s="1525"/>
      <c r="BL1385" s="1525"/>
      <c r="BM1385" s="1525"/>
      <c r="BN1385" s="1525"/>
      <c r="BO1385" s="1525"/>
      <c r="BP1385" s="1525"/>
      <c r="BQ1385" s="1525"/>
      <c r="BR1385" s="1525"/>
      <c r="BS1385" s="1525"/>
      <c r="BT1385" s="1670"/>
      <c r="BV1385"/>
      <c r="BW1385" s="867"/>
    </row>
    <row r="1386" spans="2:75" s="164" customFormat="1" ht="12.75" customHeight="1" x14ac:dyDescent="0.15">
      <c r="B1386" s="175"/>
      <c r="C1386" s="1440" t="s">
        <v>794</v>
      </c>
      <c r="D1386" s="1440"/>
      <c r="E1386" s="1442" t="s">
        <v>1565</v>
      </c>
      <c r="F1386" s="1472" t="s">
        <v>884</v>
      </c>
      <c r="G1386" s="1473"/>
      <c r="H1386" s="1474" t="s">
        <v>1508</v>
      </c>
      <c r="I1386" s="1475"/>
      <c r="J1386" s="1476"/>
      <c r="K1386" s="1477"/>
      <c r="L1386" s="1478"/>
      <c r="M1386" s="1478"/>
      <c r="N1386" s="1448"/>
      <c r="O1386" s="1448"/>
      <c r="P1386" s="1479"/>
      <c r="Q1386" s="1480"/>
      <c r="R1386" s="1481"/>
      <c r="S1386" s="1482"/>
      <c r="T1386" s="1482"/>
      <c r="U1386" s="1482"/>
      <c r="V1386" s="1482"/>
      <c r="W1386" s="1482"/>
      <c r="X1386" s="1706"/>
      <c r="Y1386" s="1509"/>
      <c r="Z1386" s="1509"/>
      <c r="AA1386" s="1775"/>
      <c r="AB1386" s="1814"/>
      <c r="AC1386" s="876"/>
      <c r="AD1386" s="1291"/>
      <c r="AE1386" s="1292"/>
      <c r="AF1386" s="1292"/>
      <c r="AG1386" s="1292"/>
      <c r="AH1386" s="1292"/>
      <c r="AI1386" s="1292"/>
      <c r="AJ1386" s="1292"/>
      <c r="AK1386" s="1292"/>
      <c r="AL1386" s="1292"/>
      <c r="AM1386" s="1292"/>
      <c r="AN1386" s="1292"/>
      <c r="AO1386" s="1292"/>
      <c r="AP1386" s="1292"/>
      <c r="AQ1386" s="1292"/>
      <c r="AR1386" s="1292"/>
      <c r="AS1386" s="1292"/>
      <c r="AT1386" s="210"/>
      <c r="AU1386" s="1292"/>
      <c r="AV1386" s="1291"/>
      <c r="AW1386" s="1292"/>
      <c r="AX1386" s="1292"/>
      <c r="AY1386" s="1292"/>
      <c r="AZ1386" s="1292"/>
      <c r="BA1386" s="1292"/>
      <c r="BB1386" s="1292"/>
      <c r="BC1386" s="1292"/>
      <c r="BD1386" s="1292"/>
      <c r="BE1386" s="1292"/>
      <c r="BF1386" s="1292"/>
      <c r="BG1386" s="1292"/>
      <c r="BH1386" s="1292"/>
      <c r="BI1386" s="1292"/>
      <c r="BJ1386" s="1292"/>
      <c r="BK1386" s="1292"/>
      <c r="BL1386" s="1292"/>
      <c r="BM1386" s="1292"/>
      <c r="BN1386" s="1292"/>
      <c r="BO1386" s="1292"/>
      <c r="BP1386" s="1292"/>
      <c r="BQ1386" s="1292"/>
      <c r="BR1386" s="1292"/>
      <c r="BS1386" s="1292"/>
      <c r="BT1386" s="1670"/>
      <c r="BV1386"/>
      <c r="BW1386" s="1473"/>
    </row>
    <row r="1387" spans="2:75" s="164" customFormat="1" ht="12.75" customHeight="1" x14ac:dyDescent="0.15">
      <c r="B1387" s="175"/>
      <c r="F1387" s="4"/>
      <c r="G1387" s="821"/>
      <c r="H1387" s="1341" t="s">
        <v>1508</v>
      </c>
      <c r="I1387" s="197"/>
      <c r="J1387" s="174"/>
      <c r="K1387" s="174"/>
      <c r="L1387" s="843"/>
      <c r="M1387" s="843"/>
      <c r="N1387" s="857"/>
      <c r="O1387" s="1200"/>
      <c r="P1387" s="550"/>
      <c r="Q1387" s="1148"/>
      <c r="R1387" s="874"/>
      <c r="S1387" s="875"/>
      <c r="T1387" s="875"/>
      <c r="U1387" s="875"/>
      <c r="V1387" s="875"/>
      <c r="W1387" s="875"/>
      <c r="X1387" s="1026"/>
      <c r="Y1387" s="1659"/>
      <c r="Z1387" s="1744"/>
      <c r="AA1387" s="1775"/>
      <c r="AB1387" s="1812"/>
      <c r="AC1387" s="876"/>
      <c r="AD1387" s="1295"/>
      <c r="AE1387" s="1525"/>
      <c r="AF1387" s="1525"/>
      <c r="AG1387" s="1525"/>
      <c r="AH1387" s="1525"/>
      <c r="AI1387" s="1525"/>
      <c r="AJ1387" s="1525"/>
      <c r="AK1387" s="1525"/>
      <c r="AL1387" s="1525"/>
      <c r="AM1387" s="1525"/>
      <c r="AN1387" s="1525"/>
      <c r="AO1387" s="1525"/>
      <c r="AP1387" s="1525"/>
      <c r="AQ1387" s="1525"/>
      <c r="AR1387" s="1525"/>
      <c r="AS1387" s="1525"/>
      <c r="AU1387" s="1525"/>
      <c r="AV1387" s="1295"/>
      <c r="AW1387" s="1525"/>
      <c r="AX1387" s="1525"/>
      <c r="AY1387" s="1525"/>
      <c r="AZ1387" s="1525"/>
      <c r="BA1387" s="1525"/>
      <c r="BB1387" s="1525"/>
      <c r="BC1387" s="1525"/>
      <c r="BD1387" s="1525"/>
      <c r="BE1387" s="1525"/>
      <c r="BF1387" s="1525"/>
      <c r="BG1387" s="1525"/>
      <c r="BH1387" s="1525"/>
      <c r="BI1387" s="1525"/>
      <c r="BJ1387" s="1525"/>
      <c r="BK1387" s="1525"/>
      <c r="BL1387" s="1525"/>
      <c r="BM1387" s="1525"/>
      <c r="BN1387" s="1525"/>
      <c r="BO1387" s="1525"/>
      <c r="BP1387" s="1525"/>
      <c r="BQ1387" s="1525"/>
      <c r="BR1387" s="1525"/>
      <c r="BS1387" s="1525"/>
      <c r="BT1387" s="1670"/>
      <c r="BV1387"/>
      <c r="BW1387" s="821"/>
    </row>
    <row r="1388" spans="2:75" s="164" customFormat="1" ht="12.75" customHeight="1" x14ac:dyDescent="0.15">
      <c r="B1388" s="175"/>
      <c r="F1388" s="3" t="s">
        <v>675</v>
      </c>
      <c r="G1388" s="856"/>
      <c r="H1388" s="1364" t="s">
        <v>1508</v>
      </c>
      <c r="I1388" s="172"/>
      <c r="J1388" s="168"/>
      <c r="K1388" s="168"/>
      <c r="L1388" s="841"/>
      <c r="M1388" s="841"/>
      <c r="N1388" s="855"/>
      <c r="O1388" s="1200"/>
      <c r="P1388" s="550"/>
      <c r="Q1388" s="1148"/>
      <c r="R1388" s="874"/>
      <c r="S1388" s="875"/>
      <c r="T1388" s="875"/>
      <c r="U1388" s="875"/>
      <c r="V1388" s="875"/>
      <c r="W1388" s="875"/>
      <c r="X1388" s="1026"/>
      <c r="Y1388" s="1659"/>
      <c r="Z1388" s="1744"/>
      <c r="AA1388" s="1775"/>
      <c r="AB1388" s="1812"/>
      <c r="AC1388" s="876"/>
      <c r="AD1388" s="1295"/>
      <c r="AE1388" s="1525"/>
      <c r="AF1388" s="1525"/>
      <c r="AG1388" s="1525"/>
      <c r="AH1388" s="1525"/>
      <c r="AI1388" s="1525"/>
      <c r="AJ1388" s="1525"/>
      <c r="AK1388" s="1525"/>
      <c r="AL1388" s="1525"/>
      <c r="AM1388" s="1525"/>
      <c r="AN1388" s="1525"/>
      <c r="AO1388" s="1525"/>
      <c r="AP1388" s="1525"/>
      <c r="AQ1388" s="1525"/>
      <c r="AR1388" s="1525"/>
      <c r="AS1388" s="1525"/>
      <c r="AU1388" s="1525"/>
      <c r="AV1388" s="1295"/>
      <c r="AW1388" s="1525"/>
      <c r="AX1388" s="1525"/>
      <c r="AY1388" s="1525"/>
      <c r="AZ1388" s="1525"/>
      <c r="BA1388" s="1525"/>
      <c r="BB1388" s="1525"/>
      <c r="BC1388" s="1525"/>
      <c r="BD1388" s="1525"/>
      <c r="BE1388" s="1525"/>
      <c r="BF1388" s="1525"/>
      <c r="BG1388" s="1525"/>
      <c r="BH1388" s="1525"/>
      <c r="BI1388" s="1525"/>
      <c r="BJ1388" s="1525"/>
      <c r="BK1388" s="1525"/>
      <c r="BL1388" s="1525"/>
      <c r="BM1388" s="1525"/>
      <c r="BN1388" s="1525"/>
      <c r="BO1388" s="1525"/>
      <c r="BP1388" s="1525"/>
      <c r="BQ1388" s="1525"/>
      <c r="BR1388" s="1525"/>
      <c r="BS1388" s="1525"/>
      <c r="BT1388" s="1670"/>
      <c r="BV1388"/>
      <c r="BW1388" s="856"/>
    </row>
    <row r="1389" spans="2:75" s="164" customFormat="1" ht="12.75" customHeight="1" x14ac:dyDescent="0.15">
      <c r="B1389" s="175"/>
      <c r="F1389" s="50" t="s">
        <v>267</v>
      </c>
      <c r="G1389" s="856"/>
      <c r="H1389" s="1364" t="s">
        <v>1508</v>
      </c>
      <c r="I1389" s="172"/>
      <c r="J1389" s="168"/>
      <c r="K1389" s="168"/>
      <c r="L1389" s="841"/>
      <c r="M1389" s="841"/>
      <c r="N1389" s="855"/>
      <c r="O1389" s="1200"/>
      <c r="P1389" s="550"/>
      <c r="Q1389" s="1148"/>
      <c r="R1389" s="874"/>
      <c r="S1389" s="875"/>
      <c r="T1389" s="875"/>
      <c r="U1389" s="875"/>
      <c r="V1389" s="875"/>
      <c r="W1389" s="875"/>
      <c r="X1389" s="1026"/>
      <c r="Y1389" s="1659"/>
      <c r="Z1389" s="1744"/>
      <c r="AA1389" s="1775"/>
      <c r="AB1389" s="1812"/>
      <c r="AC1389" s="876"/>
      <c r="AD1389" s="1295"/>
      <c r="AE1389" s="1525"/>
      <c r="AF1389" s="1525"/>
      <c r="AG1389" s="1525"/>
      <c r="AH1389" s="1525"/>
      <c r="AI1389" s="1525"/>
      <c r="AJ1389" s="1525"/>
      <c r="AK1389" s="1525"/>
      <c r="AL1389" s="1525"/>
      <c r="AM1389" s="1525"/>
      <c r="AN1389" s="1525"/>
      <c r="AO1389" s="1525"/>
      <c r="AP1389" s="1525"/>
      <c r="AQ1389" s="1525"/>
      <c r="AR1389" s="1525"/>
      <c r="AS1389" s="1525"/>
      <c r="AU1389" s="1525"/>
      <c r="AV1389" s="1295"/>
      <c r="AW1389" s="1525"/>
      <c r="AX1389" s="1525"/>
      <c r="AY1389" s="1525"/>
      <c r="AZ1389" s="1525"/>
      <c r="BA1389" s="1525"/>
      <c r="BB1389" s="1525"/>
      <c r="BC1389" s="1525"/>
      <c r="BD1389" s="1525"/>
      <c r="BE1389" s="1525"/>
      <c r="BF1389" s="1525"/>
      <c r="BG1389" s="1525"/>
      <c r="BH1389" s="1525"/>
      <c r="BI1389" s="1525"/>
      <c r="BJ1389" s="1525"/>
      <c r="BK1389" s="1525"/>
      <c r="BL1389" s="1525"/>
      <c r="BM1389" s="1525"/>
      <c r="BN1389" s="1525"/>
      <c r="BO1389" s="1525"/>
      <c r="BP1389" s="1525"/>
      <c r="BQ1389" s="1525"/>
      <c r="BR1389" s="1525"/>
      <c r="BS1389" s="1525"/>
      <c r="BT1389" s="1670"/>
      <c r="BV1389"/>
      <c r="BW1389" s="856"/>
    </row>
    <row r="1390" spans="2:75" ht="12.75" customHeight="1" x14ac:dyDescent="0.2">
      <c r="B1390" s="175">
        <f t="shared" ref="B1390" si="841">B1389+1</f>
        <v>1</v>
      </c>
      <c r="C1390" s="677">
        <v>4</v>
      </c>
      <c r="D1390" s="678"/>
      <c r="E1390" s="679" t="s">
        <v>1562</v>
      </c>
      <c r="F1390" s="19" t="s">
        <v>676</v>
      </c>
      <c r="G1390" s="834" t="s">
        <v>1501</v>
      </c>
      <c r="H1390" s="861">
        <v>3020</v>
      </c>
      <c r="I1390" s="197" t="s">
        <v>351</v>
      </c>
      <c r="J1390" s="177"/>
      <c r="K1390" s="173"/>
      <c r="L1390" s="893">
        <v>1</v>
      </c>
      <c r="M1390" s="861">
        <f>K1390+L1390</f>
        <v>1</v>
      </c>
      <c r="N1390" s="832" t="s">
        <v>698</v>
      </c>
      <c r="O1390" s="1196">
        <v>17600</v>
      </c>
      <c r="P1390" s="1218">
        <f ca="1">YEARFRAC(TODAY(),O1390)</f>
        <v>69.566666666666663</v>
      </c>
      <c r="Q1390" s="1148">
        <v>62350</v>
      </c>
      <c r="R1390" s="874">
        <f>Q1390*0.1</f>
        <v>6235</v>
      </c>
      <c r="S1390" s="875">
        <v>3000</v>
      </c>
      <c r="T1390" s="874"/>
      <c r="U1390" s="874"/>
      <c r="V1390" s="874"/>
      <c r="W1390" s="875"/>
      <c r="X1390" s="1026">
        <f>(Q1390+R1390+S1390+T1390+U1390+V1390+W1390)*M1390</f>
        <v>71585</v>
      </c>
      <c r="Y1390" s="1512">
        <f>(T1390+U1390)*M1390/(X1390-M1390*(T1390+U1390))</f>
        <v>0</v>
      </c>
      <c r="Z1390" s="1741">
        <f>M1390*(1+Y1390)</f>
        <v>1</v>
      </c>
      <c r="AA1390" s="1749">
        <f>SUM(AD1390:AS1390)</f>
        <v>1</v>
      </c>
      <c r="AB1390" s="1810">
        <f t="shared" ref="AB1390:AB1391" si="842">100*AA1390/Z1390</f>
        <v>100</v>
      </c>
      <c r="AC1390" s="876"/>
      <c r="AD1390" s="1525">
        <f t="shared" ref="AD1390:AS1391" si="843">SUMIF($AV$6:$BS$6,AD$5,$AV1390:$BS1390)</f>
        <v>0</v>
      </c>
      <c r="AE1390" s="1525">
        <f t="shared" si="843"/>
        <v>0</v>
      </c>
      <c r="AF1390" s="1525">
        <f t="shared" si="843"/>
        <v>0</v>
      </c>
      <c r="AG1390" s="1525">
        <f t="shared" si="843"/>
        <v>1</v>
      </c>
      <c r="AH1390" s="1525">
        <f t="shared" si="843"/>
        <v>0</v>
      </c>
      <c r="AI1390" s="1525">
        <f t="shared" si="843"/>
        <v>0</v>
      </c>
      <c r="AJ1390" s="1525">
        <f t="shared" si="843"/>
        <v>0</v>
      </c>
      <c r="AK1390" s="1525">
        <f t="shared" si="843"/>
        <v>0</v>
      </c>
      <c r="AL1390" s="1525">
        <f t="shared" si="843"/>
        <v>0</v>
      </c>
      <c r="AM1390" s="1525">
        <f t="shared" si="843"/>
        <v>0</v>
      </c>
      <c r="AN1390" s="1525">
        <f t="shared" si="843"/>
        <v>0</v>
      </c>
      <c r="AO1390" s="1525">
        <f t="shared" si="843"/>
        <v>0</v>
      </c>
      <c r="AP1390" s="1525">
        <f t="shared" si="843"/>
        <v>0</v>
      </c>
      <c r="AQ1390" s="1525">
        <f t="shared" si="843"/>
        <v>0</v>
      </c>
      <c r="AR1390" s="1525">
        <f t="shared" si="843"/>
        <v>0</v>
      </c>
      <c r="AS1390" s="1525">
        <f t="shared" si="843"/>
        <v>0</v>
      </c>
      <c r="AU1390" s="1525"/>
      <c r="AV1390" s="1291">
        <v>1</v>
      </c>
      <c r="AW1390" s="1292"/>
      <c r="AX1390" s="1292"/>
      <c r="AY1390" s="1292"/>
      <c r="AZ1390" s="1292"/>
      <c r="BA1390" s="1292"/>
      <c r="BB1390" s="1292"/>
      <c r="BC1390" s="1292"/>
      <c r="BD1390" s="1292"/>
      <c r="BE1390" s="1292"/>
      <c r="BF1390" s="1292"/>
      <c r="BG1390" s="1292"/>
      <c r="BH1390" s="1292"/>
      <c r="BI1390" s="1292"/>
      <c r="BJ1390" s="1292"/>
      <c r="BK1390" s="1292"/>
      <c r="BL1390" s="1292"/>
      <c r="BM1390" s="1292"/>
      <c r="BN1390" s="1292"/>
      <c r="BO1390" s="1292"/>
      <c r="BP1390" s="1292"/>
      <c r="BQ1390" s="1292"/>
      <c r="BR1390" s="1292"/>
      <c r="BS1390" s="1292"/>
      <c r="BT1390" s="1670">
        <f t="shared" ref="BT1390:BT1391" si="844">SUM(AV1390:BS1390)</f>
        <v>1</v>
      </c>
      <c r="BW1390" s="834" t="s">
        <v>1501</v>
      </c>
    </row>
    <row r="1391" spans="2:75" ht="12.75" customHeight="1" x14ac:dyDescent="0.2">
      <c r="B1391" s="175">
        <f>B1390+1</f>
        <v>2</v>
      </c>
      <c r="C1391" s="677">
        <v>6</v>
      </c>
      <c r="D1391" s="678"/>
      <c r="E1391" s="679" t="s">
        <v>1562</v>
      </c>
      <c r="F1391" s="19" t="s">
        <v>167</v>
      </c>
      <c r="G1391" s="834" t="s">
        <v>333</v>
      </c>
      <c r="H1391" s="861">
        <v>3010</v>
      </c>
      <c r="I1391" s="197" t="s">
        <v>351</v>
      </c>
      <c r="J1391" s="173"/>
      <c r="K1391" s="173"/>
      <c r="L1391" s="893">
        <v>1</v>
      </c>
      <c r="M1391" s="861">
        <v>1</v>
      </c>
      <c r="N1391" s="832" t="s">
        <v>892</v>
      </c>
      <c r="O1391" s="1196">
        <v>12639</v>
      </c>
      <c r="P1391" s="1218">
        <f ca="1">YEARFRAC(TODAY(),O1391)</f>
        <v>83.15</v>
      </c>
      <c r="Q1391" s="1148">
        <v>78900</v>
      </c>
      <c r="R1391" s="874"/>
      <c r="S1391" s="875">
        <v>7000</v>
      </c>
      <c r="T1391" s="874"/>
      <c r="U1391" s="874"/>
      <c r="V1391" s="874"/>
      <c r="W1391" s="875"/>
      <c r="X1391" s="1026">
        <f>(Q1391+R1391+S1391+T1391+U1391+V1391+W1391)*M1391</f>
        <v>85900</v>
      </c>
      <c r="Y1391" s="1512">
        <f>(T1391+U1391)*M1391/(X1391-M1391*(T1391+U1391))</f>
        <v>0</v>
      </c>
      <c r="Z1391" s="1741">
        <f>M1391*(1+Y1391)</f>
        <v>1</v>
      </c>
      <c r="AA1391" s="1749">
        <f>SUM(AD1391:AS1391)</f>
        <v>1</v>
      </c>
      <c r="AB1391" s="1810">
        <f t="shared" si="842"/>
        <v>100</v>
      </c>
      <c r="AC1391" s="876"/>
      <c r="AD1391" s="1525">
        <f t="shared" si="843"/>
        <v>0</v>
      </c>
      <c r="AE1391" s="1525">
        <f t="shared" si="843"/>
        <v>0</v>
      </c>
      <c r="AF1391" s="1525">
        <f t="shared" si="843"/>
        <v>0</v>
      </c>
      <c r="AG1391" s="1525">
        <f t="shared" si="843"/>
        <v>1</v>
      </c>
      <c r="AH1391" s="1525">
        <f t="shared" si="843"/>
        <v>0</v>
      </c>
      <c r="AI1391" s="1525">
        <f t="shared" si="843"/>
        <v>0</v>
      </c>
      <c r="AJ1391" s="1525">
        <f t="shared" si="843"/>
        <v>0</v>
      </c>
      <c r="AK1391" s="1525">
        <f t="shared" si="843"/>
        <v>0</v>
      </c>
      <c r="AL1391" s="1525">
        <f t="shared" si="843"/>
        <v>0</v>
      </c>
      <c r="AM1391" s="1525">
        <f t="shared" si="843"/>
        <v>0</v>
      </c>
      <c r="AN1391" s="1525">
        <f t="shared" si="843"/>
        <v>0</v>
      </c>
      <c r="AO1391" s="1525">
        <f t="shared" si="843"/>
        <v>0</v>
      </c>
      <c r="AP1391" s="1525">
        <f t="shared" si="843"/>
        <v>0</v>
      </c>
      <c r="AQ1391" s="1525">
        <f t="shared" si="843"/>
        <v>0</v>
      </c>
      <c r="AR1391" s="1525">
        <f t="shared" si="843"/>
        <v>0</v>
      </c>
      <c r="AS1391" s="1525">
        <f t="shared" si="843"/>
        <v>0</v>
      </c>
      <c r="AU1391" s="1525"/>
      <c r="AV1391" s="1291">
        <v>1</v>
      </c>
      <c r="AW1391" s="1292"/>
      <c r="AX1391" s="1292"/>
      <c r="AY1391" s="1292"/>
      <c r="AZ1391" s="1292"/>
      <c r="BA1391" s="1292"/>
      <c r="BB1391" s="1292"/>
      <c r="BC1391" s="1292"/>
      <c r="BD1391" s="1292"/>
      <c r="BE1391" s="1292"/>
      <c r="BF1391" s="1292"/>
      <c r="BG1391" s="1292"/>
      <c r="BH1391" s="1292"/>
      <c r="BI1391" s="1292"/>
      <c r="BJ1391" s="1292"/>
      <c r="BK1391" s="1292"/>
      <c r="BL1391" s="1292"/>
      <c r="BM1391" s="1292"/>
      <c r="BN1391" s="1292"/>
      <c r="BO1391" s="1292"/>
      <c r="BP1391" s="1292"/>
      <c r="BQ1391" s="1292"/>
      <c r="BR1391" s="1292"/>
      <c r="BS1391" s="1292"/>
      <c r="BT1391" s="1670">
        <f t="shared" si="844"/>
        <v>1</v>
      </c>
      <c r="BW1391" s="834" t="s">
        <v>333</v>
      </c>
    </row>
    <row r="1392" spans="2:75" s="164" customFormat="1" ht="12.75" customHeight="1" x14ac:dyDescent="0.15">
      <c r="B1392" s="175"/>
      <c r="C1392" s="219" t="s">
        <v>1120</v>
      </c>
      <c r="F1392" s="19" t="s">
        <v>1038</v>
      </c>
      <c r="G1392" s="834"/>
      <c r="H1392" s="1361" t="s">
        <v>1508</v>
      </c>
      <c r="I1392" s="180"/>
      <c r="J1392" s="173"/>
      <c r="K1392" s="448"/>
      <c r="L1392" s="902">
        <f>SUM(L1390:L1391)</f>
        <v>2</v>
      </c>
      <c r="M1392" s="902">
        <f>SUM(M1390:M1391)</f>
        <v>2</v>
      </c>
      <c r="N1392" s="832"/>
      <c r="O1392" s="1200"/>
      <c r="P1392" s="550"/>
      <c r="Q1392" s="1153"/>
      <c r="R1392" s="877"/>
      <c r="S1392" s="875"/>
      <c r="T1392" s="875"/>
      <c r="U1392" s="875"/>
      <c r="V1392" s="875"/>
      <c r="W1392" s="875"/>
      <c r="X1392" s="1026"/>
      <c r="Y1392" s="1335"/>
      <c r="Z1392" s="1335"/>
      <c r="AA1392" s="1335"/>
      <c r="AB1392" s="1335"/>
      <c r="AC1392" s="876"/>
      <c r="AD1392" s="1295"/>
      <c r="AE1392" s="1525"/>
      <c r="AF1392" s="1525"/>
      <c r="AG1392" s="1525"/>
      <c r="AH1392" s="1525"/>
      <c r="AI1392" s="1525"/>
      <c r="AJ1392" s="1525"/>
      <c r="AK1392" s="1525"/>
      <c r="AL1392" s="1525"/>
      <c r="AM1392" s="1525"/>
      <c r="AN1392" s="1525"/>
      <c r="AO1392" s="1525"/>
      <c r="AP1392" s="1525"/>
      <c r="AQ1392" s="1525"/>
      <c r="AR1392" s="1525"/>
      <c r="AS1392" s="1525"/>
      <c r="AU1392" s="1525"/>
      <c r="AV1392" s="1295"/>
      <c r="AW1392" s="1525"/>
      <c r="AX1392" s="1525"/>
      <c r="AY1392" s="1525"/>
      <c r="AZ1392" s="1525"/>
      <c r="BA1392" s="1525"/>
      <c r="BB1392" s="1525"/>
      <c r="BC1392" s="1525"/>
      <c r="BD1392" s="1525"/>
      <c r="BE1392" s="1525"/>
      <c r="BF1392" s="1525"/>
      <c r="BG1392" s="1525"/>
      <c r="BH1392" s="1525"/>
      <c r="BI1392" s="1525"/>
      <c r="BJ1392" s="1525"/>
      <c r="BK1392" s="1525"/>
      <c r="BL1392" s="1525"/>
      <c r="BM1392" s="1525"/>
      <c r="BN1392" s="1525"/>
      <c r="BO1392" s="1525"/>
      <c r="BP1392" s="1525"/>
      <c r="BQ1392" s="1525"/>
      <c r="BR1392" s="1525"/>
      <c r="BS1392" s="1525"/>
      <c r="BT1392" s="1670"/>
      <c r="BV1392"/>
      <c r="BW1392" s="834"/>
    </row>
    <row r="1393" spans="2:75" s="164" customFormat="1" ht="12.75" customHeight="1" x14ac:dyDescent="0.15">
      <c r="B1393" s="175"/>
      <c r="F1393" s="19"/>
      <c r="G1393" s="834"/>
      <c r="H1393" s="1358" t="s">
        <v>1508</v>
      </c>
      <c r="I1393" s="180"/>
      <c r="J1393" s="173"/>
      <c r="K1393" s="173"/>
      <c r="L1393" s="893"/>
      <c r="M1393" s="893"/>
      <c r="N1393" s="832"/>
      <c r="O1393" s="1200"/>
      <c r="P1393" s="550"/>
      <c r="Q1393" s="1148"/>
      <c r="R1393" s="874"/>
      <c r="S1393" s="875"/>
      <c r="T1393" s="875"/>
      <c r="U1393" s="875"/>
      <c r="V1393" s="875"/>
      <c r="W1393" s="875"/>
      <c r="X1393" s="1026"/>
      <c r="Y1393" s="1335"/>
      <c r="Z1393" s="1335"/>
      <c r="AA1393" s="1335"/>
      <c r="AB1393" s="1335"/>
      <c r="AC1393" s="876"/>
      <c r="AD1393" s="1295"/>
      <c r="AE1393" s="1525"/>
      <c r="AF1393" s="1525"/>
      <c r="AG1393" s="1525"/>
      <c r="AH1393" s="1525"/>
      <c r="AI1393" s="1525"/>
      <c r="AJ1393" s="1525"/>
      <c r="AK1393" s="1525"/>
      <c r="AL1393" s="1525"/>
      <c r="AM1393" s="1525"/>
      <c r="AN1393" s="1525"/>
      <c r="AO1393" s="1525"/>
      <c r="AP1393" s="1525"/>
      <c r="AQ1393" s="1525"/>
      <c r="AR1393" s="1525"/>
      <c r="AS1393" s="1525"/>
      <c r="AU1393" s="1525"/>
      <c r="AV1393" s="1295"/>
      <c r="AW1393" s="1525"/>
      <c r="AX1393" s="1525"/>
      <c r="AY1393" s="1525"/>
      <c r="AZ1393" s="1525"/>
      <c r="BA1393" s="1525"/>
      <c r="BB1393" s="1525"/>
      <c r="BC1393" s="1525"/>
      <c r="BD1393" s="1525"/>
      <c r="BE1393" s="1525"/>
      <c r="BF1393" s="1525"/>
      <c r="BG1393" s="1525"/>
      <c r="BH1393" s="1525"/>
      <c r="BI1393" s="1525"/>
      <c r="BJ1393" s="1525"/>
      <c r="BK1393" s="1525"/>
      <c r="BL1393" s="1525"/>
      <c r="BM1393" s="1525"/>
      <c r="BN1393" s="1525"/>
      <c r="BO1393" s="1525"/>
      <c r="BP1393" s="1525"/>
      <c r="BQ1393" s="1525"/>
      <c r="BR1393" s="1525"/>
      <c r="BS1393" s="1525"/>
      <c r="BT1393" s="1670"/>
      <c r="BV1393"/>
      <c r="BW1393" s="834"/>
    </row>
    <row r="1394" spans="2:75" s="164" customFormat="1" ht="12.75" customHeight="1" x14ac:dyDescent="0.15">
      <c r="B1394" s="175"/>
      <c r="F1394" s="3" t="s">
        <v>807</v>
      </c>
      <c r="G1394" s="913"/>
      <c r="H1394" s="1358" t="s">
        <v>1508</v>
      </c>
      <c r="I1394" s="180"/>
      <c r="J1394" s="173"/>
      <c r="K1394" s="173"/>
      <c r="L1394" s="893"/>
      <c r="M1394" s="893"/>
      <c r="N1394" s="832"/>
      <c r="O1394" s="1200"/>
      <c r="P1394" s="550"/>
      <c r="Q1394" s="1148"/>
      <c r="R1394" s="874"/>
      <c r="S1394" s="876"/>
      <c r="T1394" s="876"/>
      <c r="U1394" s="876"/>
      <c r="V1394" s="876"/>
      <c r="W1394" s="876"/>
      <c r="X1394" s="1026"/>
      <c r="Y1394" s="1335"/>
      <c r="Z1394" s="1335"/>
      <c r="AA1394" s="1335"/>
      <c r="AB1394" s="1335"/>
      <c r="AC1394" s="876"/>
      <c r="AD1394" s="1295"/>
      <c r="AE1394" s="1525"/>
      <c r="AF1394" s="1525"/>
      <c r="AG1394" s="1525"/>
      <c r="AH1394" s="1525"/>
      <c r="AI1394" s="1525"/>
      <c r="AJ1394" s="1525"/>
      <c r="AK1394" s="1525"/>
      <c r="AL1394" s="1525"/>
      <c r="AM1394" s="1525"/>
      <c r="AN1394" s="1525"/>
      <c r="AO1394" s="1525"/>
      <c r="AP1394" s="1525"/>
      <c r="AQ1394" s="1525"/>
      <c r="AR1394" s="1525"/>
      <c r="AS1394" s="1525"/>
      <c r="AU1394" s="1525"/>
      <c r="AV1394" s="1295"/>
      <c r="AW1394" s="1525"/>
      <c r="AX1394" s="1525"/>
      <c r="AY1394" s="1525"/>
      <c r="AZ1394" s="1525"/>
      <c r="BA1394" s="1525"/>
      <c r="BB1394" s="1525"/>
      <c r="BC1394" s="1525"/>
      <c r="BD1394" s="1525"/>
      <c r="BE1394" s="1525"/>
      <c r="BF1394" s="1525"/>
      <c r="BG1394" s="1525"/>
      <c r="BH1394" s="1525"/>
      <c r="BI1394" s="1525"/>
      <c r="BJ1394" s="1525"/>
      <c r="BK1394" s="1525"/>
      <c r="BL1394" s="1525"/>
      <c r="BM1394" s="1525"/>
      <c r="BN1394" s="1525"/>
      <c r="BO1394" s="1525"/>
      <c r="BP1394" s="1525"/>
      <c r="BQ1394" s="1525"/>
      <c r="BR1394" s="1525"/>
      <c r="BS1394" s="1525"/>
      <c r="BT1394" s="1670"/>
      <c r="BV1394"/>
      <c r="BW1394" s="913"/>
    </row>
    <row r="1395" spans="2:75" s="164" customFormat="1" ht="12.75" customHeight="1" x14ac:dyDescent="0.15">
      <c r="B1395" s="175"/>
      <c r="F1395" s="50"/>
      <c r="G1395" s="856"/>
      <c r="H1395" s="1364" t="s">
        <v>1508</v>
      </c>
      <c r="I1395" s="172"/>
      <c r="J1395" s="168"/>
      <c r="K1395" s="168"/>
      <c r="L1395" s="841"/>
      <c r="M1395" s="841"/>
      <c r="N1395" s="855"/>
      <c r="O1395" s="1200"/>
      <c r="P1395" s="550"/>
      <c r="Q1395" s="1148"/>
      <c r="R1395" s="874"/>
      <c r="S1395" s="875"/>
      <c r="T1395" s="875"/>
      <c r="U1395" s="875"/>
      <c r="V1395" s="875"/>
      <c r="W1395" s="875"/>
      <c r="X1395" s="1026"/>
      <c r="Y1395" s="1335"/>
      <c r="Z1395" s="1335"/>
      <c r="AA1395" s="1335"/>
      <c r="AB1395" s="1335"/>
      <c r="AC1395" s="876"/>
      <c r="AD1395" s="1295"/>
      <c r="AE1395" s="1525"/>
      <c r="AF1395" s="1525"/>
      <c r="AG1395" s="1525"/>
      <c r="AH1395" s="1525"/>
      <c r="AI1395" s="1525"/>
      <c r="AJ1395" s="1525"/>
      <c r="AK1395" s="1525"/>
      <c r="AL1395" s="1525"/>
      <c r="AM1395" s="1525"/>
      <c r="AN1395" s="1525"/>
      <c r="AO1395" s="1525"/>
      <c r="AP1395" s="1525"/>
      <c r="AQ1395" s="1525"/>
      <c r="AR1395" s="1525"/>
      <c r="AS1395" s="1525"/>
      <c r="AU1395" s="1525"/>
      <c r="AV1395" s="1295"/>
      <c r="AW1395" s="1525"/>
      <c r="AX1395" s="1525"/>
      <c r="AY1395" s="1525"/>
      <c r="AZ1395" s="1525"/>
      <c r="BA1395" s="1525"/>
      <c r="BB1395" s="1525"/>
      <c r="BC1395" s="1525"/>
      <c r="BD1395" s="1525"/>
      <c r="BE1395" s="1525"/>
      <c r="BF1395" s="1525"/>
      <c r="BG1395" s="1525"/>
      <c r="BH1395" s="1525"/>
      <c r="BI1395" s="1525"/>
      <c r="BJ1395" s="1525"/>
      <c r="BK1395" s="1525"/>
      <c r="BL1395" s="1525"/>
      <c r="BM1395" s="1525"/>
      <c r="BN1395" s="1525"/>
      <c r="BO1395" s="1525"/>
      <c r="BP1395" s="1525"/>
      <c r="BQ1395" s="1525"/>
      <c r="BR1395" s="1525"/>
      <c r="BS1395" s="1525"/>
      <c r="BT1395" s="1670"/>
      <c r="BV1395"/>
      <c r="BW1395" s="856"/>
    </row>
    <row r="1396" spans="2:75" ht="12.75" customHeight="1" x14ac:dyDescent="0.2">
      <c r="B1396" s="175">
        <f t="shared" ref="B1396:B1404" si="845">B1395+1</f>
        <v>1</v>
      </c>
      <c r="C1396" s="219">
        <v>5</v>
      </c>
      <c r="E1396" s="12" t="s">
        <v>1562</v>
      </c>
      <c r="F1396" s="19" t="s">
        <v>808</v>
      </c>
      <c r="G1396" s="834" t="s">
        <v>1896</v>
      </c>
      <c r="H1396" s="858">
        <v>211473</v>
      </c>
      <c r="I1396" s="200" t="s">
        <v>351</v>
      </c>
      <c r="J1396" s="173"/>
      <c r="K1396" s="173"/>
      <c r="L1396" s="893">
        <v>1</v>
      </c>
      <c r="M1396" s="858">
        <f>K1396+L1396</f>
        <v>1</v>
      </c>
      <c r="N1396" s="832" t="s">
        <v>892</v>
      </c>
      <c r="O1396" s="1196">
        <v>26605</v>
      </c>
      <c r="P1396" s="1218">
        <f t="shared" ref="P1396:P1404" ca="1" si="846">YEARFRAC(TODAY(),O1396)</f>
        <v>44.916666666666664</v>
      </c>
      <c r="Q1396" s="1148">
        <v>41400</v>
      </c>
      <c r="R1396" s="874"/>
      <c r="S1396" s="875">
        <v>3000</v>
      </c>
      <c r="T1396" s="874"/>
      <c r="U1396" s="874"/>
      <c r="V1396" s="874"/>
      <c r="W1396" s="875"/>
      <c r="X1396" s="1026">
        <f t="shared" ref="X1396:X1404" si="847">(Q1396+R1396+S1396+T1396+U1396+V1396+W1396)*M1396</f>
        <v>44400</v>
      </c>
      <c r="Y1396" s="1512">
        <f t="shared" ref="Y1396:Y1404" si="848">(T1396+U1396)*M1396/(X1396-M1396*(T1396+U1396))</f>
        <v>0</v>
      </c>
      <c r="Z1396" s="1741">
        <f t="shared" ref="Z1396:Z1404" si="849">M1396*(1+Y1396)</f>
        <v>1</v>
      </c>
      <c r="AA1396" s="1749">
        <f t="shared" ref="AA1396:AA1402" si="850">SUM(AD1396:AS1396)</f>
        <v>1</v>
      </c>
      <c r="AB1396" s="1810">
        <f t="shared" ref="AB1396:AB1402" si="851">100*AA1396/Z1396</f>
        <v>100</v>
      </c>
      <c r="AC1396" s="876"/>
      <c r="AD1396" s="1525">
        <f t="shared" ref="AD1396:AS1402" si="852">SUMIF($AV$6:$BS$6,AD$5,$AV1396:$BS1396)</f>
        <v>0</v>
      </c>
      <c r="AE1396" s="1525">
        <f t="shared" si="852"/>
        <v>0</v>
      </c>
      <c r="AF1396" s="1525">
        <f t="shared" si="852"/>
        <v>0</v>
      </c>
      <c r="AG1396" s="1525">
        <f t="shared" si="852"/>
        <v>1</v>
      </c>
      <c r="AH1396" s="1525">
        <f t="shared" si="852"/>
        <v>0</v>
      </c>
      <c r="AI1396" s="1525">
        <f t="shared" si="852"/>
        <v>0</v>
      </c>
      <c r="AJ1396" s="1525">
        <f t="shared" si="852"/>
        <v>0</v>
      </c>
      <c r="AK1396" s="1525">
        <f t="shared" si="852"/>
        <v>0</v>
      </c>
      <c r="AL1396" s="1525">
        <f t="shared" si="852"/>
        <v>0</v>
      </c>
      <c r="AM1396" s="1525">
        <f t="shared" si="852"/>
        <v>0</v>
      </c>
      <c r="AN1396" s="1525">
        <f t="shared" si="852"/>
        <v>0</v>
      </c>
      <c r="AO1396" s="1525">
        <f t="shared" si="852"/>
        <v>0</v>
      </c>
      <c r="AP1396" s="1525">
        <f t="shared" si="852"/>
        <v>0</v>
      </c>
      <c r="AQ1396" s="1525">
        <f t="shared" si="852"/>
        <v>0</v>
      </c>
      <c r="AR1396" s="1525">
        <f t="shared" si="852"/>
        <v>0</v>
      </c>
      <c r="AS1396" s="1525">
        <f t="shared" si="852"/>
        <v>0</v>
      </c>
      <c r="AU1396" s="1525"/>
      <c r="AV1396" s="1291">
        <v>1</v>
      </c>
      <c r="AW1396" s="1292"/>
      <c r="AX1396" s="1292"/>
      <c r="AY1396" s="1292"/>
      <c r="AZ1396" s="1292"/>
      <c r="BA1396" s="1292"/>
      <c r="BB1396" s="1292"/>
      <c r="BC1396" s="1292"/>
      <c r="BD1396" s="1292"/>
      <c r="BE1396" s="1292"/>
      <c r="BF1396" s="1292"/>
      <c r="BG1396" s="1292"/>
      <c r="BH1396" s="1292"/>
      <c r="BI1396" s="1292"/>
      <c r="BJ1396" s="1292"/>
      <c r="BK1396" s="1292"/>
      <c r="BL1396" s="1292"/>
      <c r="BM1396" s="1292"/>
      <c r="BN1396" s="1292"/>
      <c r="BO1396" s="1292"/>
      <c r="BP1396" s="1292"/>
      <c r="BQ1396" s="1292"/>
      <c r="BR1396" s="1292"/>
      <c r="BS1396" s="1292"/>
      <c r="BT1396" s="1670">
        <f t="shared" ref="BT1396:BT1402" si="853">SUM(AV1396:BS1396)</f>
        <v>1</v>
      </c>
      <c r="BW1396" s="834" t="s">
        <v>1896</v>
      </c>
    </row>
    <row r="1397" spans="2:75" ht="12.75" customHeight="1" x14ac:dyDescent="0.2">
      <c r="B1397" s="175">
        <f t="shared" si="845"/>
        <v>2</v>
      </c>
      <c r="C1397" s="219">
        <v>7</v>
      </c>
      <c r="E1397" s="12" t="s">
        <v>1562</v>
      </c>
      <c r="F1397" s="30" t="s">
        <v>1334</v>
      </c>
      <c r="G1397" s="834" t="s">
        <v>1593</v>
      </c>
      <c r="H1397" s="858">
        <v>25141</v>
      </c>
      <c r="I1397" s="200" t="s">
        <v>351</v>
      </c>
      <c r="J1397" s="173"/>
      <c r="K1397" s="173"/>
      <c r="L1397" s="893">
        <v>1</v>
      </c>
      <c r="M1397" s="858">
        <f>K1397+L1397</f>
        <v>1</v>
      </c>
      <c r="N1397" s="832" t="s">
        <v>892</v>
      </c>
      <c r="O1397" s="1196">
        <v>23467</v>
      </c>
      <c r="P1397" s="1218">
        <f t="shared" ca="1" si="846"/>
        <v>53.505555555555553</v>
      </c>
      <c r="Q1397" s="1148">
        <v>39550</v>
      </c>
      <c r="R1397" s="874"/>
      <c r="S1397" s="875">
        <v>3000</v>
      </c>
      <c r="T1397" s="874"/>
      <c r="U1397" s="874"/>
      <c r="V1397" s="874"/>
      <c r="W1397" s="875"/>
      <c r="X1397" s="1026">
        <f t="shared" si="847"/>
        <v>42550</v>
      </c>
      <c r="Y1397" s="1512">
        <f t="shared" si="848"/>
        <v>0</v>
      </c>
      <c r="Z1397" s="1741">
        <f t="shared" si="849"/>
        <v>1</v>
      </c>
      <c r="AA1397" s="1749">
        <f t="shared" si="850"/>
        <v>1</v>
      </c>
      <c r="AB1397" s="1810">
        <f t="shared" si="851"/>
        <v>100</v>
      </c>
      <c r="AC1397" s="876"/>
      <c r="AD1397" s="1525">
        <f t="shared" si="852"/>
        <v>0</v>
      </c>
      <c r="AE1397" s="1525">
        <f t="shared" si="852"/>
        <v>0</v>
      </c>
      <c r="AF1397" s="1525">
        <f t="shared" si="852"/>
        <v>0</v>
      </c>
      <c r="AG1397" s="1525">
        <f t="shared" si="852"/>
        <v>1</v>
      </c>
      <c r="AH1397" s="1525">
        <f t="shared" si="852"/>
        <v>0</v>
      </c>
      <c r="AI1397" s="1525">
        <f t="shared" si="852"/>
        <v>0</v>
      </c>
      <c r="AJ1397" s="1525">
        <f t="shared" si="852"/>
        <v>0</v>
      </c>
      <c r="AK1397" s="1525">
        <f t="shared" si="852"/>
        <v>0</v>
      </c>
      <c r="AL1397" s="1525">
        <f t="shared" si="852"/>
        <v>0</v>
      </c>
      <c r="AM1397" s="1525">
        <f t="shared" si="852"/>
        <v>0</v>
      </c>
      <c r="AN1397" s="1525">
        <f t="shared" si="852"/>
        <v>0</v>
      </c>
      <c r="AO1397" s="1525">
        <f t="shared" si="852"/>
        <v>0</v>
      </c>
      <c r="AP1397" s="1525">
        <f t="shared" si="852"/>
        <v>0</v>
      </c>
      <c r="AQ1397" s="1525">
        <f t="shared" si="852"/>
        <v>0</v>
      </c>
      <c r="AR1397" s="1525">
        <f t="shared" si="852"/>
        <v>0</v>
      </c>
      <c r="AS1397" s="1525">
        <f t="shared" si="852"/>
        <v>0</v>
      </c>
      <c r="AU1397" s="1525"/>
      <c r="AV1397" s="1291">
        <v>1</v>
      </c>
      <c r="AW1397" s="1292"/>
      <c r="AX1397" s="1292"/>
      <c r="AY1397" s="1292"/>
      <c r="AZ1397" s="1292"/>
      <c r="BA1397" s="1292"/>
      <c r="BB1397" s="1292"/>
      <c r="BC1397" s="1292"/>
      <c r="BD1397" s="1292"/>
      <c r="BE1397" s="1292"/>
      <c r="BF1397" s="1292"/>
      <c r="BG1397" s="1292"/>
      <c r="BH1397" s="1292"/>
      <c r="BI1397" s="1292"/>
      <c r="BJ1397" s="1292"/>
      <c r="BK1397" s="1292"/>
      <c r="BL1397" s="1292"/>
      <c r="BM1397" s="1292"/>
      <c r="BN1397" s="1292"/>
      <c r="BO1397" s="1292"/>
      <c r="BP1397" s="1292"/>
      <c r="BQ1397" s="1292"/>
      <c r="BR1397" s="1292"/>
      <c r="BS1397" s="1292"/>
      <c r="BT1397" s="1670">
        <f t="shared" si="853"/>
        <v>1</v>
      </c>
      <c r="BW1397" s="834" t="s">
        <v>1593</v>
      </c>
    </row>
    <row r="1398" spans="2:75" ht="12.75" customHeight="1" x14ac:dyDescent="0.2">
      <c r="B1398" s="175">
        <f t="shared" si="845"/>
        <v>3</v>
      </c>
      <c r="C1398" s="219">
        <v>8</v>
      </c>
      <c r="E1398" s="12" t="s">
        <v>1562</v>
      </c>
      <c r="F1398" s="58" t="s">
        <v>353</v>
      </c>
      <c r="G1398" s="834" t="s">
        <v>275</v>
      </c>
      <c r="H1398" s="858">
        <v>46111</v>
      </c>
      <c r="I1398" s="200" t="s">
        <v>351</v>
      </c>
      <c r="J1398" s="173"/>
      <c r="K1398" s="173"/>
      <c r="L1398" s="893">
        <v>1</v>
      </c>
      <c r="M1398" s="858">
        <v>1</v>
      </c>
      <c r="N1398" s="832" t="s">
        <v>892</v>
      </c>
      <c r="O1398" s="1196">
        <v>25923</v>
      </c>
      <c r="P1398" s="1218">
        <f t="shared" ca="1" si="846"/>
        <v>46.780555555555559</v>
      </c>
      <c r="Q1398" s="1148">
        <v>39550</v>
      </c>
      <c r="R1398" s="874"/>
      <c r="S1398" s="875">
        <v>3000</v>
      </c>
      <c r="T1398" s="874"/>
      <c r="U1398" s="874"/>
      <c r="V1398" s="874"/>
      <c r="W1398" s="875"/>
      <c r="X1398" s="1026">
        <f t="shared" si="847"/>
        <v>42550</v>
      </c>
      <c r="Y1398" s="1512">
        <f t="shared" si="848"/>
        <v>0</v>
      </c>
      <c r="Z1398" s="1741">
        <f t="shared" si="849"/>
        <v>1</v>
      </c>
      <c r="AA1398" s="1749">
        <f t="shared" si="850"/>
        <v>1</v>
      </c>
      <c r="AB1398" s="1810">
        <f t="shared" si="851"/>
        <v>100</v>
      </c>
      <c r="AC1398" s="876"/>
      <c r="AD1398" s="1525">
        <f t="shared" si="852"/>
        <v>0</v>
      </c>
      <c r="AE1398" s="1525">
        <f t="shared" si="852"/>
        <v>0</v>
      </c>
      <c r="AF1398" s="1525">
        <f t="shared" si="852"/>
        <v>0</v>
      </c>
      <c r="AG1398" s="1525">
        <f t="shared" si="852"/>
        <v>1</v>
      </c>
      <c r="AH1398" s="1525">
        <f t="shared" si="852"/>
        <v>0</v>
      </c>
      <c r="AI1398" s="1525">
        <f t="shared" si="852"/>
        <v>0</v>
      </c>
      <c r="AJ1398" s="1525">
        <f t="shared" si="852"/>
        <v>0</v>
      </c>
      <c r="AK1398" s="1525">
        <f t="shared" si="852"/>
        <v>0</v>
      </c>
      <c r="AL1398" s="1525">
        <f t="shared" si="852"/>
        <v>0</v>
      </c>
      <c r="AM1398" s="1525">
        <f t="shared" si="852"/>
        <v>0</v>
      </c>
      <c r="AN1398" s="1525">
        <f t="shared" si="852"/>
        <v>0</v>
      </c>
      <c r="AO1398" s="1525">
        <f t="shared" si="852"/>
        <v>0</v>
      </c>
      <c r="AP1398" s="1525">
        <f t="shared" si="852"/>
        <v>0</v>
      </c>
      <c r="AQ1398" s="1525">
        <f t="shared" si="852"/>
        <v>0</v>
      </c>
      <c r="AR1398" s="1525">
        <f t="shared" si="852"/>
        <v>0</v>
      </c>
      <c r="AS1398" s="1525">
        <f t="shared" si="852"/>
        <v>0</v>
      </c>
      <c r="AU1398" s="1525"/>
      <c r="AV1398" s="1291">
        <v>1</v>
      </c>
      <c r="AW1398" s="1292"/>
      <c r="AX1398" s="1292"/>
      <c r="AY1398" s="1292"/>
      <c r="AZ1398" s="1292"/>
      <c r="BA1398" s="1292"/>
      <c r="BB1398" s="1292"/>
      <c r="BC1398" s="1292"/>
      <c r="BD1398" s="1292"/>
      <c r="BE1398" s="1292"/>
      <c r="BF1398" s="1292"/>
      <c r="BG1398" s="1292"/>
      <c r="BH1398" s="1292"/>
      <c r="BI1398" s="1292"/>
      <c r="BJ1398" s="1292"/>
      <c r="BK1398" s="1292"/>
      <c r="BL1398" s="1292"/>
      <c r="BM1398" s="1292"/>
      <c r="BN1398" s="1292"/>
      <c r="BO1398" s="1292"/>
      <c r="BP1398" s="1292"/>
      <c r="BQ1398" s="1292"/>
      <c r="BR1398" s="1292"/>
      <c r="BS1398" s="1292"/>
      <c r="BT1398" s="1670">
        <f t="shared" si="853"/>
        <v>1</v>
      </c>
      <c r="BW1398" s="834" t="s">
        <v>275</v>
      </c>
    </row>
    <row r="1399" spans="2:75" ht="12.75" customHeight="1" x14ac:dyDescent="0.2">
      <c r="B1399" s="175">
        <f t="shared" si="845"/>
        <v>4</v>
      </c>
      <c r="C1399" s="219">
        <v>8</v>
      </c>
      <c r="E1399" s="12" t="s">
        <v>1562</v>
      </c>
      <c r="F1399" s="58" t="s">
        <v>353</v>
      </c>
      <c r="G1399" s="834" t="s">
        <v>1895</v>
      </c>
      <c r="H1399" s="858">
        <v>56963</v>
      </c>
      <c r="I1399" s="200" t="s">
        <v>351</v>
      </c>
      <c r="J1399" s="173"/>
      <c r="K1399" s="173"/>
      <c r="L1399" s="893">
        <v>1</v>
      </c>
      <c r="M1399" s="858">
        <f>K1399+L1399</f>
        <v>1</v>
      </c>
      <c r="N1399" s="832" t="s">
        <v>892</v>
      </c>
      <c r="O1399" s="1196">
        <v>26228</v>
      </c>
      <c r="P1399" s="1218">
        <f t="shared" ca="1" si="846"/>
        <v>45.944444444444443</v>
      </c>
      <c r="Q1399" s="1148">
        <v>33300</v>
      </c>
      <c r="R1399" s="874"/>
      <c r="S1399" s="875"/>
      <c r="T1399" s="874"/>
      <c r="U1399" s="874"/>
      <c r="V1399" s="874"/>
      <c r="W1399" s="875"/>
      <c r="X1399" s="1026">
        <f t="shared" si="847"/>
        <v>33300</v>
      </c>
      <c r="Y1399" s="1512">
        <f t="shared" si="848"/>
        <v>0</v>
      </c>
      <c r="Z1399" s="1741">
        <f t="shared" si="849"/>
        <v>1</v>
      </c>
      <c r="AA1399" s="1749">
        <f t="shared" si="850"/>
        <v>1</v>
      </c>
      <c r="AB1399" s="1810">
        <f t="shared" si="851"/>
        <v>100</v>
      </c>
      <c r="AC1399" s="876"/>
      <c r="AD1399" s="1525">
        <f t="shared" si="852"/>
        <v>0</v>
      </c>
      <c r="AE1399" s="1525">
        <f t="shared" si="852"/>
        <v>0</v>
      </c>
      <c r="AF1399" s="1525">
        <f t="shared" si="852"/>
        <v>0</v>
      </c>
      <c r="AG1399" s="1525">
        <f t="shared" si="852"/>
        <v>1</v>
      </c>
      <c r="AH1399" s="1525">
        <f t="shared" si="852"/>
        <v>0</v>
      </c>
      <c r="AI1399" s="1525">
        <f t="shared" si="852"/>
        <v>0</v>
      </c>
      <c r="AJ1399" s="1525">
        <f t="shared" si="852"/>
        <v>0</v>
      </c>
      <c r="AK1399" s="1525">
        <f t="shared" si="852"/>
        <v>0</v>
      </c>
      <c r="AL1399" s="1525">
        <f t="shared" si="852"/>
        <v>0</v>
      </c>
      <c r="AM1399" s="1525">
        <f t="shared" si="852"/>
        <v>0</v>
      </c>
      <c r="AN1399" s="1525">
        <f t="shared" si="852"/>
        <v>0</v>
      </c>
      <c r="AO1399" s="1525">
        <f t="shared" si="852"/>
        <v>0</v>
      </c>
      <c r="AP1399" s="1525">
        <f t="shared" si="852"/>
        <v>0</v>
      </c>
      <c r="AQ1399" s="1525">
        <f t="shared" si="852"/>
        <v>0</v>
      </c>
      <c r="AR1399" s="1525">
        <f t="shared" si="852"/>
        <v>0</v>
      </c>
      <c r="AS1399" s="1525">
        <f t="shared" si="852"/>
        <v>0</v>
      </c>
      <c r="AU1399" s="1525"/>
      <c r="AV1399" s="1291">
        <v>1</v>
      </c>
      <c r="AW1399" s="1292"/>
      <c r="AX1399" s="1292"/>
      <c r="AY1399" s="1292"/>
      <c r="AZ1399" s="1292"/>
      <c r="BA1399" s="1292"/>
      <c r="BB1399" s="1292"/>
      <c r="BC1399" s="1292"/>
      <c r="BD1399" s="1292"/>
      <c r="BE1399" s="1292"/>
      <c r="BF1399" s="1292"/>
      <c r="BG1399" s="1292"/>
      <c r="BH1399" s="1292"/>
      <c r="BI1399" s="1292"/>
      <c r="BJ1399" s="1292"/>
      <c r="BK1399" s="1292"/>
      <c r="BL1399" s="1292"/>
      <c r="BM1399" s="1292"/>
      <c r="BN1399" s="1292"/>
      <c r="BO1399" s="1292"/>
      <c r="BP1399" s="1292"/>
      <c r="BQ1399" s="1292"/>
      <c r="BR1399" s="1292"/>
      <c r="BS1399" s="1292"/>
      <c r="BT1399" s="1670">
        <f t="shared" si="853"/>
        <v>1</v>
      </c>
      <c r="BW1399" s="834" t="s">
        <v>1895</v>
      </c>
    </row>
    <row r="1400" spans="2:75" ht="12.75" customHeight="1" x14ac:dyDescent="0.2">
      <c r="B1400" s="175">
        <f t="shared" si="845"/>
        <v>5</v>
      </c>
      <c r="C1400" s="219">
        <v>8</v>
      </c>
      <c r="E1400" s="12" t="s">
        <v>1562</v>
      </c>
      <c r="F1400" s="58" t="s">
        <v>353</v>
      </c>
      <c r="G1400" s="834" t="s">
        <v>544</v>
      </c>
      <c r="H1400" s="858">
        <v>231338</v>
      </c>
      <c r="I1400" s="200" t="s">
        <v>351</v>
      </c>
      <c r="J1400" s="173"/>
      <c r="K1400" s="173"/>
      <c r="L1400" s="893">
        <v>1</v>
      </c>
      <c r="M1400" s="858">
        <f>K1400+L1400</f>
        <v>1</v>
      </c>
      <c r="N1400" s="832" t="s">
        <v>892</v>
      </c>
      <c r="O1400" s="1196">
        <v>28257</v>
      </c>
      <c r="P1400" s="1218">
        <f t="shared" ca="1" si="846"/>
        <v>40.388888888888886</v>
      </c>
      <c r="Q1400" s="1148">
        <v>23500</v>
      </c>
      <c r="R1400" s="874"/>
      <c r="S1400" s="875">
        <v>3000</v>
      </c>
      <c r="T1400" s="877"/>
      <c r="U1400" s="877"/>
      <c r="V1400" s="877"/>
      <c r="W1400" s="875"/>
      <c r="X1400" s="1026">
        <f t="shared" si="847"/>
        <v>26500</v>
      </c>
      <c r="Y1400" s="1512">
        <f t="shared" si="848"/>
        <v>0</v>
      </c>
      <c r="Z1400" s="1741">
        <f t="shared" si="849"/>
        <v>1</v>
      </c>
      <c r="AA1400" s="1749">
        <f t="shared" si="850"/>
        <v>1</v>
      </c>
      <c r="AB1400" s="1810">
        <f t="shared" si="851"/>
        <v>100</v>
      </c>
      <c r="AC1400" s="876"/>
      <c r="AD1400" s="1525">
        <f t="shared" si="852"/>
        <v>0</v>
      </c>
      <c r="AE1400" s="1525">
        <f t="shared" si="852"/>
        <v>0</v>
      </c>
      <c r="AF1400" s="1525">
        <f t="shared" si="852"/>
        <v>0</v>
      </c>
      <c r="AG1400" s="1525">
        <f t="shared" si="852"/>
        <v>1</v>
      </c>
      <c r="AH1400" s="1525">
        <f t="shared" si="852"/>
        <v>0</v>
      </c>
      <c r="AI1400" s="1525">
        <f t="shared" si="852"/>
        <v>0</v>
      </c>
      <c r="AJ1400" s="1525">
        <f t="shared" si="852"/>
        <v>0</v>
      </c>
      <c r="AK1400" s="1525">
        <f t="shared" si="852"/>
        <v>0</v>
      </c>
      <c r="AL1400" s="1525">
        <f t="shared" si="852"/>
        <v>0</v>
      </c>
      <c r="AM1400" s="1525">
        <f t="shared" si="852"/>
        <v>0</v>
      </c>
      <c r="AN1400" s="1525">
        <f t="shared" si="852"/>
        <v>0</v>
      </c>
      <c r="AO1400" s="1525">
        <f t="shared" si="852"/>
        <v>0</v>
      </c>
      <c r="AP1400" s="1525">
        <f t="shared" si="852"/>
        <v>0</v>
      </c>
      <c r="AQ1400" s="1525">
        <f t="shared" si="852"/>
        <v>0</v>
      </c>
      <c r="AR1400" s="1525">
        <f t="shared" si="852"/>
        <v>0</v>
      </c>
      <c r="AS1400" s="1525">
        <f t="shared" si="852"/>
        <v>0</v>
      </c>
      <c r="AU1400" s="1525"/>
      <c r="AV1400" s="1291">
        <v>1</v>
      </c>
      <c r="AW1400" s="1292"/>
      <c r="AX1400" s="1292"/>
      <c r="AY1400" s="1292"/>
      <c r="AZ1400" s="1292"/>
      <c r="BA1400" s="1292"/>
      <c r="BB1400" s="1292"/>
      <c r="BC1400" s="1292"/>
      <c r="BD1400" s="1292"/>
      <c r="BE1400" s="1292"/>
      <c r="BF1400" s="1292"/>
      <c r="BG1400" s="1292"/>
      <c r="BH1400" s="1292"/>
      <c r="BI1400" s="1292"/>
      <c r="BJ1400" s="1292"/>
      <c r="BK1400" s="1292"/>
      <c r="BL1400" s="1292"/>
      <c r="BM1400" s="1292"/>
      <c r="BN1400" s="1292"/>
      <c r="BO1400" s="1292"/>
      <c r="BP1400" s="1292"/>
      <c r="BQ1400" s="1292"/>
      <c r="BR1400" s="1292"/>
      <c r="BS1400" s="1292"/>
      <c r="BT1400" s="1670">
        <f t="shared" si="853"/>
        <v>1</v>
      </c>
      <c r="BW1400" s="834" t="s">
        <v>544</v>
      </c>
    </row>
    <row r="1401" spans="2:75" ht="12.75" customHeight="1" x14ac:dyDescent="0.2">
      <c r="B1401" s="175">
        <f t="shared" si="845"/>
        <v>6</v>
      </c>
      <c r="C1401" s="219">
        <v>9</v>
      </c>
      <c r="E1401" s="12" t="s">
        <v>1562</v>
      </c>
      <c r="F1401" s="23" t="s">
        <v>1396</v>
      </c>
      <c r="G1401" s="834" t="s">
        <v>159</v>
      </c>
      <c r="H1401" s="858">
        <v>103055</v>
      </c>
      <c r="I1401" s="200" t="s">
        <v>351</v>
      </c>
      <c r="J1401" s="173"/>
      <c r="K1401" s="173"/>
      <c r="L1401" s="893">
        <v>1</v>
      </c>
      <c r="M1401" s="858">
        <f>K1401+L1401</f>
        <v>1</v>
      </c>
      <c r="N1401" s="832" t="s">
        <v>892</v>
      </c>
      <c r="O1401" s="1196">
        <v>31521</v>
      </c>
      <c r="P1401" s="1218">
        <f t="shared" ca="1" si="846"/>
        <v>31.452777777777779</v>
      </c>
      <c r="Q1401" s="1148">
        <v>29900</v>
      </c>
      <c r="R1401" s="874"/>
      <c r="S1401" s="876"/>
      <c r="T1401" s="877"/>
      <c r="U1401" s="877"/>
      <c r="V1401" s="877"/>
      <c r="W1401" s="875"/>
      <c r="X1401" s="1026">
        <f t="shared" si="847"/>
        <v>29900</v>
      </c>
      <c r="Y1401" s="1512">
        <f t="shared" si="848"/>
        <v>0</v>
      </c>
      <c r="Z1401" s="1741">
        <f t="shared" si="849"/>
        <v>1</v>
      </c>
      <c r="AA1401" s="1749">
        <f t="shared" si="850"/>
        <v>1</v>
      </c>
      <c r="AB1401" s="1810">
        <f t="shared" si="851"/>
        <v>100</v>
      </c>
      <c r="AC1401" s="876"/>
      <c r="AD1401" s="1525">
        <f t="shared" si="852"/>
        <v>0</v>
      </c>
      <c r="AE1401" s="1525">
        <f t="shared" si="852"/>
        <v>0</v>
      </c>
      <c r="AF1401" s="1525">
        <f t="shared" si="852"/>
        <v>0</v>
      </c>
      <c r="AG1401" s="1525">
        <f t="shared" si="852"/>
        <v>1</v>
      </c>
      <c r="AH1401" s="1525">
        <f t="shared" si="852"/>
        <v>0</v>
      </c>
      <c r="AI1401" s="1525">
        <f t="shared" si="852"/>
        <v>0</v>
      </c>
      <c r="AJ1401" s="1525">
        <f t="shared" si="852"/>
        <v>0</v>
      </c>
      <c r="AK1401" s="1525">
        <f t="shared" si="852"/>
        <v>0</v>
      </c>
      <c r="AL1401" s="1525">
        <f t="shared" si="852"/>
        <v>0</v>
      </c>
      <c r="AM1401" s="1525">
        <f t="shared" si="852"/>
        <v>0</v>
      </c>
      <c r="AN1401" s="1525">
        <f t="shared" si="852"/>
        <v>0</v>
      </c>
      <c r="AO1401" s="1525">
        <f t="shared" si="852"/>
        <v>0</v>
      </c>
      <c r="AP1401" s="1525">
        <f t="shared" si="852"/>
        <v>0</v>
      </c>
      <c r="AQ1401" s="1525">
        <f t="shared" si="852"/>
        <v>0</v>
      </c>
      <c r="AR1401" s="1525">
        <f t="shared" si="852"/>
        <v>0</v>
      </c>
      <c r="AS1401" s="1525">
        <f t="shared" si="852"/>
        <v>0</v>
      </c>
      <c r="AU1401" s="1525"/>
      <c r="AV1401" s="1291">
        <v>1</v>
      </c>
      <c r="AW1401" s="1292"/>
      <c r="AX1401" s="1292"/>
      <c r="AY1401" s="1292"/>
      <c r="AZ1401" s="1292"/>
      <c r="BA1401" s="1292"/>
      <c r="BB1401" s="1292"/>
      <c r="BC1401" s="1292"/>
      <c r="BD1401" s="1292"/>
      <c r="BE1401" s="1292"/>
      <c r="BF1401" s="1292"/>
      <c r="BG1401" s="1292"/>
      <c r="BH1401" s="1292"/>
      <c r="BI1401" s="1292"/>
      <c r="BJ1401" s="1292"/>
      <c r="BK1401" s="1292"/>
      <c r="BL1401" s="1292"/>
      <c r="BM1401" s="1292"/>
      <c r="BN1401" s="1292"/>
      <c r="BO1401" s="1292"/>
      <c r="BP1401" s="1292"/>
      <c r="BQ1401" s="1292"/>
      <c r="BR1401" s="1292"/>
      <c r="BS1401" s="1292"/>
      <c r="BT1401" s="1670">
        <f t="shared" si="853"/>
        <v>1</v>
      </c>
      <c r="BW1401" s="834" t="s">
        <v>159</v>
      </c>
    </row>
    <row r="1402" spans="2:75" ht="12.75" customHeight="1" x14ac:dyDescent="0.2">
      <c r="B1402" s="175">
        <f t="shared" si="845"/>
        <v>7</v>
      </c>
      <c r="C1402" s="219">
        <v>10</v>
      </c>
      <c r="E1402" s="12" t="s">
        <v>1562</v>
      </c>
      <c r="F1402" s="23" t="s">
        <v>1396</v>
      </c>
      <c r="G1402" s="834" t="s">
        <v>1532</v>
      </c>
      <c r="H1402" s="858">
        <v>102288</v>
      </c>
      <c r="I1402" s="200" t="s">
        <v>351</v>
      </c>
      <c r="J1402" s="173"/>
      <c r="K1402" s="173"/>
      <c r="L1402" s="893">
        <v>1</v>
      </c>
      <c r="M1402" s="858">
        <f>K1402+L1402</f>
        <v>1</v>
      </c>
      <c r="N1402" s="832" t="s">
        <v>892</v>
      </c>
      <c r="O1402" s="1196">
        <v>32079</v>
      </c>
      <c r="P1402" s="1218">
        <f t="shared" ca="1" si="846"/>
        <v>29.925000000000001</v>
      </c>
      <c r="Q1402" s="1148">
        <v>33800</v>
      </c>
      <c r="R1402" s="874"/>
      <c r="S1402" s="876">
        <v>3000</v>
      </c>
      <c r="T1402" s="877"/>
      <c r="U1402" s="877"/>
      <c r="V1402" s="877"/>
      <c r="W1402" s="875"/>
      <c r="X1402" s="1026">
        <f t="shared" si="847"/>
        <v>36800</v>
      </c>
      <c r="Y1402" s="1512">
        <f t="shared" si="848"/>
        <v>0</v>
      </c>
      <c r="Z1402" s="1741">
        <f t="shared" si="849"/>
        <v>1</v>
      </c>
      <c r="AA1402" s="1749">
        <f t="shared" si="850"/>
        <v>1</v>
      </c>
      <c r="AB1402" s="1810">
        <f t="shared" si="851"/>
        <v>100</v>
      </c>
      <c r="AC1402" s="876"/>
      <c r="AD1402" s="1525">
        <f t="shared" si="852"/>
        <v>0</v>
      </c>
      <c r="AE1402" s="1525">
        <f t="shared" si="852"/>
        <v>0</v>
      </c>
      <c r="AF1402" s="1525">
        <f t="shared" si="852"/>
        <v>0</v>
      </c>
      <c r="AG1402" s="1525">
        <f t="shared" si="852"/>
        <v>1</v>
      </c>
      <c r="AH1402" s="1525">
        <f t="shared" si="852"/>
        <v>0</v>
      </c>
      <c r="AI1402" s="1525">
        <f t="shared" si="852"/>
        <v>0</v>
      </c>
      <c r="AJ1402" s="1525">
        <f t="shared" si="852"/>
        <v>0</v>
      </c>
      <c r="AK1402" s="1525">
        <f t="shared" si="852"/>
        <v>0</v>
      </c>
      <c r="AL1402" s="1525">
        <f t="shared" si="852"/>
        <v>0</v>
      </c>
      <c r="AM1402" s="1525">
        <f t="shared" si="852"/>
        <v>0</v>
      </c>
      <c r="AN1402" s="1525">
        <f t="shared" si="852"/>
        <v>0</v>
      </c>
      <c r="AO1402" s="1525">
        <f t="shared" si="852"/>
        <v>0</v>
      </c>
      <c r="AP1402" s="1525">
        <f t="shared" si="852"/>
        <v>0</v>
      </c>
      <c r="AQ1402" s="1525">
        <f t="shared" si="852"/>
        <v>0</v>
      </c>
      <c r="AR1402" s="1525">
        <f t="shared" si="852"/>
        <v>0</v>
      </c>
      <c r="AS1402" s="1525">
        <f t="shared" si="852"/>
        <v>0</v>
      </c>
      <c r="AU1402" s="1525"/>
      <c r="AV1402" s="1291">
        <v>1</v>
      </c>
      <c r="AW1402" s="1292"/>
      <c r="AX1402" s="1292"/>
      <c r="AY1402" s="1292"/>
      <c r="AZ1402" s="1292"/>
      <c r="BA1402" s="1292"/>
      <c r="BB1402" s="1292"/>
      <c r="BC1402" s="1292"/>
      <c r="BD1402" s="1292"/>
      <c r="BE1402" s="1292"/>
      <c r="BF1402" s="1292"/>
      <c r="BG1402" s="1292"/>
      <c r="BH1402" s="1292"/>
      <c r="BI1402" s="1292"/>
      <c r="BJ1402" s="1292"/>
      <c r="BK1402" s="1292"/>
      <c r="BL1402" s="1292"/>
      <c r="BM1402" s="1292"/>
      <c r="BN1402" s="1292"/>
      <c r="BO1402" s="1292"/>
      <c r="BP1402" s="1292"/>
      <c r="BQ1402" s="1292"/>
      <c r="BR1402" s="1292"/>
      <c r="BS1402" s="1292"/>
      <c r="BT1402" s="1670">
        <f t="shared" si="853"/>
        <v>1</v>
      </c>
      <c r="BW1402" s="834" t="s">
        <v>1532</v>
      </c>
    </row>
    <row r="1403" spans="2:75" ht="12.75" customHeight="1" x14ac:dyDescent="0.2">
      <c r="B1403" s="175">
        <f t="shared" si="845"/>
        <v>8</v>
      </c>
      <c r="C1403" s="219">
        <v>18</v>
      </c>
      <c r="D1403" s="170"/>
      <c r="E1403" s="12" t="s">
        <v>1562</v>
      </c>
      <c r="F1403" s="65" t="s">
        <v>584</v>
      </c>
      <c r="G1403" s="834" t="s">
        <v>2046</v>
      </c>
      <c r="H1403" s="858">
        <v>165479</v>
      </c>
      <c r="I1403" s="200" t="s">
        <v>583</v>
      </c>
      <c r="J1403" s="173"/>
      <c r="K1403" s="173"/>
      <c r="L1403" s="893">
        <v>0.5</v>
      </c>
      <c r="M1403" s="858">
        <f t="shared" ref="M1403:M1404" si="854">K1403+L1403</f>
        <v>0.5</v>
      </c>
      <c r="N1403" s="832" t="s">
        <v>892</v>
      </c>
      <c r="O1403" s="1196">
        <v>34310</v>
      </c>
      <c r="P1403" s="1218">
        <f t="shared" ca="1" si="846"/>
        <v>23.819444444444443</v>
      </c>
      <c r="Q1403" s="1148">
        <v>20000</v>
      </c>
      <c r="R1403" s="874"/>
      <c r="S1403" s="876"/>
      <c r="T1403" s="877"/>
      <c r="U1403" s="877"/>
      <c r="V1403" s="877"/>
      <c r="W1403" s="875"/>
      <c r="X1403" s="1026">
        <f t="shared" si="847"/>
        <v>10000</v>
      </c>
      <c r="Y1403" s="1512">
        <f t="shared" si="848"/>
        <v>0</v>
      </c>
      <c r="Z1403" s="1741">
        <f t="shared" si="849"/>
        <v>0.5</v>
      </c>
      <c r="AA1403" s="1749">
        <f t="shared" ref="AA1403:AA1404" si="855">SUM(AD1403:AS1403)</f>
        <v>0</v>
      </c>
      <c r="AB1403" s="1810">
        <f t="shared" ref="AB1403:AB1404" si="856">100*AA1403/Z1403</f>
        <v>0</v>
      </c>
      <c r="AC1403" s="224"/>
      <c r="AD1403" s="1525"/>
      <c r="AE1403" s="1525"/>
      <c r="AF1403" s="1525"/>
      <c r="AG1403" s="1525"/>
      <c r="AH1403" s="1525"/>
      <c r="AI1403" s="1525"/>
      <c r="AJ1403" s="1525"/>
      <c r="AK1403" s="1525"/>
      <c r="AL1403" s="1525"/>
      <c r="AM1403" s="1525"/>
      <c r="AN1403" s="1525"/>
      <c r="AO1403" s="1525"/>
      <c r="AP1403" s="1846"/>
      <c r="AQ1403" s="1292"/>
      <c r="AR1403" s="1847"/>
      <c r="AS1403" s="1292"/>
      <c r="AU1403" s="224"/>
      <c r="AV1403" s="1292"/>
      <c r="AX1403" s="1292"/>
      <c r="BT1403" s="1671"/>
      <c r="BV1403" s="224"/>
      <c r="BW1403" s="224"/>
    </row>
    <row r="1404" spans="2:75" ht="12.75" customHeight="1" x14ac:dyDescent="0.2">
      <c r="B1404" s="175">
        <f t="shared" si="845"/>
        <v>9</v>
      </c>
      <c r="C1404" s="219">
        <v>18</v>
      </c>
      <c r="D1404" s="170"/>
      <c r="E1404" s="12" t="s">
        <v>1562</v>
      </c>
      <c r="F1404" s="65" t="s">
        <v>584</v>
      </c>
      <c r="G1404" s="834" t="s">
        <v>2047</v>
      </c>
      <c r="H1404" s="858">
        <v>165478</v>
      </c>
      <c r="I1404" s="200" t="s">
        <v>583</v>
      </c>
      <c r="J1404" s="173"/>
      <c r="K1404" s="173"/>
      <c r="L1404" s="893">
        <v>0.5</v>
      </c>
      <c r="M1404" s="858">
        <f t="shared" si="854"/>
        <v>0.5</v>
      </c>
      <c r="N1404" s="832" t="s">
        <v>892</v>
      </c>
      <c r="O1404" s="1196">
        <v>34923</v>
      </c>
      <c r="P1404" s="1218">
        <f t="shared" ca="1" si="846"/>
        <v>22.138888888888889</v>
      </c>
      <c r="Q1404" s="1148">
        <v>20000</v>
      </c>
      <c r="R1404" s="874"/>
      <c r="S1404" s="876"/>
      <c r="T1404" s="877"/>
      <c r="U1404" s="877"/>
      <c r="V1404" s="877"/>
      <c r="W1404" s="875"/>
      <c r="X1404" s="1026">
        <f t="shared" si="847"/>
        <v>10000</v>
      </c>
      <c r="Y1404" s="1512">
        <f t="shared" si="848"/>
        <v>0</v>
      </c>
      <c r="Z1404" s="1741">
        <f t="shared" si="849"/>
        <v>0.5</v>
      </c>
      <c r="AA1404" s="1749">
        <f t="shared" si="855"/>
        <v>0</v>
      </c>
      <c r="AB1404" s="1810">
        <f t="shared" si="856"/>
        <v>0</v>
      </c>
      <c r="AC1404" s="224"/>
      <c r="AD1404" s="1525"/>
      <c r="AE1404" s="1525"/>
      <c r="AF1404" s="1525"/>
      <c r="AG1404" s="1525"/>
      <c r="AH1404" s="1525"/>
      <c r="AI1404" s="1525"/>
      <c r="AJ1404" s="1525"/>
      <c r="AK1404" s="1525"/>
      <c r="AL1404" s="1525"/>
      <c r="AM1404" s="1525"/>
      <c r="AN1404" s="1525"/>
      <c r="AO1404" s="1525"/>
      <c r="AP1404" s="1846"/>
      <c r="AQ1404" s="1292"/>
      <c r="AR1404" s="1847"/>
      <c r="AS1404" s="1292"/>
      <c r="AU1404" s="224"/>
      <c r="AV1404" s="1292"/>
      <c r="AX1404" s="1292"/>
      <c r="BT1404" s="1671"/>
      <c r="BV1404" s="224"/>
      <c r="BW1404" s="224"/>
    </row>
    <row r="1405" spans="2:75" ht="12.75" customHeight="1" x14ac:dyDescent="0.2">
      <c r="B1405" s="175"/>
      <c r="C1405" s="219"/>
      <c r="D1405" s="170"/>
      <c r="E1405" s="12"/>
      <c r="F1405" s="65"/>
      <c r="G1405" s="834"/>
      <c r="H1405" s="858"/>
      <c r="I1405" s="200"/>
      <c r="J1405" s="173"/>
      <c r="K1405" s="173"/>
      <c r="L1405" s="893"/>
      <c r="M1405" s="858"/>
      <c r="N1405" s="832"/>
      <c r="O1405" s="1196"/>
      <c r="P1405" s="1218"/>
      <c r="Q1405" s="1148"/>
      <c r="R1405" s="874"/>
      <c r="S1405" s="876"/>
      <c r="T1405" s="877"/>
      <c r="U1405" s="877"/>
      <c r="V1405" s="877"/>
      <c r="W1405" s="875"/>
      <c r="X1405" s="1026"/>
      <c r="Y1405" s="1335"/>
      <c r="Z1405" s="1335"/>
      <c r="AA1405" s="1775"/>
      <c r="AB1405" s="1814"/>
      <c r="AC1405" s="224"/>
      <c r="AD1405" s="1525"/>
      <c r="AE1405" s="1525"/>
      <c r="AF1405" s="1525"/>
      <c r="AG1405" s="1525"/>
      <c r="AH1405" s="1525"/>
      <c r="AI1405" s="1525"/>
      <c r="AJ1405" s="1525"/>
      <c r="AK1405" s="1525"/>
      <c r="AL1405" s="1525"/>
      <c r="AM1405" s="1525"/>
      <c r="AN1405" s="1525"/>
      <c r="AO1405" s="1525"/>
      <c r="AP1405" s="1525"/>
      <c r="AQ1405" s="1292"/>
      <c r="AR1405" s="1847"/>
      <c r="AS1405" s="1292"/>
      <c r="AU1405" s="224"/>
      <c r="AV1405" s="1292"/>
      <c r="AX1405" s="1292"/>
      <c r="BT1405" s="1671"/>
      <c r="BV1405" s="224"/>
      <c r="BW1405" s="224"/>
    </row>
    <row r="1406" spans="2:75" s="164" customFormat="1" ht="12.75" customHeight="1" x14ac:dyDescent="0.15">
      <c r="B1406" s="175"/>
      <c r="F1406" s="1117" t="s">
        <v>436</v>
      </c>
      <c r="G1406" s="856"/>
      <c r="H1406" s="1358" t="s">
        <v>1508</v>
      </c>
      <c r="I1406" s="172"/>
      <c r="J1406" s="168"/>
      <c r="K1406" s="168"/>
      <c r="L1406" s="893"/>
      <c r="M1406" s="893"/>
      <c r="N1406" s="998"/>
      <c r="O1406" s="1200"/>
      <c r="P1406" s="550"/>
      <c r="Q1406" s="1148"/>
      <c r="R1406" s="874"/>
      <c r="S1406" s="875"/>
      <c r="T1406" s="875"/>
      <c r="U1406" s="875"/>
      <c r="V1406" s="875"/>
      <c r="W1406" s="875"/>
      <c r="X1406" s="1026"/>
      <c r="Y1406" s="1754"/>
      <c r="Z1406" s="1755"/>
      <c r="AA1406" s="1775"/>
      <c r="AB1406" s="1814"/>
      <c r="AC1406" s="876"/>
      <c r="AD1406" s="1295"/>
      <c r="AE1406" s="1525"/>
      <c r="AF1406" s="1525"/>
      <c r="AG1406" s="1525"/>
      <c r="AH1406" s="1525"/>
      <c r="AI1406" s="1525"/>
      <c r="AJ1406" s="1525"/>
      <c r="AK1406" s="1525"/>
      <c r="AL1406" s="1525"/>
      <c r="AM1406" s="1525"/>
      <c r="AN1406" s="1525"/>
      <c r="AO1406" s="1525"/>
      <c r="AP1406" s="1525"/>
      <c r="AQ1406" s="1525"/>
      <c r="AR1406" s="1525"/>
      <c r="AS1406" s="1525"/>
      <c r="AU1406" s="1525"/>
      <c r="AV1406" s="1295"/>
      <c r="AW1406" s="1525"/>
      <c r="AX1406" s="1525"/>
      <c r="AY1406" s="1525"/>
      <c r="AZ1406" s="1525"/>
      <c r="BA1406" s="1525"/>
      <c r="BB1406" s="1525"/>
      <c r="BC1406" s="1525"/>
      <c r="BD1406" s="1525"/>
      <c r="BE1406" s="1525"/>
      <c r="BF1406" s="1525"/>
      <c r="BG1406" s="1525"/>
      <c r="BH1406" s="1525"/>
      <c r="BI1406" s="1525"/>
      <c r="BJ1406" s="1525"/>
      <c r="BK1406" s="1525"/>
      <c r="BL1406" s="1525"/>
      <c r="BM1406" s="1525"/>
      <c r="BN1406" s="1525"/>
      <c r="BO1406" s="1525"/>
      <c r="BP1406" s="1525"/>
      <c r="BQ1406" s="1525"/>
      <c r="BR1406" s="1525"/>
      <c r="BS1406" s="1525"/>
      <c r="BT1406" s="1670"/>
      <c r="BV1406"/>
      <c r="BW1406" s="856"/>
    </row>
    <row r="1407" spans="2:75" s="164" customFormat="1" ht="12.75" customHeight="1" x14ac:dyDescent="0.2">
      <c r="B1407" s="175"/>
      <c r="C1407" s="219"/>
      <c r="E1407" s="12"/>
      <c r="F1407" s="58"/>
      <c r="G1407" s="834"/>
      <c r="H1407" s="1346" t="s">
        <v>1508</v>
      </c>
      <c r="I1407" s="180"/>
      <c r="J1407" s="173"/>
      <c r="K1407" s="173"/>
      <c r="L1407" s="893"/>
      <c r="M1407" s="858"/>
      <c r="N1407" s="832"/>
      <c r="O1407" s="1193"/>
      <c r="P1407" s="550"/>
      <c r="Q1407" s="1148"/>
      <c r="R1407" s="874"/>
      <c r="S1407" s="875"/>
      <c r="T1407" s="877"/>
      <c r="U1407" s="877"/>
      <c r="V1407" s="877"/>
      <c r="W1407" s="875"/>
      <c r="X1407" s="1026"/>
      <c r="Y1407" s="1754"/>
      <c r="Z1407" s="1755"/>
      <c r="AA1407" s="1775"/>
      <c r="AB1407" s="1814"/>
      <c r="AC1407" s="876"/>
      <c r="AD1407" s="1295"/>
      <c r="AE1407" s="1525"/>
      <c r="AF1407" s="1525"/>
      <c r="AG1407" s="1525"/>
      <c r="AH1407" s="1525"/>
      <c r="AI1407" s="1525"/>
      <c r="AJ1407" s="1525"/>
      <c r="AK1407" s="1525"/>
      <c r="AL1407" s="1525"/>
      <c r="AM1407" s="1525"/>
      <c r="AN1407" s="1525"/>
      <c r="AO1407" s="1525"/>
      <c r="AP1407" s="1525"/>
      <c r="AQ1407" s="1525"/>
      <c r="AR1407" s="1525"/>
      <c r="AS1407" s="1525"/>
      <c r="AU1407" s="1525"/>
      <c r="AV1407" s="1295"/>
      <c r="AW1407" s="1525"/>
      <c r="AX1407" s="1525"/>
      <c r="AY1407" s="1525"/>
      <c r="AZ1407" s="1525"/>
      <c r="BA1407" s="1525"/>
      <c r="BB1407" s="1525"/>
      <c r="BC1407" s="1525"/>
      <c r="BD1407" s="1525"/>
      <c r="BE1407" s="1525"/>
      <c r="BF1407" s="1525"/>
      <c r="BG1407" s="1525"/>
      <c r="BH1407" s="1525"/>
      <c r="BI1407" s="1525"/>
      <c r="BJ1407" s="1525"/>
      <c r="BK1407" s="1525"/>
      <c r="BL1407" s="1525"/>
      <c r="BM1407" s="1525"/>
      <c r="BN1407" s="1525"/>
      <c r="BO1407" s="1525"/>
      <c r="BP1407" s="1525"/>
      <c r="BQ1407" s="1525"/>
      <c r="BR1407" s="1525"/>
      <c r="BS1407" s="1525"/>
      <c r="BT1407" s="1670"/>
      <c r="BV1407"/>
      <c r="BW1407" s="834"/>
    </row>
    <row r="1408" spans="2:75" ht="12.75" customHeight="1" x14ac:dyDescent="0.2">
      <c r="B1408" s="175">
        <f t="shared" ref="B1408" si="857">B1406+1</f>
        <v>1</v>
      </c>
      <c r="C1408" s="219">
        <v>7</v>
      </c>
      <c r="D1408" s="170"/>
      <c r="E1408" s="12" t="s">
        <v>1562</v>
      </c>
      <c r="F1408" s="28" t="s">
        <v>1334</v>
      </c>
      <c r="G1408" s="834" t="s">
        <v>2048</v>
      </c>
      <c r="H1408" s="858">
        <v>164382</v>
      </c>
      <c r="I1408" s="200" t="s">
        <v>351</v>
      </c>
      <c r="J1408" s="173"/>
      <c r="K1408" s="173">
        <v>1</v>
      </c>
      <c r="L1408" s="893"/>
      <c r="M1408" s="858">
        <v>1</v>
      </c>
      <c r="N1408" s="832" t="s">
        <v>892</v>
      </c>
      <c r="O1408" s="1196">
        <v>25024</v>
      </c>
      <c r="P1408" s="1218">
        <f ca="1">YEARFRAC(TODAY(),O1408)</f>
        <v>49.241666666666667</v>
      </c>
      <c r="Q1408" s="1148">
        <v>39550</v>
      </c>
      <c r="R1408" s="874"/>
      <c r="S1408" s="875">
        <v>3000</v>
      </c>
      <c r="T1408" s="875"/>
      <c r="U1408" s="875"/>
      <c r="V1408" s="875"/>
      <c r="W1408" s="875"/>
      <c r="X1408" s="1026">
        <f t="shared" ref="X1408" si="858">(Q1408+R1408+S1408+T1408+U1408+V1408+W1408)*M1408</f>
        <v>42550</v>
      </c>
      <c r="Y1408" s="1512">
        <f t="shared" ref="Y1408" si="859">(T1408+U1408)*M1408/(X1408-M1408*(T1408+U1408))</f>
        <v>0</v>
      </c>
      <c r="Z1408" s="1741">
        <f t="shared" ref="Z1408" si="860">M1408*(1+Y1408)</f>
        <v>1</v>
      </c>
      <c r="AA1408" s="1749">
        <f>SUM(AD1408:AS1408)</f>
        <v>0</v>
      </c>
      <c r="AB1408" s="1810">
        <f t="shared" ref="AB1408:AB1410" si="861">100*AA1408/Z1408</f>
        <v>0</v>
      </c>
      <c r="AC1408" s="224"/>
      <c r="AD1408" s="1525"/>
      <c r="AE1408" s="1525"/>
      <c r="AF1408" s="1525"/>
      <c r="AG1408" s="1525"/>
      <c r="AH1408" s="1525"/>
      <c r="AI1408" s="1525"/>
      <c r="AJ1408" s="1525"/>
      <c r="AK1408" s="1525"/>
      <c r="AL1408" s="1525"/>
      <c r="AM1408" s="1525"/>
      <c r="AN1408" s="1525"/>
      <c r="AO1408" s="1525"/>
      <c r="AP1408" s="1846"/>
      <c r="AQ1408" s="1292"/>
      <c r="AR1408" s="1847"/>
      <c r="AS1408" s="1292"/>
      <c r="AU1408" s="224"/>
      <c r="AV1408" s="1292"/>
      <c r="AX1408" s="1292"/>
      <c r="BT1408" s="1671"/>
      <c r="BV1408" s="224"/>
      <c r="BW1408" s="224"/>
    </row>
    <row r="1409" spans="1:75" ht="12.75" customHeight="1" x14ac:dyDescent="0.2">
      <c r="B1409" s="175">
        <f t="shared" ref="B1409" si="862">B1407+1</f>
        <v>1</v>
      </c>
      <c r="C1409" s="219">
        <v>7</v>
      </c>
      <c r="E1409" s="12" t="s">
        <v>1562</v>
      </c>
      <c r="F1409" s="58" t="s">
        <v>1334</v>
      </c>
      <c r="G1409" s="834" t="s">
        <v>117</v>
      </c>
      <c r="H1409" s="858">
        <v>122700</v>
      </c>
      <c r="I1409" s="200" t="s">
        <v>351</v>
      </c>
      <c r="J1409" s="173"/>
      <c r="K1409" s="173">
        <v>1</v>
      </c>
      <c r="L1409" s="893"/>
      <c r="M1409" s="858">
        <v>1</v>
      </c>
      <c r="N1409" s="832" t="s">
        <v>892</v>
      </c>
      <c r="O1409" s="1196">
        <v>21386</v>
      </c>
      <c r="P1409" s="1218">
        <f ca="1">YEARFRAC(TODAY(),O1409)</f>
        <v>59.2</v>
      </c>
      <c r="Q1409" s="1148">
        <v>39550</v>
      </c>
      <c r="R1409" s="874"/>
      <c r="S1409" s="875">
        <v>3000</v>
      </c>
      <c r="T1409" s="875"/>
      <c r="U1409" s="875"/>
      <c r="V1409" s="875"/>
      <c r="W1409" s="875"/>
      <c r="X1409" s="1026">
        <f>(Q1409+R1409+S1409+T1409+U1409+V1409+W1409)*M1409</f>
        <v>42550</v>
      </c>
      <c r="Y1409" s="1512">
        <f>(T1409+U1409)*M1409/(X1409-M1409*(T1409+U1409))</f>
        <v>0</v>
      </c>
      <c r="Z1409" s="1741">
        <f>M1409*(1+Y1409)</f>
        <v>1</v>
      </c>
      <c r="AA1409" s="1749">
        <f>SUM(AD1409:AS1409)</f>
        <v>1</v>
      </c>
      <c r="AB1409" s="1810">
        <f t="shared" si="861"/>
        <v>100</v>
      </c>
      <c r="AC1409" s="876"/>
      <c r="AD1409" s="1525">
        <f t="shared" ref="AD1409:AS1410" si="863">SUMIF($AV$6:$BS$6,AD$5,$AV1409:$BS1409)</f>
        <v>0</v>
      </c>
      <c r="AE1409" s="1525">
        <f t="shared" si="863"/>
        <v>0</v>
      </c>
      <c r="AF1409" s="1525">
        <f t="shared" si="863"/>
        <v>0</v>
      </c>
      <c r="AG1409" s="1525">
        <f t="shared" si="863"/>
        <v>1</v>
      </c>
      <c r="AH1409" s="1525">
        <f t="shared" si="863"/>
        <v>0</v>
      </c>
      <c r="AI1409" s="1525">
        <f t="shared" si="863"/>
        <v>0</v>
      </c>
      <c r="AJ1409" s="1525">
        <f t="shared" si="863"/>
        <v>0</v>
      </c>
      <c r="AK1409" s="1525">
        <f t="shared" si="863"/>
        <v>0</v>
      </c>
      <c r="AL1409" s="1525">
        <f t="shared" si="863"/>
        <v>0</v>
      </c>
      <c r="AM1409" s="1525">
        <f t="shared" si="863"/>
        <v>0</v>
      </c>
      <c r="AN1409" s="1525">
        <f t="shared" si="863"/>
        <v>0</v>
      </c>
      <c r="AO1409" s="1525">
        <f t="shared" si="863"/>
        <v>0</v>
      </c>
      <c r="AP1409" s="1525">
        <f t="shared" si="863"/>
        <v>0</v>
      </c>
      <c r="AQ1409" s="1525">
        <f t="shared" si="863"/>
        <v>0</v>
      </c>
      <c r="AR1409" s="1525">
        <f t="shared" si="863"/>
        <v>0</v>
      </c>
      <c r="AS1409" s="1525">
        <f t="shared" si="863"/>
        <v>0</v>
      </c>
      <c r="AU1409" s="1525"/>
      <c r="AV1409" s="1291">
        <v>1</v>
      </c>
      <c r="AW1409" s="1292"/>
      <c r="AX1409" s="1292"/>
      <c r="AY1409" s="1292"/>
      <c r="AZ1409" s="1292"/>
      <c r="BA1409" s="1292"/>
      <c r="BB1409" s="1292"/>
      <c r="BC1409" s="1292"/>
      <c r="BD1409" s="1292"/>
      <c r="BE1409" s="1292"/>
      <c r="BF1409" s="1292"/>
      <c r="BG1409" s="1292"/>
      <c r="BH1409" s="1292"/>
      <c r="BI1409" s="1292"/>
      <c r="BJ1409" s="1292"/>
      <c r="BK1409" s="1292"/>
      <c r="BL1409" s="1292"/>
      <c r="BM1409" s="1292"/>
      <c r="BN1409" s="1292"/>
      <c r="BO1409" s="1292"/>
      <c r="BP1409" s="1292"/>
      <c r="BQ1409" s="1292"/>
      <c r="BR1409" s="1292"/>
      <c r="BS1409" s="1292"/>
      <c r="BT1409" s="1670">
        <f t="shared" ref="BT1409:BT1410" si="864">SUM(AV1409:BS1409)</f>
        <v>1</v>
      </c>
      <c r="BW1409" s="834" t="s">
        <v>117</v>
      </c>
    </row>
    <row r="1410" spans="1:75" ht="12.75" customHeight="1" x14ac:dyDescent="0.2">
      <c r="B1410" s="175">
        <f>B1409+1</f>
        <v>2</v>
      </c>
      <c r="C1410" s="219">
        <v>10</v>
      </c>
      <c r="E1410" s="12" t="s">
        <v>1562</v>
      </c>
      <c r="F1410" s="24" t="s">
        <v>626</v>
      </c>
      <c r="G1410" s="834" t="s">
        <v>1253</v>
      </c>
      <c r="H1410" s="858">
        <v>991102</v>
      </c>
      <c r="I1410" s="200" t="s">
        <v>351</v>
      </c>
      <c r="J1410" s="173"/>
      <c r="K1410" s="173">
        <v>1</v>
      </c>
      <c r="L1410" s="893"/>
      <c r="M1410" s="858">
        <f>K1410+L1410</f>
        <v>1</v>
      </c>
      <c r="N1410" s="832" t="s">
        <v>892</v>
      </c>
      <c r="O1410" s="1196">
        <v>25265</v>
      </c>
      <c r="P1410" s="1218">
        <f ca="1">YEARFRAC(TODAY(),O1410)</f>
        <v>48.580555555555556</v>
      </c>
      <c r="Q1410" s="1148">
        <v>35000</v>
      </c>
      <c r="R1410" s="874"/>
      <c r="S1410" s="875"/>
      <c r="T1410" s="875"/>
      <c r="U1410" s="875"/>
      <c r="V1410" s="875"/>
      <c r="W1410" s="875"/>
      <c r="X1410" s="1026">
        <f>(Q1410+R1410+S1410+T1410+U1410+V1410+W1410)*M1410</f>
        <v>35000</v>
      </c>
      <c r="Y1410" s="1512">
        <f>(T1410+U1410)*M1410/(X1410-M1410*(T1410+U1410))</f>
        <v>0</v>
      </c>
      <c r="Z1410" s="1741">
        <f>M1410*(1+Y1410)</f>
        <v>1</v>
      </c>
      <c r="AA1410" s="1749">
        <f>SUM(AD1410:AS1410)</f>
        <v>1</v>
      </c>
      <c r="AB1410" s="1810">
        <f t="shared" si="861"/>
        <v>100</v>
      </c>
      <c r="AC1410" s="876"/>
      <c r="AD1410" s="1525">
        <f t="shared" si="863"/>
        <v>0</v>
      </c>
      <c r="AE1410" s="1525">
        <f t="shared" si="863"/>
        <v>0</v>
      </c>
      <c r="AF1410" s="1525">
        <f t="shared" si="863"/>
        <v>0</v>
      </c>
      <c r="AG1410" s="1525">
        <f t="shared" si="863"/>
        <v>1</v>
      </c>
      <c r="AH1410" s="1525">
        <f t="shared" si="863"/>
        <v>0</v>
      </c>
      <c r="AI1410" s="1525">
        <f t="shared" si="863"/>
        <v>0</v>
      </c>
      <c r="AJ1410" s="1525">
        <f t="shared" si="863"/>
        <v>0</v>
      </c>
      <c r="AK1410" s="1525">
        <f t="shared" si="863"/>
        <v>0</v>
      </c>
      <c r="AL1410" s="1525">
        <f t="shared" si="863"/>
        <v>0</v>
      </c>
      <c r="AM1410" s="1525">
        <f t="shared" si="863"/>
        <v>0</v>
      </c>
      <c r="AN1410" s="1525">
        <f t="shared" si="863"/>
        <v>0</v>
      </c>
      <c r="AO1410" s="1525">
        <f t="shared" si="863"/>
        <v>0</v>
      </c>
      <c r="AP1410" s="1525">
        <f t="shared" si="863"/>
        <v>0</v>
      </c>
      <c r="AQ1410" s="1525">
        <f t="shared" si="863"/>
        <v>0</v>
      </c>
      <c r="AR1410" s="1525">
        <f t="shared" si="863"/>
        <v>0</v>
      </c>
      <c r="AS1410" s="1525">
        <f t="shared" si="863"/>
        <v>0</v>
      </c>
      <c r="AU1410" s="1525"/>
      <c r="AV1410" s="1291">
        <v>1</v>
      </c>
      <c r="AW1410" s="1292"/>
      <c r="AX1410" s="1292"/>
      <c r="AY1410" s="1292"/>
      <c r="AZ1410" s="1292"/>
      <c r="BA1410" s="1292"/>
      <c r="BB1410" s="1292"/>
      <c r="BC1410" s="1292"/>
      <c r="BD1410" s="1292"/>
      <c r="BE1410" s="1292"/>
      <c r="BF1410" s="1292"/>
      <c r="BG1410" s="1292"/>
      <c r="BH1410" s="1292"/>
      <c r="BI1410" s="1292"/>
      <c r="BJ1410" s="1292"/>
      <c r="BK1410" s="1292"/>
      <c r="BL1410" s="1292"/>
      <c r="BM1410" s="1292"/>
      <c r="BN1410" s="1292"/>
      <c r="BO1410" s="1292"/>
      <c r="BP1410" s="1292"/>
      <c r="BQ1410" s="1292"/>
      <c r="BR1410" s="1292"/>
      <c r="BS1410" s="1292"/>
      <c r="BT1410" s="1670">
        <f t="shared" si="864"/>
        <v>1</v>
      </c>
      <c r="BW1410" s="834" t="s">
        <v>1253</v>
      </c>
    </row>
    <row r="1411" spans="1:75" s="164" customFormat="1" ht="12.75" customHeight="1" x14ac:dyDescent="0.15">
      <c r="B1411" s="175"/>
      <c r="C1411" s="219" t="s">
        <v>1120</v>
      </c>
      <c r="F1411" s="19" t="s">
        <v>500</v>
      </c>
      <c r="G1411" s="856"/>
      <c r="H1411" s="1351" t="s">
        <v>1508</v>
      </c>
      <c r="I1411" s="172"/>
      <c r="J1411" s="168"/>
      <c r="K1411" s="892">
        <f t="shared" ref="K1411:L1411" si="865">SUM(K1396:K1410)</f>
        <v>3</v>
      </c>
      <c r="L1411" s="892">
        <f t="shared" si="865"/>
        <v>8</v>
      </c>
      <c r="M1411" s="892">
        <f>SUM(M1396:M1410)</f>
        <v>11</v>
      </c>
      <c r="N1411" s="998"/>
      <c r="O1411" s="1200"/>
      <c r="P1411" s="550"/>
      <c r="Q1411" s="1183"/>
      <c r="R1411" s="1069"/>
      <c r="S1411" s="875"/>
      <c r="T1411" s="875"/>
      <c r="U1411" s="875"/>
      <c r="V1411" s="875"/>
      <c r="W1411" s="875"/>
      <c r="X1411" s="1026"/>
      <c r="Y1411" s="1335"/>
      <c r="Z1411" s="1335"/>
      <c r="AA1411" s="1775"/>
      <c r="AB1411" s="1814"/>
      <c r="AC1411" s="876"/>
      <c r="AD1411" s="1295"/>
      <c r="AE1411" s="1525"/>
      <c r="AF1411" s="1525"/>
      <c r="AG1411" s="1525"/>
      <c r="AH1411" s="1525"/>
      <c r="AI1411" s="1525"/>
      <c r="AJ1411" s="1525"/>
      <c r="AK1411" s="1525"/>
      <c r="AL1411" s="1525"/>
      <c r="AM1411" s="1525"/>
      <c r="AN1411" s="1525"/>
      <c r="AO1411" s="1525"/>
      <c r="AP1411" s="1525"/>
      <c r="AQ1411" s="1525"/>
      <c r="AR1411" s="1525"/>
      <c r="AS1411" s="1525"/>
      <c r="AU1411" s="1525"/>
      <c r="AV1411" s="1295"/>
      <c r="AW1411" s="1525"/>
      <c r="AX1411" s="1525"/>
      <c r="AY1411" s="1525"/>
      <c r="AZ1411" s="1525"/>
      <c r="BA1411" s="1525"/>
      <c r="BB1411" s="1525"/>
      <c r="BC1411" s="1525"/>
      <c r="BD1411" s="1525"/>
      <c r="BE1411" s="1525"/>
      <c r="BF1411" s="1525"/>
      <c r="BG1411" s="1525"/>
      <c r="BH1411" s="1525"/>
      <c r="BI1411" s="1525"/>
      <c r="BJ1411" s="1525"/>
      <c r="BK1411" s="1525"/>
      <c r="BL1411" s="1525"/>
      <c r="BM1411" s="1525"/>
      <c r="BN1411" s="1525"/>
      <c r="BO1411" s="1525"/>
      <c r="BP1411" s="1525"/>
      <c r="BQ1411" s="1525"/>
      <c r="BR1411" s="1525"/>
      <c r="BS1411" s="1525"/>
      <c r="BT1411" s="1670"/>
      <c r="BV1411"/>
      <c r="BW1411" s="856"/>
    </row>
    <row r="1412" spans="1:75" s="164" customFormat="1" ht="12.75" customHeight="1" x14ac:dyDescent="0.15">
      <c r="B1412" s="175"/>
      <c r="F1412" s="1"/>
      <c r="G1412" s="856"/>
      <c r="H1412" s="1364" t="s">
        <v>1508</v>
      </c>
      <c r="I1412" s="172"/>
      <c r="J1412" s="168"/>
      <c r="K1412" s="168"/>
      <c r="L1412" s="841"/>
      <c r="M1412" s="841"/>
      <c r="N1412" s="832"/>
      <c r="O1412" s="1200"/>
      <c r="P1412" s="550"/>
      <c r="Q1412" s="1148"/>
      <c r="R1412" s="874"/>
      <c r="S1412" s="875"/>
      <c r="T1412" s="875"/>
      <c r="U1412" s="875"/>
      <c r="V1412" s="875"/>
      <c r="W1412" s="875"/>
      <c r="X1412" s="1026"/>
      <c r="Y1412" s="1754"/>
      <c r="Z1412" s="1755"/>
      <c r="AA1412" s="1775"/>
      <c r="AB1412" s="1814"/>
      <c r="AC1412" s="876"/>
      <c r="AD1412" s="1295"/>
      <c r="AE1412" s="1525"/>
      <c r="AF1412" s="1525"/>
      <c r="AG1412" s="1525"/>
      <c r="AH1412" s="1525"/>
      <c r="AI1412" s="1525"/>
      <c r="AJ1412" s="1525"/>
      <c r="AK1412" s="1525"/>
      <c r="AL1412" s="1525"/>
      <c r="AM1412" s="1525"/>
      <c r="AN1412" s="1525"/>
      <c r="AO1412" s="1525"/>
      <c r="AP1412" s="1525"/>
      <c r="AQ1412" s="1525"/>
      <c r="AR1412" s="1525"/>
      <c r="AS1412" s="1525"/>
      <c r="AU1412" s="1525"/>
      <c r="AV1412" s="1295"/>
      <c r="AW1412" s="1525"/>
      <c r="AX1412" s="1525"/>
      <c r="AY1412" s="1525"/>
      <c r="AZ1412" s="1525"/>
      <c r="BA1412" s="1525"/>
      <c r="BB1412" s="1525"/>
      <c r="BC1412" s="1525"/>
      <c r="BD1412" s="1525"/>
      <c r="BE1412" s="1525"/>
      <c r="BF1412" s="1525"/>
      <c r="BG1412" s="1525"/>
      <c r="BH1412" s="1525"/>
      <c r="BI1412" s="1525"/>
      <c r="BJ1412" s="1525"/>
      <c r="BK1412" s="1525"/>
      <c r="BL1412" s="1525"/>
      <c r="BM1412" s="1525"/>
      <c r="BN1412" s="1525"/>
      <c r="BO1412" s="1525"/>
      <c r="BP1412" s="1525"/>
      <c r="BQ1412" s="1525"/>
      <c r="BR1412" s="1525"/>
      <c r="BS1412" s="1525"/>
      <c r="BT1412" s="1670"/>
      <c r="BV1412"/>
      <c r="BW1412" s="856"/>
    </row>
    <row r="1413" spans="1:75" s="164" customFormat="1" ht="12.75" customHeight="1" x14ac:dyDescent="0.15">
      <c r="B1413" s="175"/>
      <c r="F1413" s="3" t="s">
        <v>1254</v>
      </c>
      <c r="G1413" s="856"/>
      <c r="H1413" s="1364" t="s">
        <v>1508</v>
      </c>
      <c r="I1413" s="257"/>
      <c r="J1413" s="248"/>
      <c r="K1413" s="248"/>
      <c r="L1413" s="841"/>
      <c r="M1413" s="841"/>
      <c r="N1413" s="855"/>
      <c r="O1413" s="1200"/>
      <c r="P1413" s="550"/>
      <c r="Q1413" s="1148"/>
      <c r="R1413" s="874"/>
      <c r="S1413" s="875"/>
      <c r="T1413" s="875"/>
      <c r="U1413" s="875"/>
      <c r="V1413" s="875"/>
      <c r="W1413" s="875"/>
      <c r="X1413" s="1026"/>
      <c r="Y1413" s="1754"/>
      <c r="Z1413" s="1755"/>
      <c r="AA1413" s="1775"/>
      <c r="AB1413" s="1814"/>
      <c r="AC1413" s="876"/>
      <c r="AD1413" s="1295"/>
      <c r="AE1413" s="1525"/>
      <c r="AF1413" s="1525"/>
      <c r="AG1413" s="1525"/>
      <c r="AH1413" s="1525"/>
      <c r="AI1413" s="1525"/>
      <c r="AJ1413" s="1525"/>
      <c r="AK1413" s="1525"/>
      <c r="AL1413" s="1525"/>
      <c r="AM1413" s="1525"/>
      <c r="AN1413" s="1525"/>
      <c r="AO1413" s="1525"/>
      <c r="AP1413" s="1525"/>
      <c r="AQ1413" s="1525"/>
      <c r="AR1413" s="1525"/>
      <c r="AS1413" s="1525"/>
      <c r="AU1413" s="1525"/>
      <c r="AV1413" s="1295"/>
      <c r="AW1413" s="1525"/>
      <c r="AX1413" s="1525"/>
      <c r="AY1413" s="1525"/>
      <c r="AZ1413" s="1525"/>
      <c r="BA1413" s="1525"/>
      <c r="BB1413" s="1525"/>
      <c r="BC1413" s="1525"/>
      <c r="BD1413" s="1525"/>
      <c r="BE1413" s="1525"/>
      <c r="BF1413" s="1525"/>
      <c r="BG1413" s="1525"/>
      <c r="BH1413" s="1525"/>
      <c r="BI1413" s="1525"/>
      <c r="BJ1413" s="1525"/>
      <c r="BK1413" s="1525"/>
      <c r="BL1413" s="1525"/>
      <c r="BM1413" s="1525"/>
      <c r="BN1413" s="1525"/>
      <c r="BO1413" s="1525"/>
      <c r="BP1413" s="1525"/>
      <c r="BQ1413" s="1525"/>
      <c r="BR1413" s="1525"/>
      <c r="BS1413" s="1525"/>
      <c r="BT1413" s="1670"/>
      <c r="BV1413"/>
      <c r="BW1413" s="856"/>
    </row>
    <row r="1414" spans="1:75" s="164" customFormat="1" ht="12.75" customHeight="1" x14ac:dyDescent="0.15">
      <c r="B1414" s="175"/>
      <c r="F1414" s="50"/>
      <c r="G1414" s="856"/>
      <c r="H1414" s="1364" t="s">
        <v>1508</v>
      </c>
      <c r="I1414" s="257"/>
      <c r="J1414" s="248"/>
      <c r="K1414" s="248"/>
      <c r="L1414" s="841"/>
      <c r="M1414" s="841"/>
      <c r="N1414" s="855"/>
      <c r="O1414" s="1200"/>
      <c r="P1414" s="550"/>
      <c r="Q1414" s="1148"/>
      <c r="R1414" s="874"/>
      <c r="S1414" s="875"/>
      <c r="T1414" s="875"/>
      <c r="U1414" s="875"/>
      <c r="V1414" s="875"/>
      <c r="W1414" s="875"/>
      <c r="X1414" s="1026"/>
      <c r="Y1414" s="1754"/>
      <c r="Z1414" s="1755"/>
      <c r="AA1414" s="1775"/>
      <c r="AB1414" s="1814"/>
      <c r="AC1414" s="876"/>
      <c r="AD1414" s="1295"/>
      <c r="AE1414" s="1525"/>
      <c r="AF1414" s="1525"/>
      <c r="AG1414" s="1525"/>
      <c r="AH1414" s="1525"/>
      <c r="AI1414" s="1525"/>
      <c r="AJ1414" s="1525"/>
      <c r="AK1414" s="1525"/>
      <c r="AL1414" s="1525"/>
      <c r="AM1414" s="1525"/>
      <c r="AN1414" s="1525"/>
      <c r="AO1414" s="1525"/>
      <c r="AP1414" s="1525"/>
      <c r="AQ1414" s="1525"/>
      <c r="AR1414" s="1525"/>
      <c r="AS1414" s="1525"/>
      <c r="AU1414" s="1525"/>
      <c r="AV1414" s="1295"/>
      <c r="AW1414" s="1525"/>
      <c r="AX1414" s="1525"/>
      <c r="AY1414" s="1525"/>
      <c r="AZ1414" s="1525"/>
      <c r="BA1414" s="1525"/>
      <c r="BB1414" s="1525"/>
      <c r="BC1414" s="1525"/>
      <c r="BD1414" s="1525"/>
      <c r="BE1414" s="1525"/>
      <c r="BF1414" s="1525"/>
      <c r="BG1414" s="1525"/>
      <c r="BH1414" s="1525"/>
      <c r="BI1414" s="1525"/>
      <c r="BJ1414" s="1525"/>
      <c r="BK1414" s="1525"/>
      <c r="BL1414" s="1525"/>
      <c r="BM1414" s="1525"/>
      <c r="BN1414" s="1525"/>
      <c r="BO1414" s="1525"/>
      <c r="BP1414" s="1525"/>
      <c r="BQ1414" s="1525"/>
      <c r="BR1414" s="1525"/>
      <c r="BS1414" s="1525"/>
      <c r="BT1414" s="1670"/>
      <c r="BV1414"/>
      <c r="BW1414" s="856"/>
    </row>
    <row r="1415" spans="1:75" ht="12.75" customHeight="1" x14ac:dyDescent="0.2">
      <c r="B1415" s="175">
        <f t="shared" ref="B1415" si="866">B1414+1</f>
        <v>1</v>
      </c>
      <c r="C1415" s="219">
        <v>5</v>
      </c>
      <c r="E1415" s="12" t="s">
        <v>1562</v>
      </c>
      <c r="F1415" s="19" t="s">
        <v>166</v>
      </c>
      <c r="G1415" s="834" t="s">
        <v>1892</v>
      </c>
      <c r="H1415" s="858">
        <v>3021</v>
      </c>
      <c r="I1415" s="200" t="s">
        <v>351</v>
      </c>
      <c r="J1415" s="173"/>
      <c r="K1415" s="173"/>
      <c r="L1415" s="893">
        <v>1</v>
      </c>
      <c r="M1415" s="858">
        <f t="shared" ref="M1415:M1426" si="867">K1415+L1415</f>
        <v>1</v>
      </c>
      <c r="N1415" s="832" t="s">
        <v>892</v>
      </c>
      <c r="O1415" s="1196">
        <v>18837</v>
      </c>
      <c r="P1415" s="1218">
        <f t="shared" ref="P1415:P1428" ca="1" si="868">YEARFRAC(TODAY(),O1415)</f>
        <v>66.177777777777777</v>
      </c>
      <c r="Q1415" s="1148">
        <v>46750</v>
      </c>
      <c r="R1415" s="874"/>
      <c r="S1415" s="875">
        <v>3000</v>
      </c>
      <c r="T1415" s="874"/>
      <c r="U1415" s="874"/>
      <c r="V1415" s="874"/>
      <c r="W1415" s="875"/>
      <c r="X1415" s="1026">
        <f t="shared" ref="X1415:X1428" si="869">(Q1415+R1415+S1415+T1415+U1415+V1415+W1415)*M1415</f>
        <v>49750</v>
      </c>
      <c r="Y1415" s="1512">
        <f t="shared" ref="Y1415:Y1428" si="870">(T1415+U1415)*M1415/(X1415-M1415*(T1415+U1415))</f>
        <v>0</v>
      </c>
      <c r="Z1415" s="1741">
        <f t="shared" ref="Z1415:Z1428" si="871">M1415*(1+Y1415)</f>
        <v>1</v>
      </c>
      <c r="AA1415" s="1749">
        <f t="shared" ref="AA1415:AA1428" si="872">SUM(AD1415:AS1415)</f>
        <v>1</v>
      </c>
      <c r="AB1415" s="1810">
        <f t="shared" ref="AB1415:AB1428" si="873">100*AA1415/Z1415</f>
        <v>100</v>
      </c>
      <c r="AC1415" s="876"/>
      <c r="AD1415" s="1525">
        <f t="shared" ref="AD1415:AS1418" si="874">SUMIF($AV$6:$BS$6,AD$5,$AV1415:$BS1415)</f>
        <v>0.1</v>
      </c>
      <c r="AE1415" s="1525">
        <f t="shared" si="874"/>
        <v>0</v>
      </c>
      <c r="AF1415" s="1525">
        <f t="shared" si="874"/>
        <v>0</v>
      </c>
      <c r="AG1415" s="1525">
        <f t="shared" si="874"/>
        <v>0.9</v>
      </c>
      <c r="AH1415" s="1525">
        <f t="shared" si="874"/>
        <v>0</v>
      </c>
      <c r="AI1415" s="1525">
        <f t="shared" si="874"/>
        <v>0</v>
      </c>
      <c r="AJ1415" s="1525">
        <f t="shared" si="874"/>
        <v>0</v>
      </c>
      <c r="AK1415" s="1525">
        <f t="shared" si="874"/>
        <v>0</v>
      </c>
      <c r="AL1415" s="1525">
        <f t="shared" si="874"/>
        <v>0</v>
      </c>
      <c r="AM1415" s="1525">
        <f t="shared" si="874"/>
        <v>0</v>
      </c>
      <c r="AN1415" s="1525">
        <f t="shared" si="874"/>
        <v>0</v>
      </c>
      <c r="AO1415" s="1525">
        <f t="shared" si="874"/>
        <v>0</v>
      </c>
      <c r="AP1415" s="1525">
        <f t="shared" si="874"/>
        <v>0</v>
      </c>
      <c r="AQ1415" s="1525">
        <f t="shared" si="874"/>
        <v>0</v>
      </c>
      <c r="AR1415" s="1525">
        <f t="shared" si="874"/>
        <v>0</v>
      </c>
      <c r="AS1415" s="1525">
        <f t="shared" si="874"/>
        <v>0</v>
      </c>
      <c r="AU1415" s="1525"/>
      <c r="AV1415" s="1291">
        <v>0.9</v>
      </c>
      <c r="AW1415" s="1292"/>
      <c r="AX1415" s="1292"/>
      <c r="AY1415" s="1292"/>
      <c r="AZ1415" s="1292"/>
      <c r="BA1415" s="1292"/>
      <c r="BB1415" s="1292"/>
      <c r="BC1415" s="1292"/>
      <c r="BD1415" s="1292"/>
      <c r="BE1415" s="1292"/>
      <c r="BF1415" s="1292"/>
      <c r="BG1415" s="1292"/>
      <c r="BH1415" s="1292"/>
      <c r="BI1415" s="1292">
        <v>0.1</v>
      </c>
      <c r="BJ1415" s="1292"/>
      <c r="BK1415" s="1292"/>
      <c r="BL1415" s="1292"/>
      <c r="BM1415" s="1292"/>
      <c r="BN1415" s="1292"/>
      <c r="BO1415" s="1292"/>
      <c r="BP1415" s="1292"/>
      <c r="BQ1415" s="1292"/>
      <c r="BR1415" s="1292"/>
      <c r="BS1415" s="1292"/>
      <c r="BT1415" s="1670">
        <f t="shared" ref="BT1415:BT1428" si="875">SUM(AV1415:BS1415)</f>
        <v>1</v>
      </c>
      <c r="BW1415" s="834" t="s">
        <v>1892</v>
      </c>
    </row>
    <row r="1416" spans="1:75" ht="12.75" customHeight="1" x14ac:dyDescent="0.2">
      <c r="B1416" s="175">
        <f>B1415+1</f>
        <v>2</v>
      </c>
      <c r="C1416" s="219">
        <v>7</v>
      </c>
      <c r="E1416" s="12" t="s">
        <v>1562</v>
      </c>
      <c r="F1416" s="30" t="s">
        <v>1334</v>
      </c>
      <c r="G1416" s="834" t="s">
        <v>1890</v>
      </c>
      <c r="H1416" s="858">
        <v>6898</v>
      </c>
      <c r="I1416" s="200" t="s">
        <v>351</v>
      </c>
      <c r="J1416" s="173"/>
      <c r="K1416" s="173"/>
      <c r="L1416" s="893">
        <v>1</v>
      </c>
      <c r="M1416" s="858">
        <f t="shared" si="867"/>
        <v>1</v>
      </c>
      <c r="N1416" s="832" t="s">
        <v>1326</v>
      </c>
      <c r="O1416" s="1196">
        <v>18472</v>
      </c>
      <c r="P1416" s="1218">
        <f t="shared" ca="1" si="868"/>
        <v>67.177777777777777</v>
      </c>
      <c r="Q1416" s="1148">
        <v>39550</v>
      </c>
      <c r="R1416" s="874">
        <f>Q1416*0.1</f>
        <v>3955</v>
      </c>
      <c r="S1416" s="875">
        <v>3000</v>
      </c>
      <c r="T1416" s="874"/>
      <c r="U1416" s="874"/>
      <c r="V1416" s="874"/>
      <c r="W1416" s="875"/>
      <c r="X1416" s="1026">
        <f t="shared" si="869"/>
        <v>46505</v>
      </c>
      <c r="Y1416" s="1512">
        <f t="shared" si="870"/>
        <v>0</v>
      </c>
      <c r="Z1416" s="1741">
        <f t="shared" si="871"/>
        <v>1</v>
      </c>
      <c r="AA1416" s="1749">
        <f t="shared" si="872"/>
        <v>1</v>
      </c>
      <c r="AB1416" s="1810">
        <f t="shared" si="873"/>
        <v>100</v>
      </c>
      <c r="AC1416" s="876"/>
      <c r="AD1416" s="1525">
        <f t="shared" si="874"/>
        <v>0</v>
      </c>
      <c r="AE1416" s="1525">
        <f t="shared" si="874"/>
        <v>0</v>
      </c>
      <c r="AF1416" s="1525">
        <f t="shared" si="874"/>
        <v>0</v>
      </c>
      <c r="AG1416" s="1525">
        <f t="shared" si="874"/>
        <v>0.9</v>
      </c>
      <c r="AH1416" s="1525">
        <f t="shared" si="874"/>
        <v>0</v>
      </c>
      <c r="AI1416" s="1525">
        <f t="shared" si="874"/>
        <v>0</v>
      </c>
      <c r="AJ1416" s="1525">
        <f t="shared" si="874"/>
        <v>0</v>
      </c>
      <c r="AK1416" s="1525">
        <f t="shared" si="874"/>
        <v>0.1</v>
      </c>
      <c r="AL1416" s="1525">
        <f t="shared" si="874"/>
        <v>0</v>
      </c>
      <c r="AM1416" s="1525">
        <f t="shared" si="874"/>
        <v>0</v>
      </c>
      <c r="AN1416" s="1525">
        <f t="shared" si="874"/>
        <v>0</v>
      </c>
      <c r="AO1416" s="1525">
        <f t="shared" si="874"/>
        <v>0</v>
      </c>
      <c r="AP1416" s="1525">
        <f t="shared" si="874"/>
        <v>0</v>
      </c>
      <c r="AQ1416" s="1525">
        <f t="shared" si="874"/>
        <v>0</v>
      </c>
      <c r="AR1416" s="1525">
        <f t="shared" si="874"/>
        <v>0</v>
      </c>
      <c r="AS1416" s="1525">
        <f t="shared" si="874"/>
        <v>0</v>
      </c>
      <c r="AU1416" s="1525"/>
      <c r="AV1416" s="1291">
        <v>0.9</v>
      </c>
      <c r="AW1416" s="1292">
        <v>0.1</v>
      </c>
      <c r="AX1416" s="1292"/>
      <c r="AY1416" s="1292"/>
      <c r="AZ1416" s="1292"/>
      <c r="BA1416" s="1292"/>
      <c r="BB1416" s="1292"/>
      <c r="BC1416" s="1292"/>
      <c r="BD1416" s="1292"/>
      <c r="BE1416" s="1292"/>
      <c r="BF1416" s="1292"/>
      <c r="BG1416" s="1292"/>
      <c r="BH1416" s="1292"/>
      <c r="BI1416" s="1292"/>
      <c r="BJ1416" s="1292"/>
      <c r="BK1416" s="1292"/>
      <c r="BL1416" s="1292"/>
      <c r="BM1416" s="1292"/>
      <c r="BN1416" s="1292"/>
      <c r="BO1416" s="1292"/>
      <c r="BP1416" s="1292"/>
      <c r="BQ1416" s="1292"/>
      <c r="BR1416" s="1292"/>
      <c r="BS1416" s="1292"/>
      <c r="BT1416" s="1670">
        <f t="shared" si="875"/>
        <v>1</v>
      </c>
      <c r="BW1416" s="834" t="s">
        <v>1890</v>
      </c>
    </row>
    <row r="1417" spans="1:75" ht="12.75" customHeight="1" x14ac:dyDescent="0.2">
      <c r="B1417" s="175">
        <f t="shared" ref="B1417:B1428" si="876">B1416+1</f>
        <v>3</v>
      </c>
      <c r="C1417" s="219">
        <v>8</v>
      </c>
      <c r="E1417" s="12" t="s">
        <v>1562</v>
      </c>
      <c r="F1417" s="58" t="s">
        <v>353</v>
      </c>
      <c r="G1417" s="834" t="s">
        <v>1888</v>
      </c>
      <c r="H1417" s="861">
        <v>10985</v>
      </c>
      <c r="I1417" s="197" t="s">
        <v>351</v>
      </c>
      <c r="J1417" s="173"/>
      <c r="K1417" s="173"/>
      <c r="L1417" s="893">
        <v>1</v>
      </c>
      <c r="M1417" s="861">
        <f t="shared" si="867"/>
        <v>1</v>
      </c>
      <c r="N1417" s="832" t="s">
        <v>1326</v>
      </c>
      <c r="O1417" s="1196">
        <v>20038</v>
      </c>
      <c r="P1417" s="1218">
        <f t="shared" ca="1" si="868"/>
        <v>62.894444444444446</v>
      </c>
      <c r="Q1417" s="1148">
        <v>37400</v>
      </c>
      <c r="R1417" s="874">
        <f>Q1417*0.1</f>
        <v>3740</v>
      </c>
      <c r="S1417" s="875"/>
      <c r="T1417" s="877">
        <v>4000</v>
      </c>
      <c r="U1417" s="877"/>
      <c r="V1417" s="877"/>
      <c r="W1417" s="875"/>
      <c r="X1417" s="1026">
        <f t="shared" si="869"/>
        <v>45140</v>
      </c>
      <c r="Y1417" s="1512">
        <f t="shared" si="870"/>
        <v>9.7228974234321822E-2</v>
      </c>
      <c r="Z1417" s="1741">
        <f t="shared" si="871"/>
        <v>1.0972289742343218</v>
      </c>
      <c r="AA1417" s="1749">
        <f t="shared" si="872"/>
        <v>1.3</v>
      </c>
      <c r="AB1417" s="1810">
        <f t="shared" si="873"/>
        <v>118.48028356225079</v>
      </c>
      <c r="AC1417" s="876"/>
      <c r="AD1417" s="1525">
        <v>0.3</v>
      </c>
      <c r="AE1417" s="1525">
        <f t="shared" si="874"/>
        <v>0</v>
      </c>
      <c r="AF1417" s="1525">
        <f t="shared" si="874"/>
        <v>0</v>
      </c>
      <c r="AG1417" s="1525">
        <f t="shared" si="874"/>
        <v>0.7</v>
      </c>
      <c r="AH1417" s="1525">
        <f t="shared" si="874"/>
        <v>0</v>
      </c>
      <c r="AI1417" s="1525">
        <f t="shared" si="874"/>
        <v>0</v>
      </c>
      <c r="AJ1417" s="1525">
        <f t="shared" si="874"/>
        <v>0</v>
      </c>
      <c r="AK1417" s="1525">
        <f t="shared" si="874"/>
        <v>0.3</v>
      </c>
      <c r="AL1417" s="1525">
        <f t="shared" si="874"/>
        <v>0</v>
      </c>
      <c r="AM1417" s="1525">
        <f t="shared" si="874"/>
        <v>0</v>
      </c>
      <c r="AN1417" s="1525">
        <f t="shared" si="874"/>
        <v>0</v>
      </c>
      <c r="AO1417" s="1525">
        <f t="shared" si="874"/>
        <v>0</v>
      </c>
      <c r="AP1417" s="1525">
        <f t="shared" si="874"/>
        <v>0</v>
      </c>
      <c r="AQ1417" s="1525">
        <f t="shared" si="874"/>
        <v>0</v>
      </c>
      <c r="AR1417" s="1525">
        <f t="shared" si="874"/>
        <v>0</v>
      </c>
      <c r="AS1417" s="1525">
        <f t="shared" si="874"/>
        <v>0</v>
      </c>
      <c r="AU1417" s="1525"/>
      <c r="AV1417" s="1291">
        <v>0.7</v>
      </c>
      <c r="AW1417" s="1292">
        <v>0.3</v>
      </c>
      <c r="AX1417" s="1292"/>
      <c r="AY1417" s="1292"/>
      <c r="AZ1417" s="1292"/>
      <c r="BA1417" s="1292"/>
      <c r="BB1417" s="1292"/>
      <c r="BC1417" s="1292"/>
      <c r="BD1417" s="1292"/>
      <c r="BE1417" s="1292"/>
      <c r="BF1417" s="1292"/>
      <c r="BG1417" s="1292"/>
      <c r="BH1417" s="1292"/>
      <c r="BI1417" s="1292"/>
      <c r="BJ1417" s="1292"/>
      <c r="BK1417" s="1292"/>
      <c r="BL1417" s="1292"/>
      <c r="BM1417" s="1292"/>
      <c r="BN1417" s="1292"/>
      <c r="BO1417" s="1292"/>
      <c r="BP1417" s="1292"/>
      <c r="BQ1417" s="1292"/>
      <c r="BR1417" s="1292"/>
      <c r="BS1417" s="1292"/>
      <c r="BT1417" s="1670">
        <f t="shared" si="875"/>
        <v>1</v>
      </c>
      <c r="BW1417" s="834" t="s">
        <v>1888</v>
      </c>
    </row>
    <row r="1418" spans="1:75" ht="12.75" customHeight="1" x14ac:dyDescent="0.2">
      <c r="B1418" s="175">
        <f t="shared" si="876"/>
        <v>4</v>
      </c>
      <c r="C1418" s="219">
        <v>8</v>
      </c>
      <c r="E1418" s="12" t="s">
        <v>1562</v>
      </c>
      <c r="F1418" s="58" t="s">
        <v>353</v>
      </c>
      <c r="G1418" s="834" t="s">
        <v>1894</v>
      </c>
      <c r="H1418" s="858">
        <v>40521</v>
      </c>
      <c r="I1418" s="200" t="s">
        <v>351</v>
      </c>
      <c r="J1418" s="173"/>
      <c r="K1418" s="173"/>
      <c r="L1418" s="893">
        <v>1</v>
      </c>
      <c r="M1418" s="858">
        <f t="shared" si="867"/>
        <v>1</v>
      </c>
      <c r="N1418" s="832" t="s">
        <v>1326</v>
      </c>
      <c r="O1418" s="1196">
        <v>22399</v>
      </c>
      <c r="P1418" s="1218">
        <f t="shared" ca="1" si="868"/>
        <v>56.427777777777777</v>
      </c>
      <c r="Q1418" s="1148">
        <v>33300</v>
      </c>
      <c r="R1418" s="874">
        <f>Q1418*0.1</f>
        <v>3330</v>
      </c>
      <c r="S1418" s="875"/>
      <c r="T1418" s="877"/>
      <c r="U1418" s="877"/>
      <c r="V1418" s="877"/>
      <c r="W1418" s="875"/>
      <c r="X1418" s="1026">
        <f t="shared" si="869"/>
        <v>36630</v>
      </c>
      <c r="Y1418" s="1512">
        <f t="shared" si="870"/>
        <v>0</v>
      </c>
      <c r="Z1418" s="1741">
        <f t="shared" si="871"/>
        <v>1</v>
      </c>
      <c r="AA1418" s="1749">
        <f t="shared" si="872"/>
        <v>1</v>
      </c>
      <c r="AB1418" s="1810">
        <f t="shared" si="873"/>
        <v>100</v>
      </c>
      <c r="AC1418" s="876"/>
      <c r="AD1418" s="1525">
        <f t="shared" si="874"/>
        <v>0</v>
      </c>
      <c r="AE1418" s="1525">
        <f t="shared" si="874"/>
        <v>0</v>
      </c>
      <c r="AF1418" s="1525">
        <f t="shared" si="874"/>
        <v>0</v>
      </c>
      <c r="AG1418" s="1525">
        <f t="shared" si="874"/>
        <v>1</v>
      </c>
      <c r="AH1418" s="1525">
        <f t="shared" si="874"/>
        <v>0</v>
      </c>
      <c r="AI1418" s="1525">
        <f t="shared" si="874"/>
        <v>0</v>
      </c>
      <c r="AJ1418" s="1525">
        <f t="shared" si="874"/>
        <v>0</v>
      </c>
      <c r="AK1418" s="1525">
        <f t="shared" si="874"/>
        <v>0</v>
      </c>
      <c r="AL1418" s="1525">
        <f t="shared" si="874"/>
        <v>0</v>
      </c>
      <c r="AM1418" s="1525">
        <f t="shared" si="874"/>
        <v>0</v>
      </c>
      <c r="AN1418" s="1525">
        <f t="shared" si="874"/>
        <v>0</v>
      </c>
      <c r="AO1418" s="1525">
        <f t="shared" si="874"/>
        <v>0</v>
      </c>
      <c r="AP1418" s="1525">
        <f t="shared" si="874"/>
        <v>0</v>
      </c>
      <c r="AQ1418" s="1525">
        <f t="shared" si="874"/>
        <v>0</v>
      </c>
      <c r="AR1418" s="1525">
        <f t="shared" si="874"/>
        <v>0</v>
      </c>
      <c r="AS1418" s="1525">
        <f t="shared" si="874"/>
        <v>0</v>
      </c>
      <c r="AU1418" s="1525"/>
      <c r="AV1418" s="1291">
        <v>1</v>
      </c>
      <c r="AW1418" s="1292"/>
      <c r="AX1418" s="1292"/>
      <c r="AY1418" s="1292"/>
      <c r="AZ1418" s="1292"/>
      <c r="BA1418" s="1292"/>
      <c r="BB1418" s="1292"/>
      <c r="BC1418" s="1292"/>
      <c r="BD1418" s="1292"/>
      <c r="BE1418" s="1292"/>
      <c r="BF1418" s="1292"/>
      <c r="BG1418" s="1292"/>
      <c r="BH1418" s="1292"/>
      <c r="BI1418" s="1292"/>
      <c r="BJ1418" s="1292"/>
      <c r="BK1418" s="1292"/>
      <c r="BL1418" s="1292"/>
      <c r="BM1418" s="1292"/>
      <c r="BN1418" s="1292"/>
      <c r="BO1418" s="1292"/>
      <c r="BP1418" s="1292"/>
      <c r="BQ1418" s="1292"/>
      <c r="BR1418" s="1292"/>
      <c r="BS1418" s="1292"/>
      <c r="BT1418" s="1670">
        <f t="shared" si="875"/>
        <v>1</v>
      </c>
      <c r="BW1418" s="834" t="s">
        <v>1894</v>
      </c>
    </row>
    <row r="1419" spans="1:75" ht="12.75" customHeight="1" x14ac:dyDescent="0.2">
      <c r="B1419" s="175">
        <f>B1428+1</f>
        <v>14</v>
      </c>
      <c r="C1419" s="219">
        <v>14</v>
      </c>
      <c r="E1419" s="12" t="s">
        <v>1562</v>
      </c>
      <c r="F1419" s="4" t="s">
        <v>1396</v>
      </c>
      <c r="G1419" s="834" t="s">
        <v>391</v>
      </c>
      <c r="H1419" s="858">
        <v>254481</v>
      </c>
      <c r="I1419" s="180" t="s">
        <v>583</v>
      </c>
      <c r="J1419" s="173"/>
      <c r="K1419" s="173"/>
      <c r="L1419" s="893">
        <v>1</v>
      </c>
      <c r="M1419" s="858">
        <f>K1419+L1419</f>
        <v>1</v>
      </c>
      <c r="N1419" s="832" t="s">
        <v>892</v>
      </c>
      <c r="O1419" s="1196">
        <v>30052</v>
      </c>
      <c r="P1419" s="1218">
        <f ca="1">YEARFRAC(TODAY(),O1419)</f>
        <v>35.475000000000001</v>
      </c>
      <c r="Q1419" s="1148">
        <v>37650</v>
      </c>
      <c r="R1419" s="874"/>
      <c r="S1419" s="875"/>
      <c r="T1419" s="877"/>
      <c r="U1419" s="877"/>
      <c r="V1419" s="877"/>
      <c r="W1419" s="875"/>
      <c r="X1419" s="1026">
        <f t="shared" si="869"/>
        <v>37650</v>
      </c>
      <c r="Y1419" s="1512">
        <f t="shared" si="870"/>
        <v>0</v>
      </c>
      <c r="Z1419" s="1741">
        <f>M1419*(1+Y1419)</f>
        <v>1</v>
      </c>
      <c r="AA1419" s="1749">
        <f t="shared" si="872"/>
        <v>1</v>
      </c>
      <c r="AB1419" s="1810">
        <f t="shared" si="873"/>
        <v>100</v>
      </c>
      <c r="AC1419" s="876"/>
      <c r="AD1419" s="1525">
        <f t="shared" ref="AD1419:AS1419" si="877">SUMIF($AV$6:$BS$6,AD$5,$AV1419:$BS1419)</f>
        <v>0</v>
      </c>
      <c r="AE1419" s="1525">
        <f t="shared" si="877"/>
        <v>0</v>
      </c>
      <c r="AF1419" s="1525">
        <f t="shared" si="877"/>
        <v>0</v>
      </c>
      <c r="AG1419" s="1525">
        <f t="shared" si="877"/>
        <v>1</v>
      </c>
      <c r="AH1419" s="1525">
        <f t="shared" si="877"/>
        <v>0</v>
      </c>
      <c r="AI1419" s="1525">
        <f t="shared" si="877"/>
        <v>0</v>
      </c>
      <c r="AJ1419" s="1525">
        <f t="shared" si="877"/>
        <v>0</v>
      </c>
      <c r="AK1419" s="1525">
        <f t="shared" si="877"/>
        <v>0</v>
      </c>
      <c r="AL1419" s="1525">
        <f t="shared" si="877"/>
        <v>0</v>
      </c>
      <c r="AM1419" s="1525">
        <f t="shared" si="877"/>
        <v>0</v>
      </c>
      <c r="AN1419" s="1525">
        <f t="shared" si="877"/>
        <v>0</v>
      </c>
      <c r="AO1419" s="1525">
        <f t="shared" si="877"/>
        <v>0</v>
      </c>
      <c r="AP1419" s="1525">
        <f t="shared" si="877"/>
        <v>0</v>
      </c>
      <c r="AQ1419" s="1525">
        <f t="shared" si="877"/>
        <v>0</v>
      </c>
      <c r="AR1419" s="1525">
        <f t="shared" si="877"/>
        <v>0</v>
      </c>
      <c r="AS1419" s="1525">
        <f t="shared" si="877"/>
        <v>0</v>
      </c>
      <c r="AU1419" s="1525"/>
      <c r="AV1419" s="1291">
        <v>1</v>
      </c>
      <c r="AW1419" s="1292"/>
      <c r="AX1419" s="1292"/>
      <c r="AY1419" s="1292"/>
      <c r="AZ1419" s="1292"/>
      <c r="BA1419" s="1292"/>
      <c r="BB1419" s="1292"/>
      <c r="BC1419" s="1292"/>
      <c r="BD1419" s="1292"/>
      <c r="BE1419" s="1292"/>
      <c r="BF1419" s="1292"/>
      <c r="BG1419" s="1292"/>
      <c r="BH1419" s="1292"/>
      <c r="BI1419" s="1292"/>
      <c r="BJ1419" s="1292"/>
      <c r="BK1419" s="1292"/>
      <c r="BL1419" s="1292"/>
      <c r="BM1419" s="1292"/>
      <c r="BN1419" s="1292"/>
      <c r="BO1419" s="1292"/>
      <c r="BP1419" s="1292"/>
      <c r="BQ1419" s="1292"/>
      <c r="BR1419" s="1292"/>
      <c r="BS1419" s="1292"/>
      <c r="BT1419" s="1670">
        <f>SUM(AV1419:BS1419)</f>
        <v>1</v>
      </c>
      <c r="BW1419" s="834" t="s">
        <v>391</v>
      </c>
    </row>
    <row r="1420" spans="1:75" ht="12.75" customHeight="1" x14ac:dyDescent="0.2">
      <c r="B1420" s="175">
        <f>B1418+1</f>
        <v>5</v>
      </c>
      <c r="C1420" s="219">
        <v>9</v>
      </c>
      <c r="E1420" s="12" t="s">
        <v>1562</v>
      </c>
      <c r="F1420" s="4" t="s">
        <v>1396</v>
      </c>
      <c r="G1420" s="834" t="s">
        <v>1337</v>
      </c>
      <c r="H1420" s="861">
        <v>223552</v>
      </c>
      <c r="I1420" s="197" t="s">
        <v>351</v>
      </c>
      <c r="J1420" s="173"/>
      <c r="K1420" s="173"/>
      <c r="L1420" s="893">
        <v>1</v>
      </c>
      <c r="M1420" s="861">
        <f t="shared" si="867"/>
        <v>1</v>
      </c>
      <c r="N1420" s="832" t="s">
        <v>892</v>
      </c>
      <c r="O1420" s="1196">
        <v>28923</v>
      </c>
      <c r="P1420" s="1218">
        <f t="shared" ca="1" si="868"/>
        <v>38.56388888888889</v>
      </c>
      <c r="Q1420" s="1148">
        <v>33800</v>
      </c>
      <c r="R1420" s="874"/>
      <c r="S1420" s="875"/>
      <c r="T1420" s="877"/>
      <c r="U1420" s="877"/>
      <c r="V1420" s="877"/>
      <c r="W1420" s="875"/>
      <c r="X1420" s="1026">
        <f t="shared" si="869"/>
        <v>33800</v>
      </c>
      <c r="Y1420" s="1512">
        <f t="shared" si="870"/>
        <v>0</v>
      </c>
      <c r="Z1420" s="1741">
        <f t="shared" si="871"/>
        <v>1</v>
      </c>
      <c r="AA1420" s="1749">
        <f t="shared" si="872"/>
        <v>1</v>
      </c>
      <c r="AB1420" s="1810">
        <f t="shared" si="873"/>
        <v>100</v>
      </c>
      <c r="AC1420" s="876"/>
      <c r="AD1420" s="1525">
        <f t="shared" ref="AD1420:AS1428" si="878">SUMIF($AV$6:$BS$6,AD$5,$AV1420:$BS1420)</f>
        <v>0</v>
      </c>
      <c r="AE1420" s="1525">
        <f t="shared" si="878"/>
        <v>0</v>
      </c>
      <c r="AF1420" s="1525">
        <f t="shared" si="878"/>
        <v>0</v>
      </c>
      <c r="AG1420" s="1525">
        <f t="shared" si="878"/>
        <v>1</v>
      </c>
      <c r="AH1420" s="1525">
        <f t="shared" si="878"/>
        <v>0</v>
      </c>
      <c r="AI1420" s="1525">
        <f t="shared" si="878"/>
        <v>0</v>
      </c>
      <c r="AJ1420" s="1525">
        <f t="shared" si="878"/>
        <v>0</v>
      </c>
      <c r="AK1420" s="1525">
        <f t="shared" si="878"/>
        <v>0</v>
      </c>
      <c r="AL1420" s="1525">
        <f t="shared" si="878"/>
        <v>0</v>
      </c>
      <c r="AM1420" s="1525">
        <f t="shared" si="878"/>
        <v>0</v>
      </c>
      <c r="AN1420" s="1525">
        <f t="shared" si="878"/>
        <v>0</v>
      </c>
      <c r="AO1420" s="1525">
        <f t="shared" si="878"/>
        <v>0</v>
      </c>
      <c r="AP1420" s="1525">
        <f t="shared" si="878"/>
        <v>0</v>
      </c>
      <c r="AQ1420" s="1525">
        <f t="shared" si="878"/>
        <v>0</v>
      </c>
      <c r="AR1420" s="1525">
        <f t="shared" si="878"/>
        <v>0</v>
      </c>
      <c r="AS1420" s="1525">
        <f t="shared" si="878"/>
        <v>0</v>
      </c>
      <c r="AU1420" s="1525"/>
      <c r="AV1420" s="1291">
        <v>1</v>
      </c>
      <c r="AW1420" s="1292"/>
      <c r="AX1420" s="1292"/>
      <c r="AY1420" s="1292"/>
      <c r="AZ1420" s="1292"/>
      <c r="BA1420" s="1292"/>
      <c r="BB1420" s="1292"/>
      <c r="BC1420" s="1292"/>
      <c r="BD1420" s="1292"/>
      <c r="BE1420" s="1292"/>
      <c r="BF1420" s="1292"/>
      <c r="BG1420" s="1292"/>
      <c r="BH1420" s="1292"/>
      <c r="BI1420" s="1292"/>
      <c r="BJ1420" s="1292"/>
      <c r="BK1420" s="1292"/>
      <c r="BL1420" s="1292"/>
      <c r="BM1420" s="1292"/>
      <c r="BN1420" s="1292"/>
      <c r="BO1420" s="1292"/>
      <c r="BP1420" s="1292"/>
      <c r="BQ1420" s="1292"/>
      <c r="BR1420" s="1292"/>
      <c r="BS1420" s="1292"/>
      <c r="BT1420" s="1670">
        <f t="shared" si="875"/>
        <v>1</v>
      </c>
      <c r="BW1420" s="834" t="s">
        <v>1337</v>
      </c>
    </row>
    <row r="1421" spans="1:75" ht="12.75" customHeight="1" x14ac:dyDescent="0.2">
      <c r="B1421" s="175">
        <f t="shared" si="876"/>
        <v>6</v>
      </c>
      <c r="C1421" s="219">
        <v>12</v>
      </c>
      <c r="E1421" s="12" t="s">
        <v>1562</v>
      </c>
      <c r="F1421" t="s">
        <v>1235</v>
      </c>
      <c r="G1421" s="834" t="s">
        <v>1891</v>
      </c>
      <c r="H1421" s="858">
        <v>72218</v>
      </c>
      <c r="I1421" s="180" t="s">
        <v>583</v>
      </c>
      <c r="J1421" s="173"/>
      <c r="K1421" s="173"/>
      <c r="L1421" s="893">
        <v>1</v>
      </c>
      <c r="M1421" s="858">
        <f t="shared" si="867"/>
        <v>1</v>
      </c>
      <c r="N1421" s="832" t="s">
        <v>1402</v>
      </c>
      <c r="O1421" s="1196">
        <v>20493</v>
      </c>
      <c r="P1421" s="1218">
        <f t="shared" ca="1" si="868"/>
        <v>61.65</v>
      </c>
      <c r="Q1421" s="1148">
        <v>36000</v>
      </c>
      <c r="R1421" s="874">
        <f>Q1421*0.1</f>
        <v>3600</v>
      </c>
      <c r="S1421" s="875"/>
      <c r="T1421" s="877"/>
      <c r="U1421" s="877"/>
      <c r="V1421" s="877"/>
      <c r="W1421" s="875"/>
      <c r="X1421" s="1026">
        <f t="shared" si="869"/>
        <v>39600</v>
      </c>
      <c r="Y1421" s="1512">
        <f t="shared" si="870"/>
        <v>0</v>
      </c>
      <c r="Z1421" s="1741">
        <f t="shared" si="871"/>
        <v>1</v>
      </c>
      <c r="AA1421" s="1749">
        <f t="shared" si="872"/>
        <v>1</v>
      </c>
      <c r="AB1421" s="1810">
        <f t="shared" si="873"/>
        <v>100</v>
      </c>
      <c r="AC1421" s="876"/>
      <c r="AD1421" s="1525">
        <f t="shared" si="878"/>
        <v>0</v>
      </c>
      <c r="AE1421" s="1525">
        <f t="shared" si="878"/>
        <v>0</v>
      </c>
      <c r="AF1421" s="1525">
        <f t="shared" si="878"/>
        <v>0</v>
      </c>
      <c r="AG1421" s="1525">
        <f t="shared" si="878"/>
        <v>1</v>
      </c>
      <c r="AH1421" s="1525">
        <f t="shared" si="878"/>
        <v>0</v>
      </c>
      <c r="AI1421" s="1525">
        <f t="shared" si="878"/>
        <v>0</v>
      </c>
      <c r="AJ1421" s="1525">
        <f t="shared" si="878"/>
        <v>0</v>
      </c>
      <c r="AK1421" s="1525">
        <f t="shared" si="878"/>
        <v>0</v>
      </c>
      <c r="AL1421" s="1525">
        <f t="shared" si="878"/>
        <v>0</v>
      </c>
      <c r="AM1421" s="1525">
        <f t="shared" si="878"/>
        <v>0</v>
      </c>
      <c r="AN1421" s="1525">
        <f t="shared" si="878"/>
        <v>0</v>
      </c>
      <c r="AO1421" s="1525">
        <f t="shared" si="878"/>
        <v>0</v>
      </c>
      <c r="AP1421" s="1525">
        <f t="shared" si="878"/>
        <v>0</v>
      </c>
      <c r="AQ1421" s="1525">
        <f t="shared" si="878"/>
        <v>0</v>
      </c>
      <c r="AR1421" s="1525">
        <f t="shared" si="878"/>
        <v>0</v>
      </c>
      <c r="AS1421" s="1525">
        <f t="shared" si="878"/>
        <v>0</v>
      </c>
      <c r="AU1421" s="1525"/>
      <c r="AV1421" s="1291">
        <v>1</v>
      </c>
      <c r="AW1421" s="1292"/>
      <c r="AX1421" s="1292"/>
      <c r="AY1421" s="1292"/>
      <c r="AZ1421" s="1292"/>
      <c r="BA1421" s="1292"/>
      <c r="BB1421" s="1292"/>
      <c r="BC1421" s="1292"/>
      <c r="BD1421" s="1292"/>
      <c r="BE1421" s="1292"/>
      <c r="BF1421" s="1292"/>
      <c r="BG1421" s="1292"/>
      <c r="BH1421" s="1292"/>
      <c r="BI1421" s="1292"/>
      <c r="BJ1421" s="1292"/>
      <c r="BK1421" s="1292"/>
      <c r="BL1421" s="1292"/>
      <c r="BM1421" s="1292"/>
      <c r="BN1421" s="1292"/>
      <c r="BO1421" s="1292"/>
      <c r="BP1421" s="1292"/>
      <c r="BQ1421" s="1292"/>
      <c r="BR1421" s="1292"/>
      <c r="BS1421" s="1292"/>
      <c r="BT1421" s="1670">
        <f t="shared" si="875"/>
        <v>1</v>
      </c>
      <c r="BW1421" s="834" t="s">
        <v>1891</v>
      </c>
    </row>
    <row r="1422" spans="1:75" s="164" customFormat="1" ht="12.75" customHeight="1" x14ac:dyDescent="0.2">
      <c r="B1422" s="175">
        <f t="shared" si="876"/>
        <v>7</v>
      </c>
      <c r="C1422" s="219">
        <v>12</v>
      </c>
      <c r="E1422" s="12" t="s">
        <v>1562</v>
      </c>
      <c r="F1422" t="s">
        <v>1235</v>
      </c>
      <c r="G1422" s="834" t="s">
        <v>1893</v>
      </c>
      <c r="H1422" s="858">
        <v>8785</v>
      </c>
      <c r="I1422" s="180" t="s">
        <v>583</v>
      </c>
      <c r="J1422" s="173"/>
      <c r="K1422" s="173"/>
      <c r="L1422" s="893">
        <v>1</v>
      </c>
      <c r="M1422" s="858">
        <f t="shared" si="867"/>
        <v>1</v>
      </c>
      <c r="N1422" s="999" t="s">
        <v>1402</v>
      </c>
      <c r="O1422" s="1196">
        <v>19672</v>
      </c>
      <c r="P1422" s="1218">
        <f t="shared" ca="1" si="868"/>
        <v>63.897222222222226</v>
      </c>
      <c r="Q1422" s="1148">
        <v>36000</v>
      </c>
      <c r="R1422" s="874">
        <f>Q1422*0.1</f>
        <v>3600</v>
      </c>
      <c r="S1422" s="875"/>
      <c r="T1422" s="877"/>
      <c r="U1422" s="877"/>
      <c r="V1422" s="877"/>
      <c r="W1422" s="875"/>
      <c r="X1422" s="1026">
        <f t="shared" si="869"/>
        <v>39600</v>
      </c>
      <c r="Y1422" s="1512">
        <f t="shared" si="870"/>
        <v>0</v>
      </c>
      <c r="Z1422" s="1741">
        <f t="shared" si="871"/>
        <v>1</v>
      </c>
      <c r="AA1422" s="1749">
        <f t="shared" si="872"/>
        <v>1</v>
      </c>
      <c r="AB1422" s="1810">
        <f t="shared" si="873"/>
        <v>100</v>
      </c>
      <c r="AC1422" s="876"/>
      <c r="AD1422" s="1525">
        <f t="shared" si="878"/>
        <v>0</v>
      </c>
      <c r="AE1422" s="1525">
        <f t="shared" si="878"/>
        <v>0</v>
      </c>
      <c r="AF1422" s="1525">
        <f t="shared" si="878"/>
        <v>0</v>
      </c>
      <c r="AG1422" s="1525">
        <f t="shared" si="878"/>
        <v>1</v>
      </c>
      <c r="AH1422" s="1525">
        <f t="shared" si="878"/>
        <v>0</v>
      </c>
      <c r="AI1422" s="1525">
        <f t="shared" si="878"/>
        <v>0</v>
      </c>
      <c r="AJ1422" s="1525">
        <f t="shared" si="878"/>
        <v>0</v>
      </c>
      <c r="AK1422" s="1525">
        <f t="shared" si="878"/>
        <v>0</v>
      </c>
      <c r="AL1422" s="1525">
        <f t="shared" si="878"/>
        <v>0</v>
      </c>
      <c r="AM1422" s="1525">
        <f t="shared" si="878"/>
        <v>0</v>
      </c>
      <c r="AN1422" s="1525">
        <f t="shared" si="878"/>
        <v>0</v>
      </c>
      <c r="AO1422" s="1525">
        <f t="shared" si="878"/>
        <v>0</v>
      </c>
      <c r="AP1422" s="1525">
        <f t="shared" si="878"/>
        <v>0</v>
      </c>
      <c r="AQ1422" s="1525">
        <f t="shared" si="878"/>
        <v>0</v>
      </c>
      <c r="AR1422" s="1525">
        <f t="shared" si="878"/>
        <v>0</v>
      </c>
      <c r="AS1422" s="1525">
        <f t="shared" si="878"/>
        <v>0</v>
      </c>
      <c r="AU1422" s="1525"/>
      <c r="AV1422" s="1295">
        <v>1</v>
      </c>
      <c r="AW1422" s="1525"/>
      <c r="AX1422" s="1525"/>
      <c r="AY1422" s="1525"/>
      <c r="AZ1422" s="1525"/>
      <c r="BA1422" s="1525"/>
      <c r="BB1422" s="1525"/>
      <c r="BC1422" s="1525"/>
      <c r="BD1422" s="1525"/>
      <c r="BE1422" s="1525"/>
      <c r="BF1422" s="1525"/>
      <c r="BG1422" s="1525"/>
      <c r="BH1422" s="1525"/>
      <c r="BI1422" s="1525"/>
      <c r="BJ1422" s="1525"/>
      <c r="BK1422" s="1525"/>
      <c r="BL1422" s="1525"/>
      <c r="BM1422" s="1525"/>
      <c r="BN1422" s="1525"/>
      <c r="BO1422" s="1525"/>
      <c r="BP1422" s="1525"/>
      <c r="BQ1422" s="1525"/>
      <c r="BR1422" s="1525"/>
      <c r="BS1422" s="1525"/>
      <c r="BT1422" s="1670">
        <f t="shared" si="875"/>
        <v>1</v>
      </c>
      <c r="BV1422"/>
      <c r="BW1422" s="834" t="s">
        <v>1893</v>
      </c>
    </row>
    <row r="1423" spans="1:75" s="65" customFormat="1" ht="12.75" customHeight="1" x14ac:dyDescent="0.2">
      <c r="A1423" s="164"/>
      <c r="B1423" s="175">
        <f t="shared" si="876"/>
        <v>8</v>
      </c>
      <c r="C1423" s="1209">
        <v>13</v>
      </c>
      <c r="D1423" s="1209"/>
      <c r="E1423" s="447" t="s">
        <v>1562</v>
      </c>
      <c r="F1423" s="4" t="s">
        <v>792</v>
      </c>
      <c r="G1423" s="825" t="s">
        <v>578</v>
      </c>
      <c r="H1423" s="861">
        <v>48</v>
      </c>
      <c r="I1423" s="197" t="s">
        <v>1584</v>
      </c>
      <c r="J1423" s="174"/>
      <c r="K1423" s="174"/>
      <c r="L1423" s="861">
        <v>1</v>
      </c>
      <c r="M1423" s="861">
        <f t="shared" si="867"/>
        <v>1</v>
      </c>
      <c r="N1423" s="836" t="s">
        <v>892</v>
      </c>
      <c r="O1423" s="1196">
        <v>22727</v>
      </c>
      <c r="P1423" s="1218">
        <f t="shared" ca="1" si="868"/>
        <v>55.527777777777779</v>
      </c>
      <c r="Q1423" s="1148">
        <v>35000</v>
      </c>
      <c r="R1423" s="874"/>
      <c r="S1423" s="875"/>
      <c r="T1423" s="877">
        <v>5000</v>
      </c>
      <c r="U1423" s="877"/>
      <c r="V1423" s="877"/>
      <c r="W1423" s="875"/>
      <c r="X1423" s="1026">
        <f t="shared" si="869"/>
        <v>40000</v>
      </c>
      <c r="Y1423" s="1512">
        <f t="shared" si="870"/>
        <v>0.14285714285714285</v>
      </c>
      <c r="Z1423" s="1741">
        <f t="shared" si="871"/>
        <v>1.1428571428571428</v>
      </c>
      <c r="AA1423" s="1749">
        <f t="shared" si="872"/>
        <v>1</v>
      </c>
      <c r="AB1423" s="1810">
        <f t="shared" si="873"/>
        <v>87.5</v>
      </c>
      <c r="AC1423" s="876"/>
      <c r="AD1423" s="1525">
        <f t="shared" si="878"/>
        <v>0.3</v>
      </c>
      <c r="AE1423" s="1525">
        <f t="shared" si="878"/>
        <v>0</v>
      </c>
      <c r="AF1423" s="1525">
        <f t="shared" si="878"/>
        <v>0</v>
      </c>
      <c r="AG1423" s="1525">
        <f t="shared" si="878"/>
        <v>0.7</v>
      </c>
      <c r="AH1423" s="1525">
        <f t="shared" si="878"/>
        <v>0</v>
      </c>
      <c r="AI1423" s="1525">
        <f t="shared" si="878"/>
        <v>0</v>
      </c>
      <c r="AJ1423" s="1525">
        <f t="shared" si="878"/>
        <v>0</v>
      </c>
      <c r="AK1423" s="1525">
        <f t="shared" si="878"/>
        <v>0</v>
      </c>
      <c r="AL1423" s="1525">
        <f t="shared" si="878"/>
        <v>0</v>
      </c>
      <c r="AM1423" s="1525">
        <f t="shared" si="878"/>
        <v>0</v>
      </c>
      <c r="AN1423" s="1525">
        <f t="shared" si="878"/>
        <v>0</v>
      </c>
      <c r="AO1423" s="1525">
        <f t="shared" si="878"/>
        <v>0</v>
      </c>
      <c r="AP1423" s="1525">
        <f t="shared" si="878"/>
        <v>0</v>
      </c>
      <c r="AQ1423" s="1525">
        <f t="shared" si="878"/>
        <v>0</v>
      </c>
      <c r="AR1423" s="1525">
        <f t="shared" si="878"/>
        <v>0</v>
      </c>
      <c r="AS1423" s="1525">
        <f t="shared" si="878"/>
        <v>0</v>
      </c>
      <c r="AU1423" s="1525"/>
      <c r="AV1423" s="1291">
        <v>0.7</v>
      </c>
      <c r="AW1423" s="1530"/>
      <c r="AX1423" s="1530"/>
      <c r="AY1423" s="1530"/>
      <c r="AZ1423" s="1530"/>
      <c r="BA1423" s="1530"/>
      <c r="BB1423" s="1530"/>
      <c r="BC1423" s="1530"/>
      <c r="BD1423" s="1530"/>
      <c r="BE1423" s="1530"/>
      <c r="BF1423" s="1530"/>
      <c r="BG1423" s="1530"/>
      <c r="BH1423" s="1530"/>
      <c r="BI1423" s="1530">
        <v>0.3</v>
      </c>
      <c r="BJ1423" s="1530"/>
      <c r="BK1423" s="1530"/>
      <c r="BL1423" s="1530"/>
      <c r="BM1423" s="1530"/>
      <c r="BN1423" s="1530"/>
      <c r="BO1423" s="1530"/>
      <c r="BP1423" s="1530"/>
      <c r="BQ1423" s="1530"/>
      <c r="BR1423" s="1530"/>
      <c r="BS1423" s="1530"/>
      <c r="BT1423" s="1670">
        <f t="shared" si="875"/>
        <v>1</v>
      </c>
      <c r="BV1423"/>
      <c r="BW1423" s="825" t="s">
        <v>578</v>
      </c>
    </row>
    <row r="1424" spans="1:75" s="65" customFormat="1" ht="12.75" customHeight="1" x14ac:dyDescent="0.2">
      <c r="A1424" s="164"/>
      <c r="B1424" s="175">
        <f t="shared" si="876"/>
        <v>9</v>
      </c>
      <c r="C1424" s="1209">
        <v>13</v>
      </c>
      <c r="D1424" s="1209"/>
      <c r="E1424" s="447" t="s">
        <v>1562</v>
      </c>
      <c r="F1424" s="4" t="s">
        <v>792</v>
      </c>
      <c r="G1424" s="825" t="s">
        <v>1062</v>
      </c>
      <c r="H1424" s="861">
        <v>3064</v>
      </c>
      <c r="I1424" s="197" t="s">
        <v>583</v>
      </c>
      <c r="J1424" s="174"/>
      <c r="K1424" s="174"/>
      <c r="L1424" s="893">
        <v>0.71</v>
      </c>
      <c r="M1424" s="861">
        <f t="shared" si="867"/>
        <v>0.71</v>
      </c>
      <c r="N1424" s="836" t="s">
        <v>1402</v>
      </c>
      <c r="O1424" s="1196">
        <v>22102</v>
      </c>
      <c r="P1424" s="1218">
        <f t="shared" ca="1" si="868"/>
        <v>57.241666666666667</v>
      </c>
      <c r="Q1424" s="1148">
        <v>21600</v>
      </c>
      <c r="R1424" s="874">
        <f>Q1424*0.1</f>
        <v>2160</v>
      </c>
      <c r="S1424" s="875"/>
      <c r="T1424" s="877"/>
      <c r="U1424" s="877"/>
      <c r="V1424" s="877"/>
      <c r="W1424" s="875"/>
      <c r="X1424" s="1026">
        <f t="shared" si="869"/>
        <v>16869.599999999999</v>
      </c>
      <c r="Y1424" s="1512">
        <f t="shared" si="870"/>
        <v>0</v>
      </c>
      <c r="Z1424" s="1741">
        <f t="shared" si="871"/>
        <v>0.71</v>
      </c>
      <c r="AA1424" s="1749">
        <f t="shared" si="872"/>
        <v>0.71</v>
      </c>
      <c r="AB1424" s="1810">
        <f t="shared" si="873"/>
        <v>100</v>
      </c>
      <c r="AC1424" s="876"/>
      <c r="AD1424" s="1525">
        <f t="shared" si="878"/>
        <v>0</v>
      </c>
      <c r="AE1424" s="1525">
        <f t="shared" si="878"/>
        <v>0</v>
      </c>
      <c r="AF1424" s="1525">
        <f t="shared" si="878"/>
        <v>0</v>
      </c>
      <c r="AG1424" s="1525">
        <f t="shared" si="878"/>
        <v>0.71</v>
      </c>
      <c r="AH1424" s="1525">
        <f t="shared" si="878"/>
        <v>0</v>
      </c>
      <c r="AI1424" s="1525">
        <f t="shared" si="878"/>
        <v>0</v>
      </c>
      <c r="AJ1424" s="1525">
        <f t="shared" si="878"/>
        <v>0</v>
      </c>
      <c r="AK1424" s="1525">
        <f t="shared" si="878"/>
        <v>0</v>
      </c>
      <c r="AL1424" s="1525">
        <f t="shared" si="878"/>
        <v>0</v>
      </c>
      <c r="AM1424" s="1525">
        <f t="shared" si="878"/>
        <v>0</v>
      </c>
      <c r="AN1424" s="1525">
        <f t="shared" si="878"/>
        <v>0</v>
      </c>
      <c r="AO1424" s="1525">
        <f t="shared" si="878"/>
        <v>0</v>
      </c>
      <c r="AP1424" s="1525">
        <f t="shared" si="878"/>
        <v>0</v>
      </c>
      <c r="AQ1424" s="1525">
        <f t="shared" si="878"/>
        <v>0</v>
      </c>
      <c r="AR1424" s="1525">
        <f t="shared" si="878"/>
        <v>0</v>
      </c>
      <c r="AS1424" s="1525">
        <f t="shared" si="878"/>
        <v>0</v>
      </c>
      <c r="AU1424" s="1525"/>
      <c r="AV1424" s="1772">
        <v>0.71</v>
      </c>
      <c r="AW1424" s="1530"/>
      <c r="AX1424" s="1530"/>
      <c r="AY1424" s="1530"/>
      <c r="AZ1424" s="1530"/>
      <c r="BA1424" s="1530"/>
      <c r="BB1424" s="1530"/>
      <c r="BC1424" s="1530"/>
      <c r="BD1424" s="1530"/>
      <c r="BE1424" s="1530"/>
      <c r="BF1424" s="1530"/>
      <c r="BG1424" s="1530"/>
      <c r="BH1424" s="1530"/>
      <c r="BI1424" s="1530"/>
      <c r="BJ1424" s="1530"/>
      <c r="BK1424" s="1530"/>
      <c r="BL1424" s="1530"/>
      <c r="BM1424" s="1530"/>
      <c r="BN1424" s="1530"/>
      <c r="BO1424" s="1530"/>
      <c r="BP1424" s="1530"/>
      <c r="BQ1424" s="1530"/>
      <c r="BR1424" s="1530"/>
      <c r="BS1424" s="1530"/>
      <c r="BT1424" s="1670">
        <f t="shared" si="875"/>
        <v>0.71</v>
      </c>
      <c r="BV1424"/>
      <c r="BW1424" s="825" t="s">
        <v>1062</v>
      </c>
    </row>
    <row r="1425" spans="2:75" ht="12.75" customHeight="1" x14ac:dyDescent="0.2">
      <c r="B1425" s="175">
        <f t="shared" si="876"/>
        <v>10</v>
      </c>
      <c r="C1425" s="219">
        <v>13</v>
      </c>
      <c r="E1425" s="12" t="s">
        <v>1562</v>
      </c>
      <c r="F1425" s="4" t="s">
        <v>792</v>
      </c>
      <c r="G1425" s="834" t="s">
        <v>1889</v>
      </c>
      <c r="H1425" s="858">
        <v>3012</v>
      </c>
      <c r="I1425" s="180" t="s">
        <v>583</v>
      </c>
      <c r="J1425" s="173"/>
      <c r="K1425" s="173"/>
      <c r="L1425" s="893">
        <v>1</v>
      </c>
      <c r="M1425" s="858">
        <f t="shared" si="867"/>
        <v>1</v>
      </c>
      <c r="N1425" s="999" t="s">
        <v>1402</v>
      </c>
      <c r="O1425" s="1196">
        <v>19113</v>
      </c>
      <c r="P1425" s="1218">
        <f t="shared" ca="1" si="868"/>
        <v>65.424999999999997</v>
      </c>
      <c r="Q1425" s="1148">
        <v>30000</v>
      </c>
      <c r="R1425" s="874">
        <f>Q1425*0.1</f>
        <v>3000</v>
      </c>
      <c r="S1425" s="875"/>
      <c r="T1425" s="877">
        <v>5000</v>
      </c>
      <c r="U1425" s="877"/>
      <c r="V1425" s="877"/>
      <c r="W1425" s="875"/>
      <c r="X1425" s="1026">
        <f t="shared" si="869"/>
        <v>38000</v>
      </c>
      <c r="Y1425" s="1512">
        <f t="shared" si="870"/>
        <v>0.15151515151515152</v>
      </c>
      <c r="Z1425" s="1741">
        <f t="shared" si="871"/>
        <v>1.1515151515151516</v>
      </c>
      <c r="AA1425" s="1749">
        <f t="shared" si="872"/>
        <v>0.7</v>
      </c>
      <c r="AB1425" s="1810">
        <f t="shared" si="873"/>
        <v>60.78947368421052</v>
      </c>
      <c r="AC1425" s="876"/>
      <c r="AD1425" s="1525">
        <f t="shared" si="878"/>
        <v>0</v>
      </c>
      <c r="AE1425" s="1525">
        <f t="shared" si="878"/>
        <v>0</v>
      </c>
      <c r="AF1425" s="1525">
        <f t="shared" si="878"/>
        <v>0</v>
      </c>
      <c r="AG1425" s="1525">
        <f t="shared" si="878"/>
        <v>0.7</v>
      </c>
      <c r="AH1425" s="1525">
        <f t="shared" si="878"/>
        <v>0</v>
      </c>
      <c r="AI1425" s="1525">
        <f t="shared" si="878"/>
        <v>0</v>
      </c>
      <c r="AJ1425" s="1525">
        <f t="shared" si="878"/>
        <v>0</v>
      </c>
      <c r="AK1425" s="1525">
        <f t="shared" si="878"/>
        <v>0</v>
      </c>
      <c r="AL1425" s="1525">
        <f t="shared" si="878"/>
        <v>0</v>
      </c>
      <c r="AM1425" s="1525">
        <f t="shared" si="878"/>
        <v>0</v>
      </c>
      <c r="AN1425" s="1525">
        <f t="shared" si="878"/>
        <v>0</v>
      </c>
      <c r="AO1425" s="1525">
        <f t="shared" si="878"/>
        <v>0</v>
      </c>
      <c r="AP1425" s="1525">
        <f t="shared" si="878"/>
        <v>0</v>
      </c>
      <c r="AQ1425" s="1525">
        <f t="shared" si="878"/>
        <v>0</v>
      </c>
      <c r="AR1425" s="1525">
        <f t="shared" si="878"/>
        <v>0</v>
      </c>
      <c r="AS1425" s="1525">
        <f t="shared" si="878"/>
        <v>0</v>
      </c>
      <c r="AU1425" s="1525"/>
      <c r="AV1425" s="1291">
        <v>0.7</v>
      </c>
      <c r="AW1425" s="1292"/>
      <c r="AX1425" s="1292"/>
      <c r="AY1425" s="1292"/>
      <c r="AZ1425" s="1292"/>
      <c r="BA1425" s="1292"/>
      <c r="BB1425" s="1292"/>
      <c r="BC1425" s="1292"/>
      <c r="BD1425" s="1292"/>
      <c r="BE1425" s="1292"/>
      <c r="BF1425" s="1292"/>
      <c r="BG1425" s="1292"/>
      <c r="BH1425" s="1292"/>
      <c r="BI1425" s="1292"/>
      <c r="BJ1425" s="1292"/>
      <c r="BK1425" s="1292"/>
      <c r="BL1425" s="1292"/>
      <c r="BM1425" s="1292"/>
      <c r="BN1425" s="1292"/>
      <c r="BO1425" s="1292"/>
      <c r="BP1425" s="1292"/>
      <c r="BQ1425" s="1292"/>
      <c r="BR1425" s="1292"/>
      <c r="BS1425" s="1292"/>
      <c r="BT1425" s="1670">
        <f t="shared" si="875"/>
        <v>0.7</v>
      </c>
      <c r="BW1425" s="834" t="s">
        <v>1889</v>
      </c>
    </row>
    <row r="1426" spans="2:75" ht="12.75" customHeight="1" x14ac:dyDescent="0.2">
      <c r="B1426" s="175">
        <f t="shared" si="876"/>
        <v>11</v>
      </c>
      <c r="C1426" s="219">
        <v>13</v>
      </c>
      <c r="E1426" s="12" t="s">
        <v>1562</v>
      </c>
      <c r="F1426" s="4" t="s">
        <v>792</v>
      </c>
      <c r="G1426" s="834" t="s">
        <v>821</v>
      </c>
      <c r="H1426" s="858">
        <v>240540</v>
      </c>
      <c r="I1426" s="180" t="s">
        <v>583</v>
      </c>
      <c r="J1426" s="173"/>
      <c r="K1426" s="173"/>
      <c r="L1426" s="893">
        <v>1</v>
      </c>
      <c r="M1426" s="858">
        <f t="shared" si="867"/>
        <v>1</v>
      </c>
      <c r="N1426" s="832" t="s">
        <v>892</v>
      </c>
      <c r="O1426" s="1196">
        <v>28871</v>
      </c>
      <c r="P1426" s="1218">
        <f t="shared" ca="1" si="868"/>
        <v>38.711111111111109</v>
      </c>
      <c r="Q1426" s="1148">
        <v>35000</v>
      </c>
      <c r="R1426" s="874"/>
      <c r="S1426" s="875"/>
      <c r="T1426" s="877"/>
      <c r="U1426" s="877"/>
      <c r="V1426" s="877"/>
      <c r="W1426" s="875"/>
      <c r="X1426" s="1026">
        <f t="shared" si="869"/>
        <v>35000</v>
      </c>
      <c r="Y1426" s="1512">
        <f t="shared" si="870"/>
        <v>0</v>
      </c>
      <c r="Z1426" s="1741">
        <f t="shared" si="871"/>
        <v>1</v>
      </c>
      <c r="AA1426" s="1749">
        <f t="shared" si="872"/>
        <v>1</v>
      </c>
      <c r="AB1426" s="1810">
        <f t="shared" si="873"/>
        <v>100</v>
      </c>
      <c r="AC1426" s="876"/>
      <c r="AD1426" s="1525">
        <f t="shared" si="878"/>
        <v>0</v>
      </c>
      <c r="AE1426" s="1525">
        <f t="shared" si="878"/>
        <v>0</v>
      </c>
      <c r="AF1426" s="1525">
        <f t="shared" si="878"/>
        <v>0</v>
      </c>
      <c r="AG1426" s="1525">
        <f t="shared" si="878"/>
        <v>1</v>
      </c>
      <c r="AH1426" s="1525">
        <f t="shared" si="878"/>
        <v>0</v>
      </c>
      <c r="AI1426" s="1525">
        <f t="shared" si="878"/>
        <v>0</v>
      </c>
      <c r="AJ1426" s="1525">
        <f t="shared" si="878"/>
        <v>0</v>
      </c>
      <c r="AK1426" s="1525">
        <f t="shared" si="878"/>
        <v>0</v>
      </c>
      <c r="AL1426" s="1525">
        <f t="shared" si="878"/>
        <v>0</v>
      </c>
      <c r="AM1426" s="1525">
        <f t="shared" si="878"/>
        <v>0</v>
      </c>
      <c r="AN1426" s="1525">
        <f t="shared" si="878"/>
        <v>0</v>
      </c>
      <c r="AO1426" s="1525">
        <f t="shared" si="878"/>
        <v>0</v>
      </c>
      <c r="AP1426" s="1525">
        <f t="shared" si="878"/>
        <v>0</v>
      </c>
      <c r="AQ1426" s="1525">
        <f t="shared" si="878"/>
        <v>0</v>
      </c>
      <c r="AR1426" s="1525">
        <f t="shared" si="878"/>
        <v>0</v>
      </c>
      <c r="AS1426" s="1525">
        <f t="shared" si="878"/>
        <v>0</v>
      </c>
      <c r="AU1426" s="1525"/>
      <c r="AV1426" s="1291">
        <v>1</v>
      </c>
      <c r="AW1426" s="1292"/>
      <c r="AX1426" s="1292"/>
      <c r="AY1426" s="1292"/>
      <c r="AZ1426" s="1292"/>
      <c r="BA1426" s="1292"/>
      <c r="BB1426" s="1292"/>
      <c r="BC1426" s="1292"/>
      <c r="BD1426" s="1292"/>
      <c r="BE1426" s="1292"/>
      <c r="BF1426" s="1292"/>
      <c r="BG1426" s="1292"/>
      <c r="BH1426" s="1292"/>
      <c r="BI1426" s="1292"/>
      <c r="BJ1426" s="1292"/>
      <c r="BK1426" s="1292"/>
      <c r="BL1426" s="1292"/>
      <c r="BM1426" s="1292"/>
      <c r="BN1426" s="1292"/>
      <c r="BO1426" s="1292"/>
      <c r="BP1426" s="1292"/>
      <c r="BQ1426" s="1292"/>
      <c r="BR1426" s="1292"/>
      <c r="BS1426" s="1292"/>
      <c r="BT1426" s="1670">
        <f t="shared" si="875"/>
        <v>1</v>
      </c>
      <c r="BW1426" s="834" t="s">
        <v>821</v>
      </c>
    </row>
    <row r="1427" spans="2:75" ht="12.75" customHeight="1" x14ac:dyDescent="0.2">
      <c r="B1427" s="175">
        <f t="shared" si="876"/>
        <v>12</v>
      </c>
      <c r="C1427" s="219">
        <v>13</v>
      </c>
      <c r="E1427" s="12" t="s">
        <v>1562</v>
      </c>
      <c r="F1427" s="4" t="s">
        <v>792</v>
      </c>
      <c r="G1427" s="825" t="s">
        <v>299</v>
      </c>
      <c r="H1427" s="858">
        <v>3017</v>
      </c>
      <c r="I1427" s="180" t="s">
        <v>583</v>
      </c>
      <c r="J1427" s="173"/>
      <c r="K1427" s="173"/>
      <c r="L1427" s="861">
        <v>1</v>
      </c>
      <c r="M1427" s="858">
        <v>1</v>
      </c>
      <c r="N1427" s="836" t="s">
        <v>1402</v>
      </c>
      <c r="O1427" s="1196">
        <v>18040</v>
      </c>
      <c r="P1427" s="1218">
        <f t="shared" ca="1" si="868"/>
        <v>68.361111111111114</v>
      </c>
      <c r="Q1427" s="1148">
        <v>33000</v>
      </c>
      <c r="R1427" s="874">
        <f>Q1427*0.1</f>
        <v>3300</v>
      </c>
      <c r="S1427" s="875"/>
      <c r="T1427" s="877"/>
      <c r="U1427" s="877"/>
      <c r="V1427" s="877"/>
      <c r="W1427" s="875"/>
      <c r="X1427" s="1026">
        <f t="shared" si="869"/>
        <v>36300</v>
      </c>
      <c r="Y1427" s="1512">
        <f t="shared" si="870"/>
        <v>0</v>
      </c>
      <c r="Z1427" s="1741">
        <f t="shared" si="871"/>
        <v>1</v>
      </c>
      <c r="AA1427" s="1749">
        <f t="shared" si="872"/>
        <v>1</v>
      </c>
      <c r="AB1427" s="1810">
        <f t="shared" si="873"/>
        <v>100</v>
      </c>
      <c r="AC1427" s="876"/>
      <c r="AD1427" s="1525">
        <f t="shared" si="878"/>
        <v>0</v>
      </c>
      <c r="AE1427" s="1525">
        <f t="shared" si="878"/>
        <v>0</v>
      </c>
      <c r="AF1427" s="1525">
        <f t="shared" si="878"/>
        <v>0</v>
      </c>
      <c r="AG1427" s="1525">
        <f t="shared" si="878"/>
        <v>1</v>
      </c>
      <c r="AH1427" s="1525">
        <f t="shared" si="878"/>
        <v>0</v>
      </c>
      <c r="AI1427" s="1525">
        <f t="shared" si="878"/>
        <v>0</v>
      </c>
      <c r="AJ1427" s="1525">
        <f t="shared" si="878"/>
        <v>0</v>
      </c>
      <c r="AK1427" s="1525">
        <f t="shared" si="878"/>
        <v>0</v>
      </c>
      <c r="AL1427" s="1525">
        <f t="shared" si="878"/>
        <v>0</v>
      </c>
      <c r="AM1427" s="1525">
        <f t="shared" si="878"/>
        <v>0</v>
      </c>
      <c r="AN1427" s="1525">
        <f t="shared" si="878"/>
        <v>0</v>
      </c>
      <c r="AO1427" s="1525">
        <f t="shared" si="878"/>
        <v>0</v>
      </c>
      <c r="AP1427" s="1525">
        <f t="shared" si="878"/>
        <v>0</v>
      </c>
      <c r="AQ1427" s="1525">
        <f t="shared" si="878"/>
        <v>0</v>
      </c>
      <c r="AR1427" s="1525">
        <f t="shared" si="878"/>
        <v>0</v>
      </c>
      <c r="AS1427" s="1525">
        <f t="shared" si="878"/>
        <v>0</v>
      </c>
      <c r="AU1427" s="1525"/>
      <c r="AV1427" s="1291">
        <v>1</v>
      </c>
      <c r="AW1427" s="1292"/>
      <c r="AX1427" s="1292"/>
      <c r="AY1427" s="1292"/>
      <c r="AZ1427" s="1292"/>
      <c r="BA1427" s="1292"/>
      <c r="BB1427" s="1292"/>
      <c r="BC1427" s="1292"/>
      <c r="BD1427" s="1292"/>
      <c r="BE1427" s="1292"/>
      <c r="BF1427" s="1292"/>
      <c r="BG1427" s="1292"/>
      <c r="BH1427" s="1292"/>
      <c r="BI1427" s="1292"/>
      <c r="BJ1427" s="1292"/>
      <c r="BK1427" s="1292"/>
      <c r="BL1427" s="1292"/>
      <c r="BM1427" s="1292"/>
      <c r="BN1427" s="1292"/>
      <c r="BO1427" s="1292"/>
      <c r="BP1427" s="1292"/>
      <c r="BQ1427" s="1292"/>
      <c r="BR1427" s="1292"/>
      <c r="BS1427" s="1292"/>
      <c r="BT1427" s="1670">
        <f t="shared" si="875"/>
        <v>1</v>
      </c>
      <c r="BW1427" s="825" t="s">
        <v>299</v>
      </c>
    </row>
    <row r="1428" spans="2:75" ht="12.75" customHeight="1" x14ac:dyDescent="0.2">
      <c r="B1428" s="175">
        <f t="shared" si="876"/>
        <v>13</v>
      </c>
      <c r="C1428" s="219">
        <v>14</v>
      </c>
      <c r="E1428" s="12" t="s">
        <v>1562</v>
      </c>
      <c r="F1428" s="4" t="s">
        <v>1098</v>
      </c>
      <c r="G1428" s="825" t="s">
        <v>1887</v>
      </c>
      <c r="H1428" s="858">
        <v>153080</v>
      </c>
      <c r="I1428" s="180" t="s">
        <v>583</v>
      </c>
      <c r="J1428" s="173"/>
      <c r="K1428" s="173"/>
      <c r="L1428" s="861">
        <v>0.5</v>
      </c>
      <c r="M1428" s="858">
        <v>0.5</v>
      </c>
      <c r="N1428" s="836"/>
      <c r="O1428" s="1196">
        <v>18979</v>
      </c>
      <c r="P1428" s="1218">
        <f t="shared" ca="1" si="868"/>
        <v>65.791666666666671</v>
      </c>
      <c r="Q1428" s="1148">
        <v>34000</v>
      </c>
      <c r="R1428" s="874"/>
      <c r="S1428" s="875"/>
      <c r="T1428" s="877"/>
      <c r="U1428" s="877"/>
      <c r="V1428" s="877"/>
      <c r="W1428" s="875"/>
      <c r="X1428" s="1026">
        <f t="shared" si="869"/>
        <v>17000</v>
      </c>
      <c r="Y1428" s="1512">
        <f t="shared" si="870"/>
        <v>0</v>
      </c>
      <c r="Z1428" s="1741">
        <f t="shared" si="871"/>
        <v>0.5</v>
      </c>
      <c r="AA1428" s="1749">
        <f t="shared" si="872"/>
        <v>0.5</v>
      </c>
      <c r="AB1428" s="1810">
        <f t="shared" si="873"/>
        <v>100</v>
      </c>
      <c r="AC1428" s="876"/>
      <c r="AD1428" s="1525">
        <f t="shared" si="878"/>
        <v>0</v>
      </c>
      <c r="AE1428" s="1525">
        <f t="shared" si="878"/>
        <v>0</v>
      </c>
      <c r="AF1428" s="1525">
        <f t="shared" si="878"/>
        <v>0</v>
      </c>
      <c r="AG1428" s="1525">
        <f t="shared" si="878"/>
        <v>0.5</v>
      </c>
      <c r="AH1428" s="1525">
        <f t="shared" si="878"/>
        <v>0</v>
      </c>
      <c r="AI1428" s="1525">
        <f t="shared" si="878"/>
        <v>0</v>
      </c>
      <c r="AJ1428" s="1525">
        <f t="shared" si="878"/>
        <v>0</v>
      </c>
      <c r="AK1428" s="1525">
        <f t="shared" si="878"/>
        <v>0</v>
      </c>
      <c r="AL1428" s="1525">
        <f t="shared" si="878"/>
        <v>0</v>
      </c>
      <c r="AM1428" s="1525">
        <f t="shared" si="878"/>
        <v>0</v>
      </c>
      <c r="AN1428" s="1525">
        <f t="shared" si="878"/>
        <v>0</v>
      </c>
      <c r="AO1428" s="1525">
        <f t="shared" si="878"/>
        <v>0</v>
      </c>
      <c r="AP1428" s="1525">
        <f t="shared" si="878"/>
        <v>0</v>
      </c>
      <c r="AQ1428" s="1525">
        <f t="shared" si="878"/>
        <v>0</v>
      </c>
      <c r="AR1428" s="1525">
        <f t="shared" si="878"/>
        <v>0</v>
      </c>
      <c r="AS1428" s="1525">
        <f t="shared" si="878"/>
        <v>0</v>
      </c>
      <c r="AU1428" s="1525"/>
      <c r="AV1428" s="1291">
        <v>0.5</v>
      </c>
      <c r="AW1428" s="1292"/>
      <c r="AX1428" s="1292"/>
      <c r="AY1428" s="1292"/>
      <c r="AZ1428" s="1292"/>
      <c r="BA1428" s="1292"/>
      <c r="BB1428" s="1292"/>
      <c r="BC1428" s="1292"/>
      <c r="BD1428" s="1292"/>
      <c r="BE1428" s="1292"/>
      <c r="BF1428" s="1292"/>
      <c r="BG1428" s="1292"/>
      <c r="BH1428" s="1292"/>
      <c r="BI1428" s="1292"/>
      <c r="BJ1428" s="1292"/>
      <c r="BK1428" s="1292"/>
      <c r="BL1428" s="1292"/>
      <c r="BM1428" s="1292"/>
      <c r="BN1428" s="1292"/>
      <c r="BO1428" s="1292"/>
      <c r="BP1428" s="1292"/>
      <c r="BQ1428" s="1292"/>
      <c r="BR1428" s="1292"/>
      <c r="BS1428" s="1292"/>
      <c r="BT1428" s="1670">
        <f t="shared" si="875"/>
        <v>0.5</v>
      </c>
      <c r="BW1428" s="825" t="s">
        <v>1887</v>
      </c>
    </row>
    <row r="1429" spans="2:75" x14ac:dyDescent="0.15">
      <c r="X1429" s="1709"/>
      <c r="AA1429" s="1763"/>
      <c r="AB1429" s="1760"/>
      <c r="AC1429" s="210"/>
      <c r="AD1429" s="553"/>
      <c r="AE1429" s="553"/>
      <c r="AF1429" s="553"/>
      <c r="AG1429" s="553"/>
      <c r="AH1429" s="553"/>
      <c r="AI1429" s="553"/>
      <c r="AJ1429" s="553"/>
      <c r="AK1429" s="553"/>
      <c r="AL1429" s="553"/>
      <c r="AM1429" s="553"/>
      <c r="AN1429" s="553"/>
      <c r="AO1429" s="553"/>
      <c r="AP1429" s="553"/>
      <c r="AQ1429" s="553"/>
      <c r="AR1429" s="553"/>
      <c r="AS1429" s="553"/>
      <c r="AV1429" s="1292"/>
      <c r="AX1429" s="1292"/>
      <c r="BT1429" s="1671"/>
    </row>
    <row r="1430" spans="2:75" s="164" customFormat="1" ht="12.75" customHeight="1" x14ac:dyDescent="0.2">
      <c r="B1430" s="175"/>
      <c r="C1430" s="219"/>
      <c r="E1430" s="12"/>
      <c r="F1430" s="15"/>
      <c r="G1430" s="834"/>
      <c r="H1430" s="1347" t="s">
        <v>1508</v>
      </c>
      <c r="I1430" s="176"/>
      <c r="J1430" s="177"/>
      <c r="K1430" s="177"/>
      <c r="L1430" s="944"/>
      <c r="M1430" s="873"/>
      <c r="N1430" s="832"/>
      <c r="O1430" s="1193"/>
      <c r="P1430" s="1218"/>
      <c r="Q1430" s="1148"/>
      <c r="R1430" s="874"/>
      <c r="S1430" s="1044"/>
      <c r="T1430" s="1044"/>
      <c r="U1430" s="1044"/>
      <c r="V1430" s="1044"/>
      <c r="W1430" s="1044"/>
      <c r="X1430" s="1026"/>
      <c r="Y1430" s="1662"/>
      <c r="Z1430" s="1747"/>
      <c r="AA1430" s="1763"/>
      <c r="AB1430" s="1812"/>
      <c r="AC1430" s="1026"/>
      <c r="AD1430" s="1295"/>
      <c r="AE1430" s="1525"/>
      <c r="AF1430" s="1525"/>
      <c r="AG1430" s="1525"/>
      <c r="AH1430" s="1525"/>
      <c r="AI1430" s="1525"/>
      <c r="AJ1430" s="1525"/>
      <c r="AK1430" s="1525"/>
      <c r="AL1430" s="1525"/>
      <c r="AM1430" s="1525"/>
      <c r="AN1430" s="1525"/>
      <c r="AO1430" s="1525"/>
      <c r="AP1430" s="1525"/>
      <c r="AQ1430" s="1525"/>
      <c r="AR1430" s="1525"/>
      <c r="AS1430" s="1525"/>
      <c r="AU1430" s="1525"/>
      <c r="AV1430" s="1295"/>
      <c r="AW1430" s="1525"/>
      <c r="AX1430" s="1525"/>
      <c r="AY1430" s="1525"/>
      <c r="AZ1430" s="1525"/>
      <c r="BA1430" s="1525"/>
      <c r="BB1430" s="1525"/>
      <c r="BC1430" s="1525"/>
      <c r="BD1430" s="1525"/>
      <c r="BE1430" s="1525"/>
      <c r="BF1430" s="1525"/>
      <c r="BG1430" s="1525"/>
      <c r="BH1430" s="1525"/>
      <c r="BI1430" s="1525"/>
      <c r="BJ1430" s="1525"/>
      <c r="BK1430" s="1525"/>
      <c r="BL1430" s="1525"/>
      <c r="BM1430" s="1525"/>
      <c r="BN1430" s="1525"/>
      <c r="BO1430" s="1525"/>
      <c r="BP1430" s="1525"/>
      <c r="BQ1430" s="1525"/>
      <c r="BR1430" s="1525"/>
      <c r="BS1430" s="1525"/>
      <c r="BT1430" s="1670"/>
      <c r="BV1430"/>
      <c r="BW1430" s="834"/>
    </row>
    <row r="1431" spans="2:75" s="164" customFormat="1" ht="12.75" customHeight="1" x14ac:dyDescent="0.15">
      <c r="B1431" s="175"/>
      <c r="C1431" s="219" t="s">
        <v>1120</v>
      </c>
      <c r="F1431" s="19" t="s">
        <v>471</v>
      </c>
      <c r="G1431" s="825"/>
      <c r="H1431" s="1351" t="s">
        <v>1508</v>
      </c>
      <c r="I1431" s="180"/>
      <c r="J1431" s="173"/>
      <c r="K1431" s="446">
        <f>SUM(K1413:K1430)</f>
        <v>0</v>
      </c>
      <c r="L1431" s="892">
        <f>SUM(L1413:L1430)</f>
        <v>13.21</v>
      </c>
      <c r="M1431" s="892">
        <f>SUM(M1413:M1430)+M1433</f>
        <v>13.21</v>
      </c>
      <c r="N1431" s="832"/>
      <c r="O1431" s="1200"/>
      <c r="P1431" s="550"/>
      <c r="Q1431" s="1148"/>
      <c r="R1431" s="874"/>
      <c r="S1431" s="875"/>
      <c r="T1431" s="877"/>
      <c r="U1431" s="877"/>
      <c r="V1431" s="877"/>
      <c r="W1431" s="875"/>
      <c r="X1431" s="1026"/>
      <c r="Y1431" s="1661"/>
      <c r="Z1431" s="1661"/>
      <c r="AA1431" s="1763"/>
      <c r="AB1431" s="1812"/>
      <c r="AC1431" s="1026"/>
      <c r="AD1431" s="1295"/>
      <c r="AE1431" s="1525"/>
      <c r="AF1431" s="1525"/>
      <c r="AG1431" s="1525"/>
      <c r="AH1431" s="1525"/>
      <c r="AI1431" s="1525"/>
      <c r="AJ1431" s="1525"/>
      <c r="AK1431" s="1525"/>
      <c r="AL1431" s="1525"/>
      <c r="AM1431" s="1525"/>
      <c r="AN1431" s="1525"/>
      <c r="AO1431" s="1525"/>
      <c r="AP1431" s="1525"/>
      <c r="AQ1431" s="1525"/>
      <c r="AR1431" s="1525"/>
      <c r="AS1431" s="1525"/>
      <c r="AU1431" s="1525"/>
      <c r="AV1431" s="1295"/>
      <c r="AW1431" s="1525"/>
      <c r="AX1431" s="1525"/>
      <c r="AY1431" s="1525"/>
      <c r="AZ1431" s="1525"/>
      <c r="BA1431" s="1525"/>
      <c r="BB1431" s="1525"/>
      <c r="BC1431" s="1525"/>
      <c r="BD1431" s="1525"/>
      <c r="BE1431" s="1525"/>
      <c r="BF1431" s="1525"/>
      <c r="BG1431" s="1525"/>
      <c r="BH1431" s="1525"/>
      <c r="BI1431" s="1525"/>
      <c r="BJ1431" s="1525"/>
      <c r="BK1431" s="1525"/>
      <c r="BL1431" s="1525"/>
      <c r="BM1431" s="1525"/>
      <c r="BN1431" s="1525"/>
      <c r="BO1431" s="1525"/>
      <c r="BP1431" s="1525"/>
      <c r="BQ1431" s="1525"/>
      <c r="BR1431" s="1525"/>
      <c r="BS1431" s="1525"/>
      <c r="BT1431" s="1670"/>
      <c r="BV1431"/>
      <c r="BW1431" s="825"/>
    </row>
    <row r="1432" spans="2:75" s="164" customFormat="1" ht="12.75" customHeight="1" x14ac:dyDescent="0.2">
      <c r="B1432" s="175"/>
      <c r="F1432" s="5"/>
      <c r="G1432" s="825"/>
      <c r="H1432" s="1347" t="s">
        <v>1508</v>
      </c>
      <c r="I1432" s="197"/>
      <c r="J1432" s="174"/>
      <c r="K1432" s="174"/>
      <c r="L1432" s="861"/>
      <c r="M1432" s="861"/>
      <c r="N1432" s="836"/>
      <c r="O1432" s="1197"/>
      <c r="P1432" s="1239"/>
      <c r="Q1432" s="1148"/>
      <c r="R1432" s="874"/>
      <c r="S1432" s="876"/>
      <c r="T1432" s="884"/>
      <c r="U1432" s="884"/>
      <c r="V1432" s="884"/>
      <c r="W1432" s="876"/>
      <c r="X1432" s="1026"/>
      <c r="Y1432" s="1659"/>
      <c r="Z1432" s="1744"/>
      <c r="AA1432" s="1763"/>
      <c r="AB1432" s="1812"/>
      <c r="AC1432" s="1026"/>
      <c r="AD1432" s="1295"/>
      <c r="AE1432" s="1525"/>
      <c r="AF1432" s="1525"/>
      <c r="AG1432" s="1525"/>
      <c r="AH1432" s="1525"/>
      <c r="AI1432" s="1525"/>
      <c r="AJ1432" s="1525"/>
      <c r="AK1432" s="1525"/>
      <c r="AL1432" s="1525"/>
      <c r="AM1432" s="1525"/>
      <c r="AN1432" s="1525"/>
      <c r="AO1432" s="1525"/>
      <c r="AP1432" s="1525"/>
      <c r="AQ1432" s="1525"/>
      <c r="AR1432" s="1525"/>
      <c r="AS1432" s="1525"/>
      <c r="AU1432" s="1525"/>
      <c r="AV1432" s="1295"/>
      <c r="AW1432" s="1525"/>
      <c r="AX1432" s="1525"/>
      <c r="AY1432" s="1525"/>
      <c r="AZ1432" s="1525"/>
      <c r="BA1432" s="1525"/>
      <c r="BB1432" s="1525"/>
      <c r="BC1432" s="1525"/>
      <c r="BD1432" s="1525"/>
      <c r="BE1432" s="1525"/>
      <c r="BF1432" s="1525"/>
      <c r="BG1432" s="1525"/>
      <c r="BH1432" s="1525"/>
      <c r="BI1432" s="1525"/>
      <c r="BJ1432" s="1525"/>
      <c r="BK1432" s="1525"/>
      <c r="BL1432" s="1525"/>
      <c r="BM1432" s="1525"/>
      <c r="BN1432" s="1525"/>
      <c r="BO1432" s="1525"/>
      <c r="BP1432" s="1525"/>
      <c r="BQ1432" s="1525"/>
      <c r="BR1432" s="1525"/>
      <c r="BS1432" s="1525"/>
      <c r="BT1432" s="1670"/>
      <c r="BV1432"/>
      <c r="BW1432" s="825"/>
    </row>
    <row r="1433" spans="2:75" s="164" customFormat="1" ht="12.75" customHeight="1" x14ac:dyDescent="0.2">
      <c r="B1433" s="175"/>
      <c r="C1433" s="219"/>
      <c r="E1433" s="12"/>
      <c r="F1433" s="4"/>
      <c r="G1433" s="834"/>
      <c r="H1433" s="1347" t="s">
        <v>1508</v>
      </c>
      <c r="I1433" s="180"/>
      <c r="J1433" s="173"/>
      <c r="K1433" s="173"/>
      <c r="L1433" s="893"/>
      <c r="M1433" s="873"/>
      <c r="N1433" s="832"/>
      <c r="O1433" s="1193"/>
      <c r="P1433" s="1218"/>
      <c r="Q1433" s="1148"/>
      <c r="R1433" s="874"/>
      <c r="S1433" s="875"/>
      <c r="T1433" s="877"/>
      <c r="U1433" s="877"/>
      <c r="V1433" s="877"/>
      <c r="W1433" s="875"/>
      <c r="X1433" s="1026"/>
      <c r="Y1433" s="1659"/>
      <c r="Z1433" s="1744"/>
      <c r="AA1433" s="1763"/>
      <c r="AB1433" s="1812"/>
      <c r="AC1433" s="1026"/>
      <c r="AD1433" s="1295"/>
      <c r="AE1433" s="1525"/>
      <c r="AF1433" s="1525"/>
      <c r="AG1433" s="1525"/>
      <c r="AH1433" s="1525"/>
      <c r="AI1433" s="1525"/>
      <c r="AJ1433" s="1525"/>
      <c r="AK1433" s="1525"/>
      <c r="AL1433" s="1525"/>
      <c r="AM1433" s="1525"/>
      <c r="AN1433" s="1525"/>
      <c r="AO1433" s="1525"/>
      <c r="AP1433" s="1525"/>
      <c r="AQ1433" s="1525"/>
      <c r="AR1433" s="1525"/>
      <c r="AS1433" s="1525"/>
      <c r="AU1433" s="1525"/>
      <c r="AV1433" s="1295"/>
      <c r="AW1433" s="1525"/>
      <c r="AX1433" s="1525"/>
      <c r="AY1433" s="1525"/>
      <c r="AZ1433" s="1525"/>
      <c r="BA1433" s="1525"/>
      <c r="BB1433" s="1525"/>
      <c r="BC1433" s="1525"/>
      <c r="BD1433" s="1525"/>
      <c r="BE1433" s="1525"/>
      <c r="BF1433" s="1525"/>
      <c r="BG1433" s="1525"/>
      <c r="BH1433" s="1525"/>
      <c r="BI1433" s="1525"/>
      <c r="BJ1433" s="1525"/>
      <c r="BK1433" s="1525"/>
      <c r="BL1433" s="1525"/>
      <c r="BM1433" s="1525"/>
      <c r="BN1433" s="1525"/>
      <c r="BO1433" s="1525"/>
      <c r="BP1433" s="1525"/>
      <c r="BQ1433" s="1525"/>
      <c r="BR1433" s="1525"/>
      <c r="BS1433" s="1525"/>
      <c r="BT1433" s="1670"/>
      <c r="BV1433"/>
      <c r="BW1433" s="834"/>
    </row>
    <row r="1434" spans="2:75" s="164" customFormat="1" ht="12.75" customHeight="1" x14ac:dyDescent="0.15">
      <c r="B1434" s="175"/>
      <c r="C1434" s="648" t="s">
        <v>344</v>
      </c>
      <c r="D1434" s="649" t="s">
        <v>346</v>
      </c>
      <c r="E1434" s="650" t="s">
        <v>1562</v>
      </c>
      <c r="F1434" s="680" t="s">
        <v>1258</v>
      </c>
      <c r="G1434" s="863">
        <f>COUNTA(G1390:G1433)</f>
        <v>28</v>
      </c>
      <c r="H1434" s="1348" t="s">
        <v>1508</v>
      </c>
      <c r="I1434" s="378"/>
      <c r="J1434" s="377"/>
      <c r="K1434" s="379">
        <f>K1392+K1411+K1431</f>
        <v>3</v>
      </c>
      <c r="L1434" s="863">
        <f>L1392+L1411+L1431</f>
        <v>23.21</v>
      </c>
      <c r="M1434" s="863">
        <f>M1392+M1411+M1431</f>
        <v>26.21</v>
      </c>
      <c r="N1434" s="840"/>
      <c r="O1434" s="840"/>
      <c r="P1434" s="1220"/>
      <c r="Q1434" s="1176"/>
      <c r="R1434" s="1064"/>
      <c r="S1434" s="880"/>
      <c r="T1434" s="880"/>
      <c r="U1434" s="880"/>
      <c r="V1434" s="880"/>
      <c r="W1434" s="880"/>
      <c r="X1434" s="1276">
        <f>SUM(X1390:X1433)</f>
        <v>1065429.6000000001</v>
      </c>
      <c r="Y1434" s="1511"/>
      <c r="Z1434" s="1654">
        <f>SUM(Z1390:Z1433)</f>
        <v>26.601601268606618</v>
      </c>
      <c r="AA1434" s="1827">
        <f>SUM(AA1390:AA1433)</f>
        <v>24.21</v>
      </c>
      <c r="AB1434" s="1813">
        <f t="shared" ref="AB1434" si="879">100*AA1434/Z1434</f>
        <v>91.009558994371432</v>
      </c>
      <c r="AC1434" s="1721"/>
      <c r="AD1434" s="1295"/>
      <c r="AE1434" s="1525"/>
      <c r="AF1434" s="1525"/>
      <c r="AG1434" s="1525"/>
      <c r="AH1434" s="1525"/>
      <c r="AI1434" s="1525"/>
      <c r="AJ1434" s="1525"/>
      <c r="AK1434" s="1525"/>
      <c r="AL1434" s="1525"/>
      <c r="AM1434" s="1525"/>
      <c r="AN1434" s="1525"/>
      <c r="AO1434" s="1525"/>
      <c r="AP1434" s="1525"/>
      <c r="AQ1434" s="1525"/>
      <c r="AR1434" s="1525"/>
      <c r="AS1434" s="1525"/>
      <c r="AU1434" s="1525"/>
      <c r="AV1434" s="1295"/>
      <c r="AW1434" s="1525"/>
      <c r="AX1434" s="1525"/>
      <c r="AY1434" s="1525"/>
      <c r="AZ1434" s="1525"/>
      <c r="BA1434" s="1525"/>
      <c r="BB1434" s="1525"/>
      <c r="BC1434" s="1525"/>
      <c r="BD1434" s="1525"/>
      <c r="BE1434" s="1525"/>
      <c r="BF1434" s="1525"/>
      <c r="BG1434" s="1525"/>
      <c r="BH1434" s="1525"/>
      <c r="BI1434" s="1525"/>
      <c r="BJ1434" s="1525"/>
      <c r="BK1434" s="1525"/>
      <c r="BL1434" s="1525"/>
      <c r="BM1434" s="1525"/>
      <c r="BN1434" s="1525"/>
      <c r="BO1434" s="1525"/>
      <c r="BP1434" s="1525"/>
      <c r="BQ1434" s="1525"/>
      <c r="BR1434" s="1525"/>
      <c r="BS1434" s="1525"/>
      <c r="BT1434" s="1670"/>
      <c r="BV1434"/>
      <c r="BW1434" s="929"/>
    </row>
    <row r="1435" spans="2:75" s="164" customFormat="1" ht="12.75" customHeight="1" x14ac:dyDescent="0.15">
      <c r="B1435" s="175"/>
      <c r="C1435" s="423" t="s">
        <v>136</v>
      </c>
      <c r="D1435" s="423"/>
      <c r="E1435" s="424" t="s">
        <v>1562</v>
      </c>
      <c r="F1435" s="424" t="s">
        <v>893</v>
      </c>
      <c r="G1435" s="867"/>
      <c r="H1435" s="1349" t="s">
        <v>1508</v>
      </c>
      <c r="I1435" s="426"/>
      <c r="J1435" s="425"/>
      <c r="K1435" s="425"/>
      <c r="L1435" s="866"/>
      <c r="M1435" s="866"/>
      <c r="N1435" s="926"/>
      <c r="O1435" s="926"/>
      <c r="P1435" s="1247"/>
      <c r="Q1435" s="1158"/>
      <c r="R1435" s="1027"/>
      <c r="S1435" s="1027"/>
      <c r="T1435" s="1028"/>
      <c r="U1435" s="1028"/>
      <c r="V1435" s="1028"/>
      <c r="W1435" s="1028"/>
      <c r="X1435" s="1697">
        <v>23621</v>
      </c>
      <c r="Y1435" s="1052"/>
      <c r="Z1435" s="1052"/>
      <c r="AA1435" s="1775"/>
      <c r="AB1435" s="1812"/>
      <c r="AC1435" s="876"/>
      <c r="AD1435" s="1295"/>
      <c r="AE1435" s="1525"/>
      <c r="AF1435" s="1525"/>
      <c r="AG1435" s="1525"/>
      <c r="AH1435" s="1525"/>
      <c r="AI1435" s="1525"/>
      <c r="AJ1435" s="1525"/>
      <c r="AK1435" s="1525"/>
      <c r="AL1435" s="1525"/>
      <c r="AM1435" s="1525"/>
      <c r="AN1435" s="1525"/>
      <c r="AO1435" s="1525"/>
      <c r="AP1435" s="1525"/>
      <c r="AQ1435" s="1525"/>
      <c r="AR1435" s="1525"/>
      <c r="AS1435" s="1525"/>
      <c r="AU1435" s="1525"/>
      <c r="AV1435" s="1295"/>
      <c r="AW1435" s="1525"/>
      <c r="AX1435" s="1525"/>
      <c r="AY1435" s="1525"/>
      <c r="AZ1435" s="1525"/>
      <c r="BA1435" s="1525"/>
      <c r="BB1435" s="1525"/>
      <c r="BC1435" s="1525"/>
      <c r="BD1435" s="1525"/>
      <c r="BE1435" s="1525"/>
      <c r="BF1435" s="1525"/>
      <c r="BG1435" s="1525"/>
      <c r="BH1435" s="1525"/>
      <c r="BI1435" s="1525"/>
      <c r="BJ1435" s="1525"/>
      <c r="BK1435" s="1525"/>
      <c r="BL1435" s="1525"/>
      <c r="BM1435" s="1525"/>
      <c r="BN1435" s="1525"/>
      <c r="BO1435" s="1525"/>
      <c r="BP1435" s="1525"/>
      <c r="BQ1435" s="1525"/>
      <c r="BR1435" s="1525"/>
      <c r="BS1435" s="1525"/>
      <c r="BT1435" s="1670"/>
      <c r="BV1435"/>
      <c r="BW1435" s="867"/>
    </row>
    <row r="1436" spans="2:75" s="164" customFormat="1" ht="12.75" customHeight="1" x14ac:dyDescent="0.15">
      <c r="B1436" s="175"/>
      <c r="F1436" s="1"/>
      <c r="G1436" s="856"/>
      <c r="H1436" s="1364" t="s">
        <v>1508</v>
      </c>
      <c r="I1436" s="172"/>
      <c r="J1436" s="168"/>
      <c r="K1436" s="168"/>
      <c r="L1436" s="841"/>
      <c r="M1436" s="841"/>
      <c r="N1436" s="855"/>
      <c r="O1436" s="1200"/>
      <c r="P1436" s="550"/>
      <c r="Q1436" s="1148"/>
      <c r="R1436" s="874"/>
      <c r="S1436" s="875"/>
      <c r="T1436" s="875"/>
      <c r="U1436" s="875"/>
      <c r="V1436" s="875"/>
      <c r="W1436" s="875"/>
      <c r="X1436" s="1026"/>
      <c r="Y1436" s="1659"/>
      <c r="Z1436" s="1744"/>
      <c r="AA1436" s="1775"/>
      <c r="AB1436" s="1812"/>
      <c r="AC1436" s="876"/>
      <c r="AD1436" s="1295"/>
      <c r="AE1436" s="1525"/>
      <c r="AF1436" s="1525"/>
      <c r="AG1436" s="1525"/>
      <c r="AH1436" s="1525"/>
      <c r="AI1436" s="1525"/>
      <c r="AJ1436" s="1525"/>
      <c r="AK1436" s="1525"/>
      <c r="AL1436" s="1525"/>
      <c r="AM1436" s="1525"/>
      <c r="AN1436" s="1525"/>
      <c r="AO1436" s="1525"/>
      <c r="AP1436" s="1525"/>
      <c r="AQ1436" s="1525"/>
      <c r="AR1436" s="1525"/>
      <c r="AS1436" s="1525"/>
      <c r="AU1436" s="1525"/>
      <c r="AV1436" s="1295"/>
      <c r="AW1436" s="1525"/>
      <c r="AX1436" s="1525"/>
      <c r="AY1436" s="1525"/>
      <c r="AZ1436" s="1525"/>
      <c r="BA1436" s="1525"/>
      <c r="BB1436" s="1525"/>
      <c r="BC1436" s="1525"/>
      <c r="BD1436" s="1525"/>
      <c r="BE1436" s="1525"/>
      <c r="BF1436" s="1525"/>
      <c r="BG1436" s="1525"/>
      <c r="BH1436" s="1525"/>
      <c r="BI1436" s="1525"/>
      <c r="BJ1436" s="1525"/>
      <c r="BK1436" s="1525"/>
      <c r="BL1436" s="1525"/>
      <c r="BM1436" s="1525"/>
      <c r="BN1436" s="1525"/>
      <c r="BO1436" s="1525"/>
      <c r="BP1436" s="1525"/>
      <c r="BQ1436" s="1525"/>
      <c r="BR1436" s="1525"/>
      <c r="BS1436" s="1525"/>
      <c r="BT1436" s="1670"/>
      <c r="BV1436"/>
      <c r="BW1436" s="856"/>
    </row>
    <row r="1437" spans="2:75" s="164" customFormat="1" ht="12.75" customHeight="1" x14ac:dyDescent="0.15">
      <c r="B1437" s="175"/>
      <c r="E1437" s="164" t="s">
        <v>1102</v>
      </c>
      <c r="F1437" s="68" t="s">
        <v>1259</v>
      </c>
      <c r="G1437" s="939"/>
      <c r="H1437" s="1341" t="s">
        <v>1508</v>
      </c>
      <c r="I1437" s="275"/>
      <c r="J1437" s="221"/>
      <c r="K1437" s="221"/>
      <c r="L1437" s="843"/>
      <c r="M1437" s="843"/>
      <c r="N1437" s="799"/>
      <c r="O1437" s="1200"/>
      <c r="P1437" s="550"/>
      <c r="Q1437" s="1148"/>
      <c r="R1437" s="874"/>
      <c r="S1437" s="875"/>
      <c r="T1437" s="875"/>
      <c r="U1437" s="875"/>
      <c r="V1437" s="875"/>
      <c r="W1437" s="875"/>
      <c r="X1437" s="1026"/>
      <c r="Y1437" s="1659"/>
      <c r="Z1437" s="1744"/>
      <c r="AA1437" s="1775"/>
      <c r="AB1437" s="1812"/>
      <c r="AC1437" s="876"/>
      <c r="AD1437" s="1295"/>
      <c r="AE1437" s="1525"/>
      <c r="AF1437" s="1525"/>
      <c r="AG1437" s="1525"/>
      <c r="AH1437" s="1525"/>
      <c r="AI1437" s="1525"/>
      <c r="AJ1437" s="1525"/>
      <c r="AK1437" s="1525"/>
      <c r="AL1437" s="1525"/>
      <c r="AM1437" s="1525"/>
      <c r="AN1437" s="1525"/>
      <c r="AO1437" s="1525"/>
      <c r="AP1437" s="1525"/>
      <c r="AQ1437" s="1525"/>
      <c r="AR1437" s="1525"/>
      <c r="AS1437" s="1525"/>
      <c r="AU1437" s="1525"/>
      <c r="AV1437" s="1295"/>
      <c r="AW1437" s="1525"/>
      <c r="AX1437" s="1525"/>
      <c r="AY1437" s="1525"/>
      <c r="AZ1437" s="1525"/>
      <c r="BA1437" s="1525"/>
      <c r="BB1437" s="1525"/>
      <c r="BC1437" s="1525"/>
      <c r="BD1437" s="1525"/>
      <c r="BE1437" s="1525"/>
      <c r="BF1437" s="1525"/>
      <c r="BG1437" s="1525"/>
      <c r="BH1437" s="1525"/>
      <c r="BI1437" s="1525"/>
      <c r="BJ1437" s="1525"/>
      <c r="BK1437" s="1525"/>
      <c r="BL1437" s="1525"/>
      <c r="BM1437" s="1525"/>
      <c r="BN1437" s="1525"/>
      <c r="BO1437" s="1525"/>
      <c r="BP1437" s="1525"/>
      <c r="BQ1437" s="1525"/>
      <c r="BR1437" s="1525"/>
      <c r="BS1437" s="1525"/>
      <c r="BT1437" s="1670"/>
      <c r="BV1437"/>
      <c r="BW1437" s="939"/>
    </row>
    <row r="1438" spans="2:75" s="164" customFormat="1" ht="12.75" customHeight="1" x14ac:dyDescent="0.15">
      <c r="B1438" s="175"/>
      <c r="F1438" s="4"/>
      <c r="G1438" s="799"/>
      <c r="H1438" s="1341" t="s">
        <v>1508</v>
      </c>
      <c r="L1438" s="843"/>
      <c r="M1438" s="843"/>
      <c r="N1438" s="799"/>
      <c r="O1438" s="1200"/>
      <c r="P1438" s="550"/>
      <c r="Q1438" s="1148"/>
      <c r="R1438" s="874"/>
      <c r="S1438" s="875"/>
      <c r="T1438" s="875"/>
      <c r="U1438" s="875"/>
      <c r="V1438" s="875"/>
      <c r="W1438" s="875"/>
      <c r="X1438" s="1026"/>
      <c r="Y1438" s="1659"/>
      <c r="Z1438" s="1744"/>
      <c r="AA1438" s="1775"/>
      <c r="AB1438" s="1812"/>
      <c r="AC1438" s="876"/>
      <c r="AD1438" s="1295"/>
      <c r="AE1438" s="1525"/>
      <c r="AF1438" s="1525"/>
      <c r="AG1438" s="1525"/>
      <c r="AH1438" s="1525"/>
      <c r="AI1438" s="1525"/>
      <c r="AJ1438" s="1525"/>
      <c r="AK1438" s="1525"/>
      <c r="AL1438" s="1525"/>
      <c r="AM1438" s="1525"/>
      <c r="AN1438" s="1525"/>
      <c r="AO1438" s="1525"/>
      <c r="AP1438" s="1525"/>
      <c r="AQ1438" s="1525"/>
      <c r="AR1438" s="1525"/>
      <c r="AS1438" s="1525"/>
      <c r="AU1438" s="1525"/>
      <c r="AV1438" s="1295"/>
      <c r="AW1438" s="1525"/>
      <c r="AX1438" s="1525"/>
      <c r="AY1438" s="1525"/>
      <c r="AZ1438" s="1525"/>
      <c r="BA1438" s="1525"/>
      <c r="BB1438" s="1525"/>
      <c r="BC1438" s="1525"/>
      <c r="BD1438" s="1525"/>
      <c r="BE1438" s="1525"/>
      <c r="BF1438" s="1525"/>
      <c r="BG1438" s="1525"/>
      <c r="BH1438" s="1525"/>
      <c r="BI1438" s="1525"/>
      <c r="BJ1438" s="1525"/>
      <c r="BK1438" s="1525"/>
      <c r="BL1438" s="1525"/>
      <c r="BM1438" s="1525"/>
      <c r="BN1438" s="1525"/>
      <c r="BO1438" s="1525"/>
      <c r="BP1438" s="1525"/>
      <c r="BQ1438" s="1525"/>
      <c r="BR1438" s="1525"/>
      <c r="BS1438" s="1525"/>
      <c r="BT1438" s="1670"/>
      <c r="BV1438"/>
      <c r="BW1438" s="799"/>
    </row>
    <row r="1439" spans="2:75" ht="12.75" customHeight="1" x14ac:dyDescent="0.2">
      <c r="B1439" s="175">
        <f t="shared" ref="B1439:B1444" si="880">B1438+1</f>
        <v>1</v>
      </c>
      <c r="C1439" s="219">
        <v>5</v>
      </c>
      <c r="E1439" s="12" t="s">
        <v>1563</v>
      </c>
      <c r="F1439" t="s">
        <v>216</v>
      </c>
      <c r="G1439" s="799" t="s">
        <v>1261</v>
      </c>
      <c r="H1439" s="858">
        <v>7268</v>
      </c>
      <c r="I1439" s="200" t="s">
        <v>351</v>
      </c>
      <c r="J1439" s="170"/>
      <c r="L1439" s="843">
        <v>1</v>
      </c>
      <c r="M1439" s="858">
        <f>K1439+L1439</f>
        <v>1</v>
      </c>
      <c r="N1439" s="999" t="s">
        <v>1326</v>
      </c>
      <c r="O1439" s="1196">
        <v>19939</v>
      </c>
      <c r="P1439" s="1218">
        <f t="shared" ref="P1439:P1444" ca="1" si="881">YEARFRAC(TODAY(),O1439)</f>
        <v>63.163888888888891</v>
      </c>
      <c r="Q1439" s="1148">
        <v>46750</v>
      </c>
      <c r="R1439" s="874">
        <f>Q1439*0.1</f>
        <v>4675</v>
      </c>
      <c r="S1439" s="875">
        <v>3000</v>
      </c>
      <c r="T1439" s="877"/>
      <c r="U1439" s="877">
        <v>4850</v>
      </c>
      <c r="V1439" s="877"/>
      <c r="W1439" s="875"/>
      <c r="X1439" s="1026">
        <f t="shared" ref="X1439:X1444" si="882">(Q1439+R1439+S1439+T1439+U1439+V1439+W1439)*M1439</f>
        <v>59275</v>
      </c>
      <c r="Y1439" s="1512">
        <f t="shared" ref="Y1439:Y1444" si="883">(T1439+U1439)*M1439/(X1439-M1439*(T1439+U1439))</f>
        <v>8.9113458888378502E-2</v>
      </c>
      <c r="Z1439" s="1741">
        <f t="shared" ref="Z1439:Z1451" si="884">M1439*(1+Y1439)</f>
        <v>1.0891134588883784</v>
      </c>
      <c r="AA1439" s="1749">
        <f t="shared" ref="AA1439:AA1444" si="885">SUM(AD1439:AS1439)</f>
        <v>1</v>
      </c>
      <c r="AB1439" s="1810">
        <f t="shared" ref="AB1439:AB1444" si="886">100*AA1439/Z1439</f>
        <v>91.81779839730072</v>
      </c>
      <c r="AC1439" s="876"/>
      <c r="AD1439" s="1525">
        <f t="shared" ref="AD1439:AS1444" si="887">SUMIF($AV$6:$BS$6,AD$5,$AV1439:$BS1439)</f>
        <v>0</v>
      </c>
      <c r="AE1439" s="1525">
        <f t="shared" si="887"/>
        <v>0</v>
      </c>
      <c r="AF1439" s="1525">
        <f t="shared" si="887"/>
        <v>1</v>
      </c>
      <c r="AG1439" s="1525">
        <f t="shared" si="887"/>
        <v>0</v>
      </c>
      <c r="AH1439" s="1525">
        <f t="shared" si="887"/>
        <v>0</v>
      </c>
      <c r="AI1439" s="1525">
        <f t="shared" si="887"/>
        <v>0</v>
      </c>
      <c r="AJ1439" s="1525">
        <f t="shared" si="887"/>
        <v>0</v>
      </c>
      <c r="AK1439" s="1525">
        <f t="shared" si="887"/>
        <v>0</v>
      </c>
      <c r="AL1439" s="1525">
        <f t="shared" si="887"/>
        <v>0</v>
      </c>
      <c r="AM1439" s="1525">
        <f t="shared" si="887"/>
        <v>0</v>
      </c>
      <c r="AN1439" s="1525">
        <f t="shared" si="887"/>
        <v>0</v>
      </c>
      <c r="AO1439" s="1525">
        <f t="shared" si="887"/>
        <v>0</v>
      </c>
      <c r="AP1439" s="1525">
        <f t="shared" si="887"/>
        <v>0</v>
      </c>
      <c r="AQ1439" s="1525">
        <f t="shared" si="887"/>
        <v>0</v>
      </c>
      <c r="AR1439" s="1525">
        <f t="shared" si="887"/>
        <v>0</v>
      </c>
      <c r="AS1439" s="1525">
        <f t="shared" si="887"/>
        <v>0</v>
      </c>
      <c r="AU1439" s="1525"/>
      <c r="AV1439" s="1291"/>
      <c r="AW1439" s="1292"/>
      <c r="AX1439" s="1292"/>
      <c r="AY1439" s="1292">
        <v>1</v>
      </c>
      <c r="AZ1439" s="1292"/>
      <c r="BA1439" s="1292"/>
      <c r="BB1439" s="1292"/>
      <c r="BC1439" s="1292"/>
      <c r="BD1439" s="1292"/>
      <c r="BE1439" s="1292"/>
      <c r="BF1439" s="1292"/>
      <c r="BG1439" s="1292"/>
      <c r="BH1439" s="1292"/>
      <c r="BI1439" s="1292"/>
      <c r="BJ1439" s="1292"/>
      <c r="BK1439" s="1292"/>
      <c r="BL1439" s="1292"/>
      <c r="BM1439" s="1292"/>
      <c r="BN1439" s="1292"/>
      <c r="BO1439" s="1292"/>
      <c r="BP1439" s="1292"/>
      <c r="BQ1439" s="1292"/>
      <c r="BR1439" s="1292"/>
      <c r="BS1439" s="1292"/>
      <c r="BT1439" s="1670">
        <f t="shared" ref="BT1439:BT1444" si="888">SUM(AV1439:BS1439)</f>
        <v>1</v>
      </c>
      <c r="BW1439" s="799" t="s">
        <v>1261</v>
      </c>
    </row>
    <row r="1440" spans="2:75" ht="12.75" customHeight="1" x14ac:dyDescent="0.2">
      <c r="B1440" s="175">
        <f t="shared" si="880"/>
        <v>2</v>
      </c>
      <c r="C1440" s="219">
        <v>7</v>
      </c>
      <c r="E1440" s="12" t="s">
        <v>1563</v>
      </c>
      <c r="F1440" s="30" t="s">
        <v>1334</v>
      </c>
      <c r="G1440" s="844" t="s">
        <v>1260</v>
      </c>
      <c r="H1440" s="858">
        <v>7449</v>
      </c>
      <c r="I1440" s="200" t="s">
        <v>351</v>
      </c>
      <c r="L1440" s="843">
        <v>1</v>
      </c>
      <c r="M1440" s="858">
        <f>K1440+L1440</f>
        <v>1</v>
      </c>
      <c r="N1440" s="999" t="s">
        <v>1326</v>
      </c>
      <c r="O1440" s="1196">
        <v>16384</v>
      </c>
      <c r="P1440" s="1218">
        <f t="shared" ca="1" si="881"/>
        <v>72.900000000000006</v>
      </c>
      <c r="Q1440" s="1148">
        <v>43800</v>
      </c>
      <c r="R1440" s="874">
        <f>Q1440*0.1</f>
        <v>4380</v>
      </c>
      <c r="S1440" s="875">
        <v>3000</v>
      </c>
      <c r="T1440" s="877"/>
      <c r="U1440" s="877"/>
      <c r="V1440" s="877"/>
      <c r="W1440" s="875"/>
      <c r="X1440" s="1026">
        <f t="shared" si="882"/>
        <v>51180</v>
      </c>
      <c r="Y1440" s="1512">
        <f t="shared" si="883"/>
        <v>0</v>
      </c>
      <c r="Z1440" s="1741">
        <f t="shared" si="884"/>
        <v>1</v>
      </c>
      <c r="AA1440" s="1749">
        <f t="shared" si="885"/>
        <v>1</v>
      </c>
      <c r="AB1440" s="1810">
        <f t="shared" si="886"/>
        <v>100</v>
      </c>
      <c r="AC1440" s="876"/>
      <c r="AD1440" s="1525">
        <f t="shared" si="887"/>
        <v>0</v>
      </c>
      <c r="AE1440" s="1525">
        <f t="shared" si="887"/>
        <v>0</v>
      </c>
      <c r="AF1440" s="1525">
        <f t="shared" si="887"/>
        <v>1</v>
      </c>
      <c r="AG1440" s="1525">
        <f t="shared" si="887"/>
        <v>0</v>
      </c>
      <c r="AH1440" s="1525">
        <f t="shared" si="887"/>
        <v>0</v>
      </c>
      <c r="AI1440" s="1525">
        <f t="shared" si="887"/>
        <v>0</v>
      </c>
      <c r="AJ1440" s="1525">
        <f t="shared" si="887"/>
        <v>0</v>
      </c>
      <c r="AK1440" s="1525">
        <f t="shared" si="887"/>
        <v>0</v>
      </c>
      <c r="AL1440" s="1525">
        <f t="shared" si="887"/>
        <v>0</v>
      </c>
      <c r="AM1440" s="1525">
        <f t="shared" si="887"/>
        <v>0</v>
      </c>
      <c r="AN1440" s="1525">
        <f t="shared" si="887"/>
        <v>0</v>
      </c>
      <c r="AO1440" s="1525">
        <f t="shared" si="887"/>
        <v>0</v>
      </c>
      <c r="AP1440" s="1525">
        <f t="shared" si="887"/>
        <v>0</v>
      </c>
      <c r="AQ1440" s="1525">
        <f t="shared" si="887"/>
        <v>0</v>
      </c>
      <c r="AR1440" s="1525">
        <f t="shared" si="887"/>
        <v>0</v>
      </c>
      <c r="AS1440" s="1525">
        <f t="shared" si="887"/>
        <v>0</v>
      </c>
      <c r="AU1440" s="1525"/>
      <c r="AV1440" s="1291"/>
      <c r="AW1440" s="1292"/>
      <c r="AX1440" s="1292"/>
      <c r="AY1440" s="1292">
        <v>1</v>
      </c>
      <c r="AZ1440" s="1292"/>
      <c r="BA1440" s="1292"/>
      <c r="BB1440" s="1292"/>
      <c r="BC1440" s="1292"/>
      <c r="BD1440" s="1292"/>
      <c r="BE1440" s="1292"/>
      <c r="BF1440" s="1292"/>
      <c r="BG1440" s="1292"/>
      <c r="BH1440" s="1292"/>
      <c r="BI1440" s="1292"/>
      <c r="BJ1440" s="1292"/>
      <c r="BK1440" s="1292"/>
      <c r="BL1440" s="1292"/>
      <c r="BM1440" s="1292"/>
      <c r="BN1440" s="1292"/>
      <c r="BO1440" s="1292"/>
      <c r="BP1440" s="1292"/>
      <c r="BQ1440" s="1292"/>
      <c r="BR1440" s="1292"/>
      <c r="BS1440" s="1292"/>
      <c r="BT1440" s="1670">
        <f t="shared" si="888"/>
        <v>1</v>
      </c>
      <c r="BW1440" s="844" t="s">
        <v>1260</v>
      </c>
    </row>
    <row r="1441" spans="2:75" s="164" customFormat="1" ht="12.75" customHeight="1" x14ac:dyDescent="0.2">
      <c r="B1441" s="175">
        <f t="shared" si="880"/>
        <v>3</v>
      </c>
      <c r="C1441" s="219">
        <v>8</v>
      </c>
      <c r="E1441" s="12" t="s">
        <v>1563</v>
      </c>
      <c r="F1441" t="s">
        <v>353</v>
      </c>
      <c r="G1441" s="844" t="s">
        <v>1379</v>
      </c>
      <c r="H1441" s="858">
        <v>103527</v>
      </c>
      <c r="I1441" s="200" t="s">
        <v>351</v>
      </c>
      <c r="L1441" s="950">
        <v>1</v>
      </c>
      <c r="M1441" s="858">
        <v>1</v>
      </c>
      <c r="N1441" s="833" t="s">
        <v>892</v>
      </c>
      <c r="O1441" s="1196">
        <v>25422</v>
      </c>
      <c r="P1441" s="1218">
        <f t="shared" ca="1" si="881"/>
        <v>48.152777777777779</v>
      </c>
      <c r="Q1441" s="1148">
        <v>29250</v>
      </c>
      <c r="R1441" s="874"/>
      <c r="S1441" s="875">
        <v>3000</v>
      </c>
      <c r="T1441" s="877"/>
      <c r="U1441" s="877"/>
      <c r="V1441" s="877"/>
      <c r="W1441" s="875"/>
      <c r="X1441" s="1026">
        <f t="shared" si="882"/>
        <v>32250</v>
      </c>
      <c r="Y1441" s="1512">
        <f t="shared" si="883"/>
        <v>0</v>
      </c>
      <c r="Z1441" s="1741">
        <f t="shared" si="884"/>
        <v>1</v>
      </c>
      <c r="AA1441" s="1749">
        <f t="shared" si="885"/>
        <v>1</v>
      </c>
      <c r="AB1441" s="1810">
        <f t="shared" si="886"/>
        <v>100</v>
      </c>
      <c r="AC1441" s="876"/>
      <c r="AD1441" s="1525">
        <f t="shared" si="887"/>
        <v>0</v>
      </c>
      <c r="AE1441" s="1525">
        <f t="shared" si="887"/>
        <v>0</v>
      </c>
      <c r="AF1441" s="1525">
        <f t="shared" si="887"/>
        <v>1</v>
      </c>
      <c r="AG1441" s="1525">
        <f t="shared" si="887"/>
        <v>0</v>
      </c>
      <c r="AH1441" s="1525">
        <f t="shared" si="887"/>
        <v>0</v>
      </c>
      <c r="AI1441" s="1525">
        <f t="shared" si="887"/>
        <v>0</v>
      </c>
      <c r="AJ1441" s="1525">
        <f t="shared" si="887"/>
        <v>0</v>
      </c>
      <c r="AK1441" s="1525">
        <f t="shared" si="887"/>
        <v>0</v>
      </c>
      <c r="AL1441" s="1525">
        <f t="shared" si="887"/>
        <v>0</v>
      </c>
      <c r="AM1441" s="1525">
        <f t="shared" si="887"/>
        <v>0</v>
      </c>
      <c r="AN1441" s="1525">
        <f t="shared" si="887"/>
        <v>0</v>
      </c>
      <c r="AO1441" s="1525">
        <f t="shared" si="887"/>
        <v>0</v>
      </c>
      <c r="AP1441" s="1525">
        <f t="shared" si="887"/>
        <v>0</v>
      </c>
      <c r="AQ1441" s="1525">
        <f t="shared" si="887"/>
        <v>0</v>
      </c>
      <c r="AR1441" s="1525">
        <f t="shared" si="887"/>
        <v>0</v>
      </c>
      <c r="AS1441" s="1525">
        <f t="shared" si="887"/>
        <v>0</v>
      </c>
      <c r="AU1441" s="1525"/>
      <c r="AV1441" s="1295"/>
      <c r="AW1441" s="1525"/>
      <c r="AX1441" s="1525"/>
      <c r="AY1441" s="1525">
        <v>1</v>
      </c>
      <c r="AZ1441" s="1525"/>
      <c r="BA1441" s="1525"/>
      <c r="BB1441" s="1525"/>
      <c r="BC1441" s="1525"/>
      <c r="BD1441" s="1525"/>
      <c r="BE1441" s="1525"/>
      <c r="BF1441" s="1525"/>
      <c r="BG1441" s="1525"/>
      <c r="BH1441" s="1525"/>
      <c r="BI1441" s="1525"/>
      <c r="BJ1441" s="1525"/>
      <c r="BK1441" s="1525"/>
      <c r="BL1441" s="1525"/>
      <c r="BM1441" s="1525"/>
      <c r="BN1441" s="1525"/>
      <c r="BO1441" s="1525"/>
      <c r="BP1441" s="1525"/>
      <c r="BQ1441" s="1525"/>
      <c r="BR1441" s="1525"/>
      <c r="BS1441" s="1525"/>
      <c r="BT1441" s="1670">
        <f t="shared" si="888"/>
        <v>1</v>
      </c>
      <c r="BV1441"/>
      <c r="BW1441" s="844" t="s">
        <v>1379</v>
      </c>
    </row>
    <row r="1442" spans="2:75" s="164" customFormat="1" ht="12.75" customHeight="1" x14ac:dyDescent="0.2">
      <c r="B1442" s="175">
        <f t="shared" si="880"/>
        <v>4</v>
      </c>
      <c r="C1442" s="219">
        <v>8</v>
      </c>
      <c r="E1442" s="12" t="s">
        <v>1563</v>
      </c>
      <c r="F1442" t="s">
        <v>353</v>
      </c>
      <c r="G1442" s="799" t="s">
        <v>1262</v>
      </c>
      <c r="H1442" s="858">
        <v>275114</v>
      </c>
      <c r="I1442" s="200" t="s">
        <v>351</v>
      </c>
      <c r="L1442" s="950">
        <v>1</v>
      </c>
      <c r="M1442" s="858">
        <f>K1442+L1442</f>
        <v>1</v>
      </c>
      <c r="N1442" s="831" t="s">
        <v>892</v>
      </c>
      <c r="O1442" s="1196">
        <v>28577</v>
      </c>
      <c r="P1442" s="1218">
        <f t="shared" ca="1" si="881"/>
        <v>39.511111111111113</v>
      </c>
      <c r="Q1442" s="1148">
        <v>37400</v>
      </c>
      <c r="R1442" s="874"/>
      <c r="S1442" s="875">
        <v>3000</v>
      </c>
      <c r="T1442" s="877"/>
      <c r="U1442" s="877"/>
      <c r="V1442" s="877"/>
      <c r="W1442" s="875"/>
      <c r="X1442" s="1026">
        <f t="shared" si="882"/>
        <v>40400</v>
      </c>
      <c r="Y1442" s="1512">
        <f t="shared" si="883"/>
        <v>0</v>
      </c>
      <c r="Z1442" s="1741">
        <f t="shared" si="884"/>
        <v>1</v>
      </c>
      <c r="AA1442" s="1749">
        <f t="shared" si="885"/>
        <v>1</v>
      </c>
      <c r="AB1442" s="1810">
        <f t="shared" si="886"/>
        <v>100</v>
      </c>
      <c r="AC1442" s="876"/>
      <c r="AD1442" s="1525">
        <f t="shared" si="887"/>
        <v>0</v>
      </c>
      <c r="AE1442" s="1525">
        <f t="shared" si="887"/>
        <v>0</v>
      </c>
      <c r="AF1442" s="1525">
        <f t="shared" si="887"/>
        <v>1</v>
      </c>
      <c r="AG1442" s="1525">
        <f t="shared" si="887"/>
        <v>0</v>
      </c>
      <c r="AH1442" s="1525">
        <f t="shared" si="887"/>
        <v>0</v>
      </c>
      <c r="AI1442" s="1525">
        <f t="shared" si="887"/>
        <v>0</v>
      </c>
      <c r="AJ1442" s="1525">
        <f t="shared" si="887"/>
        <v>0</v>
      </c>
      <c r="AK1442" s="1525">
        <f t="shared" si="887"/>
        <v>0</v>
      </c>
      <c r="AL1442" s="1525">
        <f t="shared" si="887"/>
        <v>0</v>
      </c>
      <c r="AM1442" s="1525">
        <f t="shared" si="887"/>
        <v>0</v>
      </c>
      <c r="AN1442" s="1525">
        <f t="shared" si="887"/>
        <v>0</v>
      </c>
      <c r="AO1442" s="1525">
        <f t="shared" si="887"/>
        <v>0</v>
      </c>
      <c r="AP1442" s="1525">
        <f t="shared" si="887"/>
        <v>0</v>
      </c>
      <c r="AQ1442" s="1525">
        <f t="shared" si="887"/>
        <v>0</v>
      </c>
      <c r="AR1442" s="1525">
        <f t="shared" si="887"/>
        <v>0</v>
      </c>
      <c r="AS1442" s="1525">
        <f t="shared" si="887"/>
        <v>0</v>
      </c>
      <c r="AU1442" s="1525"/>
      <c r="AV1442" s="1295"/>
      <c r="AW1442" s="1525"/>
      <c r="AX1442" s="1525"/>
      <c r="AY1442" s="1525">
        <v>1</v>
      </c>
      <c r="AZ1442" s="1525"/>
      <c r="BA1442" s="1525"/>
      <c r="BB1442" s="1525"/>
      <c r="BC1442" s="1525"/>
      <c r="BD1442" s="1525"/>
      <c r="BE1442" s="1525"/>
      <c r="BF1442" s="1525"/>
      <c r="BG1442" s="1525"/>
      <c r="BH1442" s="1525"/>
      <c r="BI1442" s="1525"/>
      <c r="BJ1442" s="1525"/>
      <c r="BK1442" s="1525"/>
      <c r="BL1442" s="1525"/>
      <c r="BM1442" s="1525"/>
      <c r="BN1442" s="1525"/>
      <c r="BO1442" s="1525"/>
      <c r="BP1442" s="1525"/>
      <c r="BQ1442" s="1525"/>
      <c r="BR1442" s="1525"/>
      <c r="BS1442" s="1525"/>
      <c r="BT1442" s="1670">
        <f t="shared" si="888"/>
        <v>1</v>
      </c>
      <c r="BV1442"/>
      <c r="BW1442" s="799" t="s">
        <v>1262</v>
      </c>
    </row>
    <row r="1443" spans="2:75" ht="12.75" customHeight="1" x14ac:dyDescent="0.2">
      <c r="B1443" s="175">
        <f t="shared" si="880"/>
        <v>5</v>
      </c>
      <c r="C1443" s="219">
        <v>12</v>
      </c>
      <c r="E1443" s="12" t="s">
        <v>1563</v>
      </c>
      <c r="F1443" t="s">
        <v>1235</v>
      </c>
      <c r="G1443" s="799" t="s">
        <v>1942</v>
      </c>
      <c r="H1443" s="858">
        <v>2927</v>
      </c>
      <c r="I1443" s="180" t="s">
        <v>583</v>
      </c>
      <c r="L1443" s="843">
        <v>0.5</v>
      </c>
      <c r="M1443" s="858">
        <f>K1443+L1443</f>
        <v>0.5</v>
      </c>
      <c r="N1443" s="831" t="s">
        <v>892</v>
      </c>
      <c r="O1443" s="1196">
        <v>14869</v>
      </c>
      <c r="P1443" s="1218">
        <f t="shared" ca="1" si="881"/>
        <v>77.047222222222217</v>
      </c>
      <c r="Q1443" s="1148">
        <v>32200</v>
      </c>
      <c r="R1443" s="874">
        <f>Q1443*0.1</f>
        <v>3220</v>
      </c>
      <c r="S1443" s="875">
        <v>3000</v>
      </c>
      <c r="T1443" s="877"/>
      <c r="U1443" s="877"/>
      <c r="V1443" s="877"/>
      <c r="W1443" s="875"/>
      <c r="X1443" s="1026">
        <f t="shared" si="882"/>
        <v>19210</v>
      </c>
      <c r="Y1443" s="1512">
        <f t="shared" si="883"/>
        <v>0</v>
      </c>
      <c r="Z1443" s="1741">
        <f t="shared" si="884"/>
        <v>0.5</v>
      </c>
      <c r="AA1443" s="1749">
        <f t="shared" si="885"/>
        <v>0.5</v>
      </c>
      <c r="AB1443" s="1810">
        <f t="shared" si="886"/>
        <v>100</v>
      </c>
      <c r="AC1443" s="876"/>
      <c r="AD1443" s="1525">
        <f t="shared" si="887"/>
        <v>0</v>
      </c>
      <c r="AE1443" s="1525">
        <f t="shared" si="887"/>
        <v>0</v>
      </c>
      <c r="AF1443" s="1525">
        <f t="shared" si="887"/>
        <v>0.5</v>
      </c>
      <c r="AG1443" s="1525">
        <f t="shared" si="887"/>
        <v>0</v>
      </c>
      <c r="AH1443" s="1525">
        <f t="shared" si="887"/>
        <v>0</v>
      </c>
      <c r="AI1443" s="1525">
        <f t="shared" si="887"/>
        <v>0</v>
      </c>
      <c r="AJ1443" s="1525">
        <f t="shared" si="887"/>
        <v>0</v>
      </c>
      <c r="AK1443" s="1525">
        <f t="shared" si="887"/>
        <v>0</v>
      </c>
      <c r="AL1443" s="1525">
        <f t="shared" si="887"/>
        <v>0</v>
      </c>
      <c r="AM1443" s="1525">
        <f t="shared" si="887"/>
        <v>0</v>
      </c>
      <c r="AN1443" s="1525">
        <f t="shared" si="887"/>
        <v>0</v>
      </c>
      <c r="AO1443" s="1525">
        <f t="shared" si="887"/>
        <v>0</v>
      </c>
      <c r="AP1443" s="1525">
        <f t="shared" si="887"/>
        <v>0</v>
      </c>
      <c r="AQ1443" s="1525">
        <f t="shared" si="887"/>
        <v>0</v>
      </c>
      <c r="AR1443" s="1525">
        <f t="shared" si="887"/>
        <v>0</v>
      </c>
      <c r="AS1443" s="1525">
        <f t="shared" si="887"/>
        <v>0</v>
      </c>
      <c r="AU1443" s="1525"/>
      <c r="AV1443" s="1291"/>
      <c r="AW1443" s="1292"/>
      <c r="AX1443" s="1292"/>
      <c r="AY1443" s="1292">
        <v>0.5</v>
      </c>
      <c r="AZ1443" s="1292"/>
      <c r="BA1443" s="1292"/>
      <c r="BB1443" s="1292"/>
      <c r="BC1443" s="1292"/>
      <c r="BD1443" s="1292"/>
      <c r="BE1443" s="1292"/>
      <c r="BF1443" s="1292"/>
      <c r="BG1443" s="1292"/>
      <c r="BH1443" s="1292"/>
      <c r="BI1443" s="1292"/>
      <c r="BJ1443" s="1292"/>
      <c r="BK1443" s="1292"/>
      <c r="BL1443" s="1292"/>
      <c r="BM1443" s="1292"/>
      <c r="BN1443" s="1292"/>
      <c r="BO1443" s="1292"/>
      <c r="BP1443" s="1292"/>
      <c r="BQ1443" s="1292"/>
      <c r="BR1443" s="1292"/>
      <c r="BS1443" s="1292"/>
      <c r="BT1443" s="1670">
        <f t="shared" si="888"/>
        <v>0.5</v>
      </c>
      <c r="BW1443" s="799" t="s">
        <v>1942</v>
      </c>
    </row>
    <row r="1444" spans="2:75" ht="12.75" customHeight="1" x14ac:dyDescent="0.2">
      <c r="B1444" s="175">
        <f t="shared" si="880"/>
        <v>6</v>
      </c>
      <c r="C1444" s="219">
        <v>14</v>
      </c>
      <c r="E1444" s="12" t="s">
        <v>1563</v>
      </c>
      <c r="F1444" s="14" t="s">
        <v>626</v>
      </c>
      <c r="G1444" s="894" t="s">
        <v>1263</v>
      </c>
      <c r="H1444" s="873">
        <v>70462</v>
      </c>
      <c r="I1444" s="271" t="s">
        <v>583</v>
      </c>
      <c r="J1444" s="185"/>
      <c r="K1444" s="185"/>
      <c r="L1444" s="951">
        <v>1</v>
      </c>
      <c r="M1444" s="873">
        <f>K1444+L1444</f>
        <v>1</v>
      </c>
      <c r="N1444" s="958" t="s">
        <v>892</v>
      </c>
      <c r="O1444" s="1196">
        <v>19116</v>
      </c>
      <c r="P1444" s="1218">
        <f t="shared" ca="1" si="881"/>
        <v>65.416666666666671</v>
      </c>
      <c r="Q1444" s="1148">
        <v>24800</v>
      </c>
      <c r="R1444" s="874"/>
      <c r="S1444" s="875"/>
      <c r="T1444" s="877"/>
      <c r="U1444" s="877"/>
      <c r="V1444" s="877"/>
      <c r="W1444" s="875"/>
      <c r="X1444" s="1026">
        <f t="shared" si="882"/>
        <v>24800</v>
      </c>
      <c r="Y1444" s="1512">
        <f t="shared" si="883"/>
        <v>0</v>
      </c>
      <c r="Z1444" s="1741">
        <f t="shared" si="884"/>
        <v>1</v>
      </c>
      <c r="AA1444" s="1749">
        <f t="shared" si="885"/>
        <v>1</v>
      </c>
      <c r="AB1444" s="1810">
        <f t="shared" si="886"/>
        <v>100</v>
      </c>
      <c r="AC1444" s="876"/>
      <c r="AD1444" s="1525">
        <f t="shared" si="887"/>
        <v>0</v>
      </c>
      <c r="AE1444" s="1525">
        <f t="shared" si="887"/>
        <v>0</v>
      </c>
      <c r="AF1444" s="1525">
        <f t="shared" si="887"/>
        <v>1</v>
      </c>
      <c r="AG1444" s="1525">
        <f t="shared" si="887"/>
        <v>0</v>
      </c>
      <c r="AH1444" s="1525">
        <f t="shared" si="887"/>
        <v>0</v>
      </c>
      <c r="AI1444" s="1525">
        <f t="shared" si="887"/>
        <v>0</v>
      </c>
      <c r="AJ1444" s="1525">
        <f t="shared" si="887"/>
        <v>0</v>
      </c>
      <c r="AK1444" s="1525">
        <f t="shared" si="887"/>
        <v>0</v>
      </c>
      <c r="AL1444" s="1525">
        <f t="shared" si="887"/>
        <v>0</v>
      </c>
      <c r="AM1444" s="1525">
        <f t="shared" si="887"/>
        <v>0</v>
      </c>
      <c r="AN1444" s="1525">
        <f t="shared" si="887"/>
        <v>0</v>
      </c>
      <c r="AO1444" s="1525">
        <f t="shared" si="887"/>
        <v>0</v>
      </c>
      <c r="AP1444" s="1525">
        <f t="shared" si="887"/>
        <v>0</v>
      </c>
      <c r="AQ1444" s="1525">
        <f t="shared" si="887"/>
        <v>0</v>
      </c>
      <c r="AR1444" s="1525">
        <f t="shared" si="887"/>
        <v>0</v>
      </c>
      <c r="AS1444" s="1525">
        <f t="shared" si="887"/>
        <v>0</v>
      </c>
      <c r="AU1444" s="1525"/>
      <c r="AV1444" s="1291"/>
      <c r="AW1444" s="1292"/>
      <c r="AX1444" s="1292"/>
      <c r="AY1444" s="1292">
        <v>1</v>
      </c>
      <c r="AZ1444" s="1292"/>
      <c r="BA1444" s="1292"/>
      <c r="BB1444" s="1292"/>
      <c r="BC1444" s="1292"/>
      <c r="BD1444" s="1292"/>
      <c r="BE1444" s="1292"/>
      <c r="BF1444" s="1292"/>
      <c r="BG1444" s="1292"/>
      <c r="BH1444" s="1292"/>
      <c r="BI1444" s="1292"/>
      <c r="BJ1444" s="1292"/>
      <c r="BK1444" s="1292"/>
      <c r="BL1444" s="1292"/>
      <c r="BM1444" s="1292"/>
      <c r="BN1444" s="1292"/>
      <c r="BO1444" s="1292"/>
      <c r="BP1444" s="1292"/>
      <c r="BQ1444" s="1292"/>
      <c r="BR1444" s="1292"/>
      <c r="BS1444" s="1292"/>
      <c r="BT1444" s="1670">
        <f t="shared" si="888"/>
        <v>1</v>
      </c>
      <c r="BW1444" s="894" t="s">
        <v>1263</v>
      </c>
    </row>
    <row r="1445" spans="2:75" x14ac:dyDescent="0.15">
      <c r="X1445" s="1709"/>
      <c r="AA1445" s="1763"/>
      <c r="AB1445" s="1760"/>
      <c r="AC1445" s="210"/>
      <c r="AD1445" s="553"/>
      <c r="AE1445" s="553"/>
      <c r="AF1445" s="553"/>
      <c r="AG1445" s="553"/>
      <c r="AH1445" s="553"/>
      <c r="AI1445" s="553"/>
      <c r="AJ1445" s="553"/>
      <c r="AK1445" s="553"/>
      <c r="AL1445" s="553"/>
      <c r="AM1445" s="553"/>
      <c r="AN1445" s="553"/>
      <c r="AO1445" s="553"/>
      <c r="AP1445" s="553"/>
      <c r="AQ1445" s="553"/>
      <c r="AR1445" s="553"/>
      <c r="AS1445" s="553"/>
      <c r="AV1445" s="1292"/>
      <c r="AX1445" s="1292"/>
      <c r="BT1445" s="1671"/>
    </row>
    <row r="1446" spans="2:75" s="164" customFormat="1" ht="12.75" customHeight="1" x14ac:dyDescent="0.15">
      <c r="B1446" s="175"/>
      <c r="F1446" s="17"/>
      <c r="G1446" s="799"/>
      <c r="H1446" s="1358" t="s">
        <v>1508</v>
      </c>
      <c r="L1446" s="893"/>
      <c r="M1446" s="893"/>
      <c r="N1446" s="799"/>
      <c r="O1446" s="1200"/>
      <c r="P1446" s="550"/>
      <c r="Q1446" s="1148"/>
      <c r="R1446" s="874"/>
      <c r="S1446" s="875"/>
      <c r="T1446" s="877"/>
      <c r="U1446" s="877"/>
      <c r="V1446" s="877"/>
      <c r="W1446" s="875"/>
      <c r="X1446" s="1026"/>
      <c r="Y1446" s="1562"/>
      <c r="Z1446" s="1742"/>
      <c r="AA1446" s="1775"/>
      <c r="AB1446" s="1812"/>
      <c r="AC1446" s="876"/>
      <c r="AD1446" s="1295"/>
      <c r="AE1446" s="1525"/>
      <c r="AF1446" s="1525"/>
      <c r="AG1446" s="1525"/>
      <c r="AH1446" s="1525"/>
      <c r="AI1446" s="1525"/>
      <c r="AJ1446" s="1525"/>
      <c r="AK1446" s="1525"/>
      <c r="AL1446" s="1525"/>
      <c r="AM1446" s="1525"/>
      <c r="AN1446" s="1525"/>
      <c r="AO1446" s="1525"/>
      <c r="AP1446" s="1525"/>
      <c r="AQ1446" s="1525"/>
      <c r="AR1446" s="1525"/>
      <c r="AS1446" s="1525"/>
      <c r="AU1446" s="1525"/>
      <c r="AV1446" s="1295"/>
      <c r="AW1446" s="1525"/>
      <c r="AX1446" s="1525"/>
      <c r="AY1446" s="1525"/>
      <c r="AZ1446" s="1525"/>
      <c r="BA1446" s="1525"/>
      <c r="BB1446" s="1525"/>
      <c r="BC1446" s="1525"/>
      <c r="BD1446" s="1525"/>
      <c r="BE1446" s="1525"/>
      <c r="BF1446" s="1525"/>
      <c r="BG1446" s="1525"/>
      <c r="BH1446" s="1525"/>
      <c r="BI1446" s="1525"/>
      <c r="BJ1446" s="1525"/>
      <c r="BK1446" s="1525"/>
      <c r="BL1446" s="1525"/>
      <c r="BM1446" s="1525"/>
      <c r="BN1446" s="1525"/>
      <c r="BO1446" s="1525"/>
      <c r="BP1446" s="1525"/>
      <c r="BQ1446" s="1525"/>
      <c r="BR1446" s="1525"/>
      <c r="BS1446" s="1525"/>
      <c r="BT1446" s="1670"/>
      <c r="BV1446"/>
      <c r="BW1446" s="799"/>
    </row>
    <row r="1447" spans="2:75" s="164" customFormat="1" ht="12.75" customHeight="1" x14ac:dyDescent="0.15">
      <c r="B1447" s="175"/>
      <c r="F1447" s="17" t="s">
        <v>436</v>
      </c>
      <c r="G1447" s="799"/>
      <c r="H1447" s="1358" t="s">
        <v>1508</v>
      </c>
      <c r="L1447" s="893"/>
      <c r="M1447" s="893"/>
      <c r="N1447" s="799"/>
      <c r="O1447" s="1200"/>
      <c r="P1447" s="550"/>
      <c r="Q1447" s="1148"/>
      <c r="R1447" s="874"/>
      <c r="S1447" s="875"/>
      <c r="T1447" s="877"/>
      <c r="U1447" s="877"/>
      <c r="V1447" s="877"/>
      <c r="W1447" s="875"/>
      <c r="X1447" s="1026"/>
      <c r="Y1447" s="1562"/>
      <c r="Z1447" s="1742"/>
      <c r="AA1447" s="1775"/>
      <c r="AB1447" s="1812"/>
      <c r="AC1447" s="876"/>
      <c r="AD1447" s="1295"/>
      <c r="AE1447" s="1525"/>
      <c r="AF1447" s="1525"/>
      <c r="AG1447" s="1525"/>
      <c r="AH1447" s="1525"/>
      <c r="AI1447" s="1525"/>
      <c r="AJ1447" s="1525"/>
      <c r="AK1447" s="1525"/>
      <c r="AL1447" s="1525"/>
      <c r="AM1447" s="1525"/>
      <c r="AN1447" s="1525"/>
      <c r="AO1447" s="1525"/>
      <c r="AP1447" s="1525"/>
      <c r="AQ1447" s="1525"/>
      <c r="AR1447" s="1525"/>
      <c r="AS1447" s="1525"/>
      <c r="AU1447" s="1525"/>
      <c r="AV1447" s="1295"/>
      <c r="AW1447" s="1525"/>
      <c r="AX1447" s="1525"/>
      <c r="AY1447" s="1525"/>
      <c r="AZ1447" s="1525"/>
      <c r="BA1447" s="1525"/>
      <c r="BB1447" s="1525"/>
      <c r="BC1447" s="1525"/>
      <c r="BD1447" s="1525"/>
      <c r="BE1447" s="1525"/>
      <c r="BF1447" s="1525"/>
      <c r="BG1447" s="1525"/>
      <c r="BH1447" s="1525"/>
      <c r="BI1447" s="1525"/>
      <c r="BJ1447" s="1525"/>
      <c r="BK1447" s="1525"/>
      <c r="BL1447" s="1525"/>
      <c r="BM1447" s="1525"/>
      <c r="BN1447" s="1525"/>
      <c r="BO1447" s="1525"/>
      <c r="BP1447" s="1525"/>
      <c r="BQ1447" s="1525"/>
      <c r="BR1447" s="1525"/>
      <c r="BS1447" s="1525"/>
      <c r="BT1447" s="1670"/>
      <c r="BV1447"/>
      <c r="BW1447" s="799"/>
    </row>
    <row r="1448" spans="2:75" ht="12.75" customHeight="1" x14ac:dyDescent="0.2">
      <c r="B1448" s="175">
        <f t="shared" ref="B1448:B1451" si="889">B1447+1</f>
        <v>1</v>
      </c>
      <c r="C1448" s="569">
        <v>7</v>
      </c>
      <c r="D1448" s="570"/>
      <c r="E1448" s="472" t="s">
        <v>1563</v>
      </c>
      <c r="F1448" s="67" t="s">
        <v>1334</v>
      </c>
      <c r="G1448" s="844" t="s">
        <v>1941</v>
      </c>
      <c r="H1448" s="861">
        <v>77960</v>
      </c>
      <c r="I1448" s="643" t="s">
        <v>351</v>
      </c>
      <c r="J1448" s="1304"/>
      <c r="K1448" s="575">
        <v>1</v>
      </c>
      <c r="L1448" s="950"/>
      <c r="M1448" s="861">
        <f>K1448+L1448</f>
        <v>1</v>
      </c>
      <c r="N1448" s="831" t="s">
        <v>892</v>
      </c>
      <c r="O1448" s="1196">
        <v>26994</v>
      </c>
      <c r="P1448" s="1218">
        <f ca="1">YEARFRAC(TODAY(),O1448)</f>
        <v>43.85</v>
      </c>
      <c r="Q1448" s="1148">
        <v>43800</v>
      </c>
      <c r="R1448" s="874"/>
      <c r="S1448" s="875">
        <v>3000</v>
      </c>
      <c r="T1448" s="877"/>
      <c r="U1448" s="877">
        <v>6600</v>
      </c>
      <c r="V1448" s="877"/>
      <c r="W1448" s="875"/>
      <c r="X1448" s="1026">
        <f>(Q1448+R1448+S1448+T1448+U1448+V1448+W1448)*M1448</f>
        <v>53400</v>
      </c>
      <c r="Y1448" s="1512">
        <f>(T1448+U1448)*M1448/(X1448-M1448*(T1448+U1448))</f>
        <v>0.14102564102564102</v>
      </c>
      <c r="Z1448" s="1741">
        <f t="shared" si="884"/>
        <v>1.141025641025641</v>
      </c>
      <c r="AA1448" s="1749">
        <f>SUM(AD1448:AS1448)</f>
        <v>1</v>
      </c>
      <c r="AB1448" s="1810">
        <f t="shared" ref="AB1448:AB1450" si="890">100*AA1448/Z1448</f>
        <v>87.640449438202253</v>
      </c>
      <c r="AC1448" s="876"/>
      <c r="AD1448" s="1525">
        <f t="shared" ref="AD1448:AS1450" si="891">SUMIF($AV$6:$BS$6,AD$5,$AV1448:$BS1448)</f>
        <v>0</v>
      </c>
      <c r="AE1448" s="1525">
        <f t="shared" si="891"/>
        <v>0</v>
      </c>
      <c r="AF1448" s="1525">
        <f t="shared" si="891"/>
        <v>1</v>
      </c>
      <c r="AG1448" s="1525">
        <f t="shared" si="891"/>
        <v>0</v>
      </c>
      <c r="AH1448" s="1525">
        <f t="shared" si="891"/>
        <v>0</v>
      </c>
      <c r="AI1448" s="1525">
        <f t="shared" si="891"/>
        <v>0</v>
      </c>
      <c r="AJ1448" s="1525">
        <f t="shared" si="891"/>
        <v>0</v>
      </c>
      <c r="AK1448" s="1525">
        <f t="shared" si="891"/>
        <v>0</v>
      </c>
      <c r="AL1448" s="1525">
        <f t="shared" si="891"/>
        <v>0</v>
      </c>
      <c r="AM1448" s="1525">
        <f t="shared" si="891"/>
        <v>0</v>
      </c>
      <c r="AN1448" s="1525">
        <f t="shared" si="891"/>
        <v>0</v>
      </c>
      <c r="AO1448" s="1525">
        <f t="shared" si="891"/>
        <v>0</v>
      </c>
      <c r="AP1448" s="1525">
        <f t="shared" si="891"/>
        <v>0</v>
      </c>
      <c r="AQ1448" s="1525">
        <f t="shared" si="891"/>
        <v>0</v>
      </c>
      <c r="AR1448" s="1525">
        <f t="shared" si="891"/>
        <v>0</v>
      </c>
      <c r="AS1448" s="1525">
        <f t="shared" si="891"/>
        <v>0</v>
      </c>
      <c r="AU1448" s="1525"/>
      <c r="AV1448" s="1291"/>
      <c r="AW1448" s="1292"/>
      <c r="AX1448" s="1292"/>
      <c r="AY1448" s="1292">
        <v>1</v>
      </c>
      <c r="AZ1448" s="1292"/>
      <c r="BA1448" s="1292"/>
      <c r="BB1448" s="1292"/>
      <c r="BC1448" s="1292"/>
      <c r="BD1448" s="1292"/>
      <c r="BE1448" s="1292"/>
      <c r="BF1448" s="1292"/>
      <c r="BG1448" s="1292"/>
      <c r="BH1448" s="1292"/>
      <c r="BI1448" s="1292"/>
      <c r="BJ1448" s="1292"/>
      <c r="BK1448" s="1292"/>
      <c r="BL1448" s="1292"/>
      <c r="BM1448" s="1292"/>
      <c r="BN1448" s="1292"/>
      <c r="BO1448" s="1292"/>
      <c r="BP1448" s="1292"/>
      <c r="BQ1448" s="1292"/>
      <c r="BR1448" s="1292"/>
      <c r="BS1448" s="1292"/>
      <c r="BT1448" s="1670">
        <f t="shared" ref="BT1448:BT1451" si="892">SUM(AV1448:BS1448)</f>
        <v>1</v>
      </c>
      <c r="BW1448" s="844" t="s">
        <v>1941</v>
      </c>
    </row>
    <row r="1449" spans="2:75" ht="12.75" customHeight="1" x14ac:dyDescent="0.2">
      <c r="B1449" s="175">
        <f t="shared" si="889"/>
        <v>2</v>
      </c>
      <c r="C1449" s="219">
        <v>9</v>
      </c>
      <c r="E1449" s="12" t="s">
        <v>1563</v>
      </c>
      <c r="F1449" s="23" t="s">
        <v>1396</v>
      </c>
      <c r="G1449" s="844" t="s">
        <v>323</v>
      </c>
      <c r="H1449" s="858">
        <v>291162</v>
      </c>
      <c r="I1449" s="200" t="s">
        <v>351</v>
      </c>
      <c r="J1449" s="220"/>
      <c r="K1449" s="220">
        <v>1</v>
      </c>
      <c r="L1449" s="950"/>
      <c r="M1449" s="858">
        <f>K1449+L1449</f>
        <v>1</v>
      </c>
      <c r="N1449" s="833" t="s">
        <v>892</v>
      </c>
      <c r="O1449" s="1196">
        <v>30541</v>
      </c>
      <c r="P1449" s="1218">
        <f ca="1">YEARFRAC(TODAY(),O1449)</f>
        <v>34.136111111111113</v>
      </c>
      <c r="Q1449" s="1148">
        <v>29900</v>
      </c>
      <c r="R1449" s="874"/>
      <c r="S1449" s="875"/>
      <c r="T1449" s="877"/>
      <c r="U1449" s="877"/>
      <c r="V1449" s="877"/>
      <c r="W1449" s="875"/>
      <c r="X1449" s="1026">
        <f>(Q1449+R1449+S1449+T1449+U1449+V1449+W1449)*M1449</f>
        <v>29900</v>
      </c>
      <c r="Y1449" s="1512">
        <f t="shared" ref="Y1449:Y1450" si="893">(T1449+U1449)*M1449/(X1449-M1449*(T1449+U1449))</f>
        <v>0</v>
      </c>
      <c r="Z1449" s="1741">
        <f t="shared" si="884"/>
        <v>1</v>
      </c>
      <c r="AA1449" s="1749">
        <f>SUM(AD1449:AS1449)</f>
        <v>1</v>
      </c>
      <c r="AB1449" s="1810">
        <f t="shared" si="890"/>
        <v>100</v>
      </c>
      <c r="AC1449" s="876"/>
      <c r="AD1449" s="1525">
        <f t="shared" si="891"/>
        <v>0</v>
      </c>
      <c r="AE1449" s="1525">
        <f t="shared" si="891"/>
        <v>0</v>
      </c>
      <c r="AF1449" s="1525">
        <f t="shared" si="891"/>
        <v>1</v>
      </c>
      <c r="AG1449" s="1525">
        <f t="shared" si="891"/>
        <v>0</v>
      </c>
      <c r="AH1449" s="1525">
        <f t="shared" si="891"/>
        <v>0</v>
      </c>
      <c r="AI1449" s="1525">
        <f t="shared" si="891"/>
        <v>0</v>
      </c>
      <c r="AJ1449" s="1525">
        <f t="shared" si="891"/>
        <v>0</v>
      </c>
      <c r="AK1449" s="1525">
        <f t="shared" si="891"/>
        <v>0</v>
      </c>
      <c r="AL1449" s="1525">
        <f t="shared" si="891"/>
        <v>0</v>
      </c>
      <c r="AM1449" s="1525">
        <f t="shared" si="891"/>
        <v>0</v>
      </c>
      <c r="AN1449" s="1525">
        <f t="shared" si="891"/>
        <v>0</v>
      </c>
      <c r="AO1449" s="1525">
        <f t="shared" si="891"/>
        <v>0</v>
      </c>
      <c r="AP1449" s="1525">
        <f t="shared" si="891"/>
        <v>0</v>
      </c>
      <c r="AQ1449" s="1525">
        <f t="shared" si="891"/>
        <v>0</v>
      </c>
      <c r="AR1449" s="1525">
        <f t="shared" si="891"/>
        <v>0</v>
      </c>
      <c r="AS1449" s="1525">
        <f t="shared" si="891"/>
        <v>0</v>
      </c>
      <c r="AU1449" s="1525"/>
      <c r="AV1449" s="1291"/>
      <c r="AW1449" s="1292"/>
      <c r="AX1449" s="1292"/>
      <c r="AY1449" s="1292">
        <v>1</v>
      </c>
      <c r="AZ1449" s="1292"/>
      <c r="BA1449" s="1292"/>
      <c r="BB1449" s="1292"/>
      <c r="BC1449" s="1292"/>
      <c r="BD1449" s="1292"/>
      <c r="BE1449" s="1292"/>
      <c r="BF1449" s="1292"/>
      <c r="BG1449" s="1292"/>
      <c r="BH1449" s="1292"/>
      <c r="BI1449" s="1292"/>
      <c r="BJ1449" s="1292"/>
      <c r="BK1449" s="1292"/>
      <c r="BL1449" s="1292"/>
      <c r="BM1449" s="1292"/>
      <c r="BN1449" s="1292"/>
      <c r="BO1449" s="1292"/>
      <c r="BP1449" s="1292"/>
      <c r="BQ1449" s="1292"/>
      <c r="BR1449" s="1292"/>
      <c r="BS1449" s="1292"/>
      <c r="BT1449" s="1670">
        <f t="shared" si="892"/>
        <v>1</v>
      </c>
      <c r="BW1449" s="844" t="s">
        <v>323</v>
      </c>
    </row>
    <row r="1450" spans="2:75" ht="12.75" customHeight="1" x14ac:dyDescent="0.2">
      <c r="B1450" s="175">
        <f t="shared" si="889"/>
        <v>3</v>
      </c>
      <c r="C1450" s="219">
        <v>11</v>
      </c>
      <c r="D1450" s="170"/>
      <c r="E1450" s="12" t="s">
        <v>1563</v>
      </c>
      <c r="F1450" s="23" t="s">
        <v>558</v>
      </c>
      <c r="G1450" s="844" t="s">
        <v>2049</v>
      </c>
      <c r="H1450" s="858">
        <v>170722</v>
      </c>
      <c r="I1450" s="200" t="s">
        <v>351</v>
      </c>
      <c r="J1450" s="220"/>
      <c r="K1450" s="220">
        <v>1</v>
      </c>
      <c r="L1450" s="950"/>
      <c r="M1450" s="858">
        <f>K1450+L1450</f>
        <v>1</v>
      </c>
      <c r="N1450" s="833" t="s">
        <v>892</v>
      </c>
      <c r="O1450" s="1196">
        <v>33671</v>
      </c>
      <c r="P1450" s="1218">
        <f ca="1">YEARFRAC(TODAY(),O1450)</f>
        <v>25.566666666666666</v>
      </c>
      <c r="Q1450" s="1148">
        <v>22000</v>
      </c>
      <c r="R1450" s="874"/>
      <c r="S1450" s="875"/>
      <c r="T1450" s="877"/>
      <c r="U1450" s="877"/>
      <c r="V1450" s="877"/>
      <c r="W1450" s="875"/>
      <c r="X1450" s="1026">
        <f>(Q1450+R1450+S1450+T1450+U1450+V1450+W1450)*M1450</f>
        <v>22000</v>
      </c>
      <c r="Y1450" s="1512">
        <f t="shared" si="893"/>
        <v>0</v>
      </c>
      <c r="Z1450" s="1741">
        <f t="shared" si="884"/>
        <v>1</v>
      </c>
      <c r="AA1450" s="1749">
        <f>SUM(AD1450:AS1450)</f>
        <v>0</v>
      </c>
      <c r="AB1450" s="1810">
        <f t="shared" si="890"/>
        <v>0</v>
      </c>
      <c r="AC1450" s="224"/>
      <c r="AD1450" s="1525">
        <f t="shared" si="891"/>
        <v>0</v>
      </c>
      <c r="AE1450" s="1525">
        <f t="shared" si="891"/>
        <v>0</v>
      </c>
      <c r="AF1450" s="1525">
        <f t="shared" si="891"/>
        <v>0</v>
      </c>
      <c r="AG1450" s="1525">
        <f t="shared" si="891"/>
        <v>0</v>
      </c>
      <c r="AH1450" s="1525">
        <f t="shared" si="891"/>
        <v>0</v>
      </c>
      <c r="AI1450" s="1525">
        <f t="shared" si="891"/>
        <v>0</v>
      </c>
      <c r="AJ1450" s="1525">
        <f t="shared" si="891"/>
        <v>0</v>
      </c>
      <c r="AK1450" s="1525">
        <f t="shared" si="891"/>
        <v>0</v>
      </c>
      <c r="AL1450" s="1525">
        <f t="shared" si="891"/>
        <v>0</v>
      </c>
      <c r="AM1450" s="1525">
        <f t="shared" si="891"/>
        <v>0</v>
      </c>
      <c r="AN1450" s="1525">
        <f t="shared" si="891"/>
        <v>0</v>
      </c>
      <c r="AO1450" s="1525">
        <f t="shared" si="891"/>
        <v>0</v>
      </c>
      <c r="AP1450" s="1525">
        <f t="shared" si="891"/>
        <v>0</v>
      </c>
      <c r="AQ1450" s="1525">
        <f t="shared" si="891"/>
        <v>0</v>
      </c>
      <c r="AR1450" s="1525">
        <f t="shared" si="891"/>
        <v>0</v>
      </c>
      <c r="AS1450" s="1525">
        <f t="shared" si="891"/>
        <v>0</v>
      </c>
      <c r="AU1450" s="224"/>
      <c r="AV1450" s="1292"/>
      <c r="AX1450" s="1292"/>
      <c r="BT1450" s="1671"/>
      <c r="BV1450" s="224"/>
      <c r="BW1450" s="224"/>
    </row>
    <row r="1451" spans="2:75" s="164" customFormat="1" ht="12.75" customHeight="1" x14ac:dyDescent="0.2">
      <c r="B1451" s="175">
        <f t="shared" si="889"/>
        <v>4</v>
      </c>
      <c r="C1451" s="1208">
        <v>18</v>
      </c>
      <c r="D1451">
        <f>D1449+1</f>
        <v>1</v>
      </c>
      <c r="E1451" s="12" t="s">
        <v>1563</v>
      </c>
      <c r="F1451" s="23" t="s">
        <v>584</v>
      </c>
      <c r="G1451" s="844" t="s">
        <v>1664</v>
      </c>
      <c r="H1451" s="950">
        <v>141029</v>
      </c>
      <c r="I1451" s="272" t="s">
        <v>351</v>
      </c>
      <c r="J1451" s="220"/>
      <c r="K1451" s="220">
        <v>1</v>
      </c>
      <c r="L1451" s="950"/>
      <c r="M1451" s="950">
        <v>1</v>
      </c>
      <c r="N1451" s="833" t="s">
        <v>892</v>
      </c>
      <c r="O1451" s="1196">
        <v>35328</v>
      </c>
      <c r="P1451" s="1218">
        <f ca="1">YEARFRAC(TODAY(),O1451)</f>
        <v>21.033333333333335</v>
      </c>
      <c r="Q1451" s="1148">
        <v>18500</v>
      </c>
      <c r="R1451" s="874"/>
      <c r="S1451" s="875"/>
      <c r="T1451" s="875"/>
      <c r="U1451" s="875"/>
      <c r="V1451" s="875"/>
      <c r="W1451" s="875"/>
      <c r="X1451" s="1026">
        <f>(Q1451+R1451+S1451+T1451+U1451+V1451+W1451)*M1451</f>
        <v>18500</v>
      </c>
      <c r="Y1451" s="1512">
        <f>(T1451+U1451)*M1451/(X1451-M1451*(T1451+U1451))</f>
        <v>0</v>
      </c>
      <c r="Z1451" s="1741">
        <f t="shared" si="884"/>
        <v>1</v>
      </c>
      <c r="AA1451" s="1749">
        <f>SUM(AD1451:AS1451)</f>
        <v>1</v>
      </c>
      <c r="AB1451" s="1810">
        <f t="shared" ref="AB1451" si="894">100*AA1451/Z1451</f>
        <v>100</v>
      </c>
      <c r="AC1451" s="876"/>
      <c r="AD1451" s="1525">
        <f t="shared" ref="AD1451:AS1451" si="895">SUMIF($AV$6:$BS$6,AD$5,$AV1451:$BS1451)</f>
        <v>0</v>
      </c>
      <c r="AE1451" s="1525">
        <f t="shared" si="895"/>
        <v>0</v>
      </c>
      <c r="AF1451" s="1525">
        <f t="shared" si="895"/>
        <v>1</v>
      </c>
      <c r="AG1451" s="1525">
        <f t="shared" si="895"/>
        <v>0</v>
      </c>
      <c r="AH1451" s="1525">
        <f t="shared" si="895"/>
        <v>0</v>
      </c>
      <c r="AI1451" s="1525">
        <f t="shared" si="895"/>
        <v>0</v>
      </c>
      <c r="AJ1451" s="1525">
        <f t="shared" si="895"/>
        <v>0</v>
      </c>
      <c r="AK1451" s="1525">
        <f t="shared" si="895"/>
        <v>0</v>
      </c>
      <c r="AL1451" s="1525">
        <f t="shared" si="895"/>
        <v>0</v>
      </c>
      <c r="AM1451" s="1525">
        <f t="shared" si="895"/>
        <v>0</v>
      </c>
      <c r="AN1451" s="1525">
        <f t="shared" si="895"/>
        <v>0</v>
      </c>
      <c r="AO1451" s="1525">
        <f t="shared" si="895"/>
        <v>0</v>
      </c>
      <c r="AP1451" s="1525">
        <f t="shared" si="895"/>
        <v>0</v>
      </c>
      <c r="AQ1451" s="1525">
        <f t="shared" si="895"/>
        <v>0</v>
      </c>
      <c r="AR1451" s="1525">
        <f t="shared" si="895"/>
        <v>0</v>
      </c>
      <c r="AS1451" s="1525">
        <f t="shared" si="895"/>
        <v>0</v>
      </c>
      <c r="AU1451" s="1525"/>
      <c r="AV1451" s="1295"/>
      <c r="AW1451" s="1525"/>
      <c r="AX1451" s="1525"/>
      <c r="AY1451" s="1525">
        <v>1</v>
      </c>
      <c r="AZ1451" s="1525"/>
      <c r="BA1451" s="1525"/>
      <c r="BB1451" s="1525"/>
      <c r="BC1451" s="1525"/>
      <c r="BD1451" s="1525"/>
      <c r="BE1451" s="1525"/>
      <c r="BF1451" s="1525"/>
      <c r="BG1451" s="1525"/>
      <c r="BH1451" s="1525"/>
      <c r="BI1451" s="1525"/>
      <c r="BJ1451" s="1525"/>
      <c r="BK1451" s="1525"/>
      <c r="BL1451" s="1525"/>
      <c r="BM1451" s="1525"/>
      <c r="BN1451" s="1525"/>
      <c r="BO1451" s="1525"/>
      <c r="BP1451" s="1525"/>
      <c r="BQ1451" s="1525"/>
      <c r="BR1451" s="1525"/>
      <c r="BS1451" s="1525"/>
      <c r="BT1451" s="1670">
        <f t="shared" si="892"/>
        <v>1</v>
      </c>
      <c r="BV1451"/>
      <c r="BW1451" s="844" t="s">
        <v>1664</v>
      </c>
    </row>
    <row r="1452" spans="2:75" s="164" customFormat="1" ht="12.75" customHeight="1" x14ac:dyDescent="0.15">
      <c r="B1452" s="175"/>
      <c r="C1452" s="219"/>
      <c r="F1452" s="16"/>
      <c r="G1452" s="799"/>
      <c r="H1452" s="1358"/>
      <c r="I1452" s="276"/>
      <c r="J1452" s="269"/>
      <c r="K1452" s="893"/>
      <c r="L1452" s="893"/>
      <c r="M1452" s="893"/>
      <c r="N1452" s="799"/>
      <c r="O1452" s="1200"/>
      <c r="P1452" s="550"/>
      <c r="Q1452" s="1153"/>
      <c r="R1452" s="877"/>
      <c r="S1452" s="875"/>
      <c r="T1452" s="877"/>
      <c r="U1452" s="877"/>
      <c r="V1452" s="877"/>
      <c r="W1452" s="875"/>
      <c r="X1452" s="1026"/>
      <c r="Y1452" s="1636"/>
      <c r="Z1452" s="1742"/>
      <c r="AA1452" s="1749"/>
      <c r="AB1452" s="1812"/>
      <c r="AC1452" s="876"/>
      <c r="AD1452" s="1295"/>
      <c r="AE1452" s="1525"/>
      <c r="AF1452" s="1525"/>
      <c r="AG1452" s="1525"/>
      <c r="AH1452" s="1525"/>
      <c r="AI1452" s="1525"/>
      <c r="AJ1452" s="1525"/>
      <c r="AK1452" s="1525"/>
      <c r="AL1452" s="1525"/>
      <c r="AM1452" s="1525"/>
      <c r="AN1452" s="1525"/>
      <c r="AO1452" s="1525"/>
      <c r="AP1452" s="1525"/>
      <c r="AQ1452" s="1525"/>
      <c r="AR1452" s="1525"/>
      <c r="AS1452" s="1525"/>
      <c r="AU1452" s="1525"/>
      <c r="AV1452" s="1295"/>
      <c r="AW1452" s="1525"/>
      <c r="AX1452" s="1525"/>
      <c r="AY1452" s="1525"/>
      <c r="AZ1452" s="1525"/>
      <c r="BA1452" s="1525"/>
      <c r="BB1452" s="1525"/>
      <c r="BC1452" s="1525"/>
      <c r="BD1452" s="1525"/>
      <c r="BE1452" s="1525"/>
      <c r="BF1452" s="1525"/>
      <c r="BG1452" s="1525"/>
      <c r="BH1452" s="1525"/>
      <c r="BI1452" s="1525"/>
      <c r="BJ1452" s="1525"/>
      <c r="BK1452" s="1525"/>
      <c r="BL1452" s="1525"/>
      <c r="BM1452" s="1525"/>
      <c r="BN1452" s="1525"/>
      <c r="BO1452" s="1525"/>
      <c r="BP1452" s="1525"/>
      <c r="BQ1452" s="1525"/>
      <c r="BR1452" s="1525"/>
      <c r="BS1452" s="1525"/>
      <c r="BT1452" s="1670"/>
      <c r="BV1452"/>
      <c r="BW1452" s="799"/>
    </row>
    <row r="1453" spans="2:75" s="164" customFormat="1" ht="12.75" customHeight="1" x14ac:dyDescent="0.15">
      <c r="B1453" s="175"/>
      <c r="C1453" s="671" t="s">
        <v>344</v>
      </c>
      <c r="D1453" s="672" t="s">
        <v>346</v>
      </c>
      <c r="E1453" s="673" t="s">
        <v>1563</v>
      </c>
      <c r="F1453" s="681" t="s">
        <v>1378</v>
      </c>
      <c r="G1453" s="953">
        <f>COUNTA(G1439:G1452)</f>
        <v>10</v>
      </c>
      <c r="H1453" s="1398" t="s">
        <v>1508</v>
      </c>
      <c r="I1453" s="675"/>
      <c r="J1453" s="676"/>
      <c r="K1453" s="676">
        <f t="shared" ref="K1453:L1453" si="896">SUM(K1439:K1452)</f>
        <v>4</v>
      </c>
      <c r="L1453" s="676">
        <f t="shared" si="896"/>
        <v>5.5</v>
      </c>
      <c r="M1453" s="676">
        <f>SUM(M1439:M1452)</f>
        <v>9.5</v>
      </c>
      <c r="N1453" s="840"/>
      <c r="O1453" s="840"/>
      <c r="P1453" s="1222"/>
      <c r="Q1453" s="1154"/>
      <c r="R1453" s="887"/>
      <c r="S1453" s="880"/>
      <c r="T1453" s="880"/>
      <c r="U1453" s="880"/>
      <c r="V1453" s="880"/>
      <c r="W1453" s="880"/>
      <c r="X1453" s="1276">
        <f>SUM(X1439:X1452)</f>
        <v>350915</v>
      </c>
      <c r="Y1453" s="1511"/>
      <c r="Z1453" s="1654">
        <f>SUM(Z1439:Z1452)</f>
        <v>9.7301390999140196</v>
      </c>
      <c r="AA1453" s="1827">
        <f>SUM(AA1439:AA1452)</f>
        <v>8.5</v>
      </c>
      <c r="AB1453" s="1813">
        <f t="shared" ref="AB1453" si="897">100*AA1453/Z1453</f>
        <v>87.357435620577206</v>
      </c>
      <c r="AC1453" s="1721"/>
      <c r="AD1453" s="1291"/>
      <c r="AE1453" s="1292"/>
      <c r="AF1453" s="1525"/>
      <c r="AG1453" s="1525"/>
      <c r="AH1453" s="1525"/>
      <c r="AI1453" s="1525"/>
      <c r="AJ1453" s="1525"/>
      <c r="AK1453" s="1525"/>
      <c r="AL1453" s="1525"/>
      <c r="AM1453" s="1525"/>
      <c r="AN1453" s="1525"/>
      <c r="AO1453" s="1525"/>
      <c r="AP1453" s="1525"/>
      <c r="AQ1453" s="1525"/>
      <c r="AR1453" s="1525"/>
      <c r="AS1453" s="1525"/>
      <c r="AU1453" s="1525"/>
      <c r="AV1453" s="1295"/>
      <c r="AW1453" s="1525"/>
      <c r="AX1453" s="1525"/>
      <c r="AY1453" s="1525"/>
      <c r="AZ1453" s="1525"/>
      <c r="BA1453" s="1525"/>
      <c r="BB1453" s="1525"/>
      <c r="BC1453" s="1525"/>
      <c r="BD1453" s="1525"/>
      <c r="BE1453" s="1525"/>
      <c r="BF1453" s="1525"/>
      <c r="BG1453" s="1525"/>
      <c r="BH1453" s="1525"/>
      <c r="BI1453" s="1525"/>
      <c r="BJ1453" s="1525"/>
      <c r="BK1453" s="1525"/>
      <c r="BL1453" s="1525"/>
      <c r="BM1453" s="1525"/>
      <c r="BN1453" s="1525"/>
      <c r="BO1453" s="1525"/>
      <c r="BP1453" s="1525"/>
      <c r="BQ1453" s="1525"/>
      <c r="BR1453" s="1525"/>
      <c r="BS1453" s="1525"/>
      <c r="BT1453" s="1670"/>
      <c r="BV1453"/>
      <c r="BW1453" s="954"/>
    </row>
    <row r="1454" spans="2:75" s="164" customFormat="1" ht="12.75" customHeight="1" x14ac:dyDescent="0.15">
      <c r="B1454" s="175"/>
      <c r="C1454" s="423" t="s">
        <v>136</v>
      </c>
      <c r="D1454" s="423"/>
      <c r="E1454" s="424" t="s">
        <v>1563</v>
      </c>
      <c r="F1454" s="424" t="s">
        <v>893</v>
      </c>
      <c r="G1454" s="867"/>
      <c r="H1454" s="1349" t="s">
        <v>1508</v>
      </c>
      <c r="I1454" s="426"/>
      <c r="J1454" s="425"/>
      <c r="K1454" s="425"/>
      <c r="L1454" s="866"/>
      <c r="M1454" s="866"/>
      <c r="N1454" s="926"/>
      <c r="O1454" s="926"/>
      <c r="P1454" s="1223"/>
      <c r="Q1454" s="1158"/>
      <c r="R1454" s="1027"/>
      <c r="S1454" s="1028"/>
      <c r="T1454" s="1028"/>
      <c r="U1454" s="1028"/>
      <c r="V1454" s="1028"/>
      <c r="W1454" s="1028"/>
      <c r="X1454" s="1697"/>
      <c r="Y1454" s="1052"/>
      <c r="Z1454" s="1052"/>
      <c r="AA1454" s="1749"/>
      <c r="AB1454" s="1812"/>
      <c r="AC1454" s="876"/>
      <c r="AD1454" s="1291"/>
      <c r="AE1454" s="1292"/>
      <c r="AF1454" s="1525"/>
      <c r="AG1454" s="1525"/>
      <c r="AH1454" s="1525"/>
      <c r="AI1454" s="1525"/>
      <c r="AJ1454" s="1525"/>
      <c r="AK1454" s="1525"/>
      <c r="AL1454" s="1525"/>
      <c r="AM1454" s="1525"/>
      <c r="AN1454" s="1525"/>
      <c r="AO1454" s="1525"/>
      <c r="AP1454" s="1525"/>
      <c r="AQ1454" s="1525"/>
      <c r="AR1454" s="1525"/>
      <c r="AS1454" s="1525"/>
      <c r="AU1454" s="1525"/>
      <c r="AV1454" s="1295"/>
      <c r="AW1454" s="1525"/>
      <c r="AX1454" s="1525"/>
      <c r="AY1454" s="1525"/>
      <c r="AZ1454" s="1525"/>
      <c r="BA1454" s="1525"/>
      <c r="BB1454" s="1525"/>
      <c r="BC1454" s="1525"/>
      <c r="BD1454" s="1525"/>
      <c r="BE1454" s="1525"/>
      <c r="BF1454" s="1525"/>
      <c r="BG1454" s="1525"/>
      <c r="BH1454" s="1525"/>
      <c r="BI1454" s="1525"/>
      <c r="BJ1454" s="1525"/>
      <c r="BK1454" s="1525"/>
      <c r="BL1454" s="1525"/>
      <c r="BM1454" s="1525"/>
      <c r="BN1454" s="1525"/>
      <c r="BO1454" s="1525"/>
      <c r="BP1454" s="1525"/>
      <c r="BQ1454" s="1525"/>
      <c r="BR1454" s="1525"/>
      <c r="BS1454" s="1525"/>
      <c r="BT1454" s="1670"/>
      <c r="BV1454"/>
      <c r="BW1454" s="867"/>
    </row>
    <row r="1455" spans="2:75" s="164" customFormat="1" ht="12.75" customHeight="1" x14ac:dyDescent="0.15">
      <c r="B1455" s="175"/>
      <c r="F1455" s="37"/>
      <c r="G1455" s="913"/>
      <c r="H1455" s="1358" t="s">
        <v>1508</v>
      </c>
      <c r="I1455" s="180"/>
      <c r="J1455" s="173"/>
      <c r="K1455" s="173"/>
      <c r="L1455" s="893"/>
      <c r="M1455" s="893"/>
      <c r="N1455" s="832"/>
      <c r="O1455" s="1200"/>
      <c r="P1455" s="550"/>
      <c r="Q1455" s="1148"/>
      <c r="R1455" s="874"/>
      <c r="S1455" s="875"/>
      <c r="T1455" s="875"/>
      <c r="U1455" s="875"/>
      <c r="V1455" s="875"/>
      <c r="W1455" s="875"/>
      <c r="X1455" s="1026"/>
      <c r="Y1455" s="1757"/>
      <c r="Z1455" s="1756"/>
      <c r="AA1455" s="1775"/>
      <c r="AB1455" s="1814"/>
      <c r="AC1455" s="876"/>
      <c r="AD1455" s="1291"/>
      <c r="AE1455" s="1292"/>
      <c r="AF1455" s="1525"/>
      <c r="AG1455" s="1525"/>
      <c r="AH1455" s="1525"/>
      <c r="AI1455" s="1525"/>
      <c r="AJ1455" s="1525"/>
      <c r="AK1455" s="1525"/>
      <c r="AL1455" s="1525"/>
      <c r="AM1455" s="1525"/>
      <c r="AN1455" s="1525"/>
      <c r="AO1455" s="1525"/>
      <c r="AP1455" s="1525"/>
      <c r="AQ1455" s="1525"/>
      <c r="AR1455" s="1525"/>
      <c r="AS1455" s="1525"/>
      <c r="AU1455" s="1525"/>
      <c r="AV1455" s="1295"/>
      <c r="AW1455" s="1525"/>
      <c r="AX1455" s="1525"/>
      <c r="AY1455" s="1525"/>
      <c r="AZ1455" s="1525"/>
      <c r="BA1455" s="1525"/>
      <c r="BB1455" s="1525"/>
      <c r="BC1455" s="1525"/>
      <c r="BD1455" s="1525"/>
      <c r="BE1455" s="1525"/>
      <c r="BF1455" s="1525"/>
      <c r="BG1455" s="1525"/>
      <c r="BH1455" s="1525"/>
      <c r="BI1455" s="1525"/>
      <c r="BJ1455" s="1525"/>
      <c r="BK1455" s="1525"/>
      <c r="BL1455" s="1525"/>
      <c r="BM1455" s="1525"/>
      <c r="BN1455" s="1525"/>
      <c r="BO1455" s="1525"/>
      <c r="BP1455" s="1525"/>
      <c r="BQ1455" s="1525"/>
      <c r="BR1455" s="1525"/>
      <c r="BS1455" s="1525"/>
      <c r="BT1455" s="1670"/>
      <c r="BV1455"/>
      <c r="BW1455" s="913"/>
    </row>
    <row r="1456" spans="2:75" s="164" customFormat="1" ht="12.75" customHeight="1" thickBot="1" x14ac:dyDescent="0.2">
      <c r="B1456" s="175"/>
      <c r="F1456" s="2"/>
      <c r="G1456" s="856"/>
      <c r="H1456" s="1364" t="s">
        <v>1508</v>
      </c>
      <c r="I1456" s="172"/>
      <c r="J1456" s="168"/>
      <c r="K1456" s="168"/>
      <c r="L1456" s="841"/>
      <c r="M1456" s="841"/>
      <c r="N1456" s="855"/>
      <c r="O1456" s="1200"/>
      <c r="P1456" s="550"/>
      <c r="Q1456" s="1148"/>
      <c r="R1456" s="874"/>
      <c r="S1456" s="875"/>
      <c r="T1456" s="875"/>
      <c r="U1456" s="875"/>
      <c r="V1456" s="875"/>
      <c r="W1456" s="875"/>
      <c r="X1456" s="1026"/>
      <c r="Y1456" s="1757"/>
      <c r="Z1456" s="1756"/>
      <c r="AA1456" s="1775"/>
      <c r="AB1456" s="1814"/>
      <c r="AC1456" s="876"/>
      <c r="AD1456" s="1291"/>
      <c r="AE1456" s="1292"/>
      <c r="AF1456" s="1525"/>
      <c r="AG1456" s="1525"/>
      <c r="AH1456" s="1525"/>
      <c r="AI1456" s="1525"/>
      <c r="AJ1456" s="1525"/>
      <c r="AK1456" s="1525"/>
      <c r="AL1456" s="1525"/>
      <c r="AM1456" s="1525"/>
      <c r="AN1456" s="1525"/>
      <c r="AO1456" s="1525"/>
      <c r="AP1456" s="1525"/>
      <c r="AQ1456" s="1525"/>
      <c r="AR1456" s="1525"/>
      <c r="AS1456" s="1525"/>
      <c r="AU1456" s="1525"/>
      <c r="AV1456" s="1295"/>
      <c r="AW1456" s="1525"/>
      <c r="AX1456" s="1525"/>
      <c r="AY1456" s="1525"/>
      <c r="AZ1456" s="1525"/>
      <c r="BA1456" s="1525"/>
      <c r="BB1456" s="1525"/>
      <c r="BC1456" s="1525"/>
      <c r="BD1456" s="1525"/>
      <c r="BE1456" s="1525"/>
      <c r="BF1456" s="1525"/>
      <c r="BG1456" s="1525"/>
      <c r="BH1456" s="1525"/>
      <c r="BI1456" s="1525"/>
      <c r="BJ1456" s="1525"/>
      <c r="BK1456" s="1525"/>
      <c r="BL1456" s="1525"/>
      <c r="BM1456" s="1525"/>
      <c r="BN1456" s="1525"/>
      <c r="BO1456" s="1525"/>
      <c r="BP1456" s="1525"/>
      <c r="BQ1456" s="1525"/>
      <c r="BR1456" s="1525"/>
      <c r="BS1456" s="1525"/>
      <c r="BT1456" s="1670"/>
      <c r="BV1456"/>
      <c r="BW1456" s="856"/>
    </row>
    <row r="1457" spans="2:75" s="164" customFormat="1" ht="13.5" customHeight="1" thickBot="1" x14ac:dyDescent="0.2">
      <c r="B1457" s="175"/>
      <c r="C1457" s="338" t="s">
        <v>139</v>
      </c>
      <c r="D1457" s="682" t="s">
        <v>346</v>
      </c>
      <c r="E1457" s="683" t="s">
        <v>967</v>
      </c>
      <c r="F1457" s="684" t="s">
        <v>1447</v>
      </c>
      <c r="G1457" s="963">
        <f>SUMIF(C1241:C1456,"S",G1241:G1456)</f>
        <v>121</v>
      </c>
      <c r="H1457" s="1381" t="s">
        <v>1508</v>
      </c>
      <c r="I1457" s="685"/>
      <c r="J1457" s="686"/>
      <c r="K1457" s="687">
        <f>K1291+K1384+K1434+K1453</f>
        <v>10.5</v>
      </c>
      <c r="L1457" s="963">
        <f>L1291+L1384+L1434+L1453</f>
        <v>97.41</v>
      </c>
      <c r="M1457" s="963">
        <f>M1291+M1384+M1434+M1453</f>
        <v>107.91</v>
      </c>
      <c r="N1457" s="964"/>
      <c r="O1457" s="964"/>
      <c r="P1457" s="1255"/>
      <c r="Q1457" s="1180"/>
      <c r="R1457" s="882"/>
      <c r="S1457" s="1065"/>
      <c r="T1457" s="1065"/>
      <c r="U1457" s="1065"/>
      <c r="V1457" s="1065"/>
      <c r="W1457" s="1065"/>
      <c r="X1457" s="1282">
        <f>X1291+X1384+X1434+X1453</f>
        <v>4185501.8000000003</v>
      </c>
      <c r="Y1457" s="1282"/>
      <c r="Z1457" s="1832">
        <f t="shared" ref="Z1457" si="898">Z1291+Z1384+Z1434+Z1453</f>
        <v>113.81190585995358</v>
      </c>
      <c r="AA1457" s="1831">
        <f>AA1291+AA1384+AA1434+AA1453</f>
        <v>85.31</v>
      </c>
      <c r="AB1457" s="1813">
        <f t="shared" ref="AB1457" si="899">100*AA1457/Z1457</f>
        <v>74.957008544408879</v>
      </c>
      <c r="AC1457" s="1721"/>
      <c r="AD1457" s="1291"/>
      <c r="AE1457" s="1292"/>
      <c r="AF1457" s="1525"/>
      <c r="AG1457" s="1525"/>
      <c r="AH1457" s="1525"/>
      <c r="AI1457" s="1525"/>
      <c r="AJ1457" s="1525"/>
      <c r="AK1457" s="1525"/>
      <c r="AL1457" s="1525"/>
      <c r="AM1457" s="1525"/>
      <c r="AN1457" s="1525"/>
      <c r="AO1457" s="1525"/>
      <c r="AP1457" s="1525"/>
      <c r="AQ1457" s="1525"/>
      <c r="AR1457" s="1525"/>
      <c r="AS1457" s="1525"/>
      <c r="AU1457" s="1525"/>
      <c r="AV1457" s="1295"/>
      <c r="AW1457" s="1525"/>
      <c r="AX1457" s="1525"/>
      <c r="AY1457" s="1525"/>
      <c r="AZ1457" s="1525"/>
      <c r="BA1457" s="1525"/>
      <c r="BB1457" s="1525"/>
      <c r="BC1457" s="1525"/>
      <c r="BD1457" s="1525"/>
      <c r="BE1457" s="1525"/>
      <c r="BF1457" s="1525"/>
      <c r="BG1457" s="1525"/>
      <c r="BH1457" s="1525"/>
      <c r="BI1457" s="1525"/>
      <c r="BJ1457" s="1525"/>
      <c r="BK1457" s="1525"/>
      <c r="BL1457" s="1525"/>
      <c r="BM1457" s="1525"/>
      <c r="BN1457" s="1525"/>
      <c r="BO1457" s="1525"/>
      <c r="BP1457" s="1525"/>
      <c r="BQ1457" s="1525"/>
      <c r="BR1457" s="1525"/>
      <c r="BS1457" s="1525"/>
      <c r="BT1457" s="1670"/>
      <c r="BV1457"/>
      <c r="BW1457" s="964"/>
    </row>
    <row r="1458" spans="2:75" s="164" customFormat="1" ht="13.5" customHeight="1" x14ac:dyDescent="0.15">
      <c r="B1458" s="175"/>
      <c r="C1458" s="429" t="s">
        <v>1132</v>
      </c>
      <c r="D1458" s="429"/>
      <c r="E1458" s="430" t="s">
        <v>440</v>
      </c>
      <c r="F1458" s="424" t="s">
        <v>893</v>
      </c>
      <c r="G1458" s="870"/>
      <c r="H1458" s="1350" t="s">
        <v>1508</v>
      </c>
      <c r="I1458" s="426"/>
      <c r="J1458" s="425"/>
      <c r="K1458" s="425"/>
      <c r="L1458" s="866"/>
      <c r="M1458" s="866"/>
      <c r="N1458" s="870"/>
      <c r="O1458" s="870"/>
      <c r="P1458" s="1256"/>
      <c r="Q1458" s="1184"/>
      <c r="R1458" s="888"/>
      <c r="S1458" s="889"/>
      <c r="T1458" s="889"/>
      <c r="U1458" s="889"/>
      <c r="V1458" s="889"/>
      <c r="W1458" s="889"/>
      <c r="X1458" s="1283">
        <f>X1292+X1385+X1435+32300</f>
        <v>81012</v>
      </c>
      <c r="Y1458" s="891"/>
      <c r="Z1458" s="891"/>
      <c r="AA1458" s="1775"/>
      <c r="AB1458" s="1814"/>
      <c r="AC1458" s="1721"/>
      <c r="AD1458" s="1295"/>
      <c r="AE1458" s="1525"/>
      <c r="AF1458" s="1525"/>
      <c r="AG1458" s="1525"/>
      <c r="AH1458" s="1525"/>
      <c r="AI1458" s="1525"/>
      <c r="AJ1458" s="1525"/>
      <c r="AK1458" s="1525"/>
      <c r="AL1458" s="1525"/>
      <c r="AM1458" s="1525"/>
      <c r="AN1458" s="1525"/>
      <c r="AO1458" s="1525"/>
      <c r="AP1458" s="1525"/>
      <c r="AQ1458" s="1525"/>
      <c r="AR1458" s="1525"/>
      <c r="AS1458" s="1525"/>
      <c r="AU1458" s="1525"/>
      <c r="AV1458" s="1295"/>
      <c r="AW1458" s="1525"/>
      <c r="AX1458" s="1525"/>
      <c r="AY1458" s="1525"/>
      <c r="AZ1458" s="1525"/>
      <c r="BA1458" s="1525"/>
      <c r="BB1458" s="1525"/>
      <c r="BC1458" s="1525"/>
      <c r="BD1458" s="1525"/>
      <c r="BE1458" s="1525"/>
      <c r="BF1458" s="1525"/>
      <c r="BG1458" s="1525"/>
      <c r="BH1458" s="1525"/>
      <c r="BI1458" s="1525"/>
      <c r="BJ1458" s="1525"/>
      <c r="BK1458" s="1525"/>
      <c r="BL1458" s="1525"/>
      <c r="BM1458" s="1525"/>
      <c r="BN1458" s="1525"/>
      <c r="BO1458" s="1525"/>
      <c r="BP1458" s="1525"/>
      <c r="BQ1458" s="1525"/>
      <c r="BR1458" s="1525"/>
      <c r="BS1458" s="1525"/>
      <c r="BT1458" s="1670"/>
      <c r="BV1458"/>
      <c r="BW1458" s="870"/>
    </row>
    <row r="1459" spans="2:75" s="164" customFormat="1" ht="12.75" customHeight="1" x14ac:dyDescent="0.15">
      <c r="B1459" s="175"/>
      <c r="C1459" s="523" t="s">
        <v>793</v>
      </c>
      <c r="D1459" s="502"/>
      <c r="E1459" s="558" t="s">
        <v>440</v>
      </c>
      <c r="F1459" s="559" t="s">
        <v>884</v>
      </c>
      <c r="G1459" s="849"/>
      <c r="H1459" s="1396" t="s">
        <v>1508</v>
      </c>
      <c r="I1459" s="557"/>
      <c r="J1459" s="501"/>
      <c r="K1459" s="501"/>
      <c r="L1459" s="997"/>
      <c r="M1459" s="997"/>
      <c r="N1459" s="849"/>
      <c r="O1459" s="849"/>
      <c r="P1459" s="1257"/>
      <c r="Q1459" s="1181"/>
      <c r="R1459" s="1049"/>
      <c r="S1459" s="1028"/>
      <c r="T1459" s="1028"/>
      <c r="U1459" s="1028"/>
      <c r="V1459" s="1028"/>
      <c r="W1459" s="1028"/>
      <c r="X1459" s="1284">
        <f>X1293+X1386</f>
        <v>0</v>
      </c>
      <c r="Y1459" s="876"/>
      <c r="Z1459" s="876"/>
      <c r="AA1459" s="1775"/>
      <c r="AB1459" s="1814"/>
      <c r="AC1459" s="1721"/>
      <c r="AD1459" s="1295"/>
      <c r="AE1459" s="1525"/>
      <c r="AF1459" s="1525"/>
      <c r="AG1459" s="1525"/>
      <c r="AH1459" s="1525"/>
      <c r="AI1459" s="1525"/>
      <c r="AJ1459" s="1525"/>
      <c r="AK1459" s="1525"/>
      <c r="AL1459" s="1525"/>
      <c r="AM1459" s="1525"/>
      <c r="AN1459" s="1525"/>
      <c r="AO1459" s="1525"/>
      <c r="AP1459" s="1525"/>
      <c r="AQ1459" s="1525"/>
      <c r="AR1459" s="1525"/>
      <c r="AS1459" s="1525"/>
      <c r="AU1459" s="1525"/>
      <c r="AV1459" s="1295"/>
      <c r="AW1459" s="1525"/>
      <c r="AX1459" s="1525"/>
      <c r="AY1459" s="1525"/>
      <c r="AZ1459" s="1525"/>
      <c r="BA1459" s="1525"/>
      <c r="BB1459" s="1525"/>
      <c r="BC1459" s="1525"/>
      <c r="BD1459" s="1525"/>
      <c r="BE1459" s="1525"/>
      <c r="BF1459" s="1525"/>
      <c r="BG1459" s="1525"/>
      <c r="BH1459" s="1525"/>
      <c r="BI1459" s="1525"/>
      <c r="BJ1459" s="1525"/>
      <c r="BK1459" s="1525"/>
      <c r="BL1459" s="1525"/>
      <c r="BM1459" s="1525"/>
      <c r="BN1459" s="1525"/>
      <c r="BO1459" s="1525"/>
      <c r="BP1459" s="1525"/>
      <c r="BQ1459" s="1525"/>
      <c r="BR1459" s="1525"/>
      <c r="BS1459" s="1525"/>
      <c r="BT1459" s="1670"/>
      <c r="BV1459"/>
      <c r="BW1459" s="849"/>
    </row>
    <row r="1460" spans="2:75" s="164" customFormat="1" ht="12.75" customHeight="1" x14ac:dyDescent="0.15">
      <c r="B1460" s="175"/>
      <c r="F1460" s="16" t="s">
        <v>162</v>
      </c>
      <c r="G1460" s="836"/>
      <c r="H1460" s="1347" t="s">
        <v>1508</v>
      </c>
      <c r="I1460" s="266"/>
      <c r="J1460" s="305"/>
      <c r="K1460" s="305"/>
      <c r="L1460" s="861"/>
      <c r="M1460" s="861"/>
      <c r="N1460" s="948"/>
      <c r="O1460" s="1200"/>
      <c r="P1460" s="550"/>
      <c r="Q1460" s="1148"/>
      <c r="R1460" s="874"/>
      <c r="S1460" s="875"/>
      <c r="T1460" s="875"/>
      <c r="U1460" s="875"/>
      <c r="V1460" s="875"/>
      <c r="W1460" s="875"/>
      <c r="X1460" s="1026"/>
      <c r="Y1460" s="1757"/>
      <c r="Z1460" s="1756"/>
      <c r="AA1460" s="1775"/>
      <c r="AB1460" s="1814"/>
      <c r="AC1460" s="876"/>
      <c r="AD1460" s="1295"/>
      <c r="AE1460" s="1525"/>
      <c r="AF1460" s="1525"/>
      <c r="AG1460" s="1525"/>
      <c r="AH1460" s="1525"/>
      <c r="AI1460" s="1525"/>
      <c r="AJ1460" s="1525"/>
      <c r="AK1460" s="1525"/>
      <c r="AL1460" s="1525"/>
      <c r="AM1460" s="1525"/>
      <c r="AN1460" s="1525"/>
      <c r="AO1460" s="1525"/>
      <c r="AP1460" s="1525"/>
      <c r="AQ1460" s="1525"/>
      <c r="AR1460" s="1525"/>
      <c r="AS1460" s="1525"/>
      <c r="AU1460" s="1525"/>
      <c r="AV1460" s="1295"/>
      <c r="AW1460" s="1525"/>
      <c r="AX1460" s="1525"/>
      <c r="AY1460" s="1525"/>
      <c r="AZ1460" s="1525"/>
      <c r="BA1460" s="1525"/>
      <c r="BB1460" s="1525"/>
      <c r="BC1460" s="1525"/>
      <c r="BD1460" s="1525"/>
      <c r="BE1460" s="1525"/>
      <c r="BF1460" s="1525"/>
      <c r="BG1460" s="1525"/>
      <c r="BH1460" s="1525"/>
      <c r="BI1460" s="1525"/>
      <c r="BJ1460" s="1525"/>
      <c r="BK1460" s="1525"/>
      <c r="BL1460" s="1525"/>
      <c r="BM1460" s="1525"/>
      <c r="BN1460" s="1525"/>
      <c r="BO1460" s="1525"/>
      <c r="BP1460" s="1525"/>
      <c r="BQ1460" s="1525"/>
      <c r="BR1460" s="1525"/>
      <c r="BS1460" s="1525"/>
      <c r="BT1460" s="1670"/>
      <c r="BV1460"/>
      <c r="BW1460" s="836"/>
    </row>
    <row r="1461" spans="2:75" ht="12.75" customHeight="1" x14ac:dyDescent="0.2">
      <c r="B1461" s="175">
        <f>B1460+1</f>
        <v>1</v>
      </c>
      <c r="C1461" s="573">
        <v>3</v>
      </c>
      <c r="D1461" s="574"/>
      <c r="E1461" s="12" t="s">
        <v>1307</v>
      </c>
      <c r="F1461" s="647" t="s">
        <v>476</v>
      </c>
      <c r="G1461" s="825" t="s">
        <v>477</v>
      </c>
      <c r="H1461" s="861">
        <v>3144</v>
      </c>
      <c r="I1461" s="200" t="s">
        <v>351</v>
      </c>
      <c r="J1461" s="237"/>
      <c r="K1461" s="237"/>
      <c r="L1461" s="861">
        <v>1</v>
      </c>
      <c r="M1461" s="861">
        <f>K1461+L1461</f>
        <v>1</v>
      </c>
      <c r="N1461" s="832" t="s">
        <v>892</v>
      </c>
      <c r="O1461" s="1196">
        <v>17339</v>
      </c>
      <c r="P1461" s="1218">
        <f ca="1">YEARFRAC(TODAY(),O1461)</f>
        <v>70.280555555555551</v>
      </c>
      <c r="Q1461" s="1148">
        <v>83750</v>
      </c>
      <c r="R1461" s="874"/>
      <c r="S1461" s="876">
        <v>7000</v>
      </c>
      <c r="T1461" s="874">
        <v>4000</v>
      </c>
      <c r="U1461" s="874">
        <v>3000</v>
      </c>
      <c r="V1461" s="874"/>
      <c r="W1461" s="876"/>
      <c r="X1461" s="1026">
        <f>(Q1461+R1461+S1461+T1461+U1461+V1461+W1461)*M1461</f>
        <v>97750</v>
      </c>
      <c r="Y1461" s="1512">
        <f>(T1461+U1461)*M1461/(X1461-M1461*(T1461+U1461))</f>
        <v>7.7134986225895319E-2</v>
      </c>
      <c r="Z1461" s="1741">
        <f>M1461*(1+Y1461)</f>
        <v>1.0771349862258952</v>
      </c>
      <c r="AA1461" s="1749">
        <f>SUM(AD1461:AS1461)</f>
        <v>1</v>
      </c>
      <c r="AB1461" s="1810">
        <f t="shared" ref="AB1461" si="900">100*AA1461/Z1461</f>
        <v>92.838874680306915</v>
      </c>
      <c r="AC1461" s="876"/>
      <c r="AD1461" s="1525">
        <f t="shared" ref="AD1461:AS1461" si="901">SUMIF($AV$6:$BS$6,AD$5,$AV1461:$BS1461)</f>
        <v>0</v>
      </c>
      <c r="AE1461" s="1525">
        <f t="shared" si="901"/>
        <v>0</v>
      </c>
      <c r="AF1461" s="1525">
        <f t="shared" si="901"/>
        <v>0</v>
      </c>
      <c r="AG1461" s="1525">
        <f t="shared" si="901"/>
        <v>0</v>
      </c>
      <c r="AH1461" s="1525">
        <f t="shared" si="901"/>
        <v>0</v>
      </c>
      <c r="AI1461" s="1525">
        <f t="shared" si="901"/>
        <v>0</v>
      </c>
      <c r="AJ1461" s="1525">
        <f t="shared" si="901"/>
        <v>0</v>
      </c>
      <c r="AK1461" s="1525">
        <f t="shared" si="901"/>
        <v>0</v>
      </c>
      <c r="AL1461" s="1525">
        <f t="shared" si="901"/>
        <v>0</v>
      </c>
      <c r="AM1461" s="1525">
        <f t="shared" si="901"/>
        <v>0</v>
      </c>
      <c r="AN1461" s="1525">
        <f t="shared" si="901"/>
        <v>0</v>
      </c>
      <c r="AO1461" s="1525">
        <f t="shared" si="901"/>
        <v>1</v>
      </c>
      <c r="AP1461" s="1525">
        <f t="shared" si="901"/>
        <v>0</v>
      </c>
      <c r="AQ1461" s="1525">
        <f t="shared" si="901"/>
        <v>0</v>
      </c>
      <c r="AR1461" s="1525">
        <f t="shared" si="901"/>
        <v>0</v>
      </c>
      <c r="AS1461" s="1525">
        <f t="shared" si="901"/>
        <v>0</v>
      </c>
      <c r="AU1461" s="1525"/>
      <c r="AV1461" s="1291"/>
      <c r="AW1461" s="1292"/>
      <c r="AX1461" s="1292"/>
      <c r="AY1461" s="1292"/>
      <c r="AZ1461" s="1292"/>
      <c r="BA1461" s="1292"/>
      <c r="BB1461" s="1292"/>
      <c r="BC1461" s="1292"/>
      <c r="BD1461" s="1292">
        <v>1</v>
      </c>
      <c r="BE1461" s="1292"/>
      <c r="BF1461" s="1292"/>
      <c r="BG1461" s="1292"/>
      <c r="BH1461" s="1292"/>
      <c r="BI1461" s="1292"/>
      <c r="BJ1461" s="1292"/>
      <c r="BK1461" s="1292"/>
      <c r="BL1461" s="1292"/>
      <c r="BM1461" s="1292"/>
      <c r="BN1461" s="1292"/>
      <c r="BO1461" s="1292"/>
      <c r="BP1461" s="1292"/>
      <c r="BQ1461" s="1292"/>
      <c r="BR1461" s="1292"/>
      <c r="BS1461" s="1292"/>
      <c r="BT1461" s="1670">
        <f t="shared" ref="BT1461" si="902">SUM(AV1461:BS1461)</f>
        <v>1</v>
      </c>
      <c r="BW1461" s="825" t="s">
        <v>477</v>
      </c>
    </row>
    <row r="1462" spans="2:75" s="164" customFormat="1" ht="12.75" customHeight="1" x14ac:dyDescent="0.2">
      <c r="B1462" s="175"/>
      <c r="F1462" s="60"/>
      <c r="G1462" s="825"/>
      <c r="H1462" s="1347" t="s">
        <v>1508</v>
      </c>
      <c r="I1462" s="200"/>
      <c r="J1462" s="309"/>
      <c r="K1462" s="309"/>
      <c r="L1462" s="861"/>
      <c r="M1462" s="861"/>
      <c r="N1462" s="832"/>
      <c r="O1462" s="1193"/>
      <c r="P1462" s="550"/>
      <c r="Q1462" s="1148"/>
      <c r="R1462" s="874"/>
      <c r="S1462" s="876"/>
      <c r="T1462" s="874"/>
      <c r="U1462" s="874"/>
      <c r="V1462" s="874"/>
      <c r="W1462" s="876"/>
      <c r="X1462" s="1026"/>
      <c r="Y1462" s="1562"/>
      <c r="Z1462" s="1742"/>
      <c r="AA1462" s="1775"/>
      <c r="AB1462" s="1812"/>
      <c r="AC1462" s="876"/>
      <c r="AD1462" s="1295"/>
      <c r="AE1462" s="1525"/>
      <c r="AF1462" s="1525"/>
      <c r="AG1462" s="1525"/>
      <c r="AH1462" s="1525"/>
      <c r="AI1462" s="1525"/>
      <c r="AJ1462" s="1525"/>
      <c r="AK1462" s="1525"/>
      <c r="AL1462" s="1525"/>
      <c r="AM1462" s="1525"/>
      <c r="AN1462" s="1525"/>
      <c r="AO1462" s="1525"/>
      <c r="AP1462" s="1525"/>
      <c r="AQ1462" s="1525"/>
      <c r="AR1462" s="1525"/>
      <c r="AS1462" s="1525"/>
      <c r="AU1462" s="1525"/>
      <c r="AV1462" s="1295"/>
      <c r="AW1462" s="1525"/>
      <c r="AX1462" s="1525"/>
      <c r="AY1462" s="1525"/>
      <c r="AZ1462" s="1525"/>
      <c r="BA1462" s="1525"/>
      <c r="BB1462" s="1525"/>
      <c r="BC1462" s="1525"/>
      <c r="BD1462" s="1525"/>
      <c r="BE1462" s="1525"/>
      <c r="BF1462" s="1525"/>
      <c r="BG1462" s="1525"/>
      <c r="BH1462" s="1525"/>
      <c r="BI1462" s="1525"/>
      <c r="BJ1462" s="1525"/>
      <c r="BK1462" s="1525"/>
      <c r="BL1462" s="1525"/>
      <c r="BM1462" s="1525"/>
      <c r="BN1462" s="1525"/>
      <c r="BO1462" s="1525"/>
      <c r="BP1462" s="1525"/>
      <c r="BQ1462" s="1525"/>
      <c r="BR1462" s="1525"/>
      <c r="BS1462" s="1525"/>
      <c r="BT1462" s="1670"/>
      <c r="BV1462"/>
      <c r="BW1462" s="825"/>
    </row>
    <row r="1463" spans="2:75" s="164" customFormat="1" ht="12.75" customHeight="1" x14ac:dyDescent="0.2">
      <c r="B1463" s="175"/>
      <c r="F1463" s="10" t="s">
        <v>1449</v>
      </c>
      <c r="G1463" s="799"/>
      <c r="H1463" s="1341" t="s">
        <v>1508</v>
      </c>
      <c r="L1463" s="843"/>
      <c r="M1463" s="843"/>
      <c r="N1463" s="799"/>
      <c r="O1463" s="1193"/>
      <c r="P1463" s="550"/>
      <c r="Q1463" s="1148"/>
      <c r="R1463" s="874"/>
      <c r="S1463" s="875"/>
      <c r="T1463" s="875"/>
      <c r="U1463" s="875"/>
      <c r="V1463" s="875"/>
      <c r="W1463" s="875"/>
      <c r="X1463" s="1026"/>
      <c r="Y1463" s="1562"/>
      <c r="Z1463" s="1742"/>
      <c r="AA1463" s="1775"/>
      <c r="AB1463" s="1812"/>
      <c r="AC1463" s="876"/>
      <c r="AD1463" s="1295"/>
      <c r="AE1463" s="1525"/>
      <c r="AF1463" s="1525"/>
      <c r="AG1463" s="1525"/>
      <c r="AH1463" s="1525"/>
      <c r="AI1463" s="1525"/>
      <c r="AJ1463" s="1525"/>
      <c r="AK1463" s="1525"/>
      <c r="AL1463" s="1525"/>
      <c r="AM1463" s="1525"/>
      <c r="AN1463" s="1525"/>
      <c r="AO1463" s="1525"/>
      <c r="AP1463" s="1525"/>
      <c r="AQ1463" s="1525"/>
      <c r="AR1463" s="1525"/>
      <c r="AS1463" s="1525"/>
      <c r="AU1463" s="1525"/>
      <c r="AV1463" s="1295"/>
      <c r="AW1463" s="1525"/>
      <c r="AX1463" s="1525"/>
      <c r="AY1463" s="1525"/>
      <c r="AZ1463" s="1525"/>
      <c r="BA1463" s="1525"/>
      <c r="BB1463" s="1525"/>
      <c r="BC1463" s="1525"/>
      <c r="BD1463" s="1525"/>
      <c r="BE1463" s="1525"/>
      <c r="BF1463" s="1525"/>
      <c r="BG1463" s="1525"/>
      <c r="BH1463" s="1525"/>
      <c r="BI1463" s="1525"/>
      <c r="BJ1463" s="1525"/>
      <c r="BK1463" s="1525"/>
      <c r="BL1463" s="1525"/>
      <c r="BM1463" s="1525"/>
      <c r="BN1463" s="1525"/>
      <c r="BO1463" s="1525"/>
      <c r="BP1463" s="1525"/>
      <c r="BQ1463" s="1525"/>
      <c r="BR1463" s="1525"/>
      <c r="BS1463" s="1525"/>
      <c r="BT1463" s="1670"/>
      <c r="BV1463"/>
      <c r="BW1463" s="799"/>
    </row>
    <row r="1464" spans="2:75" s="164" customFormat="1" ht="12.75" customHeight="1" x14ac:dyDescent="0.2">
      <c r="B1464" s="175"/>
      <c r="F1464" s="4"/>
      <c r="G1464" s="799"/>
      <c r="H1464" s="1341" t="s">
        <v>1508</v>
      </c>
      <c r="L1464" s="843"/>
      <c r="M1464" s="843"/>
      <c r="N1464" s="799"/>
      <c r="O1464" s="1193"/>
      <c r="P1464" s="550"/>
      <c r="Q1464" s="1148"/>
      <c r="R1464" s="874"/>
      <c r="S1464" s="875"/>
      <c r="T1464" s="875"/>
      <c r="U1464" s="875"/>
      <c r="V1464" s="875"/>
      <c r="W1464" s="875"/>
      <c r="X1464" s="1026"/>
      <c r="Y1464" s="1562"/>
      <c r="Z1464" s="1742"/>
      <c r="AA1464" s="1775"/>
      <c r="AB1464" s="1812"/>
      <c r="AC1464" s="876"/>
      <c r="AD1464" s="1295"/>
      <c r="AE1464" s="1525"/>
      <c r="AF1464" s="1525"/>
      <c r="AG1464" s="1525"/>
      <c r="AH1464" s="1525"/>
      <c r="AI1464" s="1525"/>
      <c r="AJ1464" s="1525"/>
      <c r="AK1464" s="1525"/>
      <c r="AL1464" s="1525"/>
      <c r="AM1464" s="1525"/>
      <c r="AN1464" s="1525"/>
      <c r="AO1464" s="1525"/>
      <c r="AP1464" s="1525"/>
      <c r="AQ1464" s="1525"/>
      <c r="AR1464" s="1525"/>
      <c r="AS1464" s="1525"/>
      <c r="AU1464" s="1525"/>
      <c r="AV1464" s="1295"/>
      <c r="AW1464" s="1525"/>
      <c r="AX1464" s="1525"/>
      <c r="AY1464" s="1525"/>
      <c r="AZ1464" s="1525"/>
      <c r="BA1464" s="1525"/>
      <c r="BB1464" s="1525"/>
      <c r="BC1464" s="1525"/>
      <c r="BD1464" s="1525"/>
      <c r="BE1464" s="1525"/>
      <c r="BF1464" s="1525"/>
      <c r="BG1464" s="1525"/>
      <c r="BH1464" s="1525"/>
      <c r="BI1464" s="1525"/>
      <c r="BJ1464" s="1525"/>
      <c r="BK1464" s="1525"/>
      <c r="BL1464" s="1525"/>
      <c r="BM1464" s="1525"/>
      <c r="BN1464" s="1525"/>
      <c r="BO1464" s="1525"/>
      <c r="BP1464" s="1525"/>
      <c r="BQ1464" s="1525"/>
      <c r="BR1464" s="1525"/>
      <c r="BS1464" s="1525"/>
      <c r="BT1464" s="1670"/>
      <c r="BV1464"/>
      <c r="BW1464" s="799"/>
    </row>
    <row r="1465" spans="2:75" ht="12.75" customHeight="1" x14ac:dyDescent="0.2">
      <c r="B1465" s="175">
        <f>B1462+1</f>
        <v>1</v>
      </c>
      <c r="C1465" s="236">
        <v>4</v>
      </c>
      <c r="D1465" s="218"/>
      <c r="E1465" s="166" t="s">
        <v>76</v>
      </c>
      <c r="F1465" s="11" t="s">
        <v>825</v>
      </c>
      <c r="G1465" s="799" t="s">
        <v>1898</v>
      </c>
      <c r="H1465" s="858">
        <v>98514</v>
      </c>
      <c r="I1465" s="202" t="s">
        <v>351</v>
      </c>
      <c r="J1465" s="464"/>
      <c r="K1465" s="464"/>
      <c r="L1465" s="843">
        <v>1</v>
      </c>
      <c r="M1465" s="858">
        <f>K1465+L1465</f>
        <v>1</v>
      </c>
      <c r="N1465" s="831" t="s">
        <v>1326</v>
      </c>
      <c r="O1465" s="1196">
        <v>19590</v>
      </c>
      <c r="P1465" s="1218">
        <f ca="1">YEARFRAC(TODAY(),O1465)</f>
        <v>64.11944444444444</v>
      </c>
      <c r="Q1465" s="1148">
        <v>67850</v>
      </c>
      <c r="R1465" s="874">
        <f>Q1465*0.1</f>
        <v>6785</v>
      </c>
      <c r="S1465" s="875"/>
      <c r="T1465" s="875">
        <v>32300</v>
      </c>
      <c r="U1465" s="875">
        <v>3000</v>
      </c>
      <c r="V1465" s="875"/>
      <c r="W1465" s="875"/>
      <c r="X1465" s="1026">
        <f>(Q1465+R1465+S1465+T1465+U1465+V1465+W1465)*M1465</f>
        <v>109935</v>
      </c>
      <c r="Y1465" s="1512">
        <f>(T1465+U1465)*M1465/(X1465-M1465*(T1465+U1465))</f>
        <v>0.47296844643933811</v>
      </c>
      <c r="Z1465" s="1741">
        <f>M1465*(1+Y1465)</f>
        <v>1.4729684464393382</v>
      </c>
      <c r="AA1465" s="1749">
        <f>SUM(AD1465:AS1465)</f>
        <v>1</v>
      </c>
      <c r="AB1465" s="1810">
        <f t="shared" ref="AB1465" si="903">100*AA1465/Z1465</f>
        <v>67.890116887251551</v>
      </c>
      <c r="AC1465" s="876"/>
      <c r="AD1465" s="1525">
        <f t="shared" ref="AD1465:AS1465" si="904">SUMIF($AV$6:$BS$6,AD$5,$AV1465:$BS1465)</f>
        <v>1</v>
      </c>
      <c r="AE1465" s="1525">
        <f t="shared" si="904"/>
        <v>0</v>
      </c>
      <c r="AF1465" s="1525">
        <f t="shared" si="904"/>
        <v>0</v>
      </c>
      <c r="AG1465" s="1525">
        <f t="shared" si="904"/>
        <v>0</v>
      </c>
      <c r="AH1465" s="1525">
        <f t="shared" si="904"/>
        <v>0</v>
      </c>
      <c r="AI1465" s="1525">
        <f t="shared" si="904"/>
        <v>0</v>
      </c>
      <c r="AJ1465" s="1525">
        <f t="shared" si="904"/>
        <v>0</v>
      </c>
      <c r="AK1465" s="1525">
        <f t="shared" si="904"/>
        <v>0</v>
      </c>
      <c r="AL1465" s="1525">
        <f t="shared" si="904"/>
        <v>0</v>
      </c>
      <c r="AM1465" s="1525">
        <f t="shared" si="904"/>
        <v>0</v>
      </c>
      <c r="AN1465" s="1525">
        <f t="shared" si="904"/>
        <v>0</v>
      </c>
      <c r="AO1465" s="1525">
        <f t="shared" si="904"/>
        <v>0</v>
      </c>
      <c r="AP1465" s="1525">
        <f t="shared" si="904"/>
        <v>0</v>
      </c>
      <c r="AQ1465" s="1525">
        <f t="shared" si="904"/>
        <v>0</v>
      </c>
      <c r="AR1465" s="1525">
        <f t="shared" si="904"/>
        <v>0</v>
      </c>
      <c r="AS1465" s="1525">
        <f t="shared" si="904"/>
        <v>0</v>
      </c>
      <c r="AU1465" s="1525"/>
      <c r="AV1465" s="1291"/>
      <c r="AW1465" s="1292"/>
      <c r="AX1465" s="1292"/>
      <c r="AY1465" s="1292"/>
      <c r="AZ1465" s="1292"/>
      <c r="BA1465" s="1292"/>
      <c r="BB1465" s="1292"/>
      <c r="BC1465" s="1292"/>
      <c r="BD1465" s="1292"/>
      <c r="BE1465" s="1292"/>
      <c r="BF1465" s="1292"/>
      <c r="BG1465" s="1292"/>
      <c r="BH1465" s="1292"/>
      <c r="BI1465" s="1292">
        <v>0.4</v>
      </c>
      <c r="BJ1465" s="1292">
        <v>0.6</v>
      </c>
      <c r="BK1465" s="1292"/>
      <c r="BL1465" s="1292"/>
      <c r="BM1465" s="1292"/>
      <c r="BN1465" s="1292"/>
      <c r="BO1465" s="1292"/>
      <c r="BP1465" s="1292"/>
      <c r="BQ1465" s="1292"/>
      <c r="BR1465" s="1292"/>
      <c r="BS1465" s="1292"/>
      <c r="BT1465" s="1670">
        <f t="shared" ref="BT1465" si="905">SUM(AV1465:BS1465)</f>
        <v>1</v>
      </c>
      <c r="BW1465" s="799" t="s">
        <v>1898</v>
      </c>
    </row>
    <row r="1466" spans="2:75" s="164" customFormat="1" ht="12.75" customHeight="1" x14ac:dyDescent="0.2">
      <c r="B1466" s="175"/>
      <c r="C1466" s="219" t="s">
        <v>1120</v>
      </c>
      <c r="F1466" s="4" t="s">
        <v>443</v>
      </c>
      <c r="G1466" s="844"/>
      <c r="H1466" s="1342" t="s">
        <v>1508</v>
      </c>
      <c r="I1466" s="272"/>
      <c r="J1466" s="220"/>
      <c r="K1466" s="1663">
        <f>K1465</f>
        <v>0</v>
      </c>
      <c r="L1466" s="1664">
        <f>SUM(L1465)</f>
        <v>1</v>
      </c>
      <c r="M1466" s="1664">
        <f>SUM(M1465)</f>
        <v>1</v>
      </c>
      <c r="N1466" s="833"/>
      <c r="O1466" s="1193"/>
      <c r="P1466" s="550"/>
      <c r="Q1466" s="1153"/>
      <c r="R1466" s="877"/>
      <c r="S1466" s="875"/>
      <c r="T1466" s="875"/>
      <c r="U1466" s="875"/>
      <c r="V1466" s="875"/>
      <c r="W1466" s="875"/>
      <c r="X1466" s="1026"/>
      <c r="Y1466" s="1335"/>
      <c r="Z1466" s="1335"/>
      <c r="AA1466" s="1775"/>
      <c r="AB1466" s="1814"/>
      <c r="AC1466" s="876"/>
      <c r="AD1466" s="1295"/>
      <c r="AE1466" s="1525"/>
      <c r="AF1466" s="1525"/>
      <c r="AG1466" s="1525"/>
      <c r="AH1466" s="1525"/>
      <c r="AI1466" s="1525"/>
      <c r="AJ1466" s="1525"/>
      <c r="AK1466" s="1525"/>
      <c r="AL1466" s="1525"/>
      <c r="AM1466" s="1525"/>
      <c r="AN1466" s="1525"/>
      <c r="AO1466" s="1525"/>
      <c r="AP1466" s="1525"/>
      <c r="AQ1466" s="1525"/>
      <c r="AR1466" s="1525"/>
      <c r="AS1466" s="1525"/>
      <c r="AU1466" s="1525"/>
      <c r="AV1466" s="1295"/>
      <c r="AW1466" s="1525"/>
      <c r="AX1466" s="1525"/>
      <c r="AY1466" s="1525"/>
      <c r="AZ1466" s="1525"/>
      <c r="BA1466" s="1525"/>
      <c r="BB1466" s="1525"/>
      <c r="BC1466" s="1525"/>
      <c r="BD1466" s="1525"/>
      <c r="BE1466" s="1525"/>
      <c r="BF1466" s="1525"/>
      <c r="BG1466" s="1525"/>
      <c r="BH1466" s="1525"/>
      <c r="BI1466" s="1525"/>
      <c r="BJ1466" s="1525"/>
      <c r="BK1466" s="1525"/>
      <c r="BL1466" s="1525"/>
      <c r="BM1466" s="1525"/>
      <c r="BN1466" s="1525"/>
      <c r="BO1466" s="1525"/>
      <c r="BP1466" s="1525"/>
      <c r="BQ1466" s="1525"/>
      <c r="BR1466" s="1525"/>
      <c r="BS1466" s="1525"/>
      <c r="BT1466" s="1670"/>
      <c r="BV1466"/>
      <c r="BW1466" s="844"/>
    </row>
    <row r="1467" spans="2:75" s="164" customFormat="1" ht="12.75" customHeight="1" x14ac:dyDescent="0.2">
      <c r="B1467" s="175"/>
      <c r="F1467" s="4"/>
      <c r="G1467" s="844"/>
      <c r="H1467" s="1397" t="s">
        <v>1508</v>
      </c>
      <c r="I1467" s="272"/>
      <c r="J1467" s="220"/>
      <c r="K1467" s="220"/>
      <c r="L1467" s="950"/>
      <c r="M1467" s="950"/>
      <c r="N1467" s="833"/>
      <c r="O1467" s="1193"/>
      <c r="P1467" s="550"/>
      <c r="Q1467" s="1148"/>
      <c r="R1467" s="874"/>
      <c r="S1467" s="875"/>
      <c r="T1467" s="875"/>
      <c r="U1467" s="875"/>
      <c r="V1467" s="875"/>
      <c r="W1467" s="875"/>
      <c r="X1467" s="1026"/>
      <c r="Y1467" s="1754"/>
      <c r="Z1467" s="1755"/>
      <c r="AA1467" s="1775"/>
      <c r="AB1467" s="1814"/>
      <c r="AC1467" s="876"/>
      <c r="AD1467" s="1295"/>
      <c r="AE1467" s="1525"/>
      <c r="AF1467" s="1525"/>
      <c r="AG1467" s="1525"/>
      <c r="AH1467" s="1525"/>
      <c r="AI1467" s="1525"/>
      <c r="AJ1467" s="1525"/>
      <c r="AK1467" s="1525"/>
      <c r="AL1467" s="1525"/>
      <c r="AM1467" s="1525"/>
      <c r="AN1467" s="1525"/>
      <c r="AO1467" s="1525"/>
      <c r="AP1467" s="1525"/>
      <c r="AQ1467" s="1525"/>
      <c r="AR1467" s="1525"/>
      <c r="AS1467" s="1525"/>
      <c r="AU1467" s="1525"/>
      <c r="AV1467" s="1295"/>
      <c r="AW1467" s="1525"/>
      <c r="AX1467" s="1525"/>
      <c r="AY1467" s="1525"/>
      <c r="AZ1467" s="1525"/>
      <c r="BA1467" s="1525"/>
      <c r="BB1467" s="1525"/>
      <c r="BC1467" s="1525"/>
      <c r="BD1467" s="1525"/>
      <c r="BE1467" s="1525"/>
      <c r="BF1467" s="1525"/>
      <c r="BG1467" s="1525"/>
      <c r="BH1467" s="1525"/>
      <c r="BI1467" s="1525"/>
      <c r="BJ1467" s="1525"/>
      <c r="BK1467" s="1525"/>
      <c r="BL1467" s="1525"/>
      <c r="BM1467" s="1525"/>
      <c r="BN1467" s="1525"/>
      <c r="BO1467" s="1525"/>
      <c r="BP1467" s="1525"/>
      <c r="BQ1467" s="1525"/>
      <c r="BR1467" s="1525"/>
      <c r="BS1467" s="1525"/>
      <c r="BT1467" s="1670"/>
      <c r="BV1467"/>
      <c r="BW1467" s="844"/>
    </row>
    <row r="1468" spans="2:75" s="164" customFormat="1" ht="12.75" customHeight="1" x14ac:dyDescent="0.2">
      <c r="B1468" s="175"/>
      <c r="F1468" s="63" t="s">
        <v>444</v>
      </c>
      <c r="G1468" s="799"/>
      <c r="H1468" s="1341" t="s">
        <v>1508</v>
      </c>
      <c r="L1468" s="843"/>
      <c r="M1468" s="843"/>
      <c r="N1468" s="799"/>
      <c r="O1468" s="1193"/>
      <c r="P1468" s="550"/>
      <c r="Q1468" s="1148"/>
      <c r="R1468" s="874"/>
      <c r="S1468" s="875"/>
      <c r="T1468" s="875"/>
      <c r="U1468" s="875"/>
      <c r="V1468" s="875"/>
      <c r="W1468" s="875"/>
      <c r="X1468" s="1026"/>
      <c r="Y1468" s="1754"/>
      <c r="Z1468" s="1755"/>
      <c r="AA1468" s="1775"/>
      <c r="AB1468" s="1814"/>
      <c r="AC1468" s="876"/>
      <c r="AD1468" s="1295"/>
      <c r="AE1468" s="1525"/>
      <c r="AF1468" s="1525"/>
      <c r="AG1468" s="1525"/>
      <c r="AH1468" s="1525"/>
      <c r="AI1468" s="1525"/>
      <c r="AJ1468" s="1525"/>
      <c r="AK1468" s="1525"/>
      <c r="AL1468" s="1525"/>
      <c r="AM1468" s="1525"/>
      <c r="AN1468" s="1525"/>
      <c r="AO1468" s="1525"/>
      <c r="AP1468" s="1525"/>
      <c r="AQ1468" s="1525"/>
      <c r="AR1468" s="1525"/>
      <c r="AS1468" s="1525"/>
      <c r="AU1468" s="1525"/>
      <c r="AV1468" s="1295"/>
      <c r="AW1468" s="1525"/>
      <c r="AX1468" s="1525"/>
      <c r="AY1468" s="1525"/>
      <c r="AZ1468" s="1525"/>
      <c r="BA1468" s="1525"/>
      <c r="BB1468" s="1525"/>
      <c r="BC1468" s="1525"/>
      <c r="BD1468" s="1525"/>
      <c r="BE1468" s="1525"/>
      <c r="BF1468" s="1525"/>
      <c r="BG1468" s="1525"/>
      <c r="BH1468" s="1525"/>
      <c r="BI1468" s="1525"/>
      <c r="BJ1468" s="1525"/>
      <c r="BK1468" s="1525"/>
      <c r="BL1468" s="1525"/>
      <c r="BM1468" s="1525"/>
      <c r="BN1468" s="1525"/>
      <c r="BO1468" s="1525"/>
      <c r="BP1468" s="1525"/>
      <c r="BQ1468" s="1525"/>
      <c r="BR1468" s="1525"/>
      <c r="BS1468" s="1525"/>
      <c r="BT1468" s="1670"/>
      <c r="BV1468"/>
      <c r="BW1468" s="799"/>
    </row>
    <row r="1469" spans="2:75" s="164" customFormat="1" ht="12.75" customHeight="1" x14ac:dyDescent="0.2">
      <c r="B1469" s="175"/>
      <c r="G1469" s="799"/>
      <c r="H1469" s="1341" t="s">
        <v>1508</v>
      </c>
      <c r="L1469" s="843"/>
      <c r="M1469" s="843"/>
      <c r="N1469" s="799"/>
      <c r="O1469" s="1193"/>
      <c r="P1469" s="550"/>
      <c r="Q1469" s="1148"/>
      <c r="R1469" s="874"/>
      <c r="S1469" s="875"/>
      <c r="T1469" s="875"/>
      <c r="U1469" s="875"/>
      <c r="V1469" s="875"/>
      <c r="W1469" s="875"/>
      <c r="X1469" s="1026"/>
      <c r="Y1469" s="1754"/>
      <c r="Z1469" s="1755"/>
      <c r="AA1469" s="1775"/>
      <c r="AB1469" s="1814"/>
      <c r="AC1469" s="876"/>
      <c r="AD1469" s="1295"/>
      <c r="AE1469" s="1525"/>
      <c r="AF1469" s="1525"/>
      <c r="AG1469" s="1525"/>
      <c r="AH1469" s="1525"/>
      <c r="AI1469" s="1525"/>
      <c r="AJ1469" s="1525"/>
      <c r="AK1469" s="1525"/>
      <c r="AL1469" s="1525"/>
      <c r="AM1469" s="1525"/>
      <c r="AN1469" s="1525"/>
      <c r="AO1469" s="1525"/>
      <c r="AP1469" s="1525"/>
      <c r="AQ1469" s="1525"/>
      <c r="AR1469" s="1525"/>
      <c r="AS1469" s="1525"/>
      <c r="AU1469" s="1525"/>
      <c r="AV1469" s="1295"/>
      <c r="AW1469" s="1525"/>
      <c r="AX1469" s="1525"/>
      <c r="AY1469" s="1525"/>
      <c r="AZ1469" s="1525"/>
      <c r="BA1469" s="1525"/>
      <c r="BB1469" s="1525"/>
      <c r="BC1469" s="1525"/>
      <c r="BD1469" s="1525"/>
      <c r="BE1469" s="1525"/>
      <c r="BF1469" s="1525"/>
      <c r="BG1469" s="1525"/>
      <c r="BH1469" s="1525"/>
      <c r="BI1469" s="1525"/>
      <c r="BJ1469" s="1525"/>
      <c r="BK1469" s="1525"/>
      <c r="BL1469" s="1525"/>
      <c r="BM1469" s="1525"/>
      <c r="BN1469" s="1525"/>
      <c r="BO1469" s="1525"/>
      <c r="BP1469" s="1525"/>
      <c r="BQ1469" s="1525"/>
      <c r="BR1469" s="1525"/>
      <c r="BS1469" s="1525"/>
      <c r="BT1469" s="1670"/>
      <c r="BV1469"/>
      <c r="BW1469" s="799"/>
    </row>
    <row r="1470" spans="2:75" ht="12.75" customHeight="1" x14ac:dyDescent="0.2">
      <c r="B1470" s="175">
        <f>B1469+1</f>
        <v>1</v>
      </c>
      <c r="C1470" s="236">
        <v>5</v>
      </c>
      <c r="D1470" s="218"/>
      <c r="E1470" s="166" t="s">
        <v>76</v>
      </c>
      <c r="F1470" s="11" t="s">
        <v>216</v>
      </c>
      <c r="G1470" s="799" t="s">
        <v>1897</v>
      </c>
      <c r="H1470" s="858">
        <v>6064</v>
      </c>
      <c r="I1470" s="202" t="s">
        <v>351</v>
      </c>
      <c r="J1470" s="464"/>
      <c r="K1470" s="464"/>
      <c r="L1470" s="843">
        <v>1</v>
      </c>
      <c r="M1470" s="858">
        <f>K1470+L1470</f>
        <v>1</v>
      </c>
      <c r="N1470" s="831" t="s">
        <v>1326</v>
      </c>
      <c r="O1470" s="1196">
        <v>20126</v>
      </c>
      <c r="P1470" s="1218">
        <f t="shared" ref="P1470:P1483" ca="1" si="906">YEARFRAC(TODAY(),O1470)</f>
        <v>62.655555555555559</v>
      </c>
      <c r="Q1470" s="1148">
        <v>62850</v>
      </c>
      <c r="R1470" s="874">
        <f>Q1470*0.1</f>
        <v>6285</v>
      </c>
      <c r="S1470" s="875"/>
      <c r="T1470" s="875">
        <v>40900</v>
      </c>
      <c r="U1470" s="875"/>
      <c r="V1470" s="875"/>
      <c r="W1470" s="875"/>
      <c r="X1470" s="1026">
        <f t="shared" ref="X1470:X1477" si="907">(Q1470+R1470+S1470+T1470+U1470+V1470+W1470)*M1470</f>
        <v>110035</v>
      </c>
      <c r="Y1470" s="1512">
        <f t="shared" ref="Y1470:Y1477" si="908">(T1470+U1470)*M1470/(X1470-M1470*(T1470+U1470))</f>
        <v>0.59159615245534103</v>
      </c>
      <c r="Z1470" s="1741">
        <f t="shared" ref="Z1470:Z1477" si="909">M1470*(1+Y1470)</f>
        <v>1.591596152455341</v>
      </c>
      <c r="AA1470" s="1749">
        <f t="shared" ref="AA1470:AA1476" si="910">SUM(AD1470:AS1470)</f>
        <v>1</v>
      </c>
      <c r="AB1470" s="1810">
        <f t="shared" ref="AB1470:AB1476" si="911">100*AA1470/Z1470</f>
        <v>62.830008633616572</v>
      </c>
      <c r="AC1470" s="876"/>
      <c r="AD1470" s="1525">
        <f t="shared" ref="AD1470:AS1477" si="912">SUMIF($AV$6:$BS$6,AD$5,$AV1470:$BS1470)</f>
        <v>1</v>
      </c>
      <c r="AE1470" s="1525">
        <f t="shared" si="912"/>
        <v>0</v>
      </c>
      <c r="AF1470" s="1525">
        <f t="shared" si="912"/>
        <v>0</v>
      </c>
      <c r="AG1470" s="1525">
        <f t="shared" si="912"/>
        <v>0</v>
      </c>
      <c r="AH1470" s="1525">
        <f t="shared" si="912"/>
        <v>0</v>
      </c>
      <c r="AI1470" s="1525">
        <f t="shared" si="912"/>
        <v>0</v>
      </c>
      <c r="AJ1470" s="1525">
        <f t="shared" si="912"/>
        <v>0</v>
      </c>
      <c r="AK1470" s="1525">
        <f t="shared" si="912"/>
        <v>0</v>
      </c>
      <c r="AL1470" s="1525">
        <f t="shared" si="912"/>
        <v>0</v>
      </c>
      <c r="AM1470" s="1525">
        <f t="shared" si="912"/>
        <v>0</v>
      </c>
      <c r="AN1470" s="1525">
        <f t="shared" si="912"/>
        <v>0</v>
      </c>
      <c r="AO1470" s="1525">
        <f t="shared" si="912"/>
        <v>0</v>
      </c>
      <c r="AP1470" s="1525">
        <f t="shared" si="912"/>
        <v>0</v>
      </c>
      <c r="AQ1470" s="1525">
        <f t="shared" si="912"/>
        <v>0</v>
      </c>
      <c r="AR1470" s="1525">
        <f t="shared" si="912"/>
        <v>0</v>
      </c>
      <c r="AS1470" s="1525">
        <f t="shared" si="912"/>
        <v>0</v>
      </c>
      <c r="AU1470" s="1525"/>
      <c r="AV1470" s="1291"/>
      <c r="AW1470" s="1292"/>
      <c r="AX1470" s="1292"/>
      <c r="AY1470" s="1292"/>
      <c r="AZ1470" s="1292"/>
      <c r="BA1470" s="1292"/>
      <c r="BB1470" s="1292"/>
      <c r="BC1470" s="1292"/>
      <c r="BD1470" s="1292"/>
      <c r="BE1470" s="1292"/>
      <c r="BF1470" s="1292"/>
      <c r="BG1470" s="1292"/>
      <c r="BH1470" s="1292"/>
      <c r="BI1470" s="1292">
        <v>0.4</v>
      </c>
      <c r="BJ1470" s="1292">
        <v>0.6</v>
      </c>
      <c r="BK1470" s="1292"/>
      <c r="BL1470" s="1292"/>
      <c r="BM1470" s="1292"/>
      <c r="BN1470" s="1292"/>
      <c r="BO1470" s="1292"/>
      <c r="BP1470" s="1292"/>
      <c r="BQ1470" s="1292"/>
      <c r="BR1470" s="1292"/>
      <c r="BS1470" s="1292"/>
      <c r="BT1470" s="1670">
        <f t="shared" ref="BT1470:BT1476" si="913">SUM(AV1470:BS1470)</f>
        <v>1</v>
      </c>
      <c r="BW1470" s="799" t="s">
        <v>1897</v>
      </c>
    </row>
    <row r="1471" spans="2:75" ht="12.75" customHeight="1" x14ac:dyDescent="0.2">
      <c r="B1471" s="175">
        <f t="shared" ref="B1471:B1483" si="914">B1470+1</f>
        <v>2</v>
      </c>
      <c r="C1471" s="219">
        <v>8</v>
      </c>
      <c r="E1471" s="12" t="s">
        <v>76</v>
      </c>
      <c r="F1471" t="s">
        <v>919</v>
      </c>
      <c r="G1471" s="799" t="s">
        <v>445</v>
      </c>
      <c r="H1471" s="858">
        <v>202771</v>
      </c>
      <c r="I1471" s="200" t="s">
        <v>351</v>
      </c>
      <c r="L1471" s="843">
        <v>1</v>
      </c>
      <c r="M1471" s="858">
        <f>K1471+L1471</f>
        <v>1</v>
      </c>
      <c r="N1471" s="831" t="s">
        <v>1573</v>
      </c>
      <c r="O1471" s="1196">
        <v>28179</v>
      </c>
      <c r="P1471" s="1218">
        <f t="shared" ca="1" si="906"/>
        <v>40.608333333333334</v>
      </c>
      <c r="Q1471" s="1148">
        <v>53700</v>
      </c>
      <c r="R1471" s="874">
        <f>Q1471*0.1</f>
        <v>5370</v>
      </c>
      <c r="S1471" s="875"/>
      <c r="T1471" s="875">
        <v>25300</v>
      </c>
      <c r="U1471" s="875"/>
      <c r="V1471" s="875"/>
      <c r="W1471" s="875"/>
      <c r="X1471" s="1026">
        <f t="shared" si="907"/>
        <v>84370</v>
      </c>
      <c r="Y1471" s="1512">
        <f t="shared" si="908"/>
        <v>0.42830540037243947</v>
      </c>
      <c r="Z1471" s="1741">
        <f t="shared" si="909"/>
        <v>1.4283054003724396</v>
      </c>
      <c r="AA1471" s="1749">
        <f t="shared" si="910"/>
        <v>1</v>
      </c>
      <c r="AB1471" s="1810">
        <f t="shared" si="911"/>
        <v>70.013037809647969</v>
      </c>
      <c r="AC1471" s="876"/>
      <c r="AD1471" s="1525">
        <f t="shared" si="912"/>
        <v>1</v>
      </c>
      <c r="AE1471" s="1525">
        <f t="shared" si="912"/>
        <v>0</v>
      </c>
      <c r="AF1471" s="1525">
        <f t="shared" si="912"/>
        <v>0</v>
      </c>
      <c r="AG1471" s="1525">
        <f t="shared" si="912"/>
        <v>0</v>
      </c>
      <c r="AH1471" s="1525">
        <f t="shared" si="912"/>
        <v>0</v>
      </c>
      <c r="AI1471" s="1525">
        <f t="shared" si="912"/>
        <v>0</v>
      </c>
      <c r="AJ1471" s="1525">
        <f t="shared" si="912"/>
        <v>0</v>
      </c>
      <c r="AK1471" s="1525">
        <f t="shared" si="912"/>
        <v>0</v>
      </c>
      <c r="AL1471" s="1525">
        <f t="shared" si="912"/>
        <v>0</v>
      </c>
      <c r="AM1471" s="1525">
        <f t="shared" si="912"/>
        <v>0</v>
      </c>
      <c r="AN1471" s="1525">
        <f t="shared" si="912"/>
        <v>0</v>
      </c>
      <c r="AO1471" s="1525">
        <f t="shared" si="912"/>
        <v>0</v>
      </c>
      <c r="AP1471" s="1525">
        <f t="shared" si="912"/>
        <v>0</v>
      </c>
      <c r="AQ1471" s="1525">
        <f t="shared" si="912"/>
        <v>0</v>
      </c>
      <c r="AR1471" s="1525">
        <f t="shared" si="912"/>
        <v>0</v>
      </c>
      <c r="AS1471" s="1525">
        <f t="shared" si="912"/>
        <v>0</v>
      </c>
      <c r="AU1471" s="1525"/>
      <c r="AV1471" s="1291"/>
      <c r="AW1471" s="1292"/>
      <c r="AX1471" s="1292"/>
      <c r="AY1471" s="1292"/>
      <c r="AZ1471" s="1292"/>
      <c r="BA1471" s="1292"/>
      <c r="BB1471" s="1292"/>
      <c r="BC1471" s="1292"/>
      <c r="BD1471" s="1292"/>
      <c r="BE1471" s="1292"/>
      <c r="BF1471" s="1292"/>
      <c r="BG1471" s="1292"/>
      <c r="BH1471" s="1292"/>
      <c r="BI1471" s="1292">
        <v>0.4</v>
      </c>
      <c r="BJ1471" s="1292">
        <v>0.6</v>
      </c>
      <c r="BK1471" s="1292"/>
      <c r="BL1471" s="1292"/>
      <c r="BM1471" s="1292"/>
      <c r="BN1471" s="1292"/>
      <c r="BO1471" s="1292"/>
      <c r="BP1471" s="1292"/>
      <c r="BQ1471" s="1292"/>
      <c r="BR1471" s="1292"/>
      <c r="BS1471" s="1292"/>
      <c r="BT1471" s="1670">
        <f t="shared" si="913"/>
        <v>1</v>
      </c>
      <c r="BW1471" s="799" t="s">
        <v>445</v>
      </c>
    </row>
    <row r="1472" spans="2:75" ht="12.75" customHeight="1" x14ac:dyDescent="0.2">
      <c r="B1472" s="175">
        <f t="shared" si="914"/>
        <v>3</v>
      </c>
      <c r="C1472" s="220">
        <v>9</v>
      </c>
      <c r="D1472" s="170"/>
      <c r="E1472" s="12" t="s">
        <v>76</v>
      </c>
      <c r="F1472" s="23" t="s">
        <v>353</v>
      </c>
      <c r="G1472" s="844" t="s">
        <v>725</v>
      </c>
      <c r="H1472" s="861">
        <v>221280</v>
      </c>
      <c r="I1472" s="197" t="s">
        <v>351</v>
      </c>
      <c r="J1472" s="170"/>
      <c r="K1472" s="170"/>
      <c r="L1472" s="950">
        <v>1</v>
      </c>
      <c r="M1472" s="861">
        <v>1</v>
      </c>
      <c r="N1472" s="833" t="s">
        <v>1326</v>
      </c>
      <c r="O1472" s="1196">
        <v>29146</v>
      </c>
      <c r="P1472" s="1218">
        <f t="shared" ca="1" si="906"/>
        <v>37.955555555555556</v>
      </c>
      <c r="Q1472" s="1148">
        <v>49250</v>
      </c>
      <c r="R1472" s="874">
        <f>Q1472*0.1</f>
        <v>4925</v>
      </c>
      <c r="S1472" s="875"/>
      <c r="T1472" s="875">
        <v>24600</v>
      </c>
      <c r="U1472" s="875"/>
      <c r="V1472" s="875"/>
      <c r="W1472" s="875"/>
      <c r="X1472" s="1026">
        <f t="shared" si="907"/>
        <v>78775</v>
      </c>
      <c r="Y1472" s="1512">
        <f t="shared" si="908"/>
        <v>0.45408398707891096</v>
      </c>
      <c r="Z1472" s="1741">
        <f t="shared" si="909"/>
        <v>1.4540839870789108</v>
      </c>
      <c r="AA1472" s="1749">
        <f t="shared" si="910"/>
        <v>1</v>
      </c>
      <c r="AB1472" s="1810">
        <f t="shared" si="911"/>
        <v>68.771818470326892</v>
      </c>
      <c r="AC1472" s="876"/>
      <c r="AD1472" s="1525">
        <f t="shared" si="912"/>
        <v>1</v>
      </c>
      <c r="AE1472" s="1525">
        <f t="shared" si="912"/>
        <v>0</v>
      </c>
      <c r="AF1472" s="1525">
        <f t="shared" si="912"/>
        <v>0</v>
      </c>
      <c r="AG1472" s="1525">
        <f t="shared" si="912"/>
        <v>0</v>
      </c>
      <c r="AH1472" s="1525">
        <f t="shared" si="912"/>
        <v>0</v>
      </c>
      <c r="AI1472" s="1525">
        <f t="shared" si="912"/>
        <v>0</v>
      </c>
      <c r="AJ1472" s="1525">
        <f t="shared" si="912"/>
        <v>0</v>
      </c>
      <c r="AK1472" s="1525">
        <f t="shared" si="912"/>
        <v>0</v>
      </c>
      <c r="AL1472" s="1525">
        <f t="shared" si="912"/>
        <v>0</v>
      </c>
      <c r="AM1472" s="1525">
        <f t="shared" si="912"/>
        <v>0</v>
      </c>
      <c r="AN1472" s="1525">
        <f t="shared" si="912"/>
        <v>0</v>
      </c>
      <c r="AO1472" s="1525">
        <f t="shared" si="912"/>
        <v>0</v>
      </c>
      <c r="AP1472" s="1525">
        <f t="shared" si="912"/>
        <v>0</v>
      </c>
      <c r="AQ1472" s="1525">
        <f t="shared" si="912"/>
        <v>0</v>
      </c>
      <c r="AR1472" s="1525">
        <f t="shared" si="912"/>
        <v>0</v>
      </c>
      <c r="AS1472" s="1525">
        <f t="shared" si="912"/>
        <v>0</v>
      </c>
      <c r="AU1472" s="1525"/>
      <c r="AV1472" s="1291"/>
      <c r="AW1472" s="1292"/>
      <c r="AX1472" s="1292"/>
      <c r="AY1472" s="1292"/>
      <c r="AZ1472" s="1292"/>
      <c r="BA1472" s="1292"/>
      <c r="BB1472" s="1292"/>
      <c r="BC1472" s="1292"/>
      <c r="BD1472" s="1292"/>
      <c r="BE1472" s="1292"/>
      <c r="BF1472" s="1292"/>
      <c r="BG1472" s="1292"/>
      <c r="BH1472" s="1292"/>
      <c r="BI1472" s="1292">
        <v>0.4</v>
      </c>
      <c r="BJ1472" s="1292">
        <v>0.6</v>
      </c>
      <c r="BK1472" s="1292"/>
      <c r="BL1472" s="1292"/>
      <c r="BM1472" s="1292"/>
      <c r="BN1472" s="1292"/>
      <c r="BO1472" s="1292"/>
      <c r="BP1472" s="1292"/>
      <c r="BQ1472" s="1292"/>
      <c r="BR1472" s="1292"/>
      <c r="BS1472" s="1292"/>
      <c r="BT1472" s="1670">
        <f t="shared" si="913"/>
        <v>1</v>
      </c>
      <c r="BW1472" s="844" t="s">
        <v>725</v>
      </c>
    </row>
    <row r="1473" spans="2:75" ht="12.75" customHeight="1" x14ac:dyDescent="0.2">
      <c r="B1473" s="175">
        <f t="shared" si="914"/>
        <v>4</v>
      </c>
      <c r="C1473" s="219">
        <v>26</v>
      </c>
      <c r="E1473" s="12" t="s">
        <v>76</v>
      </c>
      <c r="F1473" t="s">
        <v>1072</v>
      </c>
      <c r="G1473" s="799" t="s">
        <v>1712</v>
      </c>
      <c r="H1473" s="858">
        <v>150761</v>
      </c>
      <c r="I1473" s="232" t="s">
        <v>583</v>
      </c>
      <c r="L1473" s="843">
        <v>1</v>
      </c>
      <c r="M1473" s="858">
        <v>1</v>
      </c>
      <c r="N1473" s="831" t="s">
        <v>892</v>
      </c>
      <c r="O1473" s="1196">
        <v>29305</v>
      </c>
      <c r="P1473" s="1218">
        <f t="shared" ca="1" si="906"/>
        <v>37.519444444444446</v>
      </c>
      <c r="Q1473" s="1148">
        <v>38500</v>
      </c>
      <c r="R1473" s="874"/>
      <c r="S1473" s="875"/>
      <c r="T1473" s="875"/>
      <c r="U1473" s="875"/>
      <c r="V1473" s="875"/>
      <c r="W1473" s="875"/>
      <c r="X1473" s="1026">
        <f t="shared" si="907"/>
        <v>38500</v>
      </c>
      <c r="Y1473" s="1512">
        <f t="shared" si="908"/>
        <v>0</v>
      </c>
      <c r="Z1473" s="1741">
        <f t="shared" si="909"/>
        <v>1</v>
      </c>
      <c r="AA1473" s="1749">
        <f t="shared" si="910"/>
        <v>1</v>
      </c>
      <c r="AB1473" s="1810">
        <f t="shared" si="911"/>
        <v>100</v>
      </c>
      <c r="AC1473" s="876"/>
      <c r="AD1473" s="1525">
        <f t="shared" si="912"/>
        <v>1</v>
      </c>
      <c r="AE1473" s="1525">
        <f t="shared" si="912"/>
        <v>0</v>
      </c>
      <c r="AF1473" s="1525">
        <f t="shared" si="912"/>
        <v>0</v>
      </c>
      <c r="AG1473" s="1525">
        <f t="shared" si="912"/>
        <v>0</v>
      </c>
      <c r="AH1473" s="1525">
        <f t="shared" si="912"/>
        <v>0</v>
      </c>
      <c r="AI1473" s="1525">
        <f t="shared" si="912"/>
        <v>0</v>
      </c>
      <c r="AJ1473" s="1525">
        <f t="shared" si="912"/>
        <v>0</v>
      </c>
      <c r="AK1473" s="1525">
        <f t="shared" si="912"/>
        <v>0</v>
      </c>
      <c r="AL1473" s="1525">
        <f t="shared" si="912"/>
        <v>0</v>
      </c>
      <c r="AM1473" s="1525">
        <f t="shared" si="912"/>
        <v>0</v>
      </c>
      <c r="AN1473" s="1525">
        <f t="shared" si="912"/>
        <v>0</v>
      </c>
      <c r="AO1473" s="1525">
        <f t="shared" si="912"/>
        <v>0</v>
      </c>
      <c r="AP1473" s="1525">
        <f t="shared" si="912"/>
        <v>0</v>
      </c>
      <c r="AQ1473" s="1525">
        <f t="shared" si="912"/>
        <v>0</v>
      </c>
      <c r="AR1473" s="1525">
        <f t="shared" si="912"/>
        <v>0</v>
      </c>
      <c r="AS1473" s="1525">
        <f t="shared" si="912"/>
        <v>0</v>
      </c>
      <c r="AU1473" s="1525"/>
      <c r="AV1473" s="1291"/>
      <c r="AW1473" s="1292"/>
      <c r="AX1473" s="1292"/>
      <c r="AY1473" s="1292"/>
      <c r="AZ1473" s="1292"/>
      <c r="BA1473" s="1292"/>
      <c r="BB1473" s="1292"/>
      <c r="BC1473" s="1292"/>
      <c r="BD1473" s="1292"/>
      <c r="BE1473" s="1292"/>
      <c r="BF1473" s="1292"/>
      <c r="BG1473" s="1292"/>
      <c r="BH1473" s="1292"/>
      <c r="BI1473" s="1292">
        <v>0.4</v>
      </c>
      <c r="BJ1473" s="1292">
        <v>0.6</v>
      </c>
      <c r="BK1473" s="1292"/>
      <c r="BL1473" s="1292"/>
      <c r="BM1473" s="1292"/>
      <c r="BN1473" s="1292"/>
      <c r="BO1473" s="1292"/>
      <c r="BP1473" s="1292"/>
      <c r="BQ1473" s="1292"/>
      <c r="BR1473" s="1292"/>
      <c r="BS1473" s="1292"/>
      <c r="BT1473" s="1670">
        <f t="shared" si="913"/>
        <v>1</v>
      </c>
      <c r="BW1473" s="799" t="s">
        <v>1712</v>
      </c>
    </row>
    <row r="1474" spans="2:75" ht="12.75" customHeight="1" x14ac:dyDescent="0.2">
      <c r="B1474" s="175">
        <f t="shared" si="914"/>
        <v>5</v>
      </c>
      <c r="C1474" s="219">
        <v>26</v>
      </c>
      <c r="E1474" s="12" t="s">
        <v>76</v>
      </c>
      <c r="F1474" t="s">
        <v>1072</v>
      </c>
      <c r="G1474" s="799" t="s">
        <v>324</v>
      </c>
      <c r="H1474" s="1411">
        <v>20507</v>
      </c>
      <c r="I1474" s="232" t="s">
        <v>583</v>
      </c>
      <c r="L1474" s="843">
        <v>1</v>
      </c>
      <c r="M1474" s="831">
        <v>1</v>
      </c>
      <c r="N1474" s="999" t="s">
        <v>1326</v>
      </c>
      <c r="O1474" s="1196">
        <v>21272</v>
      </c>
      <c r="P1474" s="1218">
        <f t="shared" ca="1" si="906"/>
        <v>59.511111111111113</v>
      </c>
      <c r="Q1474" s="1148">
        <v>29000</v>
      </c>
      <c r="R1474" s="874">
        <f>Q1474*0.1</f>
        <v>2900</v>
      </c>
      <c r="S1474" s="875"/>
      <c r="T1474" s="877"/>
      <c r="U1474" s="877"/>
      <c r="V1474" s="877"/>
      <c r="W1474" s="875"/>
      <c r="X1474" s="1026">
        <f t="shared" si="907"/>
        <v>31900</v>
      </c>
      <c r="Y1474" s="1512">
        <f t="shared" si="908"/>
        <v>0</v>
      </c>
      <c r="Z1474" s="1741">
        <f t="shared" si="909"/>
        <v>1</v>
      </c>
      <c r="AA1474" s="1749">
        <f t="shared" si="910"/>
        <v>1</v>
      </c>
      <c r="AB1474" s="1810">
        <f t="shared" si="911"/>
        <v>100</v>
      </c>
      <c r="AC1474" s="876"/>
      <c r="AD1474" s="1525">
        <f t="shared" si="912"/>
        <v>1</v>
      </c>
      <c r="AE1474" s="1525">
        <f t="shared" si="912"/>
        <v>0</v>
      </c>
      <c r="AF1474" s="1525">
        <f t="shared" si="912"/>
        <v>0</v>
      </c>
      <c r="AG1474" s="1525">
        <f t="shared" si="912"/>
        <v>0</v>
      </c>
      <c r="AH1474" s="1525">
        <f t="shared" si="912"/>
        <v>0</v>
      </c>
      <c r="AI1474" s="1525">
        <f t="shared" si="912"/>
        <v>0</v>
      </c>
      <c r="AJ1474" s="1525">
        <f t="shared" si="912"/>
        <v>0</v>
      </c>
      <c r="AK1474" s="1525">
        <f t="shared" si="912"/>
        <v>0</v>
      </c>
      <c r="AL1474" s="1525">
        <f t="shared" si="912"/>
        <v>0</v>
      </c>
      <c r="AM1474" s="1525">
        <f t="shared" si="912"/>
        <v>0</v>
      </c>
      <c r="AN1474" s="1525">
        <f t="shared" si="912"/>
        <v>0</v>
      </c>
      <c r="AO1474" s="1525">
        <f t="shared" si="912"/>
        <v>0</v>
      </c>
      <c r="AP1474" s="1525">
        <f t="shared" si="912"/>
        <v>0</v>
      </c>
      <c r="AQ1474" s="1525">
        <f t="shared" si="912"/>
        <v>0</v>
      </c>
      <c r="AR1474" s="1525">
        <f t="shared" si="912"/>
        <v>0</v>
      </c>
      <c r="AS1474" s="1525">
        <f t="shared" si="912"/>
        <v>0</v>
      </c>
      <c r="AU1474" s="1525"/>
      <c r="AV1474" s="1291"/>
      <c r="AW1474" s="1292"/>
      <c r="AX1474" s="1292"/>
      <c r="AY1474" s="1292"/>
      <c r="AZ1474" s="1292"/>
      <c r="BA1474" s="1292"/>
      <c r="BB1474" s="1292"/>
      <c r="BC1474" s="1292"/>
      <c r="BD1474" s="1292"/>
      <c r="BE1474" s="1292"/>
      <c r="BF1474" s="1292"/>
      <c r="BG1474" s="1292"/>
      <c r="BH1474" s="1292"/>
      <c r="BI1474" s="1292">
        <v>0.4</v>
      </c>
      <c r="BJ1474" s="1292">
        <v>0.6</v>
      </c>
      <c r="BK1474" s="1292"/>
      <c r="BL1474" s="1292"/>
      <c r="BM1474" s="1292"/>
      <c r="BN1474" s="1292"/>
      <c r="BO1474" s="1292"/>
      <c r="BP1474" s="1292"/>
      <c r="BQ1474" s="1292"/>
      <c r="BR1474" s="1292"/>
      <c r="BS1474" s="1292"/>
      <c r="BT1474" s="1670">
        <f t="shared" si="913"/>
        <v>1</v>
      </c>
      <c r="BW1474" s="799" t="s">
        <v>324</v>
      </c>
    </row>
    <row r="1475" spans="2:75" ht="12.75" customHeight="1" x14ac:dyDescent="0.2">
      <c r="B1475" s="175">
        <f t="shared" si="914"/>
        <v>6</v>
      </c>
      <c r="C1475" s="219">
        <v>26</v>
      </c>
      <c r="E1475" s="12" t="s">
        <v>76</v>
      </c>
      <c r="F1475" t="s">
        <v>1072</v>
      </c>
      <c r="G1475" s="799" t="s">
        <v>50</v>
      </c>
      <c r="H1475" s="843">
        <v>124783</v>
      </c>
      <c r="I1475" s="232" t="s">
        <v>583</v>
      </c>
      <c r="K1475" s="170"/>
      <c r="L1475" s="950">
        <v>1</v>
      </c>
      <c r="M1475" s="833">
        <v>1</v>
      </c>
      <c r="N1475" s="999" t="s">
        <v>1326</v>
      </c>
      <c r="O1475" s="1196">
        <v>31072</v>
      </c>
      <c r="P1475" s="1218">
        <f t="shared" ca="1" si="906"/>
        <v>32.68611111111111</v>
      </c>
      <c r="Q1475" s="1148">
        <v>42000</v>
      </c>
      <c r="R1475" s="874">
        <f>Q1475*0.1</f>
        <v>4200</v>
      </c>
      <c r="S1475" s="875"/>
      <c r="T1475" s="877">
        <v>16800</v>
      </c>
      <c r="U1475" s="877"/>
      <c r="V1475" s="877"/>
      <c r="W1475" s="875"/>
      <c r="X1475" s="1026">
        <f t="shared" si="907"/>
        <v>63000</v>
      </c>
      <c r="Y1475" s="1512">
        <f t="shared" si="908"/>
        <v>0.36363636363636365</v>
      </c>
      <c r="Z1475" s="1741">
        <f t="shared" si="909"/>
        <v>1.3636363636363638</v>
      </c>
      <c r="AA1475" s="1749">
        <f t="shared" si="910"/>
        <v>1</v>
      </c>
      <c r="AB1475" s="1810">
        <f t="shared" si="911"/>
        <v>73.333333333333329</v>
      </c>
      <c r="AC1475" s="876"/>
      <c r="AD1475" s="1525">
        <f t="shared" si="912"/>
        <v>1</v>
      </c>
      <c r="AE1475" s="1525">
        <f t="shared" si="912"/>
        <v>0</v>
      </c>
      <c r="AF1475" s="1525">
        <f t="shared" si="912"/>
        <v>0</v>
      </c>
      <c r="AG1475" s="1525">
        <f t="shared" si="912"/>
        <v>0</v>
      </c>
      <c r="AH1475" s="1525">
        <f t="shared" si="912"/>
        <v>0</v>
      </c>
      <c r="AI1475" s="1525">
        <f t="shared" si="912"/>
        <v>0</v>
      </c>
      <c r="AJ1475" s="1525">
        <f t="shared" si="912"/>
        <v>0</v>
      </c>
      <c r="AK1475" s="1525">
        <f t="shared" si="912"/>
        <v>0</v>
      </c>
      <c r="AL1475" s="1525">
        <f t="shared" si="912"/>
        <v>0</v>
      </c>
      <c r="AM1475" s="1525">
        <f t="shared" si="912"/>
        <v>0</v>
      </c>
      <c r="AN1475" s="1525">
        <f t="shared" si="912"/>
        <v>0</v>
      </c>
      <c r="AO1475" s="1525">
        <f t="shared" si="912"/>
        <v>0</v>
      </c>
      <c r="AP1475" s="1525">
        <f t="shared" si="912"/>
        <v>0</v>
      </c>
      <c r="AQ1475" s="1525">
        <f t="shared" si="912"/>
        <v>0</v>
      </c>
      <c r="AR1475" s="1525">
        <f t="shared" si="912"/>
        <v>0</v>
      </c>
      <c r="AS1475" s="1525">
        <f t="shared" si="912"/>
        <v>0</v>
      </c>
      <c r="AU1475" s="1525"/>
      <c r="AV1475" s="1291"/>
      <c r="AW1475" s="1292"/>
      <c r="AX1475" s="1292"/>
      <c r="AY1475" s="1292"/>
      <c r="AZ1475" s="1292"/>
      <c r="BA1475" s="1292"/>
      <c r="BB1475" s="1292"/>
      <c r="BC1475" s="1292"/>
      <c r="BD1475" s="1292"/>
      <c r="BE1475" s="1292"/>
      <c r="BF1475" s="1292"/>
      <c r="BG1475" s="1292"/>
      <c r="BH1475" s="1292"/>
      <c r="BI1475" s="1292">
        <v>0.4</v>
      </c>
      <c r="BJ1475" s="1292">
        <v>0.6</v>
      </c>
      <c r="BK1475" s="1292"/>
      <c r="BL1475" s="1292"/>
      <c r="BM1475" s="1292"/>
      <c r="BN1475" s="1292"/>
      <c r="BO1475" s="1292"/>
      <c r="BP1475" s="1292"/>
      <c r="BQ1475" s="1292"/>
      <c r="BR1475" s="1292"/>
      <c r="BS1475" s="1292"/>
      <c r="BT1475" s="1670">
        <f t="shared" si="913"/>
        <v>1</v>
      </c>
      <c r="BW1475" s="799" t="s">
        <v>50</v>
      </c>
    </row>
    <row r="1476" spans="2:75" ht="12.75" customHeight="1" x14ac:dyDescent="0.2">
      <c r="B1476" s="175">
        <f t="shared" si="914"/>
        <v>7</v>
      </c>
      <c r="C1476" s="219">
        <v>26</v>
      </c>
      <c r="E1476" s="12" t="s">
        <v>76</v>
      </c>
      <c r="F1476" t="s">
        <v>1384</v>
      </c>
      <c r="G1476" s="799" t="s">
        <v>754</v>
      </c>
      <c r="H1476" s="843">
        <v>113663</v>
      </c>
      <c r="I1476" s="232" t="s">
        <v>583</v>
      </c>
      <c r="L1476" s="831">
        <v>1</v>
      </c>
      <c r="M1476" s="831">
        <v>1</v>
      </c>
      <c r="N1476" s="833" t="s">
        <v>892</v>
      </c>
      <c r="O1476" s="1196">
        <v>32550</v>
      </c>
      <c r="P1476" s="1218">
        <f t="shared" ca="1" si="906"/>
        <v>28.641666666666666</v>
      </c>
      <c r="Q1476" s="1148">
        <v>24000</v>
      </c>
      <c r="R1476" s="874"/>
      <c r="S1476" s="875"/>
      <c r="T1476" s="877"/>
      <c r="U1476" s="877"/>
      <c r="V1476" s="877"/>
      <c r="W1476" s="875"/>
      <c r="X1476" s="1026">
        <f t="shared" si="907"/>
        <v>24000</v>
      </c>
      <c r="Y1476" s="1512">
        <f t="shared" si="908"/>
        <v>0</v>
      </c>
      <c r="Z1476" s="1741">
        <f t="shared" si="909"/>
        <v>1</v>
      </c>
      <c r="AA1476" s="1749">
        <f t="shared" si="910"/>
        <v>1</v>
      </c>
      <c r="AB1476" s="1810">
        <f t="shared" si="911"/>
        <v>100</v>
      </c>
      <c r="AC1476" s="876"/>
      <c r="AD1476" s="1525">
        <f t="shared" si="912"/>
        <v>1</v>
      </c>
      <c r="AE1476" s="1525">
        <f t="shared" si="912"/>
        <v>0</v>
      </c>
      <c r="AF1476" s="1525">
        <f t="shared" si="912"/>
        <v>0</v>
      </c>
      <c r="AG1476" s="1525">
        <f t="shared" si="912"/>
        <v>0</v>
      </c>
      <c r="AH1476" s="1525">
        <f t="shared" si="912"/>
        <v>0</v>
      </c>
      <c r="AI1476" s="1525">
        <f t="shared" si="912"/>
        <v>0</v>
      </c>
      <c r="AJ1476" s="1525">
        <f t="shared" si="912"/>
        <v>0</v>
      </c>
      <c r="AK1476" s="1525">
        <f t="shared" si="912"/>
        <v>0</v>
      </c>
      <c r="AL1476" s="1525">
        <f t="shared" si="912"/>
        <v>0</v>
      </c>
      <c r="AM1476" s="1525">
        <f t="shared" si="912"/>
        <v>0</v>
      </c>
      <c r="AN1476" s="1525">
        <f t="shared" si="912"/>
        <v>0</v>
      </c>
      <c r="AO1476" s="1525">
        <f t="shared" si="912"/>
        <v>0</v>
      </c>
      <c r="AP1476" s="1525">
        <f t="shared" si="912"/>
        <v>0</v>
      </c>
      <c r="AQ1476" s="1525">
        <f t="shared" si="912"/>
        <v>0</v>
      </c>
      <c r="AR1476" s="1525">
        <f t="shared" si="912"/>
        <v>0</v>
      </c>
      <c r="AS1476" s="1525">
        <f t="shared" si="912"/>
        <v>0</v>
      </c>
      <c r="AU1476" s="1525"/>
      <c r="AV1476" s="1291"/>
      <c r="AW1476" s="1292"/>
      <c r="AX1476" s="1292"/>
      <c r="AY1476" s="1292"/>
      <c r="AZ1476" s="1292"/>
      <c r="BA1476" s="1292"/>
      <c r="BB1476" s="1292"/>
      <c r="BC1476" s="1292"/>
      <c r="BD1476" s="1292"/>
      <c r="BE1476" s="1292"/>
      <c r="BF1476" s="1292"/>
      <c r="BG1476" s="1292"/>
      <c r="BH1476" s="1292"/>
      <c r="BI1476" s="1292">
        <v>0.4</v>
      </c>
      <c r="BJ1476" s="1292">
        <v>0.6</v>
      </c>
      <c r="BK1476" s="1292"/>
      <c r="BL1476" s="1292"/>
      <c r="BM1476" s="1292"/>
      <c r="BN1476" s="1292"/>
      <c r="BO1476" s="1292"/>
      <c r="BP1476" s="1292"/>
      <c r="BQ1476" s="1292"/>
      <c r="BR1476" s="1292"/>
      <c r="BS1476" s="1292"/>
      <c r="BT1476" s="1670">
        <f t="shared" si="913"/>
        <v>1</v>
      </c>
      <c r="BW1476" s="799" t="s">
        <v>754</v>
      </c>
    </row>
    <row r="1477" spans="2:75" ht="12.75" customHeight="1" x14ac:dyDescent="0.2">
      <c r="B1477" s="175">
        <f t="shared" si="914"/>
        <v>8</v>
      </c>
      <c r="C1477" s="219">
        <v>26</v>
      </c>
      <c r="E1477" s="12" t="s">
        <v>76</v>
      </c>
      <c r="F1477" t="s">
        <v>1384</v>
      </c>
      <c r="G1477" s="799" t="s">
        <v>1749</v>
      </c>
      <c r="H1477" s="843">
        <v>152344</v>
      </c>
      <c r="I1477" s="232" t="s">
        <v>583</v>
      </c>
      <c r="L1477" s="831">
        <v>1</v>
      </c>
      <c r="M1477" s="831">
        <v>1</v>
      </c>
      <c r="N1477" s="833"/>
      <c r="O1477" s="1196">
        <v>31815</v>
      </c>
      <c r="P1477" s="1218">
        <f t="shared" ca="1" si="906"/>
        <v>30.652777777777779</v>
      </c>
      <c r="Q1477" s="1148">
        <v>29000</v>
      </c>
      <c r="R1477" s="874"/>
      <c r="S1477" s="875"/>
      <c r="T1477" s="877"/>
      <c r="U1477" s="877"/>
      <c r="V1477" s="877"/>
      <c r="W1477" s="875"/>
      <c r="X1477" s="1026">
        <f t="shared" si="907"/>
        <v>29000</v>
      </c>
      <c r="Y1477" s="1512">
        <f t="shared" si="908"/>
        <v>0</v>
      </c>
      <c r="Z1477" s="1741">
        <f t="shared" si="909"/>
        <v>1</v>
      </c>
      <c r="AA1477" s="1749">
        <f t="shared" ref="AA1477" si="915">SUM(AD1477:AS1477)</f>
        <v>0</v>
      </c>
      <c r="AB1477" s="1810">
        <f t="shared" ref="AB1477" si="916">100*AA1477/Z1477</f>
        <v>0</v>
      </c>
      <c r="AC1477" s="876"/>
      <c r="AD1477" s="1525">
        <f t="shared" si="912"/>
        <v>0</v>
      </c>
      <c r="AE1477" s="1525">
        <f t="shared" si="912"/>
        <v>0</v>
      </c>
      <c r="AF1477" s="1525">
        <f t="shared" si="912"/>
        <v>0</v>
      </c>
      <c r="AG1477" s="1525">
        <f t="shared" si="912"/>
        <v>0</v>
      </c>
      <c r="AH1477" s="1525">
        <f t="shared" si="912"/>
        <v>0</v>
      </c>
      <c r="AI1477" s="1525">
        <f t="shared" si="912"/>
        <v>0</v>
      </c>
      <c r="AJ1477" s="1525">
        <f t="shared" si="912"/>
        <v>0</v>
      </c>
      <c r="AK1477" s="1525">
        <f t="shared" si="912"/>
        <v>0</v>
      </c>
      <c r="AL1477" s="1525">
        <f t="shared" si="912"/>
        <v>0</v>
      </c>
      <c r="AM1477" s="1525">
        <f t="shared" si="912"/>
        <v>0</v>
      </c>
      <c r="AN1477" s="1525">
        <f t="shared" si="912"/>
        <v>0</v>
      </c>
      <c r="AO1477" s="1525">
        <f t="shared" si="912"/>
        <v>0</v>
      </c>
      <c r="AP1477" s="1525">
        <f t="shared" si="912"/>
        <v>0</v>
      </c>
      <c r="AQ1477" s="1525">
        <f t="shared" si="912"/>
        <v>0</v>
      </c>
      <c r="AR1477" s="1525">
        <f t="shared" si="912"/>
        <v>0</v>
      </c>
      <c r="AS1477" s="1525">
        <f t="shared" si="912"/>
        <v>0</v>
      </c>
      <c r="AU1477" s="1525"/>
      <c r="AV1477" s="1291"/>
      <c r="AW1477" s="1292"/>
      <c r="AX1477" s="1292"/>
      <c r="AY1477" s="1292"/>
      <c r="AZ1477" s="1292"/>
      <c r="BA1477" s="1292"/>
      <c r="BB1477" s="1292"/>
      <c r="BC1477" s="1292"/>
      <c r="BD1477" s="1292"/>
      <c r="BE1477" s="1292"/>
      <c r="BF1477" s="1292"/>
      <c r="BG1477" s="1292"/>
      <c r="BH1477" s="1292"/>
      <c r="BI1477" s="1292"/>
      <c r="BJ1477" s="1292"/>
      <c r="BK1477" s="1292"/>
      <c r="BL1477" s="1292"/>
      <c r="BM1477" s="1292"/>
      <c r="BN1477" s="1292"/>
      <c r="BO1477" s="1292"/>
      <c r="BP1477" s="1292"/>
      <c r="BQ1477" s="1292"/>
      <c r="BR1477" s="1292"/>
      <c r="BS1477" s="1292"/>
      <c r="BT1477" s="1670"/>
      <c r="BW1477" s="799" t="s">
        <v>1749</v>
      </c>
    </row>
    <row r="1478" spans="2:75" ht="12.75" customHeight="1" x14ac:dyDescent="0.2">
      <c r="B1478" s="175">
        <f t="shared" si="914"/>
        <v>9</v>
      </c>
      <c r="C1478" s="219">
        <v>24</v>
      </c>
      <c r="E1478" s="12" t="s">
        <v>76</v>
      </c>
      <c r="F1478" t="s">
        <v>1210</v>
      </c>
      <c r="G1478" s="799" t="s">
        <v>1211</v>
      </c>
      <c r="H1478" s="843">
        <v>10144</v>
      </c>
      <c r="I1478" s="232" t="s">
        <v>583</v>
      </c>
      <c r="L1478" s="831">
        <v>1</v>
      </c>
      <c r="M1478" s="831">
        <v>1</v>
      </c>
      <c r="N1478" s="831" t="s">
        <v>1326</v>
      </c>
      <c r="O1478" s="1196">
        <v>22146</v>
      </c>
      <c r="P1478" s="1218">
        <f t="shared" ca="1" si="906"/>
        <v>57.12222222222222</v>
      </c>
      <c r="Q1478" s="1148">
        <v>35000</v>
      </c>
      <c r="R1478" s="874">
        <f>Q1478*0.1</f>
        <v>3500</v>
      </c>
      <c r="S1478" s="875"/>
      <c r="T1478" s="875">
        <v>6500</v>
      </c>
      <c r="U1478" s="875"/>
      <c r="V1478" s="875"/>
      <c r="W1478" s="875"/>
      <c r="X1478" s="1026">
        <f t="shared" ref="X1478:X1483" si="917">(Q1478+R1478+S1478+T1478+U1478+V1478+W1478)*M1478</f>
        <v>45000</v>
      </c>
      <c r="Y1478" s="1512">
        <f t="shared" ref="Y1478:Y1483" si="918">(T1478+U1478)*M1478/(X1478-M1478*(T1478+U1478))</f>
        <v>0.16883116883116883</v>
      </c>
      <c r="Z1478" s="1741">
        <f t="shared" ref="Z1478:Z1483" si="919">M1478*(1+Y1478)</f>
        <v>1.1688311688311688</v>
      </c>
      <c r="AA1478" s="1749">
        <f t="shared" ref="AA1478:AA1483" si="920">SUM(AD1478:AS1478)</f>
        <v>1</v>
      </c>
      <c r="AB1478" s="1810">
        <f t="shared" ref="AB1478:AB1483" si="921">100*AA1478/Z1478</f>
        <v>85.555555555555557</v>
      </c>
      <c r="AC1478" s="876"/>
      <c r="AD1478" s="1525">
        <f t="shared" ref="AD1478:AS1483" si="922">SUMIF($AV$6:$BS$6,AD$5,$AV1478:$BS1478)</f>
        <v>1</v>
      </c>
      <c r="AE1478" s="1525">
        <f t="shared" si="922"/>
        <v>0</v>
      </c>
      <c r="AF1478" s="1525">
        <f t="shared" si="922"/>
        <v>0</v>
      </c>
      <c r="AG1478" s="1525">
        <f t="shared" si="922"/>
        <v>0</v>
      </c>
      <c r="AH1478" s="1525">
        <f t="shared" si="922"/>
        <v>0</v>
      </c>
      <c r="AI1478" s="1525">
        <f t="shared" si="922"/>
        <v>0</v>
      </c>
      <c r="AJ1478" s="1525">
        <f t="shared" si="922"/>
        <v>0</v>
      </c>
      <c r="AK1478" s="1525">
        <f t="shared" si="922"/>
        <v>0</v>
      </c>
      <c r="AL1478" s="1525">
        <f t="shared" si="922"/>
        <v>0</v>
      </c>
      <c r="AM1478" s="1525">
        <f t="shared" si="922"/>
        <v>0</v>
      </c>
      <c r="AN1478" s="1525">
        <f t="shared" si="922"/>
        <v>0</v>
      </c>
      <c r="AO1478" s="1525">
        <f t="shared" si="922"/>
        <v>0</v>
      </c>
      <c r="AP1478" s="1525">
        <f t="shared" si="922"/>
        <v>0</v>
      </c>
      <c r="AQ1478" s="1525">
        <f t="shared" si="922"/>
        <v>0</v>
      </c>
      <c r="AR1478" s="1525">
        <f t="shared" si="922"/>
        <v>0</v>
      </c>
      <c r="AS1478" s="1525">
        <f t="shared" si="922"/>
        <v>0</v>
      </c>
      <c r="AU1478" s="1525"/>
      <c r="AV1478" s="1291"/>
      <c r="AW1478" s="1292"/>
      <c r="AX1478" s="1292"/>
      <c r="AY1478" s="1292"/>
      <c r="AZ1478" s="1292"/>
      <c r="BA1478" s="1292"/>
      <c r="BB1478" s="1292"/>
      <c r="BC1478" s="1292"/>
      <c r="BD1478" s="1292"/>
      <c r="BE1478" s="1292"/>
      <c r="BF1478" s="1292"/>
      <c r="BG1478" s="1292"/>
      <c r="BH1478" s="1292"/>
      <c r="BI1478" s="1292">
        <v>0.4</v>
      </c>
      <c r="BJ1478" s="1292">
        <v>0.6</v>
      </c>
      <c r="BK1478" s="1292"/>
      <c r="BL1478" s="1292"/>
      <c r="BM1478" s="1292"/>
      <c r="BN1478" s="1292"/>
      <c r="BO1478" s="1292"/>
      <c r="BP1478" s="1292"/>
      <c r="BQ1478" s="1292"/>
      <c r="BR1478" s="1292"/>
      <c r="BS1478" s="1292"/>
      <c r="BT1478" s="1670">
        <f t="shared" ref="BT1478:BT1483" si="923">SUM(AV1478:BS1478)</f>
        <v>1</v>
      </c>
      <c r="BW1478" s="799" t="s">
        <v>1211</v>
      </c>
    </row>
    <row r="1479" spans="2:75" ht="12.75" customHeight="1" x14ac:dyDescent="0.2">
      <c r="B1479" s="175">
        <f t="shared" si="914"/>
        <v>10</v>
      </c>
      <c r="C1479" s="219">
        <v>26</v>
      </c>
      <c r="E1479" s="12" t="s">
        <v>76</v>
      </c>
      <c r="F1479" s="23" t="s">
        <v>1248</v>
      </c>
      <c r="G1479" s="844" t="s">
        <v>230</v>
      </c>
      <c r="H1479" s="950">
        <v>100349</v>
      </c>
      <c r="I1479" s="272" t="s">
        <v>583</v>
      </c>
      <c r="J1479" s="170"/>
      <c r="K1479" s="170"/>
      <c r="L1479" s="833">
        <v>1</v>
      </c>
      <c r="M1479" s="833">
        <v>1</v>
      </c>
      <c r="N1479" s="833" t="s">
        <v>1326</v>
      </c>
      <c r="O1479" s="1196">
        <v>31835</v>
      </c>
      <c r="P1479" s="1218">
        <f t="shared" ca="1" si="906"/>
        <v>30.597222222222221</v>
      </c>
      <c r="Q1479" s="1148">
        <v>42000</v>
      </c>
      <c r="R1479" s="874">
        <f>Q1479*0.1</f>
        <v>4200</v>
      </c>
      <c r="S1479" s="875"/>
      <c r="T1479" s="877">
        <v>14800</v>
      </c>
      <c r="U1479" s="877"/>
      <c r="V1479" s="877"/>
      <c r="W1479" s="875"/>
      <c r="X1479" s="1026">
        <f t="shared" si="917"/>
        <v>61000</v>
      </c>
      <c r="Y1479" s="1512">
        <f t="shared" si="918"/>
        <v>0.32034632034632032</v>
      </c>
      <c r="Z1479" s="1741">
        <f t="shared" si="919"/>
        <v>1.3203463203463204</v>
      </c>
      <c r="AA1479" s="1749">
        <f t="shared" si="920"/>
        <v>1</v>
      </c>
      <c r="AB1479" s="1810">
        <f t="shared" si="921"/>
        <v>75.73770491803279</v>
      </c>
      <c r="AC1479" s="876"/>
      <c r="AD1479" s="1525">
        <f t="shared" si="922"/>
        <v>1</v>
      </c>
      <c r="AE1479" s="1525">
        <f t="shared" si="922"/>
        <v>0</v>
      </c>
      <c r="AF1479" s="1525">
        <f t="shared" si="922"/>
        <v>0</v>
      </c>
      <c r="AG1479" s="1525">
        <f t="shared" si="922"/>
        <v>0</v>
      </c>
      <c r="AH1479" s="1525">
        <f t="shared" si="922"/>
        <v>0</v>
      </c>
      <c r="AI1479" s="1525">
        <f t="shared" si="922"/>
        <v>0</v>
      </c>
      <c r="AJ1479" s="1525">
        <f t="shared" si="922"/>
        <v>0</v>
      </c>
      <c r="AK1479" s="1525">
        <f t="shared" si="922"/>
        <v>0</v>
      </c>
      <c r="AL1479" s="1525">
        <f t="shared" si="922"/>
        <v>0</v>
      </c>
      <c r="AM1479" s="1525">
        <f t="shared" si="922"/>
        <v>0</v>
      </c>
      <c r="AN1479" s="1525">
        <f t="shared" si="922"/>
        <v>0</v>
      </c>
      <c r="AO1479" s="1525">
        <f t="shared" si="922"/>
        <v>0</v>
      </c>
      <c r="AP1479" s="1525">
        <f t="shared" si="922"/>
        <v>0</v>
      </c>
      <c r="AQ1479" s="1525">
        <f t="shared" si="922"/>
        <v>0</v>
      </c>
      <c r="AR1479" s="1525">
        <f t="shared" si="922"/>
        <v>0</v>
      </c>
      <c r="AS1479" s="1525">
        <f t="shared" si="922"/>
        <v>0</v>
      </c>
      <c r="AU1479" s="1525"/>
      <c r="AV1479" s="1291"/>
      <c r="AW1479" s="1292"/>
      <c r="AX1479" s="1292"/>
      <c r="AY1479" s="1292"/>
      <c r="AZ1479" s="1292"/>
      <c r="BA1479" s="1292"/>
      <c r="BB1479" s="1292"/>
      <c r="BC1479" s="1292"/>
      <c r="BD1479" s="1292"/>
      <c r="BE1479" s="1292"/>
      <c r="BF1479" s="1292"/>
      <c r="BG1479" s="1292"/>
      <c r="BH1479" s="1292"/>
      <c r="BI1479" s="1292">
        <v>0.4</v>
      </c>
      <c r="BJ1479" s="1292">
        <v>0.6</v>
      </c>
      <c r="BK1479" s="1292"/>
      <c r="BL1479" s="1292"/>
      <c r="BM1479" s="1292"/>
      <c r="BN1479" s="1292"/>
      <c r="BO1479" s="1292"/>
      <c r="BP1479" s="1292"/>
      <c r="BQ1479" s="1292"/>
      <c r="BR1479" s="1292"/>
      <c r="BS1479" s="1292"/>
      <c r="BT1479" s="1670">
        <f t="shared" si="923"/>
        <v>1</v>
      </c>
      <c r="BW1479" s="844" t="s">
        <v>230</v>
      </c>
    </row>
    <row r="1480" spans="2:75" ht="12.75" customHeight="1" x14ac:dyDescent="0.2">
      <c r="B1480" s="175">
        <f t="shared" si="914"/>
        <v>11</v>
      </c>
      <c r="C1480" s="219">
        <v>26</v>
      </c>
      <c r="E1480" s="12" t="s">
        <v>76</v>
      </c>
      <c r="F1480" t="s">
        <v>1248</v>
      </c>
      <c r="G1480" s="799" t="s">
        <v>1684</v>
      </c>
      <c r="H1480" s="858">
        <v>142324</v>
      </c>
      <c r="I1480" s="232" t="s">
        <v>583</v>
      </c>
      <c r="L1480" s="843">
        <v>1</v>
      </c>
      <c r="M1480" s="858">
        <f>K1480+L1480</f>
        <v>1</v>
      </c>
      <c r="N1480" s="831"/>
      <c r="O1480" s="1196">
        <v>33488</v>
      </c>
      <c r="P1480" s="1218">
        <f t="shared" ca="1" si="906"/>
        <v>26.069444444444443</v>
      </c>
      <c r="Q1480" s="1148">
        <v>26000</v>
      </c>
      <c r="R1480" s="874"/>
      <c r="S1480" s="875"/>
      <c r="T1480" s="875"/>
      <c r="U1480" s="875"/>
      <c r="V1480" s="875"/>
      <c r="W1480" s="875"/>
      <c r="X1480" s="1026">
        <f t="shared" si="917"/>
        <v>26000</v>
      </c>
      <c r="Y1480" s="1512">
        <f t="shared" si="918"/>
        <v>0</v>
      </c>
      <c r="Z1480" s="1741">
        <f t="shared" si="919"/>
        <v>1</v>
      </c>
      <c r="AA1480" s="1749">
        <f t="shared" si="920"/>
        <v>1</v>
      </c>
      <c r="AB1480" s="1810">
        <f t="shared" si="921"/>
        <v>100</v>
      </c>
      <c r="AC1480" s="876"/>
      <c r="AD1480" s="1525">
        <f t="shared" si="922"/>
        <v>1</v>
      </c>
      <c r="AE1480" s="1525">
        <f t="shared" si="922"/>
        <v>0</v>
      </c>
      <c r="AF1480" s="1525">
        <f t="shared" si="922"/>
        <v>0</v>
      </c>
      <c r="AG1480" s="1525">
        <f t="shared" si="922"/>
        <v>0</v>
      </c>
      <c r="AH1480" s="1525">
        <f t="shared" si="922"/>
        <v>0</v>
      </c>
      <c r="AI1480" s="1525">
        <f t="shared" si="922"/>
        <v>0</v>
      </c>
      <c r="AJ1480" s="1525">
        <f t="shared" si="922"/>
        <v>0</v>
      </c>
      <c r="AK1480" s="1525">
        <f t="shared" si="922"/>
        <v>0</v>
      </c>
      <c r="AL1480" s="1525">
        <f t="shared" si="922"/>
        <v>0</v>
      </c>
      <c r="AM1480" s="1525">
        <f t="shared" si="922"/>
        <v>0</v>
      </c>
      <c r="AN1480" s="1525">
        <f t="shared" si="922"/>
        <v>0</v>
      </c>
      <c r="AO1480" s="1525">
        <f t="shared" si="922"/>
        <v>0</v>
      </c>
      <c r="AP1480" s="1525">
        <f t="shared" si="922"/>
        <v>0</v>
      </c>
      <c r="AQ1480" s="1525">
        <f t="shared" si="922"/>
        <v>0</v>
      </c>
      <c r="AR1480" s="1525">
        <f t="shared" si="922"/>
        <v>0</v>
      </c>
      <c r="AS1480" s="1525">
        <f t="shared" si="922"/>
        <v>0</v>
      </c>
      <c r="AU1480" s="1525"/>
      <c r="AV1480" s="1291"/>
      <c r="AW1480" s="1292"/>
      <c r="AX1480" s="1292"/>
      <c r="AY1480" s="1292"/>
      <c r="AZ1480" s="1292"/>
      <c r="BA1480" s="1292"/>
      <c r="BB1480" s="1292"/>
      <c r="BC1480" s="1292"/>
      <c r="BD1480" s="1292"/>
      <c r="BE1480" s="1292"/>
      <c r="BF1480" s="1292"/>
      <c r="BG1480" s="1292"/>
      <c r="BH1480" s="1292"/>
      <c r="BI1480" s="1292">
        <v>0.4</v>
      </c>
      <c r="BJ1480" s="1292">
        <v>0.6</v>
      </c>
      <c r="BK1480" s="1292"/>
      <c r="BL1480" s="1292"/>
      <c r="BM1480" s="1292"/>
      <c r="BN1480" s="1292"/>
      <c r="BO1480" s="1292"/>
      <c r="BP1480" s="1292"/>
      <c r="BQ1480" s="1292"/>
      <c r="BR1480" s="1292"/>
      <c r="BS1480" s="1292"/>
      <c r="BT1480" s="1670">
        <f t="shared" si="923"/>
        <v>1</v>
      </c>
      <c r="BW1480" s="799" t="s">
        <v>1684</v>
      </c>
    </row>
    <row r="1481" spans="2:75" ht="12.75" customHeight="1" x14ac:dyDescent="0.2">
      <c r="B1481" s="175">
        <f t="shared" si="914"/>
        <v>12</v>
      </c>
      <c r="C1481" s="219">
        <v>14</v>
      </c>
      <c r="E1481" s="12" t="s">
        <v>76</v>
      </c>
      <c r="F1481" t="s">
        <v>1248</v>
      </c>
      <c r="G1481" s="799" t="s">
        <v>1285</v>
      </c>
      <c r="H1481" s="858">
        <v>131750</v>
      </c>
      <c r="I1481" s="232" t="s">
        <v>583</v>
      </c>
      <c r="L1481" s="843">
        <v>1</v>
      </c>
      <c r="M1481" s="858">
        <v>1</v>
      </c>
      <c r="N1481" s="831" t="s">
        <v>1326</v>
      </c>
      <c r="O1481" s="1196">
        <v>32918</v>
      </c>
      <c r="P1481" s="1218">
        <f t="shared" ca="1" si="906"/>
        <v>27.633333333333333</v>
      </c>
      <c r="Q1481" s="1148">
        <v>35500</v>
      </c>
      <c r="R1481" s="874">
        <f>Q1481*0.1</f>
        <v>3550</v>
      </c>
      <c r="S1481" s="875"/>
      <c r="T1481" s="875"/>
      <c r="U1481" s="875"/>
      <c r="V1481" s="875"/>
      <c r="W1481" s="875"/>
      <c r="X1481" s="1026">
        <f t="shared" si="917"/>
        <v>39050</v>
      </c>
      <c r="Y1481" s="1512">
        <f t="shared" si="918"/>
        <v>0</v>
      </c>
      <c r="Z1481" s="1741">
        <f t="shared" si="919"/>
        <v>1</v>
      </c>
      <c r="AA1481" s="1749">
        <f t="shared" si="920"/>
        <v>1</v>
      </c>
      <c r="AB1481" s="1810">
        <f t="shared" si="921"/>
        <v>100</v>
      </c>
      <c r="AC1481" s="876"/>
      <c r="AD1481" s="1525">
        <f t="shared" si="922"/>
        <v>1</v>
      </c>
      <c r="AE1481" s="1525">
        <f t="shared" si="922"/>
        <v>0</v>
      </c>
      <c r="AF1481" s="1525">
        <f t="shared" si="922"/>
        <v>0</v>
      </c>
      <c r="AG1481" s="1525">
        <f t="shared" si="922"/>
        <v>0</v>
      </c>
      <c r="AH1481" s="1525">
        <f t="shared" si="922"/>
        <v>0</v>
      </c>
      <c r="AI1481" s="1525">
        <f t="shared" si="922"/>
        <v>0</v>
      </c>
      <c r="AJ1481" s="1525">
        <f t="shared" si="922"/>
        <v>0</v>
      </c>
      <c r="AK1481" s="1525">
        <f t="shared" si="922"/>
        <v>0</v>
      </c>
      <c r="AL1481" s="1525">
        <f t="shared" si="922"/>
        <v>0</v>
      </c>
      <c r="AM1481" s="1525">
        <f t="shared" si="922"/>
        <v>0</v>
      </c>
      <c r="AN1481" s="1525">
        <f t="shared" si="922"/>
        <v>0</v>
      </c>
      <c r="AO1481" s="1525">
        <f t="shared" si="922"/>
        <v>0</v>
      </c>
      <c r="AP1481" s="1525">
        <f t="shared" si="922"/>
        <v>0</v>
      </c>
      <c r="AQ1481" s="1525">
        <f t="shared" si="922"/>
        <v>0</v>
      </c>
      <c r="AR1481" s="1525">
        <f t="shared" si="922"/>
        <v>0</v>
      </c>
      <c r="AS1481" s="1525">
        <f t="shared" si="922"/>
        <v>0</v>
      </c>
      <c r="AU1481" s="1525"/>
      <c r="AV1481" s="1291"/>
      <c r="AW1481" s="1292"/>
      <c r="AX1481" s="1292"/>
      <c r="AY1481" s="1292"/>
      <c r="AZ1481" s="1292"/>
      <c r="BA1481" s="1292"/>
      <c r="BB1481" s="1292"/>
      <c r="BC1481" s="1292"/>
      <c r="BD1481" s="1292"/>
      <c r="BE1481" s="1292"/>
      <c r="BF1481" s="1292"/>
      <c r="BG1481" s="1292"/>
      <c r="BH1481" s="1292"/>
      <c r="BI1481" s="1292">
        <v>0.4</v>
      </c>
      <c r="BJ1481" s="1292">
        <v>0.6</v>
      </c>
      <c r="BK1481" s="1292"/>
      <c r="BL1481" s="1292"/>
      <c r="BM1481" s="1292"/>
      <c r="BN1481" s="1292"/>
      <c r="BO1481" s="1292"/>
      <c r="BP1481" s="1292"/>
      <c r="BQ1481" s="1292"/>
      <c r="BR1481" s="1292"/>
      <c r="BS1481" s="1292"/>
      <c r="BT1481" s="1670">
        <f t="shared" si="923"/>
        <v>1</v>
      </c>
      <c r="BW1481" s="799" t="s">
        <v>1285</v>
      </c>
    </row>
    <row r="1482" spans="2:75" ht="12.75" customHeight="1" x14ac:dyDescent="0.2">
      <c r="B1482" s="175">
        <f t="shared" si="914"/>
        <v>13</v>
      </c>
      <c r="C1482" s="219">
        <v>18</v>
      </c>
      <c r="E1482" s="12" t="s">
        <v>76</v>
      </c>
      <c r="F1482" t="s">
        <v>1393</v>
      </c>
      <c r="G1482" s="799" t="s">
        <v>1113</v>
      </c>
      <c r="H1482" s="858">
        <v>113318</v>
      </c>
      <c r="I1482" s="232" t="s">
        <v>583</v>
      </c>
      <c r="L1482" s="843">
        <v>1</v>
      </c>
      <c r="M1482" s="858">
        <v>1</v>
      </c>
      <c r="N1482" s="999" t="s">
        <v>1326</v>
      </c>
      <c r="O1482" s="1196">
        <v>22666</v>
      </c>
      <c r="P1482" s="1218">
        <f t="shared" ca="1" si="906"/>
        <v>55.7</v>
      </c>
      <c r="Q1482" s="1148">
        <v>22000</v>
      </c>
      <c r="R1482" s="874">
        <f>Q1482*0.1</f>
        <v>2200</v>
      </c>
      <c r="S1482" s="875"/>
      <c r="T1482" s="875"/>
      <c r="U1482" s="875"/>
      <c r="V1482" s="875"/>
      <c r="W1482" s="875"/>
      <c r="X1482" s="1026">
        <f t="shared" si="917"/>
        <v>24200</v>
      </c>
      <c r="Y1482" s="1512">
        <f t="shared" si="918"/>
        <v>0</v>
      </c>
      <c r="Z1482" s="1741">
        <f t="shared" si="919"/>
        <v>1</v>
      </c>
      <c r="AA1482" s="1749">
        <f t="shared" si="920"/>
        <v>1</v>
      </c>
      <c r="AB1482" s="1810">
        <f t="shared" si="921"/>
        <v>100</v>
      </c>
      <c r="AC1482" s="876"/>
      <c r="AD1482" s="1525">
        <f t="shared" si="922"/>
        <v>1</v>
      </c>
      <c r="AE1482" s="1525">
        <f t="shared" si="922"/>
        <v>0</v>
      </c>
      <c r="AF1482" s="1525">
        <f t="shared" si="922"/>
        <v>0</v>
      </c>
      <c r="AG1482" s="1525">
        <f t="shared" si="922"/>
        <v>0</v>
      </c>
      <c r="AH1482" s="1525">
        <f t="shared" si="922"/>
        <v>0</v>
      </c>
      <c r="AI1482" s="1525">
        <f t="shared" si="922"/>
        <v>0</v>
      </c>
      <c r="AJ1482" s="1525">
        <f t="shared" si="922"/>
        <v>0</v>
      </c>
      <c r="AK1482" s="1525">
        <f t="shared" si="922"/>
        <v>0</v>
      </c>
      <c r="AL1482" s="1525">
        <f t="shared" si="922"/>
        <v>0</v>
      </c>
      <c r="AM1482" s="1525">
        <f t="shared" si="922"/>
        <v>0</v>
      </c>
      <c r="AN1482" s="1525">
        <f t="shared" si="922"/>
        <v>0</v>
      </c>
      <c r="AO1482" s="1525">
        <f t="shared" si="922"/>
        <v>0</v>
      </c>
      <c r="AP1482" s="1525">
        <f t="shared" si="922"/>
        <v>0</v>
      </c>
      <c r="AQ1482" s="1525">
        <f t="shared" si="922"/>
        <v>0</v>
      </c>
      <c r="AR1482" s="1525">
        <f t="shared" si="922"/>
        <v>0</v>
      </c>
      <c r="AS1482" s="1525">
        <f t="shared" si="922"/>
        <v>0</v>
      </c>
      <c r="AU1482" s="1525"/>
      <c r="AV1482" s="1291"/>
      <c r="AW1482" s="1292"/>
      <c r="AX1482" s="1292"/>
      <c r="AY1482" s="1292"/>
      <c r="AZ1482" s="1292"/>
      <c r="BA1482" s="1292"/>
      <c r="BB1482" s="1292"/>
      <c r="BC1482" s="1292"/>
      <c r="BD1482" s="1292"/>
      <c r="BE1482" s="1292"/>
      <c r="BF1482" s="1292"/>
      <c r="BG1482" s="1292"/>
      <c r="BH1482" s="1292"/>
      <c r="BI1482" s="1292">
        <v>0.4</v>
      </c>
      <c r="BJ1482" s="1292">
        <v>0.6</v>
      </c>
      <c r="BK1482" s="1292"/>
      <c r="BL1482" s="1292"/>
      <c r="BM1482" s="1292"/>
      <c r="BN1482" s="1292"/>
      <c r="BO1482" s="1292"/>
      <c r="BP1482" s="1292"/>
      <c r="BQ1482" s="1292"/>
      <c r="BR1482" s="1292"/>
      <c r="BS1482" s="1292"/>
      <c r="BT1482" s="1670">
        <f t="shared" si="923"/>
        <v>1</v>
      </c>
      <c r="BW1482" s="799" t="s">
        <v>1113</v>
      </c>
    </row>
    <row r="1483" spans="2:75" ht="12.75" customHeight="1" x14ac:dyDescent="0.2">
      <c r="B1483" s="175">
        <f t="shared" si="914"/>
        <v>14</v>
      </c>
      <c r="C1483" s="219">
        <v>18</v>
      </c>
      <c r="E1483" s="12" t="s">
        <v>76</v>
      </c>
      <c r="F1483" s="20" t="s">
        <v>1212</v>
      </c>
      <c r="G1483" s="894" t="s">
        <v>1213</v>
      </c>
      <c r="H1483" s="873">
        <v>6020</v>
      </c>
      <c r="I1483" s="271" t="s">
        <v>1442</v>
      </c>
      <c r="J1483" s="185"/>
      <c r="K1483" s="185"/>
      <c r="L1483" s="951">
        <v>1</v>
      </c>
      <c r="M1483" s="873">
        <f>K1483+L1483</f>
        <v>1</v>
      </c>
      <c r="N1483" s="958" t="s">
        <v>892</v>
      </c>
      <c r="O1483" s="1211">
        <v>17235</v>
      </c>
      <c r="P1483" s="1218">
        <f t="shared" ca="1" si="906"/>
        <v>70.563888888888883</v>
      </c>
      <c r="Q1483" s="1071">
        <v>13000</v>
      </c>
      <c r="R1483" s="890"/>
      <c r="S1483" s="891"/>
      <c r="T1483" s="891"/>
      <c r="U1483" s="891"/>
      <c r="V1483" s="891"/>
      <c r="W1483" s="891"/>
      <c r="X1483" s="1026">
        <f t="shared" si="917"/>
        <v>13000</v>
      </c>
      <c r="Y1483" s="1512">
        <f t="shared" si="918"/>
        <v>0</v>
      </c>
      <c r="Z1483" s="1741">
        <f t="shared" si="919"/>
        <v>1</v>
      </c>
      <c r="AA1483" s="1749">
        <f t="shared" si="920"/>
        <v>1</v>
      </c>
      <c r="AB1483" s="1810">
        <f t="shared" si="921"/>
        <v>100</v>
      </c>
      <c r="AC1483" s="876"/>
      <c r="AD1483" s="1525">
        <f t="shared" si="922"/>
        <v>1</v>
      </c>
      <c r="AE1483" s="1525">
        <f t="shared" si="922"/>
        <v>0</v>
      </c>
      <c r="AF1483" s="1525">
        <f t="shared" si="922"/>
        <v>0</v>
      </c>
      <c r="AG1483" s="1525">
        <f t="shared" si="922"/>
        <v>0</v>
      </c>
      <c r="AH1483" s="1525">
        <f t="shared" si="922"/>
        <v>0</v>
      </c>
      <c r="AI1483" s="1525">
        <f t="shared" si="922"/>
        <v>0</v>
      </c>
      <c r="AJ1483" s="1525">
        <f t="shared" si="922"/>
        <v>0</v>
      </c>
      <c r="AK1483" s="1525">
        <f t="shared" si="922"/>
        <v>0</v>
      </c>
      <c r="AL1483" s="1525">
        <f t="shared" si="922"/>
        <v>0</v>
      </c>
      <c r="AM1483" s="1525">
        <f t="shared" si="922"/>
        <v>0</v>
      </c>
      <c r="AN1483" s="1525">
        <f t="shared" si="922"/>
        <v>0</v>
      </c>
      <c r="AO1483" s="1525">
        <f t="shared" si="922"/>
        <v>0</v>
      </c>
      <c r="AP1483" s="1525">
        <f t="shared" si="922"/>
        <v>0</v>
      </c>
      <c r="AQ1483" s="1525">
        <f t="shared" si="922"/>
        <v>0</v>
      </c>
      <c r="AR1483" s="1525">
        <f t="shared" si="922"/>
        <v>0</v>
      </c>
      <c r="AS1483" s="1525">
        <f t="shared" si="922"/>
        <v>0</v>
      </c>
      <c r="AU1483" s="1525"/>
      <c r="AV1483" s="1291"/>
      <c r="AW1483" s="1292"/>
      <c r="AX1483" s="1292"/>
      <c r="AY1483" s="1292"/>
      <c r="AZ1483" s="1292"/>
      <c r="BA1483" s="1292"/>
      <c r="BB1483" s="1292"/>
      <c r="BC1483" s="1292"/>
      <c r="BD1483" s="1292"/>
      <c r="BE1483" s="1292"/>
      <c r="BF1483" s="1292"/>
      <c r="BG1483" s="1292"/>
      <c r="BH1483" s="1292"/>
      <c r="BI1483" s="1292">
        <v>0.4</v>
      </c>
      <c r="BJ1483" s="1292">
        <v>0.6</v>
      </c>
      <c r="BK1483" s="1292"/>
      <c r="BL1483" s="1292"/>
      <c r="BM1483" s="1292"/>
      <c r="BN1483" s="1292"/>
      <c r="BO1483" s="1292"/>
      <c r="BP1483" s="1292"/>
      <c r="BQ1483" s="1292"/>
      <c r="BR1483" s="1292"/>
      <c r="BS1483" s="1292"/>
      <c r="BT1483" s="1670">
        <f t="shared" si="923"/>
        <v>1</v>
      </c>
      <c r="BW1483" s="894" t="s">
        <v>1213</v>
      </c>
    </row>
    <row r="1484" spans="2:75" ht="12.75" customHeight="1" x14ac:dyDescent="0.2">
      <c r="B1484" s="175"/>
      <c r="C1484" s="219"/>
      <c r="E1484" s="12"/>
      <c r="F1484" s="23"/>
      <c r="G1484" s="844"/>
      <c r="H1484" s="861"/>
      <c r="I1484" s="272"/>
      <c r="J1484" s="220"/>
      <c r="K1484" s="220"/>
      <c r="L1484" s="950"/>
      <c r="M1484" s="861"/>
      <c r="N1484" s="833"/>
      <c r="O1484" s="1196"/>
      <c r="P1484" s="1218"/>
      <c r="Q1484" s="1148"/>
      <c r="R1484" s="874"/>
      <c r="S1484" s="876"/>
      <c r="T1484" s="876"/>
      <c r="U1484" s="876"/>
      <c r="V1484" s="876"/>
      <c r="W1484" s="876"/>
      <c r="X1484" s="1026"/>
      <c r="Y1484" s="1335"/>
      <c r="Z1484" s="1335"/>
      <c r="AA1484" s="1775"/>
      <c r="AB1484" s="1814"/>
      <c r="AC1484" s="876"/>
      <c r="AD1484" s="1525"/>
      <c r="AE1484" s="1525"/>
      <c r="AF1484" s="1525"/>
      <c r="AG1484" s="1525"/>
      <c r="AH1484" s="1525"/>
      <c r="AI1484" s="1525"/>
      <c r="AJ1484" s="1525"/>
      <c r="AK1484" s="1525"/>
      <c r="AL1484" s="1525"/>
      <c r="AM1484" s="1525"/>
      <c r="AN1484" s="1525"/>
      <c r="AO1484" s="1525"/>
      <c r="AP1484" s="1525"/>
      <c r="AQ1484" s="1525"/>
      <c r="AR1484" s="1525"/>
      <c r="AS1484" s="1525"/>
      <c r="AU1484" s="1525"/>
      <c r="AV1484" s="1291"/>
      <c r="AW1484" s="1292"/>
      <c r="AX1484" s="1292"/>
      <c r="AY1484" s="1292"/>
      <c r="AZ1484" s="1292"/>
      <c r="BA1484" s="1292"/>
      <c r="BB1484" s="1292"/>
      <c r="BC1484" s="1292"/>
      <c r="BD1484" s="1292"/>
      <c r="BE1484" s="1292"/>
      <c r="BF1484" s="1292"/>
      <c r="BG1484" s="1292"/>
      <c r="BH1484" s="1292"/>
      <c r="BI1484" s="1292"/>
      <c r="BJ1484" s="1292"/>
      <c r="BK1484" s="1292"/>
      <c r="BL1484" s="1292"/>
      <c r="BM1484" s="1292"/>
      <c r="BN1484" s="1292"/>
      <c r="BO1484" s="1292"/>
      <c r="BP1484" s="1292"/>
      <c r="BQ1484" s="1292"/>
      <c r="BR1484" s="1292"/>
      <c r="BS1484" s="1292"/>
      <c r="BT1484" s="1670"/>
      <c r="BW1484" s="844"/>
    </row>
    <row r="1485" spans="2:75" s="164" customFormat="1" ht="12.75" customHeight="1" x14ac:dyDescent="0.2">
      <c r="B1485" s="175"/>
      <c r="C1485" s="219"/>
      <c r="F1485" s="1116" t="s">
        <v>436</v>
      </c>
      <c r="G1485" s="844"/>
      <c r="H1485" s="1347" t="s">
        <v>1508</v>
      </c>
      <c r="I1485" s="231"/>
      <c r="J1485" s="268"/>
      <c r="K1485" s="192"/>
      <c r="L1485" s="861"/>
      <c r="M1485" s="861"/>
      <c r="N1485" s="833"/>
      <c r="O1485" s="1193"/>
      <c r="P1485" s="550"/>
      <c r="Q1485" s="1153"/>
      <c r="R1485" s="884"/>
      <c r="S1485" s="876"/>
      <c r="T1485" s="876"/>
      <c r="U1485" s="876"/>
      <c r="V1485" s="876"/>
      <c r="W1485" s="876"/>
      <c r="X1485" s="1026"/>
      <c r="Y1485" s="1754"/>
      <c r="Z1485" s="1755"/>
      <c r="AA1485" s="1775"/>
      <c r="AB1485" s="1814"/>
      <c r="AC1485" s="876"/>
      <c r="AD1485" s="1295"/>
      <c r="AE1485" s="1525"/>
      <c r="AF1485" s="1525"/>
      <c r="AG1485" s="1525"/>
      <c r="AH1485" s="1525"/>
      <c r="AI1485" s="1525"/>
      <c r="AJ1485" s="1525"/>
      <c r="AK1485" s="1525"/>
      <c r="AL1485" s="1525"/>
      <c r="AM1485" s="1525"/>
      <c r="AN1485" s="1525"/>
      <c r="AO1485" s="1525"/>
      <c r="AP1485" s="1525"/>
      <c r="AQ1485" s="1525"/>
      <c r="AR1485" s="1525"/>
      <c r="AS1485" s="1525"/>
      <c r="AU1485" s="1525"/>
      <c r="AV1485" s="1295"/>
      <c r="AW1485" s="1525"/>
      <c r="AX1485" s="1525"/>
      <c r="AY1485" s="1525"/>
      <c r="AZ1485" s="1525"/>
      <c r="BA1485" s="1525"/>
      <c r="BB1485" s="1525"/>
      <c r="BC1485" s="1525"/>
      <c r="BD1485" s="1525"/>
      <c r="BE1485" s="1525"/>
      <c r="BF1485" s="1525"/>
      <c r="BG1485" s="1525"/>
      <c r="BH1485" s="1525"/>
      <c r="BI1485" s="1525"/>
      <c r="BJ1485" s="1525"/>
      <c r="BK1485" s="1525"/>
      <c r="BL1485" s="1525"/>
      <c r="BM1485" s="1525"/>
      <c r="BN1485" s="1525"/>
      <c r="BO1485" s="1525"/>
      <c r="BP1485" s="1525"/>
      <c r="BQ1485" s="1525"/>
      <c r="BR1485" s="1525"/>
      <c r="BS1485" s="1525"/>
      <c r="BT1485" s="1670"/>
      <c r="BV1485"/>
      <c r="BW1485" s="844"/>
    </row>
    <row r="1486" spans="2:75" ht="12.75" customHeight="1" x14ac:dyDescent="0.2">
      <c r="B1486" s="175">
        <f>B1485+1</f>
        <v>1</v>
      </c>
      <c r="C1486" s="219">
        <v>24</v>
      </c>
      <c r="E1486" s="12" t="s">
        <v>76</v>
      </c>
      <c r="F1486" t="s">
        <v>23</v>
      </c>
      <c r="G1486" s="844" t="s">
        <v>1631</v>
      </c>
      <c r="H1486" s="861">
        <v>103499</v>
      </c>
      <c r="I1486" s="231"/>
      <c r="J1486" s="268"/>
      <c r="K1486" s="192">
        <v>1</v>
      </c>
      <c r="L1486" s="861"/>
      <c r="M1486" s="861">
        <v>1</v>
      </c>
      <c r="N1486" s="833" t="s">
        <v>1326</v>
      </c>
      <c r="O1486" s="1196">
        <v>31193</v>
      </c>
      <c r="P1486" s="1262">
        <f ca="1">YEARFRAC(TODAY(),O1486)</f>
        <v>32.35</v>
      </c>
      <c r="Q1486" s="1148">
        <v>37000</v>
      </c>
      <c r="R1486" s="874">
        <f>Q1486*0.1</f>
        <v>3700</v>
      </c>
      <c r="S1486" s="876"/>
      <c r="T1486" s="876">
        <v>20300</v>
      </c>
      <c r="U1486" s="876"/>
      <c r="V1486" s="876"/>
      <c r="W1486" s="876"/>
      <c r="X1486" s="1026">
        <f>(Q1486+R1486+S1486+T1486+U1486+V1486+W1486)*M1486</f>
        <v>61000</v>
      </c>
      <c r="Y1486" s="1512">
        <f>(T1486+U1486)*M1486/(X1486-M1486*(T1486+U1486))</f>
        <v>0.49877149877149879</v>
      </c>
      <c r="Z1486" s="1741">
        <f>M1486*(1+Y1486)</f>
        <v>1.4987714987714988</v>
      </c>
      <c r="AA1486" s="1749">
        <f>SUM(AD1486:AS1486)</f>
        <v>1</v>
      </c>
      <c r="AB1486" s="1810">
        <f t="shared" ref="AB1486" si="924">100*AA1486/Z1486</f>
        <v>66.721311475409834</v>
      </c>
      <c r="AC1486" s="876"/>
      <c r="AD1486" s="1525">
        <f t="shared" ref="AD1486:AS1486" si="925">SUMIF($AV$6:$BS$6,AD$5,$AV1486:$BS1486)</f>
        <v>1</v>
      </c>
      <c r="AE1486" s="1525">
        <f t="shared" si="925"/>
        <v>0</v>
      </c>
      <c r="AF1486" s="1525">
        <f t="shared" si="925"/>
        <v>0</v>
      </c>
      <c r="AG1486" s="1525">
        <f t="shared" si="925"/>
        <v>0</v>
      </c>
      <c r="AH1486" s="1525">
        <f t="shared" si="925"/>
        <v>0</v>
      </c>
      <c r="AI1486" s="1525">
        <f t="shared" si="925"/>
        <v>0</v>
      </c>
      <c r="AJ1486" s="1525">
        <f t="shared" si="925"/>
        <v>0</v>
      </c>
      <c r="AK1486" s="1525">
        <f t="shared" si="925"/>
        <v>0</v>
      </c>
      <c r="AL1486" s="1525">
        <f t="shared" si="925"/>
        <v>0</v>
      </c>
      <c r="AM1486" s="1525">
        <f t="shared" si="925"/>
        <v>0</v>
      </c>
      <c r="AN1486" s="1525">
        <f t="shared" si="925"/>
        <v>0</v>
      </c>
      <c r="AO1486" s="1525">
        <f t="shared" si="925"/>
        <v>0</v>
      </c>
      <c r="AP1486" s="1525">
        <f t="shared" si="925"/>
        <v>0</v>
      </c>
      <c r="AQ1486" s="1525">
        <f t="shared" si="925"/>
        <v>0</v>
      </c>
      <c r="AR1486" s="1525">
        <f t="shared" si="925"/>
        <v>0</v>
      </c>
      <c r="AS1486" s="1525">
        <f t="shared" si="925"/>
        <v>0</v>
      </c>
      <c r="AU1486" s="1525"/>
      <c r="AV1486" s="1291"/>
      <c r="AW1486" s="1292"/>
      <c r="AX1486" s="1292"/>
      <c r="AY1486" s="1292"/>
      <c r="AZ1486" s="1292"/>
      <c r="BA1486" s="1292"/>
      <c r="BB1486" s="1292"/>
      <c r="BC1486" s="1292"/>
      <c r="BD1486" s="1292"/>
      <c r="BE1486" s="1292"/>
      <c r="BF1486" s="1292"/>
      <c r="BG1486" s="1292"/>
      <c r="BH1486" s="1292"/>
      <c r="BI1486" s="1292">
        <v>0.4</v>
      </c>
      <c r="BJ1486" s="1292">
        <v>0.6</v>
      </c>
      <c r="BK1486" s="1292"/>
      <c r="BL1486" s="1292"/>
      <c r="BM1486" s="1292"/>
      <c r="BN1486" s="1292"/>
      <c r="BO1486" s="1292"/>
      <c r="BP1486" s="1292"/>
      <c r="BQ1486" s="1292"/>
      <c r="BR1486" s="1292"/>
      <c r="BS1486" s="1292"/>
      <c r="BT1486" s="1670">
        <f t="shared" ref="BT1486" si="926">SUM(AV1486:BS1486)</f>
        <v>1</v>
      </c>
      <c r="BW1486" s="844" t="s">
        <v>1631</v>
      </c>
    </row>
    <row r="1487" spans="2:75" ht="12.75" customHeight="1" x14ac:dyDescent="0.2">
      <c r="B1487" s="175"/>
      <c r="C1487" s="219"/>
      <c r="E1487" s="12"/>
      <c r="F1487" s="23"/>
      <c r="G1487" s="844"/>
      <c r="H1487" s="861"/>
      <c r="I1487" s="272"/>
      <c r="J1487" s="220"/>
      <c r="K1487" s="220"/>
      <c r="L1487" s="950"/>
      <c r="M1487" s="861"/>
      <c r="N1487" s="833"/>
      <c r="O1487" s="1196"/>
      <c r="P1487" s="1218"/>
      <c r="Q1487" s="1148"/>
      <c r="R1487" s="874"/>
      <c r="S1487" s="876"/>
      <c r="T1487" s="876"/>
      <c r="U1487" s="876"/>
      <c r="V1487" s="876"/>
      <c r="W1487" s="876"/>
      <c r="X1487" s="1026"/>
      <c r="Y1487" s="1335"/>
      <c r="Z1487" s="1335"/>
      <c r="AA1487" s="1775"/>
      <c r="AB1487" s="1814"/>
      <c r="AC1487" s="876"/>
      <c r="AD1487" s="1525"/>
      <c r="AE1487" s="1525"/>
      <c r="AF1487" s="1525"/>
      <c r="AG1487" s="1525"/>
      <c r="AH1487" s="1525"/>
      <c r="AI1487" s="1525"/>
      <c r="AJ1487" s="1525"/>
      <c r="AK1487" s="1525"/>
      <c r="AL1487" s="1525"/>
      <c r="AM1487" s="1525"/>
      <c r="AN1487" s="1525"/>
      <c r="AO1487" s="1525"/>
      <c r="AP1487" s="1525"/>
      <c r="AQ1487" s="1525"/>
      <c r="AR1487" s="1525"/>
      <c r="AS1487" s="1525"/>
      <c r="AU1487" s="1525"/>
      <c r="AV1487" s="1291"/>
      <c r="AW1487" s="1292"/>
      <c r="AX1487" s="1292"/>
      <c r="AY1487" s="1292"/>
      <c r="AZ1487" s="1292"/>
      <c r="BA1487" s="1292"/>
      <c r="BB1487" s="1292"/>
      <c r="BC1487" s="1292"/>
      <c r="BD1487" s="1292"/>
      <c r="BE1487" s="1292"/>
      <c r="BF1487" s="1292"/>
      <c r="BG1487" s="1292"/>
      <c r="BH1487" s="1292"/>
      <c r="BI1487" s="1292"/>
      <c r="BJ1487" s="1292"/>
      <c r="BK1487" s="1292"/>
      <c r="BL1487" s="1292"/>
      <c r="BM1487" s="1292"/>
      <c r="BN1487" s="1292"/>
      <c r="BO1487" s="1292"/>
      <c r="BP1487" s="1292"/>
      <c r="BQ1487" s="1292"/>
      <c r="BR1487" s="1292"/>
      <c r="BS1487" s="1292"/>
      <c r="BT1487" s="1670"/>
      <c r="BW1487" s="844"/>
    </row>
    <row r="1488" spans="2:75" s="164" customFormat="1" ht="12.75" customHeight="1" x14ac:dyDescent="0.2">
      <c r="B1488" s="175"/>
      <c r="C1488" s="219" t="s">
        <v>1120</v>
      </c>
      <c r="F1488" s="60" t="s">
        <v>1125</v>
      </c>
      <c r="G1488" s="844"/>
      <c r="H1488" s="1347" t="s">
        <v>1508</v>
      </c>
      <c r="I1488" s="231"/>
      <c r="J1488" s="268"/>
      <c r="K1488" s="1133">
        <f t="shared" ref="K1488:L1488" si="927">SUM(K1470:K1486)</f>
        <v>1</v>
      </c>
      <c r="L1488" s="1133">
        <f t="shared" si="927"/>
        <v>14</v>
      </c>
      <c r="M1488" s="1133">
        <f>SUM(M1470:M1486)</f>
        <v>15</v>
      </c>
      <c r="N1488" s="833"/>
      <c r="O1488" s="1193"/>
      <c r="P1488" s="550"/>
      <c r="Q1488" s="1153"/>
      <c r="R1488" s="877"/>
      <c r="S1488" s="875"/>
      <c r="T1488" s="875"/>
      <c r="U1488" s="875"/>
      <c r="V1488" s="875"/>
      <c r="W1488" s="875"/>
      <c r="X1488" s="1026"/>
      <c r="Y1488" s="1335"/>
      <c r="Z1488" s="1335"/>
      <c r="AA1488" s="1775"/>
      <c r="AB1488" s="1814"/>
      <c r="AC1488" s="876"/>
      <c r="AD1488" s="1295"/>
      <c r="AE1488" s="1525"/>
      <c r="AF1488" s="1525"/>
      <c r="AG1488" s="1525"/>
      <c r="AH1488" s="1525"/>
      <c r="AI1488" s="1525"/>
      <c r="AJ1488" s="1525"/>
      <c r="AK1488" s="1525"/>
      <c r="AL1488" s="1525"/>
      <c r="AM1488" s="1525"/>
      <c r="AN1488" s="1525"/>
      <c r="AO1488" s="1525"/>
      <c r="AP1488" s="1525"/>
      <c r="AQ1488" s="1525"/>
      <c r="AR1488" s="1525"/>
      <c r="AS1488" s="1525"/>
      <c r="AU1488" s="1525"/>
      <c r="AV1488" s="1295"/>
      <c r="AW1488" s="1525"/>
      <c r="AX1488" s="1525"/>
      <c r="AY1488" s="1525"/>
      <c r="AZ1488" s="1525"/>
      <c r="BA1488" s="1525"/>
      <c r="BB1488" s="1525"/>
      <c r="BC1488" s="1525"/>
      <c r="BD1488" s="1525"/>
      <c r="BE1488" s="1525"/>
      <c r="BF1488" s="1525"/>
      <c r="BG1488" s="1525"/>
      <c r="BH1488" s="1525"/>
      <c r="BI1488" s="1525"/>
      <c r="BJ1488" s="1525"/>
      <c r="BK1488" s="1525"/>
      <c r="BL1488" s="1525"/>
      <c r="BM1488" s="1525"/>
      <c r="BN1488" s="1525"/>
      <c r="BO1488" s="1525"/>
      <c r="BP1488" s="1525"/>
      <c r="BQ1488" s="1525"/>
      <c r="BR1488" s="1525"/>
      <c r="BS1488" s="1525"/>
      <c r="BT1488" s="1670"/>
      <c r="BV1488"/>
      <c r="BW1488" s="844"/>
    </row>
    <row r="1489" spans="2:75" s="164" customFormat="1" ht="12.75" customHeight="1" x14ac:dyDescent="0.2">
      <c r="B1489" s="175"/>
      <c r="C1489" s="219"/>
      <c r="F1489" s="60"/>
      <c r="G1489" s="844"/>
      <c r="H1489" s="1347" t="s">
        <v>1508</v>
      </c>
      <c r="I1489" s="231"/>
      <c r="J1489" s="268"/>
      <c r="K1489" s="192"/>
      <c r="L1489" s="861"/>
      <c r="M1489" s="861"/>
      <c r="N1489" s="833"/>
      <c r="O1489" s="1193"/>
      <c r="P1489" s="550"/>
      <c r="Q1489" s="1153"/>
      <c r="R1489" s="877"/>
      <c r="S1489" s="875"/>
      <c r="T1489" s="875"/>
      <c r="U1489" s="875"/>
      <c r="V1489" s="875"/>
      <c r="W1489" s="875"/>
      <c r="X1489" s="1026"/>
      <c r="Y1489" s="1754"/>
      <c r="Z1489" s="1755"/>
      <c r="AA1489" s="1775"/>
      <c r="AB1489" s="1814"/>
      <c r="AC1489" s="876"/>
      <c r="AD1489" s="1295"/>
      <c r="AE1489" s="1525"/>
      <c r="AF1489" s="1525"/>
      <c r="AG1489" s="1525"/>
      <c r="AH1489" s="1525"/>
      <c r="AI1489" s="1525"/>
      <c r="AJ1489" s="1525"/>
      <c r="AK1489" s="1525"/>
      <c r="AL1489" s="1525"/>
      <c r="AM1489" s="1525"/>
      <c r="AN1489" s="1525"/>
      <c r="AO1489" s="1525"/>
      <c r="AP1489" s="1525"/>
      <c r="AQ1489" s="1525"/>
      <c r="AR1489" s="1525"/>
      <c r="AS1489" s="1525"/>
      <c r="AU1489" s="1525"/>
      <c r="AV1489" s="1295"/>
      <c r="AW1489" s="1525"/>
      <c r="AX1489" s="1525"/>
      <c r="AY1489" s="1525"/>
      <c r="AZ1489" s="1525"/>
      <c r="BA1489" s="1525"/>
      <c r="BB1489" s="1525"/>
      <c r="BC1489" s="1525"/>
      <c r="BD1489" s="1525"/>
      <c r="BE1489" s="1525"/>
      <c r="BF1489" s="1525"/>
      <c r="BG1489" s="1525"/>
      <c r="BH1489" s="1525"/>
      <c r="BI1489" s="1525"/>
      <c r="BJ1489" s="1525"/>
      <c r="BK1489" s="1525"/>
      <c r="BL1489" s="1525"/>
      <c r="BM1489" s="1525"/>
      <c r="BN1489" s="1525"/>
      <c r="BO1489" s="1525"/>
      <c r="BP1489" s="1525"/>
      <c r="BQ1489" s="1525"/>
      <c r="BR1489" s="1525"/>
      <c r="BS1489" s="1525"/>
      <c r="BT1489" s="1670"/>
      <c r="BV1489"/>
      <c r="BW1489" s="844"/>
    </row>
    <row r="1490" spans="2:75" s="164" customFormat="1" ht="12.75" customHeight="1" x14ac:dyDescent="0.2">
      <c r="B1490" s="175"/>
      <c r="F1490" s="76" t="s">
        <v>347</v>
      </c>
      <c r="G1490" s="844"/>
      <c r="H1490" s="1397" t="s">
        <v>1508</v>
      </c>
      <c r="I1490" s="272"/>
      <c r="J1490" s="220"/>
      <c r="K1490" s="220"/>
      <c r="L1490" s="950"/>
      <c r="M1490" s="950"/>
      <c r="N1490" s="833"/>
      <c r="O1490" s="1193"/>
      <c r="P1490" s="550"/>
      <c r="Q1490" s="1148"/>
      <c r="R1490" s="874"/>
      <c r="S1490" s="875"/>
      <c r="T1490" s="875"/>
      <c r="U1490" s="875"/>
      <c r="V1490" s="875"/>
      <c r="W1490" s="875"/>
      <c r="X1490" s="1026"/>
      <c r="Y1490" s="1754"/>
      <c r="Z1490" s="1755"/>
      <c r="AA1490" s="1775"/>
      <c r="AB1490" s="1814"/>
      <c r="AC1490" s="876"/>
      <c r="AD1490" s="1295"/>
      <c r="AE1490" s="1525"/>
      <c r="AF1490" s="1525"/>
      <c r="AG1490" s="1525"/>
      <c r="AH1490" s="1525"/>
      <c r="AI1490" s="1525"/>
      <c r="AJ1490" s="1525"/>
      <c r="AK1490" s="1525"/>
      <c r="AL1490" s="1525"/>
      <c r="AM1490" s="1525"/>
      <c r="AN1490" s="1525"/>
      <c r="AO1490" s="1525"/>
      <c r="AP1490" s="1525"/>
      <c r="AQ1490" s="1525"/>
      <c r="AR1490" s="1525"/>
      <c r="AS1490" s="1525"/>
      <c r="AU1490" s="1525"/>
      <c r="AV1490" s="1295"/>
      <c r="AW1490" s="1525"/>
      <c r="AX1490" s="1525"/>
      <c r="AY1490" s="1525"/>
      <c r="AZ1490" s="1525"/>
      <c r="BA1490" s="1525"/>
      <c r="BB1490" s="1525"/>
      <c r="BC1490" s="1525"/>
      <c r="BD1490" s="1525"/>
      <c r="BE1490" s="1525"/>
      <c r="BF1490" s="1525"/>
      <c r="BG1490" s="1525"/>
      <c r="BH1490" s="1525"/>
      <c r="BI1490" s="1525"/>
      <c r="BJ1490" s="1525"/>
      <c r="BK1490" s="1525"/>
      <c r="BL1490" s="1525"/>
      <c r="BM1490" s="1525"/>
      <c r="BN1490" s="1525"/>
      <c r="BO1490" s="1525"/>
      <c r="BP1490" s="1525"/>
      <c r="BQ1490" s="1525"/>
      <c r="BR1490" s="1525"/>
      <c r="BS1490" s="1525"/>
      <c r="BT1490" s="1670"/>
      <c r="BV1490"/>
      <c r="BW1490" s="844"/>
    </row>
    <row r="1491" spans="2:75" s="164" customFormat="1" ht="12.75" customHeight="1" x14ac:dyDescent="0.2">
      <c r="B1491" s="175"/>
      <c r="F1491" s="60" t="s">
        <v>1227</v>
      </c>
      <c r="G1491" s="844"/>
      <c r="H1491" s="1397" t="s">
        <v>1508</v>
      </c>
      <c r="I1491" s="272"/>
      <c r="J1491" s="220"/>
      <c r="K1491" s="220"/>
      <c r="L1491" s="950"/>
      <c r="M1491" s="950"/>
      <c r="N1491" s="833"/>
      <c r="O1491" s="1193"/>
      <c r="P1491" s="550"/>
      <c r="Q1491" s="1148"/>
      <c r="R1491" s="874"/>
      <c r="S1491" s="875"/>
      <c r="T1491" s="875"/>
      <c r="U1491" s="875"/>
      <c r="V1491" s="875"/>
      <c r="W1491" s="875"/>
      <c r="X1491" s="1026"/>
      <c r="Y1491" s="1754"/>
      <c r="Z1491" s="1755"/>
      <c r="AA1491" s="1775"/>
      <c r="AB1491" s="1814"/>
      <c r="AC1491" s="876"/>
      <c r="AD1491" s="1295"/>
      <c r="AE1491" s="1525"/>
      <c r="AF1491" s="1525"/>
      <c r="AG1491" s="1525"/>
      <c r="AH1491" s="1525"/>
      <c r="AI1491" s="1525"/>
      <c r="AJ1491" s="1525"/>
      <c r="AK1491" s="1525"/>
      <c r="AL1491" s="1525"/>
      <c r="AM1491" s="1525"/>
      <c r="AN1491" s="1525"/>
      <c r="AO1491" s="1525"/>
      <c r="AP1491" s="1525"/>
      <c r="AQ1491" s="1525"/>
      <c r="AR1491" s="1525"/>
      <c r="AS1491" s="1525"/>
      <c r="AU1491" s="1525"/>
      <c r="AV1491" s="1295"/>
      <c r="AW1491" s="1525"/>
      <c r="AX1491" s="1525"/>
      <c r="AY1491" s="1525"/>
      <c r="AZ1491" s="1525"/>
      <c r="BA1491" s="1525"/>
      <c r="BB1491" s="1525"/>
      <c r="BC1491" s="1525"/>
      <c r="BD1491" s="1525"/>
      <c r="BE1491" s="1525"/>
      <c r="BF1491" s="1525"/>
      <c r="BG1491" s="1525"/>
      <c r="BH1491" s="1525"/>
      <c r="BI1491" s="1525"/>
      <c r="BJ1491" s="1525"/>
      <c r="BK1491" s="1525"/>
      <c r="BL1491" s="1525"/>
      <c r="BM1491" s="1525"/>
      <c r="BN1491" s="1525"/>
      <c r="BO1491" s="1525"/>
      <c r="BP1491" s="1525"/>
      <c r="BQ1491" s="1525"/>
      <c r="BR1491" s="1525"/>
      <c r="BS1491" s="1525"/>
      <c r="BT1491" s="1670"/>
      <c r="BV1491"/>
      <c r="BW1491" s="844"/>
    </row>
    <row r="1492" spans="2:75" s="164" customFormat="1" ht="12.75" customHeight="1" x14ac:dyDescent="0.2">
      <c r="B1492" s="175"/>
      <c r="F1492" s="41"/>
      <c r="G1492" s="844"/>
      <c r="H1492" s="1397" t="s">
        <v>1508</v>
      </c>
      <c r="I1492" s="272"/>
      <c r="J1492" s="220"/>
      <c r="K1492" s="220"/>
      <c r="L1492" s="950"/>
      <c r="M1492" s="950"/>
      <c r="N1492" s="833"/>
      <c r="O1492" s="1193"/>
      <c r="P1492" s="550"/>
      <c r="Q1492" s="1148"/>
      <c r="R1492" s="874"/>
      <c r="S1492" s="875"/>
      <c r="T1492" s="875"/>
      <c r="U1492" s="875"/>
      <c r="V1492" s="875"/>
      <c r="W1492" s="875"/>
      <c r="X1492" s="1026"/>
      <c r="Y1492" s="1754"/>
      <c r="Z1492" s="1755"/>
      <c r="AA1492" s="1775"/>
      <c r="AB1492" s="1814"/>
      <c r="AC1492" s="876"/>
      <c r="AD1492" s="1295"/>
      <c r="AE1492" s="1525"/>
      <c r="AF1492" s="1525"/>
      <c r="AG1492" s="1525"/>
      <c r="AH1492" s="1525"/>
      <c r="AI1492" s="1525"/>
      <c r="AJ1492" s="1525"/>
      <c r="AK1492" s="1525"/>
      <c r="AL1492" s="1525"/>
      <c r="AM1492" s="1525"/>
      <c r="AN1492" s="1525"/>
      <c r="AO1492" s="1525"/>
      <c r="AP1492" s="1525"/>
      <c r="AQ1492" s="1525"/>
      <c r="AR1492" s="1525"/>
      <c r="AS1492" s="1525"/>
      <c r="AU1492" s="1525"/>
      <c r="AV1492" s="1295"/>
      <c r="AW1492" s="1525"/>
      <c r="AX1492" s="1525"/>
      <c r="AY1492" s="1525"/>
      <c r="AZ1492" s="1525"/>
      <c r="BA1492" s="1525"/>
      <c r="BB1492" s="1525"/>
      <c r="BC1492" s="1525"/>
      <c r="BD1492" s="1525"/>
      <c r="BE1492" s="1525"/>
      <c r="BF1492" s="1525"/>
      <c r="BG1492" s="1525"/>
      <c r="BH1492" s="1525"/>
      <c r="BI1492" s="1525"/>
      <c r="BJ1492" s="1525"/>
      <c r="BK1492" s="1525"/>
      <c r="BL1492" s="1525"/>
      <c r="BM1492" s="1525"/>
      <c r="BN1492" s="1525"/>
      <c r="BO1492" s="1525"/>
      <c r="BP1492" s="1525"/>
      <c r="BQ1492" s="1525"/>
      <c r="BR1492" s="1525"/>
      <c r="BS1492" s="1525"/>
      <c r="BT1492" s="1670"/>
      <c r="BV1492"/>
      <c r="BW1492" s="844"/>
    </row>
    <row r="1493" spans="2:75" s="164" customFormat="1" ht="12.75" customHeight="1" x14ac:dyDescent="0.2">
      <c r="B1493" s="175">
        <f t="shared" ref="B1493:B1497" si="928">B1492+1</f>
        <v>1</v>
      </c>
      <c r="C1493" s="219">
        <v>24</v>
      </c>
      <c r="E1493" s="12" t="s">
        <v>76</v>
      </c>
      <c r="F1493" t="s">
        <v>23</v>
      </c>
      <c r="G1493" s="799" t="s">
        <v>1230</v>
      </c>
      <c r="H1493" s="858">
        <v>45766</v>
      </c>
      <c r="I1493" s="232" t="s">
        <v>583</v>
      </c>
      <c r="L1493" s="843">
        <v>0.5</v>
      </c>
      <c r="M1493" s="858">
        <f>K1493+L1493</f>
        <v>0.5</v>
      </c>
      <c r="N1493" s="831" t="s">
        <v>892</v>
      </c>
      <c r="O1493" s="1196">
        <v>19321</v>
      </c>
      <c r="P1493" s="1218">
        <f ca="1">YEARFRAC(TODAY(),O1493)</f>
        <v>64.858333333333334</v>
      </c>
      <c r="Q1493" s="1148">
        <v>24000</v>
      </c>
      <c r="R1493" s="874"/>
      <c r="S1493" s="875"/>
      <c r="T1493" s="875"/>
      <c r="U1493" s="875"/>
      <c r="V1493" s="875"/>
      <c r="W1493" s="875"/>
      <c r="X1493" s="1026">
        <f>(Q1493+R1493+S1493+T1493+U1493+V1493+W1493)*M1493</f>
        <v>12000</v>
      </c>
      <c r="Y1493" s="1512">
        <f>(T1493+U1493)*M1493/(X1493-M1493*(T1493+U1493))</f>
        <v>0</v>
      </c>
      <c r="Z1493" s="1741">
        <f>M1493*(1+Y1493)</f>
        <v>0.5</v>
      </c>
      <c r="AA1493" s="1749">
        <f>SUM(AD1493:AS1493)</f>
        <v>0.4</v>
      </c>
      <c r="AB1493" s="1810">
        <f t="shared" ref="AB1493:AB1497" si="929">100*AA1493/Z1493</f>
        <v>80</v>
      </c>
      <c r="AC1493" s="876"/>
      <c r="AD1493" s="1525">
        <f t="shared" ref="AD1493:AS1497" si="930">SUMIF($AV$6:$BS$6,AD$5,$AV1493:$BS1493)</f>
        <v>0.4</v>
      </c>
      <c r="AE1493" s="1525">
        <f t="shared" si="930"/>
        <v>0</v>
      </c>
      <c r="AF1493" s="1525">
        <f t="shared" si="930"/>
        <v>0</v>
      </c>
      <c r="AG1493" s="1525">
        <f t="shared" si="930"/>
        <v>0</v>
      </c>
      <c r="AH1493" s="1525">
        <f t="shared" si="930"/>
        <v>0</v>
      </c>
      <c r="AI1493" s="1525">
        <f t="shared" si="930"/>
        <v>0</v>
      </c>
      <c r="AJ1493" s="1525">
        <f t="shared" si="930"/>
        <v>0</v>
      </c>
      <c r="AK1493" s="1525">
        <f t="shared" si="930"/>
        <v>0</v>
      </c>
      <c r="AL1493" s="1525">
        <f t="shared" si="930"/>
        <v>0</v>
      </c>
      <c r="AM1493" s="1525">
        <f t="shared" si="930"/>
        <v>0</v>
      </c>
      <c r="AN1493" s="1525">
        <f t="shared" si="930"/>
        <v>0</v>
      </c>
      <c r="AO1493" s="1525">
        <f t="shared" si="930"/>
        <v>0</v>
      </c>
      <c r="AP1493" s="1525">
        <f t="shared" si="930"/>
        <v>0</v>
      </c>
      <c r="AQ1493" s="1525">
        <f t="shared" si="930"/>
        <v>0</v>
      </c>
      <c r="AR1493" s="1525">
        <f t="shared" si="930"/>
        <v>0</v>
      </c>
      <c r="AS1493" s="1525">
        <f t="shared" si="930"/>
        <v>0</v>
      </c>
      <c r="AU1493" s="1525"/>
      <c r="AV1493" s="1295"/>
      <c r="AW1493" s="1525"/>
      <c r="AX1493" s="1525"/>
      <c r="AY1493" s="1525"/>
      <c r="AZ1493" s="1525"/>
      <c r="BA1493" s="1525"/>
      <c r="BB1493" s="1525"/>
      <c r="BC1493" s="1525"/>
      <c r="BD1493" s="1525"/>
      <c r="BE1493" s="1525"/>
      <c r="BF1493" s="1525"/>
      <c r="BG1493" s="1525"/>
      <c r="BH1493" s="1525"/>
      <c r="BI1493" s="1292">
        <v>0.2</v>
      </c>
      <c r="BJ1493" s="1292">
        <v>0.2</v>
      </c>
      <c r="BK1493" s="1292"/>
      <c r="BL1493" s="1525"/>
      <c r="BM1493" s="1525"/>
      <c r="BN1493" s="1525"/>
      <c r="BO1493" s="1525"/>
      <c r="BP1493" s="1525"/>
      <c r="BQ1493" s="1525"/>
      <c r="BR1493" s="1525"/>
      <c r="BS1493" s="1525"/>
      <c r="BT1493" s="1670">
        <f t="shared" ref="BT1493:BT1497" si="931">SUM(AV1493:BS1493)</f>
        <v>0.4</v>
      </c>
      <c r="BV1493"/>
      <c r="BW1493" s="799" t="s">
        <v>1230</v>
      </c>
    </row>
    <row r="1494" spans="2:75" ht="12.75" customHeight="1" x14ac:dyDescent="0.2">
      <c r="B1494" s="175">
        <f t="shared" si="928"/>
        <v>2</v>
      </c>
      <c r="C1494" s="219">
        <v>18</v>
      </c>
      <c r="E1494" s="12" t="s">
        <v>76</v>
      </c>
      <c r="F1494" t="s">
        <v>226</v>
      </c>
      <c r="G1494" s="799" t="s">
        <v>227</v>
      </c>
      <c r="H1494" s="858">
        <v>6026</v>
      </c>
      <c r="I1494" s="232" t="s">
        <v>1442</v>
      </c>
      <c r="L1494" s="843">
        <v>1</v>
      </c>
      <c r="M1494" s="858">
        <f>K1494+L1494</f>
        <v>1</v>
      </c>
      <c r="N1494" s="831" t="s">
        <v>892</v>
      </c>
      <c r="O1494" s="1196">
        <v>17387</v>
      </c>
      <c r="P1494" s="1218">
        <f ca="1">YEARFRAC(TODAY(),O1494)</f>
        <v>70.150000000000006</v>
      </c>
      <c r="Q1494" s="1148">
        <v>17000</v>
      </c>
      <c r="R1494" s="874"/>
      <c r="S1494" s="875"/>
      <c r="T1494" s="875"/>
      <c r="U1494" s="875"/>
      <c r="V1494" s="875"/>
      <c r="W1494" s="875"/>
      <c r="X1494" s="1026">
        <f>(Q1494+R1494+S1494+T1494+U1494+V1494+W1494)*M1494</f>
        <v>17000</v>
      </c>
      <c r="Y1494" s="1512">
        <f>(T1494+U1494)*M1494/(X1494-M1494*(T1494+U1494))</f>
        <v>0</v>
      </c>
      <c r="Z1494" s="1741">
        <f>M1494*(1+Y1494)</f>
        <v>1</v>
      </c>
      <c r="AA1494" s="1749">
        <f>SUM(AD1494:AS1494)</f>
        <v>0.6</v>
      </c>
      <c r="AB1494" s="1810">
        <f t="shared" si="929"/>
        <v>60</v>
      </c>
      <c r="AC1494" s="876"/>
      <c r="AD1494" s="1525">
        <f t="shared" si="930"/>
        <v>0.6</v>
      </c>
      <c r="AE1494" s="1525">
        <f t="shared" si="930"/>
        <v>0</v>
      </c>
      <c r="AF1494" s="1525">
        <f t="shared" si="930"/>
        <v>0</v>
      </c>
      <c r="AG1494" s="1525">
        <f t="shared" si="930"/>
        <v>0</v>
      </c>
      <c r="AH1494" s="1525">
        <f t="shared" si="930"/>
        <v>0</v>
      </c>
      <c r="AI1494" s="1525">
        <f t="shared" si="930"/>
        <v>0</v>
      </c>
      <c r="AJ1494" s="1525">
        <f t="shared" si="930"/>
        <v>0</v>
      </c>
      <c r="AK1494" s="1525">
        <f t="shared" si="930"/>
        <v>0</v>
      </c>
      <c r="AL1494" s="1525">
        <f t="shared" si="930"/>
        <v>0</v>
      </c>
      <c r="AM1494" s="1525">
        <f t="shared" si="930"/>
        <v>0</v>
      </c>
      <c r="AN1494" s="1525">
        <f t="shared" si="930"/>
        <v>0</v>
      </c>
      <c r="AO1494" s="1525">
        <f t="shared" si="930"/>
        <v>0</v>
      </c>
      <c r="AP1494" s="1525">
        <f t="shared" si="930"/>
        <v>0</v>
      </c>
      <c r="AQ1494" s="1525">
        <f t="shared" si="930"/>
        <v>0</v>
      </c>
      <c r="AR1494" s="1525">
        <f t="shared" si="930"/>
        <v>0</v>
      </c>
      <c r="AS1494" s="1525">
        <f t="shared" si="930"/>
        <v>0</v>
      </c>
      <c r="AU1494" s="1525"/>
      <c r="AV1494" s="1291"/>
      <c r="AW1494" s="1292"/>
      <c r="AX1494" s="1292"/>
      <c r="AY1494" s="1292"/>
      <c r="AZ1494" s="1292"/>
      <c r="BA1494" s="1292"/>
      <c r="BB1494" s="1292"/>
      <c r="BC1494" s="1292"/>
      <c r="BD1494" s="1292"/>
      <c r="BE1494" s="1292"/>
      <c r="BF1494" s="1292"/>
      <c r="BG1494" s="1292"/>
      <c r="BH1494" s="1292"/>
      <c r="BI1494" s="1292">
        <v>0.3</v>
      </c>
      <c r="BJ1494" s="1292">
        <v>0.3</v>
      </c>
      <c r="BK1494" s="1292"/>
      <c r="BL1494" s="1292"/>
      <c r="BM1494" s="1292"/>
      <c r="BN1494" s="1292"/>
      <c r="BO1494" s="1292"/>
      <c r="BP1494" s="1292"/>
      <c r="BQ1494" s="1292"/>
      <c r="BR1494" s="1292"/>
      <c r="BS1494" s="1292"/>
      <c r="BT1494" s="1670">
        <f t="shared" si="931"/>
        <v>0.6</v>
      </c>
      <c r="BW1494" s="799" t="s">
        <v>227</v>
      </c>
    </row>
    <row r="1495" spans="2:75" ht="12.75" customHeight="1" x14ac:dyDescent="0.2">
      <c r="B1495" s="175">
        <f t="shared" si="928"/>
        <v>3</v>
      </c>
      <c r="C1495" s="219">
        <v>18</v>
      </c>
      <c r="E1495" s="12" t="s">
        <v>76</v>
      </c>
      <c r="F1495" s="23" t="s">
        <v>228</v>
      </c>
      <c r="G1495" s="844" t="s">
        <v>487</v>
      </c>
      <c r="H1495" s="861">
        <v>6003</v>
      </c>
      <c r="I1495" s="272" t="s">
        <v>1442</v>
      </c>
      <c r="J1495" s="170"/>
      <c r="K1495" s="170"/>
      <c r="L1495" s="950">
        <v>0.5</v>
      </c>
      <c r="M1495" s="861">
        <f>K1495+L1495</f>
        <v>0.5</v>
      </c>
      <c r="N1495" s="833" t="s">
        <v>1326</v>
      </c>
      <c r="O1495" s="1196">
        <v>16613</v>
      </c>
      <c r="P1495" s="1218">
        <f ca="1">YEARFRAC(TODAY(),O1495)</f>
        <v>72.269444444444446</v>
      </c>
      <c r="Q1495" s="1148">
        <v>22000</v>
      </c>
      <c r="R1495" s="874">
        <f>Q1495*0.1</f>
        <v>2200</v>
      </c>
      <c r="S1495" s="876"/>
      <c r="T1495" s="876"/>
      <c r="U1495" s="876"/>
      <c r="V1495" s="876"/>
      <c r="W1495" s="876"/>
      <c r="X1495" s="1026">
        <f>(Q1495+R1495+S1495+T1495+U1495+V1495+W1495)*M1495</f>
        <v>12100</v>
      </c>
      <c r="Y1495" s="1512">
        <f>(T1495+U1495)*M1495/(X1495-M1495*(T1495+U1495))</f>
        <v>0</v>
      </c>
      <c r="Z1495" s="1741">
        <f>M1495*(1+Y1495)</f>
        <v>0.5</v>
      </c>
      <c r="AA1495" s="1749">
        <f>SUM(AD1495:AS1495)</f>
        <v>0.4</v>
      </c>
      <c r="AB1495" s="1810">
        <f t="shared" si="929"/>
        <v>80</v>
      </c>
      <c r="AC1495" s="876"/>
      <c r="AD1495" s="1525">
        <f t="shared" si="930"/>
        <v>0.4</v>
      </c>
      <c r="AE1495" s="1525">
        <f t="shared" si="930"/>
        <v>0</v>
      </c>
      <c r="AF1495" s="1525">
        <f t="shared" si="930"/>
        <v>0</v>
      </c>
      <c r="AG1495" s="1525">
        <f t="shared" si="930"/>
        <v>0</v>
      </c>
      <c r="AH1495" s="1525">
        <f t="shared" si="930"/>
        <v>0</v>
      </c>
      <c r="AI1495" s="1525">
        <f t="shared" si="930"/>
        <v>0</v>
      </c>
      <c r="AJ1495" s="1525">
        <f t="shared" si="930"/>
        <v>0</v>
      </c>
      <c r="AK1495" s="1525">
        <f t="shared" si="930"/>
        <v>0</v>
      </c>
      <c r="AL1495" s="1525">
        <f t="shared" si="930"/>
        <v>0</v>
      </c>
      <c r="AM1495" s="1525">
        <f t="shared" si="930"/>
        <v>0</v>
      </c>
      <c r="AN1495" s="1525">
        <f t="shared" si="930"/>
        <v>0</v>
      </c>
      <c r="AO1495" s="1525">
        <f t="shared" si="930"/>
        <v>0</v>
      </c>
      <c r="AP1495" s="1525">
        <f t="shared" si="930"/>
        <v>0</v>
      </c>
      <c r="AQ1495" s="1525">
        <f t="shared" si="930"/>
        <v>0</v>
      </c>
      <c r="AR1495" s="1525">
        <f t="shared" si="930"/>
        <v>0</v>
      </c>
      <c r="AS1495" s="1525">
        <f t="shared" si="930"/>
        <v>0</v>
      </c>
      <c r="AU1495" s="1525"/>
      <c r="AV1495" s="1291"/>
      <c r="AW1495" s="1292"/>
      <c r="AX1495" s="1292"/>
      <c r="AY1495" s="1292"/>
      <c r="AZ1495" s="1292"/>
      <c r="BA1495" s="1292"/>
      <c r="BB1495" s="1292"/>
      <c r="BC1495" s="1292"/>
      <c r="BD1495" s="1292"/>
      <c r="BE1495" s="1292"/>
      <c r="BF1495" s="1292"/>
      <c r="BG1495" s="1292"/>
      <c r="BH1495" s="1292"/>
      <c r="BI1495" s="1292">
        <v>0.2</v>
      </c>
      <c r="BJ1495" s="1292">
        <v>0.2</v>
      </c>
      <c r="BK1495" s="1292"/>
      <c r="BL1495" s="1292"/>
      <c r="BM1495" s="1292"/>
      <c r="BN1495" s="1292"/>
      <c r="BO1495" s="1292"/>
      <c r="BP1495" s="1292"/>
      <c r="BQ1495" s="1292"/>
      <c r="BR1495" s="1292"/>
      <c r="BS1495" s="1292"/>
      <c r="BT1495" s="1670">
        <f t="shared" si="931"/>
        <v>0.4</v>
      </c>
      <c r="BW1495" s="844" t="s">
        <v>487</v>
      </c>
    </row>
    <row r="1496" spans="2:75" ht="12.75" customHeight="1" x14ac:dyDescent="0.2">
      <c r="B1496" s="175">
        <f t="shared" si="928"/>
        <v>4</v>
      </c>
      <c r="C1496" s="219">
        <v>18</v>
      </c>
      <c r="E1496" s="12" t="s">
        <v>76</v>
      </c>
      <c r="F1496" t="s">
        <v>1354</v>
      </c>
      <c r="G1496" s="799" t="s">
        <v>1355</v>
      </c>
      <c r="H1496" s="858">
        <v>10610</v>
      </c>
      <c r="I1496" s="232" t="s">
        <v>1442</v>
      </c>
      <c r="L1496" s="843">
        <v>1</v>
      </c>
      <c r="M1496" s="858">
        <f>K1496+L1496</f>
        <v>1</v>
      </c>
      <c r="N1496" s="831" t="s">
        <v>892</v>
      </c>
      <c r="O1496" s="1196">
        <v>22338</v>
      </c>
      <c r="P1496" s="1218">
        <f ca="1">YEARFRAC(TODAY(),O1496)</f>
        <v>56.6</v>
      </c>
      <c r="Q1496" s="1148">
        <v>13000</v>
      </c>
      <c r="R1496" s="874"/>
      <c r="S1496" s="875"/>
      <c r="T1496" s="875"/>
      <c r="U1496" s="875"/>
      <c r="V1496" s="875"/>
      <c r="W1496" s="875"/>
      <c r="X1496" s="1026">
        <f>(Q1496+R1496+S1496+T1496+U1496+V1496+W1496)*M1496</f>
        <v>13000</v>
      </c>
      <c r="Y1496" s="1512">
        <f>(T1496+U1496)*M1496/(X1496-M1496*(T1496+U1496))</f>
        <v>0</v>
      </c>
      <c r="Z1496" s="1741">
        <f>M1496*(1+Y1496)</f>
        <v>1</v>
      </c>
      <c r="AA1496" s="1749">
        <f>SUM(AD1496:AS1496)</f>
        <v>0.6</v>
      </c>
      <c r="AB1496" s="1810">
        <f t="shared" si="929"/>
        <v>60</v>
      </c>
      <c r="AC1496" s="876"/>
      <c r="AD1496" s="1525">
        <f t="shared" si="930"/>
        <v>0.6</v>
      </c>
      <c r="AE1496" s="1525">
        <f t="shared" si="930"/>
        <v>0</v>
      </c>
      <c r="AF1496" s="1525">
        <f t="shared" si="930"/>
        <v>0</v>
      </c>
      <c r="AG1496" s="1525">
        <f t="shared" si="930"/>
        <v>0</v>
      </c>
      <c r="AH1496" s="1525">
        <f t="shared" si="930"/>
        <v>0</v>
      </c>
      <c r="AI1496" s="1525">
        <f t="shared" si="930"/>
        <v>0</v>
      </c>
      <c r="AJ1496" s="1525">
        <f t="shared" si="930"/>
        <v>0</v>
      </c>
      <c r="AK1496" s="1525">
        <f t="shared" si="930"/>
        <v>0</v>
      </c>
      <c r="AL1496" s="1525">
        <f t="shared" si="930"/>
        <v>0</v>
      </c>
      <c r="AM1496" s="1525">
        <f t="shared" si="930"/>
        <v>0</v>
      </c>
      <c r="AN1496" s="1525">
        <f t="shared" si="930"/>
        <v>0</v>
      </c>
      <c r="AO1496" s="1525">
        <f t="shared" si="930"/>
        <v>0</v>
      </c>
      <c r="AP1496" s="1525">
        <f t="shared" si="930"/>
        <v>0</v>
      </c>
      <c r="AQ1496" s="1525">
        <f t="shared" si="930"/>
        <v>0</v>
      </c>
      <c r="AR1496" s="1525">
        <f t="shared" si="930"/>
        <v>0</v>
      </c>
      <c r="AS1496" s="1525">
        <f t="shared" si="930"/>
        <v>0</v>
      </c>
      <c r="AU1496" s="1525"/>
      <c r="AV1496" s="1291"/>
      <c r="AW1496" s="1292"/>
      <c r="AX1496" s="1292"/>
      <c r="AY1496" s="1292"/>
      <c r="AZ1496" s="1292"/>
      <c r="BA1496" s="1292"/>
      <c r="BB1496" s="1292"/>
      <c r="BC1496" s="1292"/>
      <c r="BD1496" s="1292"/>
      <c r="BE1496" s="1292"/>
      <c r="BF1496" s="1292"/>
      <c r="BG1496" s="1292"/>
      <c r="BH1496" s="1292"/>
      <c r="BI1496" s="1292">
        <v>0.3</v>
      </c>
      <c r="BJ1496" s="1292">
        <v>0.3</v>
      </c>
      <c r="BK1496" s="1292"/>
      <c r="BL1496" s="1292"/>
      <c r="BM1496" s="1292"/>
      <c r="BN1496" s="1292"/>
      <c r="BO1496" s="1292"/>
      <c r="BP1496" s="1292"/>
      <c r="BQ1496" s="1292"/>
      <c r="BR1496" s="1292"/>
      <c r="BS1496" s="1292"/>
      <c r="BT1496" s="1670">
        <f t="shared" si="931"/>
        <v>0.6</v>
      </c>
      <c r="BW1496" s="799" t="s">
        <v>1355</v>
      </c>
    </row>
    <row r="1497" spans="2:75" ht="12.75" customHeight="1" x14ac:dyDescent="0.2">
      <c r="B1497" s="175">
        <f t="shared" si="928"/>
        <v>5</v>
      </c>
      <c r="C1497" s="219">
        <v>18</v>
      </c>
      <c r="E1497" s="12" t="s">
        <v>76</v>
      </c>
      <c r="F1497" s="20" t="s">
        <v>1356</v>
      </c>
      <c r="G1497" s="894" t="s">
        <v>1318</v>
      </c>
      <c r="H1497" s="873">
        <v>534</v>
      </c>
      <c r="I1497" s="271" t="s">
        <v>1442</v>
      </c>
      <c r="J1497" s="185"/>
      <c r="K1497" s="185"/>
      <c r="L1497" s="951">
        <v>1</v>
      </c>
      <c r="M1497" s="873">
        <f>K1497+L1497</f>
        <v>1</v>
      </c>
      <c r="N1497" s="958" t="s">
        <v>1326</v>
      </c>
      <c r="O1497" s="1211">
        <v>21760</v>
      </c>
      <c r="P1497" s="1218">
        <f ca="1">YEARFRAC(TODAY(),O1497)</f>
        <v>58.174999999999997</v>
      </c>
      <c r="Q1497" s="1071">
        <v>17000</v>
      </c>
      <c r="R1497" s="890">
        <f>Q1497*0.1</f>
        <v>1700</v>
      </c>
      <c r="S1497" s="891"/>
      <c r="T1497" s="891"/>
      <c r="U1497" s="891"/>
      <c r="V1497" s="891"/>
      <c r="W1497" s="891"/>
      <c r="X1497" s="1026">
        <f>(Q1497+R1497+S1497+T1497+U1497+V1497+W1497)*M1497</f>
        <v>18700</v>
      </c>
      <c r="Y1497" s="1512">
        <f>(T1497+U1497)*M1497/(X1497-M1497*(T1497+U1497))</f>
        <v>0</v>
      </c>
      <c r="Z1497" s="1741">
        <f>M1497*(1+Y1497)</f>
        <v>1</v>
      </c>
      <c r="AA1497" s="1749">
        <f>SUM(AD1497:AS1497)</f>
        <v>0.6</v>
      </c>
      <c r="AB1497" s="1810">
        <f t="shared" si="929"/>
        <v>60</v>
      </c>
      <c r="AC1497" s="876"/>
      <c r="AD1497" s="1525">
        <f t="shared" si="930"/>
        <v>0.6</v>
      </c>
      <c r="AE1497" s="1525">
        <f t="shared" si="930"/>
        <v>0</v>
      </c>
      <c r="AF1497" s="1525">
        <f t="shared" si="930"/>
        <v>0</v>
      </c>
      <c r="AG1497" s="1525">
        <f t="shared" si="930"/>
        <v>0</v>
      </c>
      <c r="AH1497" s="1525">
        <f t="shared" si="930"/>
        <v>0</v>
      </c>
      <c r="AI1497" s="1525">
        <f t="shared" si="930"/>
        <v>0</v>
      </c>
      <c r="AJ1497" s="1525">
        <f t="shared" si="930"/>
        <v>0</v>
      </c>
      <c r="AK1497" s="1525">
        <f t="shared" si="930"/>
        <v>0</v>
      </c>
      <c r="AL1497" s="1525">
        <f t="shared" si="930"/>
        <v>0</v>
      </c>
      <c r="AM1497" s="1525">
        <f t="shared" si="930"/>
        <v>0</v>
      </c>
      <c r="AN1497" s="1525">
        <f t="shared" si="930"/>
        <v>0</v>
      </c>
      <c r="AO1497" s="1525">
        <f t="shared" si="930"/>
        <v>0</v>
      </c>
      <c r="AP1497" s="1525">
        <f t="shared" si="930"/>
        <v>0</v>
      </c>
      <c r="AQ1497" s="1525">
        <f t="shared" si="930"/>
        <v>0</v>
      </c>
      <c r="AR1497" s="1525">
        <f t="shared" si="930"/>
        <v>0</v>
      </c>
      <c r="AS1497" s="1525">
        <f t="shared" si="930"/>
        <v>0</v>
      </c>
      <c r="AU1497" s="1525"/>
      <c r="AV1497" s="1291"/>
      <c r="AW1497" s="1292"/>
      <c r="AX1497" s="1292"/>
      <c r="AY1497" s="1292"/>
      <c r="AZ1497" s="1292"/>
      <c r="BA1497" s="1292"/>
      <c r="BB1497" s="1292"/>
      <c r="BC1497" s="1292"/>
      <c r="BD1497" s="1292"/>
      <c r="BE1497" s="1292"/>
      <c r="BF1497" s="1292"/>
      <c r="BG1497" s="1292"/>
      <c r="BH1497" s="1292"/>
      <c r="BI1497" s="1292">
        <v>0.3</v>
      </c>
      <c r="BJ1497" s="1292">
        <v>0.3</v>
      </c>
      <c r="BK1497" s="1292"/>
      <c r="BL1497" s="1292"/>
      <c r="BM1497" s="1292"/>
      <c r="BN1497" s="1292"/>
      <c r="BO1497" s="1292"/>
      <c r="BP1497" s="1292"/>
      <c r="BQ1497" s="1292"/>
      <c r="BR1497" s="1292"/>
      <c r="BS1497" s="1292"/>
      <c r="BT1497" s="1670">
        <f t="shared" si="931"/>
        <v>0.6</v>
      </c>
      <c r="BW1497" s="894" t="s">
        <v>1318</v>
      </c>
    </row>
    <row r="1498" spans="2:75" s="164" customFormat="1" ht="12.75" customHeight="1" x14ac:dyDescent="0.2">
      <c r="B1498" s="175"/>
      <c r="C1498" s="219" t="s">
        <v>1120</v>
      </c>
      <c r="F1498" s="60" t="s">
        <v>1239</v>
      </c>
      <c r="G1498" s="799"/>
      <c r="H1498" s="1351" t="s">
        <v>1508</v>
      </c>
      <c r="I1498" s="270"/>
      <c r="J1498" s="265"/>
      <c r="K1498" s="446">
        <f>SUM(K1493:K1497)</f>
        <v>0</v>
      </c>
      <c r="L1498" s="892">
        <f>SUM(L1493:L1497)</f>
        <v>4</v>
      </c>
      <c r="M1498" s="892">
        <f>SUM(M1493:M1497)</f>
        <v>4</v>
      </c>
      <c r="N1498" s="799"/>
      <c r="O1498" s="1193"/>
      <c r="P1498" s="1294"/>
      <c r="Q1498" s="1153"/>
      <c r="R1498" s="877"/>
      <c r="S1498" s="875"/>
      <c r="T1498" s="875"/>
      <c r="U1498" s="875"/>
      <c r="V1498" s="875"/>
      <c r="W1498" s="875"/>
      <c r="X1498" s="1026"/>
      <c r="Y1498" s="1335"/>
      <c r="Z1498" s="1335"/>
      <c r="AA1498" s="1775"/>
      <c r="AB1498" s="1814"/>
      <c r="AC1498" s="876"/>
      <c r="AD1498" s="1295"/>
      <c r="AE1498" s="1525"/>
      <c r="AF1498" s="1525"/>
      <c r="AG1498" s="1525"/>
      <c r="AH1498" s="1525"/>
      <c r="AI1498" s="1525"/>
      <c r="AJ1498" s="1525"/>
      <c r="AK1498" s="1525"/>
      <c r="AL1498" s="1525"/>
      <c r="AM1498" s="1525"/>
      <c r="AN1498" s="1525"/>
      <c r="AO1498" s="1525"/>
      <c r="AP1498" s="1525"/>
      <c r="AQ1498" s="1525"/>
      <c r="AR1498" s="1525"/>
      <c r="AS1498" s="1525"/>
      <c r="AU1498" s="1525"/>
      <c r="AV1498" s="1295"/>
      <c r="AW1498" s="1525"/>
      <c r="AX1498" s="1525"/>
      <c r="AY1498" s="1525"/>
      <c r="AZ1498" s="1525"/>
      <c r="BA1498" s="1525"/>
      <c r="BB1498" s="1525"/>
      <c r="BC1498" s="1525"/>
      <c r="BD1498" s="1525"/>
      <c r="BE1498" s="1525"/>
      <c r="BF1498" s="1525"/>
      <c r="BG1498" s="1525"/>
      <c r="BH1498" s="1525"/>
      <c r="BI1498" s="1525"/>
      <c r="BJ1498" s="1525"/>
      <c r="BK1498" s="1525"/>
      <c r="BL1498" s="1525"/>
      <c r="BM1498" s="1525"/>
      <c r="BN1498" s="1525"/>
      <c r="BO1498" s="1525"/>
      <c r="BP1498" s="1525"/>
      <c r="BQ1498" s="1525"/>
      <c r="BR1498" s="1525"/>
      <c r="BS1498" s="1525"/>
      <c r="BT1498" s="1670"/>
      <c r="BV1498"/>
      <c r="BW1498" s="799"/>
    </row>
    <row r="1499" spans="2:75" s="164" customFormat="1" ht="12.75" customHeight="1" x14ac:dyDescent="0.2">
      <c r="B1499" s="175"/>
      <c r="G1499" s="799"/>
      <c r="H1499" s="1341" t="s">
        <v>1508</v>
      </c>
      <c r="L1499" s="843"/>
      <c r="M1499" s="843"/>
      <c r="N1499" s="799"/>
      <c r="O1499" s="1193"/>
      <c r="P1499" s="550"/>
      <c r="Q1499" s="1148"/>
      <c r="R1499" s="874"/>
      <c r="S1499" s="875"/>
      <c r="T1499" s="875"/>
      <c r="U1499" s="875"/>
      <c r="V1499" s="875"/>
      <c r="W1499" s="875"/>
      <c r="X1499" s="1026"/>
      <c r="Y1499" s="1754"/>
      <c r="Z1499" s="1755"/>
      <c r="AA1499" s="1775"/>
      <c r="AB1499" s="1814"/>
      <c r="AC1499" s="876"/>
      <c r="AD1499" s="1295"/>
      <c r="AE1499" s="1525"/>
      <c r="AF1499" s="1525"/>
      <c r="AG1499" s="1525"/>
      <c r="AH1499" s="1525"/>
      <c r="AI1499" s="1525"/>
      <c r="AJ1499" s="1525"/>
      <c r="AK1499" s="1525"/>
      <c r="AL1499" s="1525"/>
      <c r="AM1499" s="1525"/>
      <c r="AN1499" s="1525"/>
      <c r="AO1499" s="1525"/>
      <c r="AP1499" s="1525"/>
      <c r="AQ1499" s="1525"/>
      <c r="AR1499" s="1525"/>
      <c r="AS1499" s="1525"/>
      <c r="AU1499" s="1525"/>
      <c r="AV1499" s="1295"/>
      <c r="AW1499" s="1525"/>
      <c r="AX1499" s="1525"/>
      <c r="AY1499" s="1525"/>
      <c r="AZ1499" s="1525"/>
      <c r="BA1499" s="1525"/>
      <c r="BB1499" s="1525"/>
      <c r="BC1499" s="1525"/>
      <c r="BD1499" s="1525"/>
      <c r="BE1499" s="1525"/>
      <c r="BF1499" s="1525"/>
      <c r="BG1499" s="1525"/>
      <c r="BH1499" s="1525"/>
      <c r="BI1499" s="1525"/>
      <c r="BJ1499" s="1525"/>
      <c r="BK1499" s="1525"/>
      <c r="BL1499" s="1525"/>
      <c r="BM1499" s="1525"/>
      <c r="BN1499" s="1525"/>
      <c r="BO1499" s="1525"/>
      <c r="BP1499" s="1525"/>
      <c r="BQ1499" s="1525"/>
      <c r="BR1499" s="1525"/>
      <c r="BS1499" s="1525"/>
      <c r="BT1499" s="1670"/>
      <c r="BV1499"/>
      <c r="BW1499" s="799"/>
    </row>
    <row r="1500" spans="2:75" s="164" customFormat="1" ht="12.75" customHeight="1" x14ac:dyDescent="0.2">
      <c r="B1500" s="175"/>
      <c r="F1500" s="63" t="s">
        <v>1064</v>
      </c>
      <c r="G1500" s="799"/>
      <c r="H1500" s="1341" t="s">
        <v>1508</v>
      </c>
      <c r="I1500" s="275"/>
      <c r="J1500" s="221"/>
      <c r="K1500" s="221"/>
      <c r="L1500" s="843"/>
      <c r="M1500" s="843"/>
      <c r="N1500" s="799"/>
      <c r="O1500" s="1193"/>
      <c r="P1500" s="550"/>
      <c r="Q1500" s="1148"/>
      <c r="R1500" s="874"/>
      <c r="S1500" s="875"/>
      <c r="T1500" s="875"/>
      <c r="U1500" s="875"/>
      <c r="V1500" s="875"/>
      <c r="W1500" s="875"/>
      <c r="X1500" s="1026"/>
      <c r="Y1500" s="1754"/>
      <c r="Z1500" s="1755"/>
      <c r="AA1500" s="1775"/>
      <c r="AB1500" s="1814"/>
      <c r="AC1500" s="876"/>
      <c r="AD1500" s="1295"/>
      <c r="AE1500" s="1525"/>
      <c r="AF1500" s="1525"/>
      <c r="AG1500" s="1525"/>
      <c r="AH1500" s="1525"/>
      <c r="AI1500" s="1525"/>
      <c r="AJ1500" s="1525"/>
      <c r="AK1500" s="1525"/>
      <c r="AL1500" s="1525"/>
      <c r="AM1500" s="1525"/>
      <c r="AN1500" s="1525"/>
      <c r="AO1500" s="1525"/>
      <c r="AP1500" s="1525"/>
      <c r="AQ1500" s="1525"/>
      <c r="AR1500" s="1525"/>
      <c r="AS1500" s="1525"/>
      <c r="AU1500" s="1525"/>
      <c r="AV1500" s="1295"/>
      <c r="AW1500" s="1525"/>
      <c r="AX1500" s="1525"/>
      <c r="AY1500" s="1525"/>
      <c r="AZ1500" s="1525"/>
      <c r="BA1500" s="1525"/>
      <c r="BB1500" s="1525"/>
      <c r="BC1500" s="1525"/>
      <c r="BD1500" s="1525"/>
      <c r="BE1500" s="1525"/>
      <c r="BF1500" s="1525"/>
      <c r="BG1500" s="1525"/>
      <c r="BH1500" s="1525"/>
      <c r="BI1500" s="1525"/>
      <c r="BJ1500" s="1525"/>
      <c r="BK1500" s="1525"/>
      <c r="BL1500" s="1525"/>
      <c r="BM1500" s="1525"/>
      <c r="BN1500" s="1525"/>
      <c r="BO1500" s="1525"/>
      <c r="BP1500" s="1525"/>
      <c r="BQ1500" s="1525"/>
      <c r="BR1500" s="1525"/>
      <c r="BS1500" s="1525"/>
      <c r="BT1500" s="1670"/>
      <c r="BV1500"/>
      <c r="BW1500" s="799"/>
    </row>
    <row r="1501" spans="2:75" s="164" customFormat="1" ht="12.75" customHeight="1" x14ac:dyDescent="0.2">
      <c r="B1501" s="175"/>
      <c r="G1501" s="799"/>
      <c r="H1501" s="1341" t="s">
        <v>1508</v>
      </c>
      <c r="L1501" s="843"/>
      <c r="M1501" s="843"/>
      <c r="N1501" s="799"/>
      <c r="O1501" s="1193"/>
      <c r="P1501" s="550"/>
      <c r="Q1501" s="1148"/>
      <c r="R1501" s="874"/>
      <c r="S1501" s="875"/>
      <c r="T1501" s="875"/>
      <c r="U1501" s="875"/>
      <c r="V1501" s="875"/>
      <c r="W1501" s="875"/>
      <c r="X1501" s="1026"/>
      <c r="Y1501" s="1754"/>
      <c r="Z1501" s="1755"/>
      <c r="AA1501" s="1775"/>
      <c r="AB1501" s="1814"/>
      <c r="AC1501" s="876"/>
      <c r="AD1501" s="1295"/>
      <c r="AE1501" s="1525"/>
      <c r="AF1501" s="1525"/>
      <c r="AG1501" s="1525"/>
      <c r="AH1501" s="1525"/>
      <c r="AI1501" s="1525"/>
      <c r="AJ1501" s="1525"/>
      <c r="AK1501" s="1525"/>
      <c r="AL1501" s="1525"/>
      <c r="AM1501" s="1525"/>
      <c r="AN1501" s="1525"/>
      <c r="AO1501" s="1525"/>
      <c r="AP1501" s="1525"/>
      <c r="AQ1501" s="1525"/>
      <c r="AR1501" s="1525"/>
      <c r="AS1501" s="1525"/>
      <c r="AU1501" s="1525"/>
      <c r="AV1501" s="1295"/>
      <c r="AW1501" s="1525"/>
      <c r="AX1501" s="1525"/>
      <c r="AY1501" s="1525"/>
      <c r="AZ1501" s="1525"/>
      <c r="BA1501" s="1525"/>
      <c r="BB1501" s="1525"/>
      <c r="BC1501" s="1525"/>
      <c r="BD1501" s="1525"/>
      <c r="BE1501" s="1525"/>
      <c r="BF1501" s="1525"/>
      <c r="BG1501" s="1525"/>
      <c r="BH1501" s="1525"/>
      <c r="BI1501" s="1525"/>
      <c r="BJ1501" s="1525"/>
      <c r="BK1501" s="1525"/>
      <c r="BL1501" s="1525"/>
      <c r="BM1501" s="1525"/>
      <c r="BN1501" s="1525"/>
      <c r="BO1501" s="1525"/>
      <c r="BP1501" s="1525"/>
      <c r="BQ1501" s="1525"/>
      <c r="BR1501" s="1525"/>
      <c r="BS1501" s="1525"/>
      <c r="BT1501" s="1670"/>
      <c r="BV1501"/>
      <c r="BW1501" s="799"/>
    </row>
    <row r="1502" spans="2:75" ht="12.75" customHeight="1" x14ac:dyDescent="0.2">
      <c r="B1502" s="175">
        <f>B1501+1</f>
        <v>1</v>
      </c>
      <c r="C1502" s="219">
        <v>11</v>
      </c>
      <c r="E1502" s="12" t="s">
        <v>76</v>
      </c>
      <c r="F1502" t="s">
        <v>1065</v>
      </c>
      <c r="G1502" s="799" t="s">
        <v>1066</v>
      </c>
      <c r="H1502" s="858">
        <v>96742</v>
      </c>
      <c r="I1502" s="232" t="s">
        <v>161</v>
      </c>
      <c r="L1502" s="843">
        <v>1</v>
      </c>
      <c r="M1502" s="858">
        <f>K1502+L1502</f>
        <v>1</v>
      </c>
      <c r="N1502" s="831" t="s">
        <v>1573</v>
      </c>
      <c r="O1502" s="1196">
        <v>23074</v>
      </c>
      <c r="P1502" s="1218">
        <f t="shared" ref="P1502:P1507" ca="1" si="932">YEARFRAC(TODAY(),O1502)</f>
        <v>54.577777777777776</v>
      </c>
      <c r="Q1502" s="1148">
        <v>39000</v>
      </c>
      <c r="R1502" s="874">
        <f>Q1502*0.1</f>
        <v>3900</v>
      </c>
      <c r="S1502" s="875"/>
      <c r="T1502" s="875">
        <v>4000</v>
      </c>
      <c r="U1502" s="875"/>
      <c r="V1502" s="875"/>
      <c r="W1502" s="875"/>
      <c r="X1502" s="1026">
        <f t="shared" ref="X1502:X1507" si="933">(Q1502+R1502+S1502+T1502+U1502+V1502+W1502)*M1502</f>
        <v>46900</v>
      </c>
      <c r="Y1502" s="1512">
        <f t="shared" ref="Y1502:Y1506" si="934">(T1502+U1502)*M1502/(X1502-M1502*(T1502+U1502))</f>
        <v>9.3240093240093247E-2</v>
      </c>
      <c r="Z1502" s="1741">
        <f t="shared" ref="Z1502:Z1507" si="935">M1502*(1+Y1502)</f>
        <v>1.0932400932400932</v>
      </c>
      <c r="AA1502" s="1749">
        <f t="shared" ref="AA1502:AA1507" si="936">SUM(AD1502:AS1502)</f>
        <v>0.8</v>
      </c>
      <c r="AB1502" s="1810">
        <f t="shared" ref="AB1502:AB1507" si="937">100*AA1502/Z1502</f>
        <v>73.176972281449892</v>
      </c>
      <c r="AC1502" s="876"/>
      <c r="AD1502" s="1525">
        <f t="shared" ref="AD1502:AS1505" si="938">SUMIF($AV$6:$BS$6,AD$5,$AV1502:$BS1502)</f>
        <v>0.8</v>
      </c>
      <c r="AE1502" s="1525">
        <f t="shared" si="938"/>
        <v>0</v>
      </c>
      <c r="AF1502" s="1525">
        <f t="shared" si="938"/>
        <v>0</v>
      </c>
      <c r="AG1502" s="1525">
        <f t="shared" si="938"/>
        <v>0</v>
      </c>
      <c r="AH1502" s="1525">
        <f t="shared" si="938"/>
        <v>0</v>
      </c>
      <c r="AI1502" s="1525">
        <f t="shared" si="938"/>
        <v>0</v>
      </c>
      <c r="AJ1502" s="1525">
        <f t="shared" si="938"/>
        <v>0</v>
      </c>
      <c r="AK1502" s="1525">
        <f t="shared" si="938"/>
        <v>0</v>
      </c>
      <c r="AL1502" s="1525">
        <f t="shared" si="938"/>
        <v>0</v>
      </c>
      <c r="AM1502" s="1525">
        <f t="shared" si="938"/>
        <v>0</v>
      </c>
      <c r="AN1502" s="1525">
        <f t="shared" si="938"/>
        <v>0</v>
      </c>
      <c r="AO1502" s="1525">
        <f t="shared" si="938"/>
        <v>0</v>
      </c>
      <c r="AP1502" s="1525">
        <f t="shared" si="938"/>
        <v>0</v>
      </c>
      <c r="AQ1502" s="1525">
        <f t="shared" si="938"/>
        <v>0</v>
      </c>
      <c r="AR1502" s="1525">
        <f t="shared" si="938"/>
        <v>0</v>
      </c>
      <c r="AS1502" s="1525">
        <f t="shared" si="938"/>
        <v>0</v>
      </c>
      <c r="AU1502" s="1525"/>
      <c r="AV1502" s="1291"/>
      <c r="AW1502" s="1292"/>
      <c r="AX1502" s="1292"/>
      <c r="AY1502" s="1292"/>
      <c r="AZ1502" s="1292"/>
      <c r="BA1502" s="1292"/>
      <c r="BB1502" s="1292"/>
      <c r="BC1502" s="1292"/>
      <c r="BD1502" s="1292"/>
      <c r="BE1502" s="1292"/>
      <c r="BF1502" s="1292"/>
      <c r="BG1502" s="1292"/>
      <c r="BH1502" s="1292"/>
      <c r="BI1502" s="1292">
        <v>0.4</v>
      </c>
      <c r="BJ1502" s="1292">
        <v>0.4</v>
      </c>
      <c r="BK1502" s="1292"/>
      <c r="BL1502" s="1292"/>
      <c r="BM1502" s="1292"/>
      <c r="BN1502" s="1292"/>
      <c r="BO1502" s="1292"/>
      <c r="BP1502" s="1292"/>
      <c r="BQ1502" s="1292"/>
      <c r="BR1502" s="1292"/>
      <c r="BS1502" s="1292"/>
      <c r="BT1502" s="1670">
        <f t="shared" ref="BT1502:BT1507" si="939">SUM(AV1502:BS1502)</f>
        <v>0.8</v>
      </c>
      <c r="BW1502" s="799" t="s">
        <v>1066</v>
      </c>
    </row>
    <row r="1503" spans="2:75" ht="12.75" customHeight="1" x14ac:dyDescent="0.2">
      <c r="B1503" s="175">
        <f t="shared" ref="B1503:B1505" si="940">B1502+1</f>
        <v>2</v>
      </c>
      <c r="C1503" s="219">
        <v>24</v>
      </c>
      <c r="E1503" s="12" t="s">
        <v>76</v>
      </c>
      <c r="F1503" t="s">
        <v>915</v>
      </c>
      <c r="G1503" s="799" t="s">
        <v>1067</v>
      </c>
      <c r="H1503" s="858">
        <v>6010</v>
      </c>
      <c r="I1503" s="232" t="s">
        <v>583</v>
      </c>
      <c r="J1503" s="170"/>
      <c r="L1503" s="843">
        <v>0.5</v>
      </c>
      <c r="M1503" s="858">
        <v>0.5</v>
      </c>
      <c r="N1503" s="831" t="s">
        <v>1573</v>
      </c>
      <c r="O1503" s="1196">
        <v>18086</v>
      </c>
      <c r="P1503" s="1218">
        <f t="shared" ca="1" si="932"/>
        <v>68.236111111111114</v>
      </c>
      <c r="Q1503" s="1148">
        <v>26800</v>
      </c>
      <c r="R1503" s="874">
        <f>Q1503*0.1</f>
        <v>2680</v>
      </c>
      <c r="S1503" s="875"/>
      <c r="T1503" s="875">
        <v>2500</v>
      </c>
      <c r="U1503" s="875"/>
      <c r="V1503" s="875"/>
      <c r="W1503" s="875"/>
      <c r="X1503" s="1026">
        <f t="shared" si="933"/>
        <v>15990</v>
      </c>
      <c r="Y1503" s="1512">
        <f t="shared" si="934"/>
        <v>8.4803256445047492E-2</v>
      </c>
      <c r="Z1503" s="1741">
        <f t="shared" si="935"/>
        <v>0.54240162822252369</v>
      </c>
      <c r="AA1503" s="1749">
        <f t="shared" si="936"/>
        <v>0.2</v>
      </c>
      <c r="AB1503" s="1810">
        <f t="shared" si="937"/>
        <v>36.87304565353346</v>
      </c>
      <c r="AC1503" s="876"/>
      <c r="AD1503" s="1525">
        <f t="shared" si="938"/>
        <v>0.2</v>
      </c>
      <c r="AE1503" s="1525">
        <f t="shared" si="938"/>
        <v>0</v>
      </c>
      <c r="AF1503" s="1525">
        <f t="shared" si="938"/>
        <v>0</v>
      </c>
      <c r="AG1503" s="1525">
        <f t="shared" si="938"/>
        <v>0</v>
      </c>
      <c r="AH1503" s="1525">
        <f t="shared" si="938"/>
        <v>0</v>
      </c>
      <c r="AI1503" s="1525">
        <f t="shared" si="938"/>
        <v>0</v>
      </c>
      <c r="AJ1503" s="1525">
        <f t="shared" si="938"/>
        <v>0</v>
      </c>
      <c r="AK1503" s="1525">
        <f t="shared" si="938"/>
        <v>0</v>
      </c>
      <c r="AL1503" s="1525">
        <f t="shared" si="938"/>
        <v>0</v>
      </c>
      <c r="AM1503" s="1525">
        <f t="shared" si="938"/>
        <v>0</v>
      </c>
      <c r="AN1503" s="1525">
        <f t="shared" si="938"/>
        <v>0</v>
      </c>
      <c r="AO1503" s="1525">
        <f t="shared" si="938"/>
        <v>0</v>
      </c>
      <c r="AP1503" s="1525">
        <f t="shared" si="938"/>
        <v>0</v>
      </c>
      <c r="AQ1503" s="1525">
        <f t="shared" si="938"/>
        <v>0</v>
      </c>
      <c r="AR1503" s="1525">
        <f t="shared" si="938"/>
        <v>0</v>
      </c>
      <c r="AS1503" s="1525">
        <f t="shared" si="938"/>
        <v>0</v>
      </c>
      <c r="AU1503" s="1525"/>
      <c r="AV1503" s="1291"/>
      <c r="AW1503" s="1292"/>
      <c r="AX1503" s="1292"/>
      <c r="AY1503" s="1292"/>
      <c r="AZ1503" s="1292"/>
      <c r="BA1503" s="1292"/>
      <c r="BB1503" s="1292"/>
      <c r="BC1503" s="1292"/>
      <c r="BD1503" s="1292"/>
      <c r="BE1503" s="1292"/>
      <c r="BF1503" s="1292"/>
      <c r="BG1503" s="1292"/>
      <c r="BH1503" s="1292"/>
      <c r="BI1503" s="1292">
        <v>0.1</v>
      </c>
      <c r="BJ1503" s="1292">
        <v>0.1</v>
      </c>
      <c r="BK1503" s="1292"/>
      <c r="BL1503" s="1292"/>
      <c r="BM1503" s="1292"/>
      <c r="BN1503" s="1292"/>
      <c r="BO1503" s="1292"/>
      <c r="BP1503" s="1292"/>
      <c r="BQ1503" s="1292"/>
      <c r="BR1503" s="1292"/>
      <c r="BS1503" s="1292"/>
      <c r="BT1503" s="1670">
        <f t="shared" si="939"/>
        <v>0.2</v>
      </c>
      <c r="BW1503" s="799" t="s">
        <v>1067</v>
      </c>
    </row>
    <row r="1504" spans="2:75" ht="12.75" customHeight="1" x14ac:dyDescent="0.2">
      <c r="B1504" s="175">
        <f t="shared" si="940"/>
        <v>3</v>
      </c>
      <c r="C1504" s="219">
        <v>14</v>
      </c>
      <c r="E1504" s="12" t="s">
        <v>76</v>
      </c>
      <c r="F1504" t="s">
        <v>626</v>
      </c>
      <c r="G1504" s="799" t="s">
        <v>1068</v>
      </c>
      <c r="H1504" s="858">
        <v>232249</v>
      </c>
      <c r="I1504" s="232" t="s">
        <v>583</v>
      </c>
      <c r="L1504" s="843">
        <v>1</v>
      </c>
      <c r="M1504" s="858">
        <f>K1504+L1504</f>
        <v>1</v>
      </c>
      <c r="N1504" s="831" t="s">
        <v>892</v>
      </c>
      <c r="O1504" s="1196">
        <v>20826</v>
      </c>
      <c r="P1504" s="1218">
        <f t="shared" ca="1" si="932"/>
        <v>60.738888888888887</v>
      </c>
      <c r="Q1504" s="1148">
        <v>17000</v>
      </c>
      <c r="R1504" s="874"/>
      <c r="S1504" s="875"/>
      <c r="T1504" s="875"/>
      <c r="U1504" s="875"/>
      <c r="V1504" s="875"/>
      <c r="W1504" s="875"/>
      <c r="X1504" s="1026">
        <f t="shared" si="933"/>
        <v>17000</v>
      </c>
      <c r="Y1504" s="1512">
        <f t="shared" si="934"/>
        <v>0</v>
      </c>
      <c r="Z1504" s="1741">
        <f t="shared" si="935"/>
        <v>1</v>
      </c>
      <c r="AA1504" s="1749">
        <f t="shared" si="936"/>
        <v>0.2</v>
      </c>
      <c r="AB1504" s="1810">
        <f t="shared" si="937"/>
        <v>20</v>
      </c>
      <c r="AC1504" s="876"/>
      <c r="AD1504" s="1525">
        <f t="shared" si="938"/>
        <v>0.2</v>
      </c>
      <c r="AE1504" s="1525">
        <f t="shared" si="938"/>
        <v>0</v>
      </c>
      <c r="AF1504" s="1525">
        <f t="shared" si="938"/>
        <v>0</v>
      </c>
      <c r="AG1504" s="1525">
        <f t="shared" si="938"/>
        <v>0</v>
      </c>
      <c r="AH1504" s="1525">
        <f t="shared" si="938"/>
        <v>0</v>
      </c>
      <c r="AI1504" s="1525">
        <f t="shared" si="938"/>
        <v>0</v>
      </c>
      <c r="AJ1504" s="1525">
        <f t="shared" si="938"/>
        <v>0</v>
      </c>
      <c r="AK1504" s="1525">
        <f t="shared" si="938"/>
        <v>0</v>
      </c>
      <c r="AL1504" s="1525">
        <f t="shared" si="938"/>
        <v>0</v>
      </c>
      <c r="AM1504" s="1525">
        <f t="shared" si="938"/>
        <v>0</v>
      </c>
      <c r="AN1504" s="1525">
        <f t="shared" si="938"/>
        <v>0</v>
      </c>
      <c r="AO1504" s="1525">
        <f t="shared" si="938"/>
        <v>0</v>
      </c>
      <c r="AP1504" s="1525">
        <f t="shared" si="938"/>
        <v>0</v>
      </c>
      <c r="AQ1504" s="1525">
        <f t="shared" si="938"/>
        <v>0</v>
      </c>
      <c r="AR1504" s="1525">
        <f t="shared" si="938"/>
        <v>0</v>
      </c>
      <c r="AS1504" s="1525">
        <f t="shared" si="938"/>
        <v>0</v>
      </c>
      <c r="AU1504" s="1525"/>
      <c r="AV1504" s="1291"/>
      <c r="AW1504" s="1292"/>
      <c r="AX1504" s="1292"/>
      <c r="AY1504" s="1292"/>
      <c r="AZ1504" s="1292"/>
      <c r="BA1504" s="1292"/>
      <c r="BB1504" s="1292"/>
      <c r="BC1504" s="1292"/>
      <c r="BD1504" s="1292"/>
      <c r="BE1504" s="1292"/>
      <c r="BF1504" s="1292"/>
      <c r="BG1504" s="1292"/>
      <c r="BH1504" s="1292"/>
      <c r="BI1504" s="1292">
        <v>0.1</v>
      </c>
      <c r="BJ1504" s="1292">
        <v>0.1</v>
      </c>
      <c r="BK1504" s="1292"/>
      <c r="BL1504" s="1292"/>
      <c r="BM1504" s="1292"/>
      <c r="BN1504" s="1292"/>
      <c r="BO1504" s="1292"/>
      <c r="BP1504" s="1292"/>
      <c r="BQ1504" s="1292"/>
      <c r="BR1504" s="1292"/>
      <c r="BS1504" s="1292"/>
      <c r="BT1504" s="1670">
        <f t="shared" si="939"/>
        <v>0.2</v>
      </c>
      <c r="BW1504" s="799" t="s">
        <v>1068</v>
      </c>
    </row>
    <row r="1505" spans="2:75" ht="12.75" customHeight="1" x14ac:dyDescent="0.2">
      <c r="B1505" s="175">
        <f t="shared" si="940"/>
        <v>4</v>
      </c>
      <c r="C1505" s="219">
        <v>14</v>
      </c>
      <c r="E1505" s="12" t="s">
        <v>76</v>
      </c>
      <c r="F1505" t="s">
        <v>626</v>
      </c>
      <c r="G1505" s="799" t="s">
        <v>1750</v>
      </c>
      <c r="H1505" s="858">
        <v>153048</v>
      </c>
      <c r="I1505" s="232" t="s">
        <v>583</v>
      </c>
      <c r="L1505" s="843">
        <v>1</v>
      </c>
      <c r="M1505" s="858">
        <v>1</v>
      </c>
      <c r="N1505" s="831"/>
      <c r="O1505" s="1196">
        <v>33580</v>
      </c>
      <c r="P1505" s="1218">
        <f t="shared" ca="1" si="932"/>
        <v>25.816666666666666</v>
      </c>
      <c r="Q1505" s="1148">
        <v>20000</v>
      </c>
      <c r="R1505" s="874"/>
      <c r="S1505" s="875"/>
      <c r="T1505" s="875"/>
      <c r="U1505" s="875"/>
      <c r="V1505" s="875"/>
      <c r="W1505" s="875"/>
      <c r="X1505" s="1026">
        <f t="shared" si="933"/>
        <v>20000</v>
      </c>
      <c r="Y1505" s="1512">
        <f t="shared" si="934"/>
        <v>0</v>
      </c>
      <c r="Z1505" s="1741">
        <f t="shared" si="935"/>
        <v>1</v>
      </c>
      <c r="AA1505" s="1749">
        <f t="shared" si="936"/>
        <v>0.4</v>
      </c>
      <c r="AB1505" s="1810">
        <f t="shared" si="937"/>
        <v>40</v>
      </c>
      <c r="AC1505" s="876"/>
      <c r="AD1505" s="1525">
        <f t="shared" si="938"/>
        <v>0.4</v>
      </c>
      <c r="AE1505" s="1525">
        <f t="shared" si="938"/>
        <v>0</v>
      </c>
      <c r="AF1505" s="1525">
        <f t="shared" si="938"/>
        <v>0</v>
      </c>
      <c r="AG1505" s="1525">
        <f t="shared" si="938"/>
        <v>0</v>
      </c>
      <c r="AH1505" s="1525">
        <f t="shared" si="938"/>
        <v>0</v>
      </c>
      <c r="AI1505" s="1525">
        <f t="shared" si="938"/>
        <v>0</v>
      </c>
      <c r="AJ1505" s="1525">
        <f t="shared" si="938"/>
        <v>0</v>
      </c>
      <c r="AK1505" s="1525">
        <f t="shared" si="938"/>
        <v>0</v>
      </c>
      <c r="AL1505" s="1525">
        <f t="shared" si="938"/>
        <v>0</v>
      </c>
      <c r="AM1505" s="1525">
        <f t="shared" si="938"/>
        <v>0</v>
      </c>
      <c r="AN1505" s="1525">
        <f t="shared" si="938"/>
        <v>0</v>
      </c>
      <c r="AO1505" s="1525">
        <f t="shared" si="938"/>
        <v>0</v>
      </c>
      <c r="AP1505" s="1525">
        <f t="shared" si="938"/>
        <v>0</v>
      </c>
      <c r="AQ1505" s="1525">
        <f t="shared" si="938"/>
        <v>0</v>
      </c>
      <c r="AR1505" s="1525">
        <f t="shared" si="938"/>
        <v>0</v>
      </c>
      <c r="AS1505" s="1525">
        <f t="shared" si="938"/>
        <v>0</v>
      </c>
      <c r="AU1505" s="1525"/>
      <c r="AV1505" s="1291"/>
      <c r="AW1505" s="1292"/>
      <c r="AX1505" s="1292"/>
      <c r="AY1505" s="1292"/>
      <c r="AZ1505" s="1292"/>
      <c r="BA1505" s="1292"/>
      <c r="BB1505" s="1292"/>
      <c r="BC1505" s="1292"/>
      <c r="BD1505" s="1292"/>
      <c r="BE1505" s="1292"/>
      <c r="BF1505" s="1292"/>
      <c r="BG1505" s="1292"/>
      <c r="BH1505" s="1292"/>
      <c r="BI1505" s="1292">
        <v>0.2</v>
      </c>
      <c r="BJ1505" s="1292">
        <v>0.2</v>
      </c>
      <c r="BK1505" s="1292"/>
      <c r="BL1505" s="1292"/>
      <c r="BM1505" s="1292"/>
      <c r="BN1505" s="1292"/>
      <c r="BO1505" s="1292"/>
      <c r="BP1505" s="1292"/>
      <c r="BQ1505" s="1292"/>
      <c r="BR1505" s="1292"/>
      <c r="BS1505" s="1292"/>
      <c r="BT1505" s="1670">
        <f t="shared" si="939"/>
        <v>0.4</v>
      </c>
      <c r="BW1505" s="799" t="s">
        <v>1750</v>
      </c>
    </row>
    <row r="1506" spans="2:75" ht="12.75" customHeight="1" x14ac:dyDescent="0.2">
      <c r="B1506" s="175">
        <f>B1507+1</f>
        <v>6</v>
      </c>
      <c r="C1506" s="219">
        <v>14</v>
      </c>
      <c r="E1506" s="12" t="s">
        <v>76</v>
      </c>
      <c r="F1506" t="s">
        <v>626</v>
      </c>
      <c r="G1506" s="894" t="s">
        <v>639</v>
      </c>
      <c r="H1506" s="873">
        <v>120340</v>
      </c>
      <c r="I1506" s="232" t="s">
        <v>583</v>
      </c>
      <c r="J1506" s="185"/>
      <c r="K1506" s="185"/>
      <c r="L1506" s="951">
        <v>1</v>
      </c>
      <c r="M1506" s="873">
        <v>1</v>
      </c>
      <c r="N1506" s="958" t="s">
        <v>892</v>
      </c>
      <c r="O1506" s="1211">
        <v>33803</v>
      </c>
      <c r="P1506" s="1218">
        <f ca="1">YEARFRAC(TODAY(),O1506)</f>
        <v>25.205555555555556</v>
      </c>
      <c r="Q1506" s="1148">
        <v>20000</v>
      </c>
      <c r="R1506" s="874"/>
      <c r="S1506" s="876"/>
      <c r="T1506" s="876"/>
      <c r="U1506" s="876"/>
      <c r="V1506" s="876"/>
      <c r="W1506" s="876"/>
      <c r="X1506" s="1026">
        <f t="shared" si="933"/>
        <v>20000</v>
      </c>
      <c r="Y1506" s="1512">
        <f t="shared" si="934"/>
        <v>0</v>
      </c>
      <c r="Z1506" s="1741">
        <f>M1506*(1+Y1506)</f>
        <v>1</v>
      </c>
      <c r="AA1506" s="1749">
        <f t="shared" si="936"/>
        <v>0.4</v>
      </c>
      <c r="AB1506" s="1810">
        <f t="shared" si="937"/>
        <v>40</v>
      </c>
      <c r="AC1506" s="876"/>
      <c r="AD1506" s="1525">
        <f t="shared" ref="AD1506:AS1506" si="941">SUMIF($AV$6:$BS$6,AD$5,$AV1506:$BS1506)</f>
        <v>0.4</v>
      </c>
      <c r="AE1506" s="1525">
        <f t="shared" si="941"/>
        <v>0</v>
      </c>
      <c r="AF1506" s="1525">
        <f t="shared" si="941"/>
        <v>0</v>
      </c>
      <c r="AG1506" s="1525">
        <f t="shared" si="941"/>
        <v>0</v>
      </c>
      <c r="AH1506" s="1525">
        <f t="shared" si="941"/>
        <v>0</v>
      </c>
      <c r="AI1506" s="1525">
        <f t="shared" si="941"/>
        <v>0</v>
      </c>
      <c r="AJ1506" s="1525">
        <f t="shared" si="941"/>
        <v>0</v>
      </c>
      <c r="AK1506" s="1525">
        <f t="shared" si="941"/>
        <v>0</v>
      </c>
      <c r="AL1506" s="1525">
        <f t="shared" si="941"/>
        <v>0</v>
      </c>
      <c r="AM1506" s="1525">
        <f t="shared" si="941"/>
        <v>0</v>
      </c>
      <c r="AN1506" s="1525">
        <f t="shared" si="941"/>
        <v>0</v>
      </c>
      <c r="AO1506" s="1525">
        <f t="shared" si="941"/>
        <v>0</v>
      </c>
      <c r="AP1506" s="1525">
        <f t="shared" si="941"/>
        <v>0</v>
      </c>
      <c r="AQ1506" s="1525">
        <f t="shared" si="941"/>
        <v>0</v>
      </c>
      <c r="AR1506" s="1525">
        <f t="shared" si="941"/>
        <v>0</v>
      </c>
      <c r="AS1506" s="1525">
        <f t="shared" si="941"/>
        <v>0</v>
      </c>
      <c r="AU1506" s="1525"/>
      <c r="AV1506" s="1291"/>
      <c r="AW1506" s="1292"/>
      <c r="AX1506" s="1292"/>
      <c r="AY1506" s="1292"/>
      <c r="AZ1506" s="1292"/>
      <c r="BA1506" s="1292"/>
      <c r="BB1506" s="1292"/>
      <c r="BC1506" s="1292"/>
      <c r="BD1506" s="1292"/>
      <c r="BE1506" s="1292"/>
      <c r="BF1506" s="1292"/>
      <c r="BG1506" s="1292"/>
      <c r="BH1506" s="1292"/>
      <c r="BI1506" s="1292">
        <v>0.2</v>
      </c>
      <c r="BJ1506" s="1292">
        <v>0.2</v>
      </c>
      <c r="BK1506" s="1292"/>
      <c r="BL1506" s="1292"/>
      <c r="BM1506" s="1292"/>
      <c r="BN1506" s="1292"/>
      <c r="BO1506" s="1292"/>
      <c r="BP1506" s="1292"/>
      <c r="BQ1506" s="1292"/>
      <c r="BR1506" s="1292"/>
      <c r="BS1506" s="1292"/>
      <c r="BT1506" s="1670">
        <f>SUM(AV1506:BS1506)</f>
        <v>0.4</v>
      </c>
      <c r="BW1506" s="894" t="s">
        <v>639</v>
      </c>
    </row>
    <row r="1507" spans="2:75" ht="12.75" customHeight="1" x14ac:dyDescent="0.2">
      <c r="B1507" s="175">
        <f>B1505+1</f>
        <v>5</v>
      </c>
      <c r="C1507" s="219">
        <v>18</v>
      </c>
      <c r="E1507" s="12" t="s">
        <v>76</v>
      </c>
      <c r="F1507" s="23" t="s">
        <v>1069</v>
      </c>
      <c r="G1507" s="844" t="s">
        <v>1070</v>
      </c>
      <c r="H1507" s="861">
        <v>6069</v>
      </c>
      <c r="I1507" s="272" t="s">
        <v>1442</v>
      </c>
      <c r="J1507" s="220"/>
      <c r="K1507" s="220"/>
      <c r="L1507" s="950">
        <v>0.5</v>
      </c>
      <c r="M1507" s="861">
        <v>0.5</v>
      </c>
      <c r="N1507" s="833" t="s">
        <v>1573</v>
      </c>
      <c r="O1507" s="1196">
        <v>19428</v>
      </c>
      <c r="P1507" s="1218">
        <f t="shared" ca="1" si="932"/>
        <v>64.561111111111117</v>
      </c>
      <c r="Q1507" s="1148">
        <v>23800</v>
      </c>
      <c r="R1507" s="874">
        <f>Q1507*0.1</f>
        <v>2380</v>
      </c>
      <c r="S1507" s="876"/>
      <c r="T1507" s="876"/>
      <c r="U1507" s="876"/>
      <c r="V1507" s="876"/>
      <c r="W1507" s="876">
        <f>ROUNDUP((Q1507+R1507)*0.22,0)</f>
        <v>5760</v>
      </c>
      <c r="X1507" s="1026">
        <f t="shared" si="933"/>
        <v>15970</v>
      </c>
      <c r="Y1507" s="1512">
        <f>(T1507+U1507+V1507+W1507)*M1507/(X1507-M1507*(T1507+U1507+V1507+W1507))</f>
        <v>0.22001527883880825</v>
      </c>
      <c r="Z1507" s="1741">
        <f t="shared" si="935"/>
        <v>0.61000763941940417</v>
      </c>
      <c r="AA1507" s="1749">
        <f t="shared" si="936"/>
        <v>0.2</v>
      </c>
      <c r="AB1507" s="1810">
        <f t="shared" si="937"/>
        <v>32.786474639949901</v>
      </c>
      <c r="AC1507" s="876"/>
      <c r="AD1507" s="1525">
        <f t="shared" ref="AD1507:AS1507" si="942">SUMIF($AV$6:$BS$6,AD$5,$AV1507:$BS1507)</f>
        <v>0.2</v>
      </c>
      <c r="AE1507" s="1525">
        <f t="shared" si="942"/>
        <v>0</v>
      </c>
      <c r="AF1507" s="1525">
        <f t="shared" si="942"/>
        <v>0</v>
      </c>
      <c r="AG1507" s="1525">
        <f t="shared" si="942"/>
        <v>0</v>
      </c>
      <c r="AH1507" s="1525">
        <f t="shared" si="942"/>
        <v>0</v>
      </c>
      <c r="AI1507" s="1525">
        <f t="shared" si="942"/>
        <v>0</v>
      </c>
      <c r="AJ1507" s="1525">
        <f t="shared" si="942"/>
        <v>0</v>
      </c>
      <c r="AK1507" s="1525">
        <f t="shared" si="942"/>
        <v>0</v>
      </c>
      <c r="AL1507" s="1525">
        <f t="shared" si="942"/>
        <v>0</v>
      </c>
      <c r="AM1507" s="1525">
        <f t="shared" si="942"/>
        <v>0</v>
      </c>
      <c r="AN1507" s="1525">
        <f t="shared" si="942"/>
        <v>0</v>
      </c>
      <c r="AO1507" s="1525">
        <f t="shared" si="942"/>
        <v>0</v>
      </c>
      <c r="AP1507" s="1525">
        <f t="shared" si="942"/>
        <v>0</v>
      </c>
      <c r="AQ1507" s="1525">
        <f t="shared" si="942"/>
        <v>0</v>
      </c>
      <c r="AR1507" s="1525">
        <f t="shared" si="942"/>
        <v>0</v>
      </c>
      <c r="AS1507" s="1525">
        <f t="shared" si="942"/>
        <v>0</v>
      </c>
      <c r="AU1507" s="1525"/>
      <c r="AV1507" s="1291"/>
      <c r="AW1507" s="1292"/>
      <c r="AX1507" s="1292"/>
      <c r="AY1507" s="1292"/>
      <c r="AZ1507" s="1292"/>
      <c r="BA1507" s="1292"/>
      <c r="BB1507" s="1292"/>
      <c r="BC1507" s="1292"/>
      <c r="BD1507" s="1292"/>
      <c r="BE1507" s="1292"/>
      <c r="BF1507" s="1292"/>
      <c r="BG1507" s="1292"/>
      <c r="BH1507" s="1292"/>
      <c r="BI1507" s="1292">
        <v>0.1</v>
      </c>
      <c r="BJ1507" s="1292">
        <v>0.1</v>
      </c>
      <c r="BK1507" s="1292"/>
      <c r="BL1507" s="1292"/>
      <c r="BM1507" s="1292"/>
      <c r="BN1507" s="1292"/>
      <c r="BO1507" s="1292"/>
      <c r="BP1507" s="1292"/>
      <c r="BQ1507" s="1292"/>
      <c r="BR1507" s="1292"/>
      <c r="BS1507" s="1292"/>
      <c r="BT1507" s="1670">
        <f t="shared" si="939"/>
        <v>0.2</v>
      </c>
      <c r="BW1507" s="844" t="s">
        <v>1070</v>
      </c>
    </row>
    <row r="1508" spans="2:75" x14ac:dyDescent="0.15">
      <c r="X1508" s="1709"/>
      <c r="AA1508" s="1750"/>
      <c r="AB1508" s="1760"/>
      <c r="AC1508" s="210"/>
      <c r="AD1508" s="553"/>
      <c r="AE1508" s="553"/>
      <c r="AF1508" s="553"/>
      <c r="AG1508" s="553"/>
      <c r="AH1508" s="553"/>
      <c r="AI1508" s="553"/>
      <c r="AJ1508" s="553"/>
      <c r="AK1508" s="553"/>
      <c r="AL1508" s="553"/>
      <c r="AM1508" s="553"/>
      <c r="AN1508" s="553"/>
      <c r="AO1508" s="553"/>
      <c r="AP1508" s="553"/>
      <c r="AQ1508" s="553"/>
      <c r="AR1508" s="553"/>
      <c r="AS1508" s="553"/>
      <c r="AV1508" s="1292"/>
      <c r="AX1508" s="1292"/>
      <c r="BT1508" s="1671"/>
    </row>
    <row r="1509" spans="2:75" s="164" customFormat="1" ht="12.75" customHeight="1" x14ac:dyDescent="0.2">
      <c r="B1509" s="175"/>
      <c r="C1509" s="219" t="s">
        <v>1120</v>
      </c>
      <c r="F1509" s="60" t="s">
        <v>1238</v>
      </c>
      <c r="G1509" s="844"/>
      <c r="H1509" s="1351" t="s">
        <v>1508</v>
      </c>
      <c r="I1509" s="272"/>
      <c r="J1509" s="268"/>
      <c r="K1509" s="446">
        <f>SUM(K1502:K1507)</f>
        <v>0</v>
      </c>
      <c r="L1509" s="892">
        <f>SUM(L1502:L1507)</f>
        <v>5</v>
      </c>
      <c r="M1509" s="892">
        <f>SUM(M1502:M1507)</f>
        <v>5</v>
      </c>
      <c r="N1509" s="833"/>
      <c r="O1509" s="1193"/>
      <c r="P1509" s="550"/>
      <c r="Q1509" s="1153"/>
      <c r="R1509" s="877"/>
      <c r="S1509" s="875"/>
      <c r="T1509" s="875"/>
      <c r="U1509" s="875"/>
      <c r="V1509" s="875"/>
      <c r="W1509" s="875"/>
      <c r="X1509" s="1026"/>
      <c r="Y1509" s="875"/>
      <c r="Z1509" s="875"/>
      <c r="AA1509" s="1749"/>
      <c r="AB1509" s="1812"/>
      <c r="AC1509" s="876"/>
      <c r="AD1509" s="1295"/>
      <c r="AE1509" s="1525"/>
      <c r="AF1509" s="1525"/>
      <c r="AG1509" s="1525"/>
      <c r="AH1509" s="1525"/>
      <c r="AI1509" s="1525"/>
      <c r="AJ1509" s="1525"/>
      <c r="AK1509" s="1525"/>
      <c r="AL1509" s="1525"/>
      <c r="AM1509" s="1525"/>
      <c r="AN1509" s="1525"/>
      <c r="AO1509" s="1525"/>
      <c r="AP1509" s="1525"/>
      <c r="AQ1509" s="1525"/>
      <c r="AR1509" s="1525"/>
      <c r="AS1509" s="1525"/>
      <c r="AU1509" s="1525"/>
      <c r="AV1509" s="1295"/>
      <c r="AW1509" s="1525"/>
      <c r="AX1509" s="1525"/>
      <c r="AY1509" s="1525"/>
      <c r="AZ1509" s="1525"/>
      <c r="BA1509" s="1525"/>
      <c r="BB1509" s="1525"/>
      <c r="BC1509" s="1525"/>
      <c r="BD1509" s="1525"/>
      <c r="BE1509" s="1525"/>
      <c r="BF1509" s="1525"/>
      <c r="BG1509" s="1525"/>
      <c r="BH1509" s="1525"/>
      <c r="BI1509" s="1525"/>
      <c r="BJ1509" s="1525"/>
      <c r="BK1509" s="1525"/>
      <c r="BL1509" s="1525"/>
      <c r="BM1509" s="1525"/>
      <c r="BN1509" s="1525"/>
      <c r="BO1509" s="1525"/>
      <c r="BP1509" s="1525"/>
      <c r="BQ1509" s="1525"/>
      <c r="BR1509" s="1525"/>
      <c r="BS1509" s="1525"/>
      <c r="BT1509" s="1670"/>
      <c r="BV1509"/>
      <c r="BW1509" s="844"/>
    </row>
    <row r="1510" spans="2:75" s="164" customFormat="1" ht="12.75" customHeight="1" x14ac:dyDescent="0.15">
      <c r="B1510" s="175"/>
      <c r="C1510" s="644" t="s">
        <v>344</v>
      </c>
      <c r="D1510" s="577" t="s">
        <v>346</v>
      </c>
      <c r="E1510" s="368" t="s">
        <v>76</v>
      </c>
      <c r="F1510" s="380" t="s">
        <v>1370</v>
      </c>
      <c r="G1510" s="1003">
        <f>COUNTA(G1464:G1509)</f>
        <v>27</v>
      </c>
      <c r="H1510" s="1399" t="s">
        <v>1508</v>
      </c>
      <c r="I1510" s="381"/>
      <c r="J1510" s="367"/>
      <c r="K1510" s="382">
        <f>K1466+K1488+K1498+K1509</f>
        <v>1</v>
      </c>
      <c r="L1510" s="1003">
        <f>L1466+L1488+L1498+L1509</f>
        <v>24</v>
      </c>
      <c r="M1510" s="1003">
        <f>M1466+M1488+M1498+M1509</f>
        <v>25</v>
      </c>
      <c r="N1510" s="1004"/>
      <c r="O1510" s="1004"/>
      <c r="P1510" s="1258"/>
      <c r="Q1510" s="1154"/>
      <c r="R1510" s="887"/>
      <c r="S1510" s="880"/>
      <c r="T1510" s="880"/>
      <c r="U1510" s="880"/>
      <c r="V1510" s="880"/>
      <c r="W1510" s="880"/>
      <c r="X1510" s="1276">
        <f>SUM(X1465:X1509)</f>
        <v>1047425</v>
      </c>
      <c r="Y1510" s="880"/>
      <c r="Z1510" s="1665">
        <f>SUM(Z1465:Z1509)</f>
        <v>28.544188698813407</v>
      </c>
      <c r="AA1510" s="1777">
        <f>SUM(AA1465:AA1508)</f>
        <v>19.799999999999997</v>
      </c>
      <c r="AB1510" s="1813">
        <f t="shared" ref="AB1510" si="943">100*AA1510/Z1510</f>
        <v>69.36613336228082</v>
      </c>
      <c r="AC1510" s="1721"/>
      <c r="AD1510" s="1295"/>
      <c r="AE1510" s="1525"/>
      <c r="AF1510" s="1525"/>
      <c r="AG1510" s="1525"/>
      <c r="AH1510" s="1525"/>
      <c r="AI1510" s="1525"/>
      <c r="AJ1510" s="1525"/>
      <c r="AK1510" s="1525"/>
      <c r="AL1510" s="1525"/>
      <c r="AM1510" s="1525"/>
      <c r="AN1510" s="1525"/>
      <c r="AO1510" s="1525"/>
      <c r="AP1510" s="1525"/>
      <c r="AQ1510" s="1525"/>
      <c r="AR1510" s="1525"/>
      <c r="AS1510" s="1525"/>
      <c r="AU1510" s="1525"/>
      <c r="AV1510" s="1295"/>
      <c r="AW1510" s="1525"/>
      <c r="AX1510" s="1525"/>
      <c r="AY1510" s="1525"/>
      <c r="AZ1510" s="1525"/>
      <c r="BA1510" s="1525"/>
      <c r="BB1510" s="1525"/>
      <c r="BC1510" s="1525"/>
      <c r="BD1510" s="1525"/>
      <c r="BE1510" s="1525"/>
      <c r="BF1510" s="1525"/>
      <c r="BG1510" s="1525"/>
      <c r="BH1510" s="1525"/>
      <c r="BI1510" s="1525"/>
      <c r="BJ1510" s="1525"/>
      <c r="BK1510" s="1525"/>
      <c r="BL1510" s="1525"/>
      <c r="BM1510" s="1525"/>
      <c r="BN1510" s="1525"/>
      <c r="BO1510" s="1525"/>
      <c r="BP1510" s="1525"/>
      <c r="BQ1510" s="1525"/>
      <c r="BR1510" s="1525"/>
      <c r="BS1510" s="1525"/>
      <c r="BT1510" s="1670"/>
      <c r="BV1510"/>
      <c r="BW1510" s="879"/>
    </row>
    <row r="1511" spans="2:75" s="164" customFormat="1" ht="12.75" customHeight="1" x14ac:dyDescent="0.15">
      <c r="B1511" s="175"/>
      <c r="C1511" s="423" t="s">
        <v>136</v>
      </c>
      <c r="D1511" s="423"/>
      <c r="E1511" s="424" t="s">
        <v>76</v>
      </c>
      <c r="F1511" s="424" t="s">
        <v>893</v>
      </c>
      <c r="G1511" s="867"/>
      <c r="H1511" s="1349" t="s">
        <v>1508</v>
      </c>
      <c r="I1511" s="426"/>
      <c r="J1511" s="425"/>
      <c r="K1511" s="425"/>
      <c r="L1511" s="866"/>
      <c r="M1511" s="866"/>
      <c r="N1511" s="926"/>
      <c r="O1511" s="926"/>
      <c r="P1511" s="1247"/>
      <c r="Q1511" s="1158"/>
      <c r="R1511" s="1027"/>
      <c r="S1511" s="1028"/>
      <c r="T1511" s="1028"/>
      <c r="U1511" s="1028"/>
      <c r="V1511" s="1028"/>
      <c r="W1511" s="1028"/>
      <c r="X1511" s="1697">
        <v>20200</v>
      </c>
      <c r="Y1511" s="881"/>
      <c r="Z1511" s="1778"/>
      <c r="AA1511" s="1775"/>
      <c r="AB1511" s="1814"/>
      <c r="AC1511" s="876"/>
      <c r="AD1511" s="1295"/>
      <c r="AE1511" s="1525"/>
      <c r="AF1511" s="1525"/>
      <c r="AG1511" s="1525"/>
      <c r="AH1511" s="1525"/>
      <c r="AI1511" s="1525"/>
      <c r="AJ1511" s="1525"/>
      <c r="AK1511" s="1525"/>
      <c r="AL1511" s="1525"/>
      <c r="AM1511" s="1525"/>
      <c r="AN1511" s="1525"/>
      <c r="AO1511" s="1525"/>
      <c r="AP1511" s="1525"/>
      <c r="AQ1511" s="1525"/>
      <c r="AR1511" s="1525"/>
      <c r="AS1511" s="1525"/>
      <c r="AU1511" s="1525"/>
      <c r="AV1511" s="1295"/>
      <c r="AW1511" s="1525"/>
      <c r="AX1511" s="1525"/>
      <c r="AY1511" s="1525"/>
      <c r="AZ1511" s="1525"/>
      <c r="BA1511" s="1525"/>
      <c r="BB1511" s="1525"/>
      <c r="BC1511" s="1525"/>
      <c r="BD1511" s="1525"/>
      <c r="BE1511" s="1525"/>
      <c r="BF1511" s="1525"/>
      <c r="BG1511" s="1525"/>
      <c r="BH1511" s="1525"/>
      <c r="BI1511" s="1525"/>
      <c r="BJ1511" s="1525"/>
      <c r="BK1511" s="1525"/>
      <c r="BL1511" s="1525"/>
      <c r="BM1511" s="1525"/>
      <c r="BN1511" s="1525"/>
      <c r="BO1511" s="1525"/>
      <c r="BP1511" s="1525"/>
      <c r="BQ1511" s="1525"/>
      <c r="BR1511" s="1525"/>
      <c r="BS1511" s="1525"/>
      <c r="BT1511" s="1670"/>
      <c r="BV1511"/>
      <c r="BW1511" s="867"/>
    </row>
    <row r="1512" spans="2:75" s="164" customFormat="1" ht="12.75" customHeight="1" x14ac:dyDescent="0.15">
      <c r="B1512" s="175"/>
      <c r="C1512" s="1483"/>
      <c r="D1512" s="1483"/>
      <c r="E1512" s="1442"/>
      <c r="F1512" s="1442" t="s">
        <v>525</v>
      </c>
      <c r="G1512" s="1443"/>
      <c r="H1512" s="1444" t="s">
        <v>1508</v>
      </c>
      <c r="I1512" s="1445"/>
      <c r="J1512" s="1446"/>
      <c r="K1512" s="1446"/>
      <c r="L1512" s="1447"/>
      <c r="M1512" s="1447"/>
      <c r="N1512" s="1448"/>
      <c r="O1512" s="1448"/>
      <c r="P1512" s="1484"/>
      <c r="Q1512" s="1450"/>
      <c r="R1512" s="1451"/>
      <c r="S1512" s="1452"/>
      <c r="T1512" s="1452"/>
      <c r="U1512" s="1452"/>
      <c r="V1512" s="1452"/>
      <c r="W1512" s="1452"/>
      <c r="X1512" s="1706"/>
      <c r="Y1512" s="1757"/>
      <c r="Z1512" s="1756"/>
      <c r="AA1512" s="1775"/>
      <c r="AB1512" s="1814"/>
      <c r="AC1512" s="876"/>
      <c r="AD1512" s="1291"/>
      <c r="AE1512" s="1292"/>
      <c r="AF1512" s="1292"/>
      <c r="AG1512" s="1292"/>
      <c r="AH1512" s="1292"/>
      <c r="AI1512" s="1292"/>
      <c r="AJ1512" s="1292"/>
      <c r="AK1512" s="1292"/>
      <c r="AL1512" s="1292"/>
      <c r="AM1512" s="1292"/>
      <c r="AN1512" s="1292"/>
      <c r="AO1512" s="1292"/>
      <c r="AP1512" s="1292"/>
      <c r="AQ1512" s="1292"/>
      <c r="AR1512" s="1292"/>
      <c r="AS1512" s="1292"/>
      <c r="AT1512" s="210"/>
      <c r="AU1512" s="1292"/>
      <c r="AV1512" s="1291"/>
      <c r="AW1512" s="1292"/>
      <c r="AX1512" s="1292"/>
      <c r="AY1512" s="1292"/>
      <c r="AZ1512" s="1292"/>
      <c r="BA1512" s="1292"/>
      <c r="BB1512" s="1292"/>
      <c r="BC1512" s="1292"/>
      <c r="BD1512" s="1292"/>
      <c r="BE1512" s="1292"/>
      <c r="BF1512" s="1292"/>
      <c r="BG1512" s="1292"/>
      <c r="BH1512" s="1292"/>
      <c r="BI1512" s="1292"/>
      <c r="BJ1512" s="1292"/>
      <c r="BK1512" s="1292"/>
      <c r="BL1512" s="1292"/>
      <c r="BM1512" s="1292"/>
      <c r="BN1512" s="1292"/>
      <c r="BO1512" s="1292"/>
      <c r="BP1512" s="1292"/>
      <c r="BQ1512" s="1292"/>
      <c r="BR1512" s="1292"/>
      <c r="BS1512" s="1292"/>
      <c r="BT1512" s="1670"/>
      <c r="BV1512"/>
      <c r="BW1512" s="1443"/>
    </row>
    <row r="1513" spans="2:75" s="164" customFormat="1" ht="12.75" customHeight="1" x14ac:dyDescent="0.2">
      <c r="B1513" s="175"/>
      <c r="C1513" s="547"/>
      <c r="D1513" s="547"/>
      <c r="E1513" s="4"/>
      <c r="F1513" s="4"/>
      <c r="G1513" s="862"/>
      <c r="H1513" s="1347" t="s">
        <v>1508</v>
      </c>
      <c r="I1513" s="197"/>
      <c r="J1513" s="174"/>
      <c r="K1513" s="174"/>
      <c r="L1513" s="861"/>
      <c r="M1513" s="861"/>
      <c r="N1513" s="836"/>
      <c r="O1513" s="1190"/>
      <c r="P1513" s="1245"/>
      <c r="Q1513" s="1153"/>
      <c r="R1513" s="884"/>
      <c r="S1513" s="876"/>
      <c r="T1513" s="876"/>
      <c r="U1513" s="876"/>
      <c r="V1513" s="876"/>
      <c r="W1513" s="876"/>
      <c r="X1513" s="1026"/>
      <c r="Y1513" s="1757"/>
      <c r="Z1513" s="1756"/>
      <c r="AA1513" s="1775"/>
      <c r="AB1513" s="1814"/>
      <c r="AC1513" s="876"/>
      <c r="AD1513" s="1295"/>
      <c r="AE1513" s="1525"/>
      <c r="AF1513" s="1525"/>
      <c r="AG1513" s="1525"/>
      <c r="AH1513" s="1525"/>
      <c r="AI1513" s="1525"/>
      <c r="AJ1513" s="1525"/>
      <c r="AK1513" s="1525"/>
      <c r="AL1513" s="1525"/>
      <c r="AM1513" s="1525"/>
      <c r="AN1513" s="1525"/>
      <c r="AO1513" s="1525"/>
      <c r="AP1513" s="1525"/>
      <c r="AQ1513" s="1525"/>
      <c r="AR1513" s="1525"/>
      <c r="AS1513" s="1525"/>
      <c r="AU1513" s="1525"/>
      <c r="AV1513" s="1295"/>
      <c r="AW1513" s="1525"/>
      <c r="AX1513" s="1525"/>
      <c r="AY1513" s="1525"/>
      <c r="AZ1513" s="1525"/>
      <c r="BA1513" s="1525"/>
      <c r="BB1513" s="1525"/>
      <c r="BC1513" s="1525"/>
      <c r="BD1513" s="1525"/>
      <c r="BE1513" s="1525"/>
      <c r="BF1513" s="1525"/>
      <c r="BG1513" s="1525"/>
      <c r="BH1513" s="1525"/>
      <c r="BI1513" s="1525"/>
      <c r="BJ1513" s="1525"/>
      <c r="BK1513" s="1525"/>
      <c r="BL1513" s="1525"/>
      <c r="BM1513" s="1525"/>
      <c r="BN1513" s="1525"/>
      <c r="BO1513" s="1525"/>
      <c r="BP1513" s="1525"/>
      <c r="BQ1513" s="1525"/>
      <c r="BR1513" s="1525"/>
      <c r="BS1513" s="1525"/>
      <c r="BT1513" s="1670"/>
      <c r="BV1513"/>
      <c r="BW1513" s="862"/>
    </row>
    <row r="1514" spans="2:75" s="164" customFormat="1" ht="12.75" customHeight="1" x14ac:dyDescent="0.2">
      <c r="B1514" s="175"/>
      <c r="C1514" s="547"/>
      <c r="D1514" s="547"/>
      <c r="E1514" s="4"/>
      <c r="F1514" s="1103" t="s">
        <v>1685</v>
      </c>
      <c r="G1514" s="862"/>
      <c r="H1514" s="1347" t="s">
        <v>1508</v>
      </c>
      <c r="I1514" s="197"/>
      <c r="J1514" s="174"/>
      <c r="K1514" s="174"/>
      <c r="L1514" s="861"/>
      <c r="M1514" s="861"/>
      <c r="N1514" s="836"/>
      <c r="O1514" s="1190"/>
      <c r="P1514" s="1245"/>
      <c r="Q1514" s="1153"/>
      <c r="R1514" s="884"/>
      <c r="S1514" s="876"/>
      <c r="T1514" s="876"/>
      <c r="U1514" s="876"/>
      <c r="V1514" s="876"/>
      <c r="W1514" s="876"/>
      <c r="X1514" s="1026"/>
      <c r="Y1514" s="1757"/>
      <c r="Z1514" s="1756"/>
      <c r="AA1514" s="1775"/>
      <c r="AB1514" s="1814"/>
      <c r="AC1514" s="876"/>
      <c r="AD1514" s="1295"/>
      <c r="AE1514" s="1525"/>
      <c r="AF1514" s="1525"/>
      <c r="AG1514" s="1525"/>
      <c r="AH1514" s="1525"/>
      <c r="AI1514" s="1525"/>
      <c r="AJ1514" s="1525"/>
      <c r="AK1514" s="1525"/>
      <c r="AL1514" s="1525"/>
      <c r="AM1514" s="1525"/>
      <c r="AN1514" s="1525"/>
      <c r="AO1514" s="1525"/>
      <c r="AP1514" s="1525"/>
      <c r="AQ1514" s="1525"/>
      <c r="AR1514" s="1525"/>
      <c r="AS1514" s="1525"/>
      <c r="AU1514" s="1525"/>
      <c r="AV1514" s="1295"/>
      <c r="AW1514" s="1525"/>
      <c r="AX1514" s="1525"/>
      <c r="AY1514" s="1525"/>
      <c r="AZ1514" s="1525"/>
      <c r="BA1514" s="1525"/>
      <c r="BB1514" s="1525"/>
      <c r="BC1514" s="1525"/>
      <c r="BD1514" s="1525"/>
      <c r="BE1514" s="1525"/>
      <c r="BF1514" s="1525"/>
      <c r="BG1514" s="1525"/>
      <c r="BH1514" s="1525"/>
      <c r="BI1514" s="1525"/>
      <c r="BJ1514" s="1525"/>
      <c r="BK1514" s="1525"/>
      <c r="BL1514" s="1525"/>
      <c r="BM1514" s="1525"/>
      <c r="BN1514" s="1525"/>
      <c r="BO1514" s="1525"/>
      <c r="BP1514" s="1525"/>
      <c r="BQ1514" s="1525"/>
      <c r="BR1514" s="1525"/>
      <c r="BS1514" s="1525"/>
      <c r="BT1514" s="1670"/>
      <c r="BV1514"/>
      <c r="BW1514" s="862"/>
    </row>
    <row r="1515" spans="2:75" s="164" customFormat="1" ht="12.75" customHeight="1" x14ac:dyDescent="0.2">
      <c r="B1515" s="175"/>
      <c r="C1515" s="547"/>
      <c r="D1515" s="547"/>
      <c r="E1515" s="4"/>
      <c r="F1515" s="4"/>
      <c r="G1515" s="862"/>
      <c r="H1515" s="1347" t="s">
        <v>1508</v>
      </c>
      <c r="I1515" s="197"/>
      <c r="J1515" s="174"/>
      <c r="K1515" s="174"/>
      <c r="L1515" s="861"/>
      <c r="M1515" s="861"/>
      <c r="N1515" s="836"/>
      <c r="O1515" s="1190"/>
      <c r="P1515" s="1245"/>
      <c r="Q1515" s="1153"/>
      <c r="R1515" s="884"/>
      <c r="S1515" s="876"/>
      <c r="T1515" s="876"/>
      <c r="U1515" s="876"/>
      <c r="V1515" s="876"/>
      <c r="W1515" s="876"/>
      <c r="X1515" s="1026"/>
      <c r="Y1515" s="1757"/>
      <c r="Z1515" s="1756"/>
      <c r="AA1515" s="1775"/>
      <c r="AB1515" s="1814"/>
      <c r="AC1515" s="876"/>
      <c r="AD1515" s="1295"/>
      <c r="AE1515" s="1525"/>
      <c r="AF1515" s="1525"/>
      <c r="AG1515" s="1525"/>
      <c r="AH1515" s="1525"/>
      <c r="AI1515" s="1525"/>
      <c r="AJ1515" s="1525"/>
      <c r="AK1515" s="1525"/>
      <c r="AL1515" s="1525"/>
      <c r="AM1515" s="1525"/>
      <c r="AN1515" s="1525"/>
      <c r="AO1515" s="1525"/>
      <c r="AP1515" s="1525"/>
      <c r="AQ1515" s="1525"/>
      <c r="AR1515" s="1525"/>
      <c r="AS1515" s="1525"/>
      <c r="AU1515" s="1525"/>
      <c r="AV1515" s="1295"/>
      <c r="AW1515" s="1525"/>
      <c r="AX1515" s="1525"/>
      <c r="AY1515" s="1525"/>
      <c r="AZ1515" s="1525"/>
      <c r="BA1515" s="1525"/>
      <c r="BB1515" s="1525"/>
      <c r="BC1515" s="1525"/>
      <c r="BD1515" s="1525"/>
      <c r="BE1515" s="1525"/>
      <c r="BF1515" s="1525"/>
      <c r="BG1515" s="1525"/>
      <c r="BH1515" s="1525"/>
      <c r="BI1515" s="1525"/>
      <c r="BJ1515" s="1525"/>
      <c r="BK1515" s="1525"/>
      <c r="BL1515" s="1525"/>
      <c r="BM1515" s="1525"/>
      <c r="BN1515" s="1525"/>
      <c r="BO1515" s="1525"/>
      <c r="BP1515" s="1525"/>
      <c r="BQ1515" s="1525"/>
      <c r="BR1515" s="1525"/>
      <c r="BS1515" s="1525"/>
      <c r="BT1515" s="1670"/>
      <c r="BV1515"/>
      <c r="BW1515" s="862"/>
    </row>
    <row r="1516" spans="2:75" s="164" customFormat="1" ht="12.75" customHeight="1" x14ac:dyDescent="0.2">
      <c r="B1516" s="175">
        <f t="shared" ref="B1516" si="944">B1515+1</f>
        <v>1</v>
      </c>
      <c r="C1516" s="547">
        <v>4</v>
      </c>
      <c r="D1516" s="547"/>
      <c r="E1516" s="4" t="s">
        <v>1665</v>
      </c>
      <c r="F1516" s="11" t="s">
        <v>825</v>
      </c>
      <c r="G1516" s="862" t="s">
        <v>1499</v>
      </c>
      <c r="H1516" s="861">
        <v>263634</v>
      </c>
      <c r="I1516" s="202" t="s">
        <v>351</v>
      </c>
      <c r="J1516" s="174"/>
      <c r="K1516" s="1127"/>
      <c r="L1516" s="1133">
        <v>1</v>
      </c>
      <c r="M1516" s="1133">
        <v>1</v>
      </c>
      <c r="N1516" s="836" t="s">
        <v>1326</v>
      </c>
      <c r="O1516" s="1196">
        <v>18441</v>
      </c>
      <c r="P1516" s="1218">
        <f ca="1">YEARFRAC(TODAY(),O1516)</f>
        <v>67.263888888888886</v>
      </c>
      <c r="Q1516" s="1153">
        <v>67850</v>
      </c>
      <c r="R1516" s="874">
        <f>Q1516*0.1</f>
        <v>6785</v>
      </c>
      <c r="S1516" s="876">
        <v>3000</v>
      </c>
      <c r="T1516" s="876">
        <v>42500</v>
      </c>
      <c r="U1516" s="876"/>
      <c r="V1516" s="876"/>
      <c r="W1516" s="876"/>
      <c r="X1516" s="1026">
        <f>(Q1516+R1516+S1516+T1516+U1516+V1516+W1516)*M1516</f>
        <v>120135</v>
      </c>
      <c r="Y1516" s="1512">
        <f>(T1516+U1516)*M1516/(X1516-M1516*(T1516+U1516))</f>
        <v>0.54743350293037929</v>
      </c>
      <c r="Z1516" s="1741">
        <f>M1516*(1+Y1516)</f>
        <v>1.5474335029303794</v>
      </c>
      <c r="AA1516" s="1749">
        <f>SUM(AD1516:AS1516)</f>
        <v>1</v>
      </c>
      <c r="AB1516" s="1810">
        <f t="shared" ref="AB1516" si="945">100*AA1516/Z1516</f>
        <v>64.623132309485158</v>
      </c>
      <c r="AC1516" s="876"/>
      <c r="AD1516" s="1525">
        <f t="shared" ref="AD1516:AS1516" si="946">SUMIF($AV$6:$BS$6,AD$5,$AV1516:$BS1516)</f>
        <v>1</v>
      </c>
      <c r="AE1516" s="1525">
        <f t="shared" si="946"/>
        <v>0</v>
      </c>
      <c r="AF1516" s="1525">
        <f t="shared" si="946"/>
        <v>0</v>
      </c>
      <c r="AG1516" s="1525">
        <f t="shared" si="946"/>
        <v>0</v>
      </c>
      <c r="AH1516" s="1525">
        <f t="shared" si="946"/>
        <v>0</v>
      </c>
      <c r="AI1516" s="1525">
        <f t="shared" si="946"/>
        <v>0</v>
      </c>
      <c r="AJ1516" s="1525">
        <f t="shared" si="946"/>
        <v>0</v>
      </c>
      <c r="AK1516" s="1525">
        <f t="shared" si="946"/>
        <v>0</v>
      </c>
      <c r="AL1516" s="1525">
        <f t="shared" si="946"/>
        <v>0</v>
      </c>
      <c r="AM1516" s="1525">
        <f t="shared" si="946"/>
        <v>0</v>
      </c>
      <c r="AN1516" s="1525">
        <f t="shared" si="946"/>
        <v>0</v>
      </c>
      <c r="AO1516" s="1525">
        <f t="shared" si="946"/>
        <v>0</v>
      </c>
      <c r="AP1516" s="1525">
        <f t="shared" si="946"/>
        <v>0</v>
      </c>
      <c r="AQ1516" s="1525">
        <f t="shared" si="946"/>
        <v>0</v>
      </c>
      <c r="AR1516" s="1525">
        <f t="shared" si="946"/>
        <v>0</v>
      </c>
      <c r="AS1516" s="1525">
        <f t="shared" si="946"/>
        <v>0</v>
      </c>
      <c r="AU1516" s="1525"/>
      <c r="AV1516" s="1295"/>
      <c r="AW1516" s="1525"/>
      <c r="AX1516" s="1525"/>
      <c r="AY1516" s="1525"/>
      <c r="AZ1516" s="1525"/>
      <c r="BA1516" s="1525"/>
      <c r="BB1516" s="1525"/>
      <c r="BC1516" s="1525"/>
      <c r="BD1516" s="1525"/>
      <c r="BE1516" s="1525"/>
      <c r="BF1516" s="1525"/>
      <c r="BG1516" s="1525"/>
      <c r="BH1516" s="1525"/>
      <c r="BI1516" s="1525"/>
      <c r="BJ1516" s="1525">
        <v>1</v>
      </c>
      <c r="BK1516" s="1525"/>
      <c r="BL1516" s="1525"/>
      <c r="BM1516" s="1525"/>
      <c r="BN1516" s="1525"/>
      <c r="BO1516" s="1525"/>
      <c r="BP1516" s="1525"/>
      <c r="BQ1516" s="1525"/>
      <c r="BR1516" s="1525"/>
      <c r="BS1516" s="1525"/>
      <c r="BT1516" s="1670">
        <f t="shared" ref="BT1516" si="947">SUM(AV1516:BS1516)</f>
        <v>1</v>
      </c>
      <c r="BV1516"/>
      <c r="BW1516" s="862" t="s">
        <v>1499</v>
      </c>
    </row>
    <row r="1517" spans="2:75" s="164" customFormat="1" ht="12.75" customHeight="1" x14ac:dyDescent="0.2">
      <c r="B1517" s="175"/>
      <c r="C1517" s="547"/>
      <c r="D1517" s="547"/>
      <c r="E1517" s="4"/>
      <c r="F1517" s="4"/>
      <c r="G1517" s="862"/>
      <c r="H1517" s="1347" t="s">
        <v>1508</v>
      </c>
      <c r="I1517" s="197"/>
      <c r="J1517" s="174"/>
      <c r="K1517" s="174"/>
      <c r="L1517" s="861"/>
      <c r="M1517" s="861"/>
      <c r="N1517" s="836"/>
      <c r="O1517" s="1190"/>
      <c r="P1517" s="1245"/>
      <c r="Q1517" s="1153"/>
      <c r="R1517" s="884"/>
      <c r="S1517" s="876"/>
      <c r="T1517" s="876"/>
      <c r="U1517" s="876"/>
      <c r="V1517" s="876"/>
      <c r="W1517" s="876"/>
      <c r="X1517" s="1026"/>
      <c r="Y1517" s="1754"/>
      <c r="Z1517" s="1755"/>
      <c r="AA1517" s="1775"/>
      <c r="AB1517" s="1814"/>
      <c r="AC1517" s="876"/>
      <c r="AD1517" s="1295"/>
      <c r="AE1517" s="1525"/>
      <c r="AF1517" s="1525"/>
      <c r="AG1517" s="1525"/>
      <c r="AH1517" s="1525"/>
      <c r="AI1517" s="1525"/>
      <c r="AJ1517" s="1525"/>
      <c r="AK1517" s="1525"/>
      <c r="AL1517" s="1525"/>
      <c r="AM1517" s="1525"/>
      <c r="AN1517" s="1525"/>
      <c r="AO1517" s="1525"/>
      <c r="AP1517" s="1525"/>
      <c r="AQ1517" s="1525"/>
      <c r="AR1517" s="1525"/>
      <c r="AS1517" s="1525"/>
      <c r="AU1517" s="1525"/>
      <c r="AV1517" s="1295"/>
      <c r="AW1517" s="1525"/>
      <c r="AX1517" s="1525"/>
      <c r="AY1517" s="1525"/>
      <c r="AZ1517" s="1525"/>
      <c r="BA1517" s="1525"/>
      <c r="BB1517" s="1525"/>
      <c r="BC1517" s="1525"/>
      <c r="BD1517" s="1525"/>
      <c r="BE1517" s="1525"/>
      <c r="BF1517" s="1525"/>
      <c r="BG1517" s="1525"/>
      <c r="BH1517" s="1525"/>
      <c r="BI1517" s="1525"/>
      <c r="BJ1517" s="1525"/>
      <c r="BK1517" s="1525"/>
      <c r="BL1517" s="1525"/>
      <c r="BM1517" s="1525"/>
      <c r="BN1517" s="1525"/>
      <c r="BO1517" s="1525"/>
      <c r="BP1517" s="1525"/>
      <c r="BQ1517" s="1525"/>
      <c r="BR1517" s="1525"/>
      <c r="BS1517" s="1525"/>
      <c r="BT1517" s="1670"/>
      <c r="BV1517"/>
      <c r="BW1517" s="862"/>
    </row>
    <row r="1518" spans="2:75" s="164" customFormat="1" ht="12.75" customHeight="1" x14ac:dyDescent="0.2">
      <c r="B1518" s="175"/>
      <c r="C1518" s="547"/>
      <c r="D1518" s="547"/>
      <c r="E1518" s="4"/>
      <c r="F1518" s="1103" t="s">
        <v>1686</v>
      </c>
      <c r="G1518" s="862"/>
      <c r="H1518" s="1347" t="s">
        <v>1508</v>
      </c>
      <c r="I1518" s="197"/>
      <c r="J1518" s="174"/>
      <c r="K1518" s="174"/>
      <c r="L1518" s="861"/>
      <c r="M1518" s="861"/>
      <c r="N1518" s="836"/>
      <c r="O1518" s="1190"/>
      <c r="P1518" s="1245"/>
      <c r="Q1518" s="1153"/>
      <c r="R1518" s="884"/>
      <c r="S1518" s="876"/>
      <c r="T1518" s="876"/>
      <c r="U1518" s="876"/>
      <c r="V1518" s="876"/>
      <c r="W1518" s="876"/>
      <c r="X1518" s="1026"/>
      <c r="Y1518" s="1754"/>
      <c r="Z1518" s="1755"/>
      <c r="AA1518" s="1775"/>
      <c r="AB1518" s="1814"/>
      <c r="AC1518" s="876"/>
      <c r="AD1518" s="1295"/>
      <c r="AE1518" s="1525"/>
      <c r="AF1518" s="1525"/>
      <c r="AG1518" s="1525"/>
      <c r="AH1518" s="1525"/>
      <c r="AI1518" s="1525"/>
      <c r="AJ1518" s="1525"/>
      <c r="AK1518" s="1525"/>
      <c r="AL1518" s="1525"/>
      <c r="AM1518" s="1525"/>
      <c r="AN1518" s="1525"/>
      <c r="AO1518" s="1525"/>
      <c r="AP1518" s="1525"/>
      <c r="AQ1518" s="1525"/>
      <c r="AR1518" s="1525"/>
      <c r="AS1518" s="1525"/>
      <c r="AU1518" s="1525"/>
      <c r="AV1518" s="1295"/>
      <c r="AW1518" s="1525"/>
      <c r="AX1518" s="1525"/>
      <c r="AY1518" s="1525"/>
      <c r="AZ1518" s="1525"/>
      <c r="BA1518" s="1525"/>
      <c r="BB1518" s="1525"/>
      <c r="BC1518" s="1525"/>
      <c r="BD1518" s="1525"/>
      <c r="BE1518" s="1525"/>
      <c r="BF1518" s="1525"/>
      <c r="BG1518" s="1525"/>
      <c r="BH1518" s="1525"/>
      <c r="BI1518" s="1525"/>
      <c r="BJ1518" s="1525"/>
      <c r="BK1518" s="1525"/>
      <c r="BL1518" s="1525"/>
      <c r="BM1518" s="1525"/>
      <c r="BN1518" s="1525"/>
      <c r="BO1518" s="1525"/>
      <c r="BP1518" s="1525"/>
      <c r="BQ1518" s="1525"/>
      <c r="BR1518" s="1525"/>
      <c r="BS1518" s="1525"/>
      <c r="BT1518" s="1670"/>
      <c r="BV1518"/>
      <c r="BW1518" s="862"/>
    </row>
    <row r="1519" spans="2:75" s="164" customFormat="1" ht="12.75" customHeight="1" x14ac:dyDescent="0.2">
      <c r="B1519" s="175">
        <f t="shared" ref="B1519:B1545" si="948">B1518+1</f>
        <v>1</v>
      </c>
      <c r="C1519" s="547">
        <v>7</v>
      </c>
      <c r="D1519" s="547"/>
      <c r="E1519" s="4" t="s">
        <v>1665</v>
      </c>
      <c r="F1519" s="1124" t="s">
        <v>1334</v>
      </c>
      <c r="G1519" s="862" t="s">
        <v>1687</v>
      </c>
      <c r="H1519" s="861">
        <v>141959</v>
      </c>
      <c r="I1519" s="1125" t="s">
        <v>351</v>
      </c>
      <c r="J1519" s="174"/>
      <c r="K1519" s="174"/>
      <c r="L1519" s="861">
        <v>0.25</v>
      </c>
      <c r="M1519" s="861">
        <v>0.25</v>
      </c>
      <c r="N1519" s="836" t="s">
        <v>892</v>
      </c>
      <c r="O1519" s="1196">
        <v>21451</v>
      </c>
      <c r="P1519" s="1218">
        <f t="shared" ref="P1519:P1545" ca="1" si="949">YEARFRAC(TODAY(),O1519)</f>
        <v>59.024999999999999</v>
      </c>
      <c r="Q1519" s="1153">
        <v>52300</v>
      </c>
      <c r="R1519" s="884"/>
      <c r="S1519" s="876"/>
      <c r="T1519" s="876">
        <v>4000</v>
      </c>
      <c r="U1519" s="876"/>
      <c r="V1519" s="876"/>
      <c r="W1519" s="876"/>
      <c r="X1519" s="1026">
        <f t="shared" ref="X1519:X1530" si="950">(Q1519+R1519+S1519+T1519+U1519+V1519+W1519)*M1519</f>
        <v>14075</v>
      </c>
      <c r="Y1519" s="1512">
        <f t="shared" ref="Y1519:Y1530" si="951">(T1519+U1519)*M1519/(X1519-M1519*(T1519+U1519))</f>
        <v>7.6481835564053538E-2</v>
      </c>
      <c r="Z1519" s="1741">
        <f t="shared" ref="Z1519:Z1545" si="952">M1519*(1+Y1519)</f>
        <v>0.26912045889101338</v>
      </c>
      <c r="AA1519" s="1749">
        <f t="shared" ref="AA1519:AA1537" si="953">SUM(AD1519:AS1519)</f>
        <v>0.25</v>
      </c>
      <c r="AB1519" s="1810">
        <f t="shared" ref="AB1519:AB1533" si="954">100*AA1519/Z1519</f>
        <v>92.895204262877442</v>
      </c>
      <c r="AC1519" s="876"/>
      <c r="AD1519" s="1613">
        <f>0.25 + SUMIF($AV$6:$BS$6,AD$5,$AV1519:$BS1519)</f>
        <v>0.25</v>
      </c>
      <c r="AE1519" s="1525">
        <f t="shared" ref="AD1519:AS1534" si="955">SUMIF($AV$6:$BS$6,AE$5,$AV1519:$BS1519)</f>
        <v>0</v>
      </c>
      <c r="AF1519" s="1525">
        <f t="shared" si="955"/>
        <v>0</v>
      </c>
      <c r="AG1519" s="1525">
        <f t="shared" si="955"/>
        <v>0</v>
      </c>
      <c r="AH1519" s="1525">
        <f t="shared" si="955"/>
        <v>0</v>
      </c>
      <c r="AI1519" s="1525">
        <f t="shared" si="955"/>
        <v>0</v>
      </c>
      <c r="AJ1519" s="1525">
        <f t="shared" si="955"/>
        <v>0</v>
      </c>
      <c r="AK1519" s="1525">
        <f t="shared" si="955"/>
        <v>0</v>
      </c>
      <c r="AL1519" s="1525">
        <f t="shared" si="955"/>
        <v>0</v>
      </c>
      <c r="AM1519" s="1525">
        <f t="shared" si="955"/>
        <v>0</v>
      </c>
      <c r="AN1519" s="1525">
        <f t="shared" si="955"/>
        <v>0</v>
      </c>
      <c r="AO1519" s="1525">
        <f t="shared" si="955"/>
        <v>0</v>
      </c>
      <c r="AP1519" s="1525">
        <f t="shared" si="955"/>
        <v>0</v>
      </c>
      <c r="AQ1519" s="1525">
        <f t="shared" si="955"/>
        <v>0</v>
      </c>
      <c r="AR1519" s="1525">
        <f t="shared" si="955"/>
        <v>0</v>
      </c>
      <c r="AS1519" s="1525">
        <f t="shared" si="955"/>
        <v>0</v>
      </c>
      <c r="AU1519" s="1525"/>
      <c r="AV1519" s="1295"/>
      <c r="AW1519" s="1525"/>
      <c r="AX1519" s="1525"/>
      <c r="AY1519" s="1525"/>
      <c r="AZ1519" s="1525"/>
      <c r="BA1519" s="1525"/>
      <c r="BB1519" s="1525"/>
      <c r="BC1519" s="1525"/>
      <c r="BD1519" s="1525"/>
      <c r="BE1519" s="1525"/>
      <c r="BF1519" s="1525"/>
      <c r="BG1519" s="1525"/>
      <c r="BH1519" s="1525"/>
      <c r="BI1519" s="1525"/>
      <c r="BJ1519" s="1525"/>
      <c r="BK1519" s="1525"/>
      <c r="BL1519" s="1525"/>
      <c r="BM1519" s="1525"/>
      <c r="BN1519" s="1525"/>
      <c r="BO1519" s="1525"/>
      <c r="BP1519" s="1525"/>
      <c r="BQ1519" s="1525"/>
      <c r="BR1519" s="1525"/>
      <c r="BS1519" s="1525"/>
      <c r="BT1519" s="1670">
        <f t="shared" ref="BT1519:BT1545" si="956">SUM(AV1519:BS1519)</f>
        <v>0</v>
      </c>
      <c r="BV1519"/>
      <c r="BW1519" s="862" t="s">
        <v>1687</v>
      </c>
    </row>
    <row r="1520" spans="2:75" s="164" customFormat="1" ht="12.75" customHeight="1" x14ac:dyDescent="0.2">
      <c r="B1520" s="175">
        <f t="shared" si="948"/>
        <v>2</v>
      </c>
      <c r="C1520" s="547">
        <v>7</v>
      </c>
      <c r="D1520" s="547"/>
      <c r="E1520" s="4" t="s">
        <v>1665</v>
      </c>
      <c r="F1520" s="1124" t="s">
        <v>1334</v>
      </c>
      <c r="G1520" s="862" t="s">
        <v>1713</v>
      </c>
      <c r="H1520" s="861">
        <v>6409</v>
      </c>
      <c r="I1520" s="1125" t="s">
        <v>351</v>
      </c>
      <c r="J1520" s="174"/>
      <c r="K1520" s="174"/>
      <c r="L1520" s="861">
        <v>1</v>
      </c>
      <c r="M1520" s="861">
        <v>1</v>
      </c>
      <c r="N1520" s="836" t="s">
        <v>1326</v>
      </c>
      <c r="O1520" s="1196">
        <v>17083</v>
      </c>
      <c r="P1520" s="1218">
        <f t="shared" ca="1" si="949"/>
        <v>70.983333333333334</v>
      </c>
      <c r="Q1520" s="1153">
        <v>43800</v>
      </c>
      <c r="R1520" s="874">
        <f>Q1520*0.1</f>
        <v>4380</v>
      </c>
      <c r="S1520" s="876">
        <v>3000</v>
      </c>
      <c r="T1520" s="876"/>
      <c r="U1520" s="876"/>
      <c r="V1520" s="876"/>
      <c r="W1520" s="876"/>
      <c r="X1520" s="1026">
        <f t="shared" si="950"/>
        <v>51180</v>
      </c>
      <c r="Y1520" s="1512">
        <f t="shared" si="951"/>
        <v>0</v>
      </c>
      <c r="Z1520" s="1741">
        <f t="shared" si="952"/>
        <v>1</v>
      </c>
      <c r="AA1520" s="1749">
        <f t="shared" si="953"/>
        <v>1</v>
      </c>
      <c r="AB1520" s="1810">
        <f t="shared" si="954"/>
        <v>100</v>
      </c>
      <c r="AC1520" s="876"/>
      <c r="AD1520" s="1525">
        <f t="shared" si="955"/>
        <v>0</v>
      </c>
      <c r="AE1520" s="1525">
        <f t="shared" si="955"/>
        <v>0</v>
      </c>
      <c r="AF1520" s="1525">
        <f t="shared" si="955"/>
        <v>0</v>
      </c>
      <c r="AG1520" s="1525">
        <f t="shared" si="955"/>
        <v>0</v>
      </c>
      <c r="AH1520" s="1525">
        <f t="shared" si="955"/>
        <v>0</v>
      </c>
      <c r="AI1520" s="1525">
        <f t="shared" si="955"/>
        <v>0</v>
      </c>
      <c r="AJ1520" s="1525">
        <f t="shared" si="955"/>
        <v>0</v>
      </c>
      <c r="AK1520" s="1525">
        <f t="shared" si="955"/>
        <v>0</v>
      </c>
      <c r="AL1520" s="1525">
        <f t="shared" si="955"/>
        <v>0</v>
      </c>
      <c r="AM1520" s="1525">
        <f t="shared" si="955"/>
        <v>0</v>
      </c>
      <c r="AN1520" s="1525">
        <f t="shared" si="955"/>
        <v>0</v>
      </c>
      <c r="AO1520" s="1525">
        <f t="shared" si="955"/>
        <v>1</v>
      </c>
      <c r="AP1520" s="1525">
        <f t="shared" si="955"/>
        <v>0</v>
      </c>
      <c r="AQ1520" s="1525">
        <f t="shared" si="955"/>
        <v>0</v>
      </c>
      <c r="AR1520" s="1525">
        <f t="shared" si="955"/>
        <v>0</v>
      </c>
      <c r="AS1520" s="1525">
        <f t="shared" si="955"/>
        <v>0</v>
      </c>
      <c r="AU1520" s="1525"/>
      <c r="AV1520" s="1295"/>
      <c r="AW1520" s="1525"/>
      <c r="AX1520" s="1525"/>
      <c r="AY1520" s="1525"/>
      <c r="AZ1520" s="1525"/>
      <c r="BA1520" s="1525"/>
      <c r="BB1520" s="1525"/>
      <c r="BC1520" s="1525"/>
      <c r="BD1520" s="1525">
        <v>1</v>
      </c>
      <c r="BE1520" s="1525"/>
      <c r="BF1520" s="1525"/>
      <c r="BG1520" s="1525"/>
      <c r="BH1520" s="1525"/>
      <c r="BI1520" s="1525"/>
      <c r="BJ1520" s="1525"/>
      <c r="BK1520" s="1525"/>
      <c r="BL1520" s="1525"/>
      <c r="BM1520" s="1525"/>
      <c r="BN1520" s="1525"/>
      <c r="BO1520" s="1525"/>
      <c r="BP1520" s="1525"/>
      <c r="BQ1520" s="1525"/>
      <c r="BR1520" s="1525"/>
      <c r="BS1520" s="1525"/>
      <c r="BT1520" s="1670">
        <f t="shared" si="956"/>
        <v>1</v>
      </c>
      <c r="BV1520"/>
      <c r="BW1520" s="862" t="s">
        <v>1713</v>
      </c>
    </row>
    <row r="1521" spans="2:75" s="164" customFormat="1" ht="12.75" customHeight="1" x14ac:dyDescent="0.2">
      <c r="B1521" s="175">
        <f t="shared" si="948"/>
        <v>3</v>
      </c>
      <c r="C1521" s="219">
        <v>8</v>
      </c>
      <c r="D1521" s="547"/>
      <c r="E1521" s="4" t="s">
        <v>1665</v>
      </c>
      <c r="F1521" s="232" t="s">
        <v>353</v>
      </c>
      <c r="G1521" s="862" t="s">
        <v>1714</v>
      </c>
      <c r="H1521" s="861">
        <v>146337</v>
      </c>
      <c r="I1521" s="1125" t="s">
        <v>351</v>
      </c>
      <c r="J1521" s="174"/>
      <c r="K1521" s="174"/>
      <c r="L1521" s="861">
        <v>0.5</v>
      </c>
      <c r="M1521" s="861">
        <v>0.5</v>
      </c>
      <c r="N1521" s="836" t="s">
        <v>892</v>
      </c>
      <c r="O1521" s="1196">
        <v>17345</v>
      </c>
      <c r="P1521" s="1218">
        <f t="shared" ca="1" si="949"/>
        <v>70.263888888888886</v>
      </c>
      <c r="Q1521" s="1153">
        <v>49650</v>
      </c>
      <c r="R1521" s="874"/>
      <c r="S1521" s="876">
        <v>7000</v>
      </c>
      <c r="T1521" s="876"/>
      <c r="U1521" s="876"/>
      <c r="V1521" s="876"/>
      <c r="W1521" s="876"/>
      <c r="X1521" s="1026">
        <f t="shared" si="950"/>
        <v>28325</v>
      </c>
      <c r="Y1521" s="1512">
        <f t="shared" si="951"/>
        <v>0</v>
      </c>
      <c r="Z1521" s="1741">
        <f t="shared" si="952"/>
        <v>0.5</v>
      </c>
      <c r="AA1521" s="1749">
        <f t="shared" si="953"/>
        <v>0.5</v>
      </c>
      <c r="AB1521" s="1810">
        <f t="shared" si="954"/>
        <v>100</v>
      </c>
      <c r="AC1521" s="876"/>
      <c r="AD1521" s="1525">
        <f t="shared" si="955"/>
        <v>0</v>
      </c>
      <c r="AE1521" s="1525">
        <f t="shared" si="955"/>
        <v>0</v>
      </c>
      <c r="AF1521" s="1525">
        <f t="shared" si="955"/>
        <v>0</v>
      </c>
      <c r="AG1521" s="1525">
        <f t="shared" si="955"/>
        <v>0</v>
      </c>
      <c r="AH1521" s="1525">
        <f t="shared" si="955"/>
        <v>0</v>
      </c>
      <c r="AI1521" s="1525">
        <f t="shared" si="955"/>
        <v>0</v>
      </c>
      <c r="AJ1521" s="1525">
        <f t="shared" si="955"/>
        <v>0.5</v>
      </c>
      <c r="AK1521" s="1525">
        <f t="shared" si="955"/>
        <v>0</v>
      </c>
      <c r="AL1521" s="1525">
        <f t="shared" si="955"/>
        <v>0</v>
      </c>
      <c r="AM1521" s="1525">
        <f t="shared" si="955"/>
        <v>0</v>
      </c>
      <c r="AN1521" s="1525">
        <f t="shared" si="955"/>
        <v>0</v>
      </c>
      <c r="AO1521" s="1525">
        <f t="shared" si="955"/>
        <v>0</v>
      </c>
      <c r="AP1521" s="1525">
        <f t="shared" si="955"/>
        <v>0</v>
      </c>
      <c r="AQ1521" s="1525">
        <f t="shared" si="955"/>
        <v>0</v>
      </c>
      <c r="AR1521" s="1525">
        <f t="shared" si="955"/>
        <v>0</v>
      </c>
      <c r="AS1521" s="1525">
        <f t="shared" si="955"/>
        <v>0</v>
      </c>
      <c r="AU1521" s="1525"/>
      <c r="AV1521" s="1295"/>
      <c r="AW1521" s="1525"/>
      <c r="AX1521" s="1525"/>
      <c r="AY1521" s="1525"/>
      <c r="AZ1521" s="1525"/>
      <c r="BA1521" s="1525"/>
      <c r="BB1521" s="1525"/>
      <c r="BC1521" s="1525"/>
      <c r="BD1521" s="1525"/>
      <c r="BE1521" s="1525"/>
      <c r="BF1521" s="1525"/>
      <c r="BG1521" s="1525"/>
      <c r="BH1521" s="1525">
        <v>0.5</v>
      </c>
      <c r="BI1521" s="1525"/>
      <c r="BJ1521" s="1525"/>
      <c r="BK1521" s="1525"/>
      <c r="BL1521" s="1525"/>
      <c r="BM1521" s="1525"/>
      <c r="BN1521" s="1525"/>
      <c r="BO1521" s="1525"/>
      <c r="BP1521" s="1525"/>
      <c r="BQ1521" s="1525"/>
      <c r="BR1521" s="1525"/>
      <c r="BS1521" s="1525"/>
      <c r="BT1521" s="1670">
        <f t="shared" si="956"/>
        <v>0.5</v>
      </c>
      <c r="BV1521"/>
      <c r="BW1521" s="862" t="s">
        <v>1714</v>
      </c>
    </row>
    <row r="1522" spans="2:75" s="164" customFormat="1" ht="12.75" customHeight="1" x14ac:dyDescent="0.2">
      <c r="B1522" s="175">
        <f t="shared" si="948"/>
        <v>4</v>
      </c>
      <c r="C1522" s="219">
        <v>8</v>
      </c>
      <c r="D1522" s="547"/>
      <c r="E1522" s="4" t="s">
        <v>1665</v>
      </c>
      <c r="F1522" s="232" t="s">
        <v>353</v>
      </c>
      <c r="G1522" s="856" t="s">
        <v>1016</v>
      </c>
      <c r="H1522" s="861">
        <v>97248</v>
      </c>
      <c r="I1522" s="1125" t="s">
        <v>351</v>
      </c>
      <c r="J1522" s="174"/>
      <c r="K1522" s="174"/>
      <c r="L1522" s="861">
        <v>0.2</v>
      </c>
      <c r="M1522" s="861">
        <v>0.2</v>
      </c>
      <c r="N1522" s="855" t="s">
        <v>892</v>
      </c>
      <c r="O1522" s="1196">
        <v>24676</v>
      </c>
      <c r="P1522" s="1218">
        <f t="shared" ca="1" si="949"/>
        <v>50.19166666666667</v>
      </c>
      <c r="Q1522" s="1153">
        <v>25150</v>
      </c>
      <c r="R1522" s="874"/>
      <c r="S1522" s="876"/>
      <c r="T1522" s="876">
        <v>13000</v>
      </c>
      <c r="U1522" s="876"/>
      <c r="V1522" s="876"/>
      <c r="W1522" s="876"/>
      <c r="X1522" s="1026">
        <f t="shared" si="950"/>
        <v>7630</v>
      </c>
      <c r="Y1522" s="1512">
        <f t="shared" si="951"/>
        <v>0.51689860834990065</v>
      </c>
      <c r="Z1522" s="1741">
        <f t="shared" si="952"/>
        <v>0.30337972166998012</v>
      </c>
      <c r="AA1522" s="1749">
        <f t="shared" si="953"/>
        <v>0</v>
      </c>
      <c r="AB1522" s="1810">
        <f t="shared" si="954"/>
        <v>0</v>
      </c>
      <c r="AC1522" s="876"/>
      <c r="AD1522" s="1525">
        <f t="shared" si="955"/>
        <v>0</v>
      </c>
      <c r="AE1522" s="1525">
        <f t="shared" si="955"/>
        <v>0</v>
      </c>
      <c r="AF1522" s="1525">
        <f t="shared" si="955"/>
        <v>0</v>
      </c>
      <c r="AG1522" s="1525">
        <f t="shared" si="955"/>
        <v>0</v>
      </c>
      <c r="AH1522" s="1525">
        <f t="shared" si="955"/>
        <v>0</v>
      </c>
      <c r="AI1522" s="1525">
        <f t="shared" si="955"/>
        <v>0</v>
      </c>
      <c r="AJ1522" s="1525">
        <f t="shared" si="955"/>
        <v>0</v>
      </c>
      <c r="AK1522" s="1525">
        <f t="shared" si="955"/>
        <v>0</v>
      </c>
      <c r="AL1522" s="1525">
        <f t="shared" si="955"/>
        <v>0</v>
      </c>
      <c r="AM1522" s="1525">
        <f t="shared" si="955"/>
        <v>0</v>
      </c>
      <c r="AN1522" s="1525">
        <f t="shared" si="955"/>
        <v>0</v>
      </c>
      <c r="AO1522" s="1525">
        <f t="shared" si="955"/>
        <v>0</v>
      </c>
      <c r="AP1522" s="1525">
        <f t="shared" si="955"/>
        <v>0</v>
      </c>
      <c r="AQ1522" s="1525">
        <f t="shared" si="955"/>
        <v>0</v>
      </c>
      <c r="AR1522" s="1525">
        <f t="shared" si="955"/>
        <v>0</v>
      </c>
      <c r="AS1522" s="1525">
        <f t="shared" si="955"/>
        <v>0</v>
      </c>
      <c r="AU1522" s="1525"/>
      <c r="AV1522" s="1295"/>
      <c r="AW1522" s="1525"/>
      <c r="AX1522" s="1525"/>
      <c r="AY1522" s="1525"/>
      <c r="AZ1522" s="1525"/>
      <c r="BA1522" s="1525"/>
      <c r="BB1522" s="1525"/>
      <c r="BC1522" s="1525"/>
      <c r="BD1522" s="1525"/>
      <c r="BE1522" s="1525"/>
      <c r="BF1522" s="1525"/>
      <c r="BG1522" s="1525"/>
      <c r="BH1522" s="1525"/>
      <c r="BI1522" s="1525"/>
      <c r="BJ1522" s="1525"/>
      <c r="BK1522" s="1525"/>
      <c r="BL1522" s="1525"/>
      <c r="BM1522" s="1525"/>
      <c r="BN1522" s="1525"/>
      <c r="BO1522" s="1525"/>
      <c r="BP1522" s="1525"/>
      <c r="BQ1522" s="1525"/>
      <c r="BR1522" s="1525"/>
      <c r="BS1522" s="1525"/>
      <c r="BT1522" s="1670">
        <f t="shared" si="956"/>
        <v>0</v>
      </c>
      <c r="BV1522"/>
      <c r="BW1522" s="856" t="s">
        <v>1016</v>
      </c>
    </row>
    <row r="1523" spans="2:75" s="164" customFormat="1" ht="12.75" customHeight="1" x14ac:dyDescent="0.2">
      <c r="B1523" s="175">
        <f t="shared" si="948"/>
        <v>5</v>
      </c>
      <c r="C1523" s="219">
        <v>8</v>
      </c>
      <c r="D1523" s="547"/>
      <c r="E1523" s="4" t="s">
        <v>1665</v>
      </c>
      <c r="F1523" s="232" t="s">
        <v>353</v>
      </c>
      <c r="G1523" s="862" t="s">
        <v>185</v>
      </c>
      <c r="H1523" s="861">
        <v>131161</v>
      </c>
      <c r="I1523" s="1125" t="s">
        <v>351</v>
      </c>
      <c r="J1523" s="174"/>
      <c r="K1523" s="174"/>
      <c r="L1523" s="861">
        <v>0.5</v>
      </c>
      <c r="M1523" s="861">
        <v>0.5</v>
      </c>
      <c r="N1523" s="855" t="s">
        <v>892</v>
      </c>
      <c r="O1523" s="1196">
        <v>27327</v>
      </c>
      <c r="P1523" s="1218">
        <f t="shared" ca="1" si="949"/>
        <v>42.93611111111111</v>
      </c>
      <c r="Q1523" s="1153">
        <v>21050</v>
      </c>
      <c r="R1523" s="874"/>
      <c r="S1523" s="876"/>
      <c r="T1523" s="876"/>
      <c r="U1523" s="876"/>
      <c r="V1523" s="876"/>
      <c r="W1523" s="876"/>
      <c r="X1523" s="1026">
        <f t="shared" si="950"/>
        <v>10525</v>
      </c>
      <c r="Y1523" s="1512">
        <f t="shared" si="951"/>
        <v>0</v>
      </c>
      <c r="Z1523" s="1741">
        <f t="shared" si="952"/>
        <v>0.5</v>
      </c>
      <c r="AA1523" s="1749">
        <f t="shared" si="953"/>
        <v>0.5</v>
      </c>
      <c r="AB1523" s="1810">
        <f t="shared" si="954"/>
        <v>100</v>
      </c>
      <c r="AC1523" s="876"/>
      <c r="AD1523" s="1525">
        <f t="shared" si="955"/>
        <v>0</v>
      </c>
      <c r="AE1523" s="1525">
        <f t="shared" si="955"/>
        <v>0</v>
      </c>
      <c r="AF1523" s="1525">
        <f t="shared" si="955"/>
        <v>0</v>
      </c>
      <c r="AG1523" s="1525">
        <f t="shared" si="955"/>
        <v>0</v>
      </c>
      <c r="AH1523" s="1525">
        <f t="shared" si="955"/>
        <v>0</v>
      </c>
      <c r="AI1523" s="1525">
        <f t="shared" si="955"/>
        <v>0</v>
      </c>
      <c r="AJ1523" s="1525">
        <f t="shared" si="955"/>
        <v>0</v>
      </c>
      <c r="AK1523" s="1525">
        <f t="shared" si="955"/>
        <v>0</v>
      </c>
      <c r="AL1523" s="1525">
        <f t="shared" si="955"/>
        <v>0</v>
      </c>
      <c r="AM1523" s="1525">
        <f t="shared" si="955"/>
        <v>0</v>
      </c>
      <c r="AN1523" s="1525">
        <f t="shared" si="955"/>
        <v>0</v>
      </c>
      <c r="AO1523" s="1525">
        <f t="shared" si="955"/>
        <v>0.5</v>
      </c>
      <c r="AP1523" s="1525">
        <f t="shared" si="955"/>
        <v>0</v>
      </c>
      <c r="AQ1523" s="1525">
        <f t="shared" si="955"/>
        <v>0</v>
      </c>
      <c r="AR1523" s="1525">
        <f t="shared" si="955"/>
        <v>0</v>
      </c>
      <c r="AS1523" s="1525">
        <f t="shared" si="955"/>
        <v>0</v>
      </c>
      <c r="AU1523" s="1525"/>
      <c r="AV1523" s="1295"/>
      <c r="AW1523" s="1525"/>
      <c r="AX1523" s="1525"/>
      <c r="AY1523" s="1525"/>
      <c r="AZ1523" s="1525"/>
      <c r="BA1523" s="1525"/>
      <c r="BB1523" s="1525"/>
      <c r="BC1523" s="1525"/>
      <c r="BD1523" s="1525">
        <v>0.5</v>
      </c>
      <c r="BE1523" s="1525"/>
      <c r="BF1523" s="1525"/>
      <c r="BG1523" s="1525"/>
      <c r="BH1523" s="1525"/>
      <c r="BI1523" s="1525"/>
      <c r="BJ1523" s="1525"/>
      <c r="BK1523" s="1525"/>
      <c r="BL1523" s="1525"/>
      <c r="BM1523" s="1525"/>
      <c r="BN1523" s="1525"/>
      <c r="BO1523" s="1525"/>
      <c r="BP1523" s="1525"/>
      <c r="BQ1523" s="1525"/>
      <c r="BR1523" s="1525"/>
      <c r="BS1523" s="1525"/>
      <c r="BT1523" s="1670">
        <f t="shared" si="956"/>
        <v>0.5</v>
      </c>
      <c r="BV1523"/>
      <c r="BW1523" s="862" t="s">
        <v>185</v>
      </c>
    </row>
    <row r="1524" spans="2:75" s="164" customFormat="1" ht="12.75" customHeight="1" x14ac:dyDescent="0.2">
      <c r="B1524" s="175">
        <f t="shared" si="948"/>
        <v>6</v>
      </c>
      <c r="C1524" s="219">
        <v>8</v>
      </c>
      <c r="D1524" s="547"/>
      <c r="E1524" s="4" t="s">
        <v>1665</v>
      </c>
      <c r="F1524" s="232" t="s">
        <v>353</v>
      </c>
      <c r="G1524" s="862" t="s">
        <v>697</v>
      </c>
      <c r="H1524" s="861">
        <v>120729</v>
      </c>
      <c r="I1524" s="1125" t="s">
        <v>351</v>
      </c>
      <c r="J1524" s="174"/>
      <c r="K1524" s="174"/>
      <c r="L1524" s="861">
        <v>1</v>
      </c>
      <c r="M1524" s="861">
        <v>1</v>
      </c>
      <c r="N1524" s="855" t="s">
        <v>892</v>
      </c>
      <c r="O1524" s="1196">
        <v>24968</v>
      </c>
      <c r="P1524" s="1218">
        <f t="shared" ca="1" si="949"/>
        <v>49.394444444444446</v>
      </c>
      <c r="Q1524" s="1153">
        <v>21050</v>
      </c>
      <c r="R1524" s="874"/>
      <c r="S1524" s="876">
        <v>3000</v>
      </c>
      <c r="T1524" s="876"/>
      <c r="U1524" s="876"/>
      <c r="V1524" s="876"/>
      <c r="W1524" s="876"/>
      <c r="X1524" s="1026">
        <f t="shared" si="950"/>
        <v>24050</v>
      </c>
      <c r="Y1524" s="1512">
        <f t="shared" si="951"/>
        <v>0</v>
      </c>
      <c r="Z1524" s="1741">
        <f t="shared" si="952"/>
        <v>1</v>
      </c>
      <c r="AA1524" s="1749">
        <f t="shared" si="953"/>
        <v>1</v>
      </c>
      <c r="AB1524" s="1810">
        <f t="shared" si="954"/>
        <v>100</v>
      </c>
      <c r="AC1524" s="876"/>
      <c r="AD1524" s="1525">
        <f t="shared" si="955"/>
        <v>0</v>
      </c>
      <c r="AE1524" s="1525">
        <f t="shared" si="955"/>
        <v>0</v>
      </c>
      <c r="AF1524" s="1525">
        <f t="shared" si="955"/>
        <v>0</v>
      </c>
      <c r="AG1524" s="1525">
        <f t="shared" si="955"/>
        <v>0</v>
      </c>
      <c r="AH1524" s="1525">
        <f t="shared" si="955"/>
        <v>0</v>
      </c>
      <c r="AI1524" s="1525">
        <f t="shared" si="955"/>
        <v>0</v>
      </c>
      <c r="AJ1524" s="1525">
        <f t="shared" si="955"/>
        <v>0</v>
      </c>
      <c r="AK1524" s="1525">
        <f t="shared" si="955"/>
        <v>0</v>
      </c>
      <c r="AL1524" s="1525">
        <f t="shared" si="955"/>
        <v>0</v>
      </c>
      <c r="AM1524" s="1525">
        <f t="shared" si="955"/>
        <v>0</v>
      </c>
      <c r="AN1524" s="1525">
        <f t="shared" si="955"/>
        <v>0</v>
      </c>
      <c r="AO1524" s="1525">
        <f t="shared" si="955"/>
        <v>1</v>
      </c>
      <c r="AP1524" s="1525">
        <f t="shared" si="955"/>
        <v>0</v>
      </c>
      <c r="AQ1524" s="1525">
        <f t="shared" si="955"/>
        <v>0</v>
      </c>
      <c r="AR1524" s="1525">
        <f t="shared" si="955"/>
        <v>0</v>
      </c>
      <c r="AS1524" s="1525">
        <f t="shared" si="955"/>
        <v>0</v>
      </c>
      <c r="AU1524" s="1525"/>
      <c r="AV1524" s="1295"/>
      <c r="AW1524" s="1525"/>
      <c r="AX1524" s="1525"/>
      <c r="AY1524" s="1525"/>
      <c r="AZ1524" s="1525"/>
      <c r="BA1524" s="1525"/>
      <c r="BB1524" s="1525"/>
      <c r="BC1524" s="1525"/>
      <c r="BD1524" s="1525">
        <v>1</v>
      </c>
      <c r="BE1524" s="1525"/>
      <c r="BF1524" s="1525"/>
      <c r="BG1524" s="1525"/>
      <c r="BH1524" s="1525"/>
      <c r="BI1524" s="1525"/>
      <c r="BJ1524" s="1525"/>
      <c r="BK1524" s="1525"/>
      <c r="BL1524" s="1525"/>
      <c r="BM1524" s="1525"/>
      <c r="BN1524" s="1525"/>
      <c r="BO1524" s="1525"/>
      <c r="BP1524" s="1525"/>
      <c r="BQ1524" s="1525"/>
      <c r="BR1524" s="1525"/>
      <c r="BS1524" s="1525"/>
      <c r="BT1524" s="1670">
        <f t="shared" si="956"/>
        <v>1</v>
      </c>
      <c r="BV1524"/>
      <c r="BW1524" s="862" t="s">
        <v>697</v>
      </c>
    </row>
    <row r="1525" spans="2:75" s="164" customFormat="1" ht="12.75" customHeight="1" x14ac:dyDescent="0.2">
      <c r="B1525" s="175">
        <f t="shared" si="948"/>
        <v>7</v>
      </c>
      <c r="C1525" s="219">
        <v>9</v>
      </c>
      <c r="D1525" s="547"/>
      <c r="E1525" s="4" t="s">
        <v>1665</v>
      </c>
      <c r="F1525" s="232" t="s">
        <v>1396</v>
      </c>
      <c r="G1525" s="862" t="s">
        <v>186</v>
      </c>
      <c r="H1525" s="861">
        <v>103455</v>
      </c>
      <c r="I1525" s="1125" t="s">
        <v>351</v>
      </c>
      <c r="J1525" s="174"/>
      <c r="K1525" s="174"/>
      <c r="L1525" s="861">
        <v>1</v>
      </c>
      <c r="M1525" s="861">
        <v>1</v>
      </c>
      <c r="N1525" s="855" t="s">
        <v>892</v>
      </c>
      <c r="O1525" s="1196">
        <v>26645</v>
      </c>
      <c r="P1525" s="1218">
        <f t="shared" ca="1" si="949"/>
        <v>44.805555555555557</v>
      </c>
      <c r="Q1525" s="1153">
        <v>22200</v>
      </c>
      <c r="R1525" s="874"/>
      <c r="S1525" s="876"/>
      <c r="T1525" s="876"/>
      <c r="U1525" s="876"/>
      <c r="V1525" s="876"/>
      <c r="W1525" s="876"/>
      <c r="X1525" s="1026">
        <f t="shared" si="950"/>
        <v>22200</v>
      </c>
      <c r="Y1525" s="1512">
        <f t="shared" si="951"/>
        <v>0</v>
      </c>
      <c r="Z1525" s="1741">
        <f t="shared" si="952"/>
        <v>1</v>
      </c>
      <c r="AA1525" s="1749">
        <f t="shared" si="953"/>
        <v>0.5</v>
      </c>
      <c r="AB1525" s="1810">
        <f t="shared" si="954"/>
        <v>50</v>
      </c>
      <c r="AC1525" s="876"/>
      <c r="AD1525" s="1525">
        <f t="shared" si="955"/>
        <v>0</v>
      </c>
      <c r="AE1525" s="1525">
        <f t="shared" si="955"/>
        <v>0</v>
      </c>
      <c r="AF1525" s="1525">
        <f t="shared" si="955"/>
        <v>0</v>
      </c>
      <c r="AG1525" s="1525">
        <f t="shared" si="955"/>
        <v>0</v>
      </c>
      <c r="AH1525" s="1525">
        <f t="shared" si="955"/>
        <v>0</v>
      </c>
      <c r="AI1525" s="1525">
        <f t="shared" si="955"/>
        <v>0</v>
      </c>
      <c r="AJ1525" s="1525">
        <f t="shared" si="955"/>
        <v>0</v>
      </c>
      <c r="AK1525" s="1525">
        <f t="shared" si="955"/>
        <v>0</v>
      </c>
      <c r="AL1525" s="1525">
        <f t="shared" si="955"/>
        <v>0</v>
      </c>
      <c r="AM1525" s="1525">
        <f t="shared" si="955"/>
        <v>0</v>
      </c>
      <c r="AN1525" s="1525">
        <f t="shared" si="955"/>
        <v>0</v>
      </c>
      <c r="AO1525" s="1525">
        <f t="shared" si="955"/>
        <v>0.5</v>
      </c>
      <c r="AP1525" s="1525">
        <f t="shared" si="955"/>
        <v>0</v>
      </c>
      <c r="AQ1525" s="1525">
        <f t="shared" si="955"/>
        <v>0</v>
      </c>
      <c r="AR1525" s="1525">
        <f t="shared" si="955"/>
        <v>0</v>
      </c>
      <c r="AS1525" s="1525">
        <f t="shared" si="955"/>
        <v>0</v>
      </c>
      <c r="AU1525" s="1525"/>
      <c r="AV1525" s="1295"/>
      <c r="AW1525" s="1525"/>
      <c r="AX1525" s="1525"/>
      <c r="AY1525" s="1525"/>
      <c r="AZ1525" s="1525"/>
      <c r="BA1525" s="1525"/>
      <c r="BB1525" s="1525"/>
      <c r="BC1525" s="1525"/>
      <c r="BD1525" s="1525">
        <v>0.5</v>
      </c>
      <c r="BE1525" s="1525"/>
      <c r="BF1525" s="1525"/>
      <c r="BG1525" s="1525"/>
      <c r="BH1525" s="1525"/>
      <c r="BI1525" s="1525"/>
      <c r="BJ1525" s="1525"/>
      <c r="BK1525" s="1525"/>
      <c r="BL1525" s="1525"/>
      <c r="BM1525" s="1525"/>
      <c r="BN1525" s="1525"/>
      <c r="BO1525" s="1525"/>
      <c r="BP1525" s="1525"/>
      <c r="BQ1525" s="1525"/>
      <c r="BR1525" s="1525"/>
      <c r="BS1525" s="1525"/>
      <c r="BT1525" s="1670">
        <f t="shared" si="956"/>
        <v>0.5</v>
      </c>
      <c r="BV1525"/>
      <c r="BW1525" s="862" t="s">
        <v>186</v>
      </c>
    </row>
    <row r="1526" spans="2:75" s="164" customFormat="1" ht="12.75" customHeight="1" x14ac:dyDescent="0.2">
      <c r="B1526" s="175">
        <f t="shared" si="948"/>
        <v>8</v>
      </c>
      <c r="C1526" s="547">
        <v>10</v>
      </c>
      <c r="D1526" s="547"/>
      <c r="E1526" s="4" t="s">
        <v>1665</v>
      </c>
      <c r="F1526" s="4" t="s">
        <v>558</v>
      </c>
      <c r="G1526" s="824" t="s">
        <v>110</v>
      </c>
      <c r="H1526" s="861">
        <v>121655</v>
      </c>
      <c r="I1526" s="197" t="s">
        <v>351</v>
      </c>
      <c r="J1526" s="174"/>
      <c r="K1526" s="174"/>
      <c r="L1526" s="861">
        <v>1</v>
      </c>
      <c r="M1526" s="861">
        <v>1</v>
      </c>
      <c r="N1526" s="836" t="s">
        <v>1326</v>
      </c>
      <c r="O1526" s="1196">
        <v>32746</v>
      </c>
      <c r="P1526" s="1218">
        <f t="shared" ca="1" si="949"/>
        <v>28.1</v>
      </c>
      <c r="Q1526" s="1153">
        <v>30650</v>
      </c>
      <c r="R1526" s="874">
        <f>Q1526*0.1</f>
        <v>3065</v>
      </c>
      <c r="S1526" s="876"/>
      <c r="T1526" s="876">
        <v>5000</v>
      </c>
      <c r="U1526" s="876"/>
      <c r="V1526" s="876"/>
      <c r="W1526" s="876"/>
      <c r="X1526" s="1026">
        <f t="shared" si="950"/>
        <v>38715</v>
      </c>
      <c r="Y1526" s="1512">
        <f t="shared" si="951"/>
        <v>0.14830194275545008</v>
      </c>
      <c r="Z1526" s="1741">
        <f t="shared" si="952"/>
        <v>1.1483019427554502</v>
      </c>
      <c r="AA1526" s="1749">
        <f t="shared" si="953"/>
        <v>1</v>
      </c>
      <c r="AB1526" s="1810">
        <f t="shared" si="954"/>
        <v>87.085109130827846</v>
      </c>
      <c r="AC1526" s="876"/>
      <c r="AD1526" s="1525">
        <f t="shared" si="955"/>
        <v>1</v>
      </c>
      <c r="AE1526" s="1525">
        <f t="shared" si="955"/>
        <v>0</v>
      </c>
      <c r="AF1526" s="1525">
        <f t="shared" si="955"/>
        <v>0</v>
      </c>
      <c r="AG1526" s="1525">
        <f t="shared" si="955"/>
        <v>0</v>
      </c>
      <c r="AH1526" s="1525">
        <f t="shared" si="955"/>
        <v>0</v>
      </c>
      <c r="AI1526" s="1525">
        <f t="shared" si="955"/>
        <v>0</v>
      </c>
      <c r="AJ1526" s="1525">
        <f t="shared" si="955"/>
        <v>0</v>
      </c>
      <c r="AK1526" s="1525">
        <f t="shared" si="955"/>
        <v>0</v>
      </c>
      <c r="AL1526" s="1525">
        <f t="shared" si="955"/>
        <v>0</v>
      </c>
      <c r="AM1526" s="1525">
        <f t="shared" si="955"/>
        <v>0</v>
      </c>
      <c r="AN1526" s="1525">
        <f t="shared" si="955"/>
        <v>0</v>
      </c>
      <c r="AO1526" s="1525">
        <f t="shared" si="955"/>
        <v>0</v>
      </c>
      <c r="AP1526" s="1525">
        <f t="shared" si="955"/>
        <v>0</v>
      </c>
      <c r="AQ1526" s="1525">
        <f t="shared" si="955"/>
        <v>0</v>
      </c>
      <c r="AR1526" s="1525">
        <f t="shared" si="955"/>
        <v>0</v>
      </c>
      <c r="AS1526" s="1525">
        <f t="shared" si="955"/>
        <v>0</v>
      </c>
      <c r="AU1526" s="1525"/>
      <c r="AV1526" s="1295"/>
      <c r="AW1526" s="1525"/>
      <c r="AX1526" s="1525"/>
      <c r="AY1526" s="1525"/>
      <c r="AZ1526" s="1525"/>
      <c r="BA1526" s="1525"/>
      <c r="BB1526" s="1525"/>
      <c r="BC1526" s="1525"/>
      <c r="BD1526" s="1525"/>
      <c r="BE1526" s="1525"/>
      <c r="BF1526" s="1525"/>
      <c r="BG1526" s="1525"/>
      <c r="BH1526" s="1525"/>
      <c r="BI1526" s="1525"/>
      <c r="BJ1526" s="1525">
        <v>1</v>
      </c>
      <c r="BK1526" s="1525"/>
      <c r="BL1526" s="1525"/>
      <c r="BM1526" s="1525"/>
      <c r="BN1526" s="1525"/>
      <c r="BO1526" s="1525"/>
      <c r="BP1526" s="1525"/>
      <c r="BQ1526" s="1525"/>
      <c r="BR1526" s="1525"/>
      <c r="BS1526" s="1525"/>
      <c r="BT1526" s="1670">
        <f t="shared" si="956"/>
        <v>1</v>
      </c>
      <c r="BV1526"/>
      <c r="BW1526" s="824" t="s">
        <v>110</v>
      </c>
    </row>
    <row r="1527" spans="2:75" s="164" customFormat="1" ht="12.75" customHeight="1" x14ac:dyDescent="0.2">
      <c r="B1527" s="175">
        <f t="shared" si="948"/>
        <v>9</v>
      </c>
      <c r="C1527" s="547">
        <v>2</v>
      </c>
      <c r="D1527" s="547"/>
      <c r="E1527" s="4" t="s">
        <v>1665</v>
      </c>
      <c r="F1527" s="4" t="s">
        <v>516</v>
      </c>
      <c r="G1527" s="824" t="s">
        <v>1350</v>
      </c>
      <c r="H1527" s="861">
        <v>3095</v>
      </c>
      <c r="I1527" s="197" t="s">
        <v>351</v>
      </c>
      <c r="J1527" s="174"/>
      <c r="K1527" s="174"/>
      <c r="L1527" s="861">
        <v>0.5</v>
      </c>
      <c r="M1527" s="861">
        <v>0.5</v>
      </c>
      <c r="N1527" s="836" t="s">
        <v>892</v>
      </c>
      <c r="O1527" s="1196">
        <v>13880</v>
      </c>
      <c r="P1527" s="1218">
        <f t="shared" ca="1" si="949"/>
        <v>79.75555555555556</v>
      </c>
      <c r="Q1527" s="1153">
        <v>37400</v>
      </c>
      <c r="R1527" s="884"/>
      <c r="S1527" s="876">
        <v>3000</v>
      </c>
      <c r="T1527" s="876">
        <v>14000</v>
      </c>
      <c r="U1527" s="876"/>
      <c r="V1527" s="876"/>
      <c r="W1527" s="876"/>
      <c r="X1527" s="1026">
        <f t="shared" si="950"/>
        <v>27200</v>
      </c>
      <c r="Y1527" s="1512">
        <f t="shared" si="951"/>
        <v>0.34653465346534651</v>
      </c>
      <c r="Z1527" s="1741">
        <f t="shared" si="952"/>
        <v>0.6732673267326732</v>
      </c>
      <c r="AA1527" s="1749">
        <f t="shared" si="953"/>
        <v>0</v>
      </c>
      <c r="AB1527" s="1810">
        <f t="shared" si="954"/>
        <v>0</v>
      </c>
      <c r="AC1527" s="876"/>
      <c r="AD1527" s="1525">
        <f t="shared" si="955"/>
        <v>0</v>
      </c>
      <c r="AE1527" s="1525">
        <f t="shared" si="955"/>
        <v>0</v>
      </c>
      <c r="AF1527" s="1525">
        <f t="shared" si="955"/>
        <v>0</v>
      </c>
      <c r="AG1527" s="1525">
        <f t="shared" si="955"/>
        <v>0</v>
      </c>
      <c r="AH1527" s="1525">
        <f t="shared" si="955"/>
        <v>0</v>
      </c>
      <c r="AI1527" s="1525">
        <f t="shared" si="955"/>
        <v>0</v>
      </c>
      <c r="AJ1527" s="1525">
        <f t="shared" si="955"/>
        <v>0</v>
      </c>
      <c r="AK1527" s="1525">
        <f t="shared" si="955"/>
        <v>0</v>
      </c>
      <c r="AL1527" s="1525">
        <f t="shared" si="955"/>
        <v>0</v>
      </c>
      <c r="AM1527" s="1525">
        <f t="shared" si="955"/>
        <v>0</v>
      </c>
      <c r="AN1527" s="1525">
        <f t="shared" si="955"/>
        <v>0</v>
      </c>
      <c r="AO1527" s="1525">
        <f t="shared" si="955"/>
        <v>0</v>
      </c>
      <c r="AP1527" s="1525">
        <f t="shared" si="955"/>
        <v>0</v>
      </c>
      <c r="AQ1527" s="1525">
        <f t="shared" si="955"/>
        <v>0</v>
      </c>
      <c r="AR1527" s="1525">
        <f t="shared" si="955"/>
        <v>0</v>
      </c>
      <c r="AS1527" s="1525">
        <f t="shared" si="955"/>
        <v>0</v>
      </c>
      <c r="AU1527" s="1525"/>
      <c r="AV1527" s="1295"/>
      <c r="AW1527" s="1525"/>
      <c r="AX1527" s="1525"/>
      <c r="AY1527" s="1525"/>
      <c r="AZ1527" s="1525"/>
      <c r="BA1527" s="1525"/>
      <c r="BB1527" s="1525"/>
      <c r="BC1527" s="1525"/>
      <c r="BD1527" s="1525"/>
      <c r="BE1527" s="1525"/>
      <c r="BF1527" s="1525"/>
      <c r="BG1527" s="1525"/>
      <c r="BH1527" s="1525"/>
      <c r="BI1527" s="1525"/>
      <c r="BJ1527" s="1525"/>
      <c r="BK1527" s="1525"/>
      <c r="BL1527" s="1525"/>
      <c r="BM1527" s="1525"/>
      <c r="BN1527" s="1525"/>
      <c r="BO1527" s="1525"/>
      <c r="BP1527" s="1525"/>
      <c r="BQ1527" s="1525"/>
      <c r="BR1527" s="1525"/>
      <c r="BS1527" s="1525"/>
      <c r="BT1527" s="1670">
        <f t="shared" si="956"/>
        <v>0</v>
      </c>
      <c r="BV1527"/>
      <c r="BW1527" s="824" t="s">
        <v>1350</v>
      </c>
    </row>
    <row r="1528" spans="2:75" s="164" customFormat="1" ht="12.75" customHeight="1" x14ac:dyDescent="0.2">
      <c r="B1528" s="175">
        <f t="shared" si="948"/>
        <v>10</v>
      </c>
      <c r="C1528" s="547">
        <v>12</v>
      </c>
      <c r="D1528" s="547"/>
      <c r="E1528" s="4" t="s">
        <v>1665</v>
      </c>
      <c r="F1528" s="4" t="s">
        <v>1235</v>
      </c>
      <c r="G1528" s="862" t="s">
        <v>1015</v>
      </c>
      <c r="H1528" s="861">
        <v>40001</v>
      </c>
      <c r="I1528" s="197" t="s">
        <v>583</v>
      </c>
      <c r="J1528" s="174"/>
      <c r="K1528" s="174"/>
      <c r="L1528" s="861">
        <v>0.5</v>
      </c>
      <c r="M1528" s="861">
        <v>0.5</v>
      </c>
      <c r="N1528" s="855" t="s">
        <v>892</v>
      </c>
      <c r="O1528" s="1196">
        <v>13734</v>
      </c>
      <c r="P1528" s="1218">
        <f t="shared" ca="1" si="949"/>
        <v>80.152777777777771</v>
      </c>
      <c r="Q1528" s="1153">
        <v>36800</v>
      </c>
      <c r="R1528" s="874"/>
      <c r="S1528" s="876"/>
      <c r="T1528" s="876">
        <v>18000</v>
      </c>
      <c r="U1528" s="876"/>
      <c r="V1528" s="876"/>
      <c r="W1528" s="876"/>
      <c r="X1528" s="1026">
        <f t="shared" si="950"/>
        <v>27400</v>
      </c>
      <c r="Y1528" s="1512">
        <f t="shared" si="951"/>
        <v>0.4891304347826087</v>
      </c>
      <c r="Z1528" s="1741">
        <f t="shared" si="952"/>
        <v>0.74456521739130432</v>
      </c>
      <c r="AA1528" s="1749">
        <f t="shared" si="953"/>
        <v>0.1</v>
      </c>
      <c r="AB1528" s="1810">
        <f t="shared" si="954"/>
        <v>13.430656934306569</v>
      </c>
      <c r="AC1528" s="876"/>
      <c r="AD1528" s="1525">
        <f t="shared" si="955"/>
        <v>0</v>
      </c>
      <c r="AE1528" s="1525">
        <f t="shared" si="955"/>
        <v>0</v>
      </c>
      <c r="AF1528" s="1525">
        <f t="shared" si="955"/>
        <v>0</v>
      </c>
      <c r="AG1528" s="1525">
        <f t="shared" si="955"/>
        <v>0.1</v>
      </c>
      <c r="AH1528" s="1525">
        <f t="shared" si="955"/>
        <v>0</v>
      </c>
      <c r="AI1528" s="1525">
        <f t="shared" si="955"/>
        <v>0</v>
      </c>
      <c r="AJ1528" s="1525">
        <f t="shared" si="955"/>
        <v>0</v>
      </c>
      <c r="AK1528" s="1525">
        <f t="shared" si="955"/>
        <v>0</v>
      </c>
      <c r="AL1528" s="1525">
        <f t="shared" si="955"/>
        <v>0</v>
      </c>
      <c r="AM1528" s="1525">
        <f t="shared" si="955"/>
        <v>0</v>
      </c>
      <c r="AN1528" s="1525">
        <f t="shared" si="955"/>
        <v>0</v>
      </c>
      <c r="AO1528" s="1525">
        <f t="shared" si="955"/>
        <v>0</v>
      </c>
      <c r="AP1528" s="1525">
        <f t="shared" si="955"/>
        <v>0</v>
      </c>
      <c r="AQ1528" s="1525">
        <f t="shared" si="955"/>
        <v>0</v>
      </c>
      <c r="AR1528" s="1525">
        <f t="shared" si="955"/>
        <v>0</v>
      </c>
      <c r="AS1528" s="1525">
        <f t="shared" si="955"/>
        <v>0</v>
      </c>
      <c r="AU1528" s="1525"/>
      <c r="AV1528" s="1295">
        <v>0.1</v>
      </c>
      <c r="AW1528" s="1525"/>
      <c r="AX1528" s="1525"/>
      <c r="AY1528" s="1525"/>
      <c r="AZ1528" s="1525"/>
      <c r="BA1528" s="1525"/>
      <c r="BB1528" s="1525"/>
      <c r="BC1528" s="1525"/>
      <c r="BD1528" s="1525"/>
      <c r="BE1528" s="1525"/>
      <c r="BF1528" s="1525"/>
      <c r="BG1528" s="1525"/>
      <c r="BH1528" s="1525"/>
      <c r="BI1528" s="1525"/>
      <c r="BJ1528" s="1525"/>
      <c r="BK1528" s="1525"/>
      <c r="BL1528" s="1525"/>
      <c r="BM1528" s="1525"/>
      <c r="BN1528" s="1525"/>
      <c r="BO1528" s="1525"/>
      <c r="BP1528" s="1525"/>
      <c r="BQ1528" s="1525"/>
      <c r="BR1528" s="1525"/>
      <c r="BS1528" s="1525"/>
      <c r="BT1528" s="1670">
        <f t="shared" si="956"/>
        <v>0.1</v>
      </c>
      <c r="BV1528"/>
      <c r="BW1528" s="862" t="s">
        <v>1015</v>
      </c>
    </row>
    <row r="1529" spans="2:75" s="164" customFormat="1" ht="12.75" customHeight="1" x14ac:dyDescent="0.2">
      <c r="B1529" s="175">
        <f t="shared" si="948"/>
        <v>11</v>
      </c>
      <c r="C1529" s="547">
        <v>12</v>
      </c>
      <c r="D1529" s="547"/>
      <c r="E1529" s="4" t="s">
        <v>1665</v>
      </c>
      <c r="F1529" s="4" t="s">
        <v>1235</v>
      </c>
      <c r="G1529" s="862" t="s">
        <v>1328</v>
      </c>
      <c r="H1529" s="861">
        <v>103446</v>
      </c>
      <c r="I1529" s="197" t="s">
        <v>583</v>
      </c>
      <c r="J1529" s="174"/>
      <c r="K1529" s="174"/>
      <c r="L1529" s="861">
        <v>0.4</v>
      </c>
      <c r="M1529" s="861">
        <v>0.4</v>
      </c>
      <c r="N1529" s="855" t="s">
        <v>892</v>
      </c>
      <c r="O1529" s="1196">
        <v>17529</v>
      </c>
      <c r="P1529" s="1218">
        <f t="shared" ca="1" si="949"/>
        <v>69.761111111111106</v>
      </c>
      <c r="Q1529" s="1153">
        <v>41000</v>
      </c>
      <c r="R1529" s="874"/>
      <c r="S1529" s="876"/>
      <c r="T1529" s="876">
        <v>4000</v>
      </c>
      <c r="U1529" s="876"/>
      <c r="V1529" s="876"/>
      <c r="W1529" s="876"/>
      <c r="X1529" s="1026">
        <f t="shared" si="950"/>
        <v>18000</v>
      </c>
      <c r="Y1529" s="1512">
        <f t="shared" si="951"/>
        <v>9.7560975609756101E-2</v>
      </c>
      <c r="Z1529" s="1741">
        <f t="shared" si="952"/>
        <v>0.4390243902439025</v>
      </c>
      <c r="AA1529" s="1749">
        <f t="shared" si="953"/>
        <v>0</v>
      </c>
      <c r="AB1529" s="1810">
        <f t="shared" si="954"/>
        <v>0</v>
      </c>
      <c r="AC1529" s="876"/>
      <c r="AD1529" s="1525">
        <f t="shared" si="955"/>
        <v>0</v>
      </c>
      <c r="AE1529" s="1525">
        <f t="shared" si="955"/>
        <v>0</v>
      </c>
      <c r="AF1529" s="1525">
        <f t="shared" si="955"/>
        <v>0</v>
      </c>
      <c r="AG1529" s="1525">
        <f t="shared" si="955"/>
        <v>0</v>
      </c>
      <c r="AH1529" s="1525">
        <f t="shared" si="955"/>
        <v>0</v>
      </c>
      <c r="AI1529" s="1525">
        <f t="shared" si="955"/>
        <v>0</v>
      </c>
      <c r="AJ1529" s="1525">
        <f t="shared" si="955"/>
        <v>0</v>
      </c>
      <c r="AK1529" s="1525">
        <f t="shared" si="955"/>
        <v>0</v>
      </c>
      <c r="AL1529" s="1525">
        <f t="shared" si="955"/>
        <v>0</v>
      </c>
      <c r="AM1529" s="1525">
        <f t="shared" si="955"/>
        <v>0</v>
      </c>
      <c r="AN1529" s="1525">
        <f t="shared" si="955"/>
        <v>0</v>
      </c>
      <c r="AO1529" s="1525">
        <f t="shared" si="955"/>
        <v>0</v>
      </c>
      <c r="AP1529" s="1525">
        <f t="shared" si="955"/>
        <v>0</v>
      </c>
      <c r="AQ1529" s="1525">
        <f t="shared" si="955"/>
        <v>0</v>
      </c>
      <c r="AR1529" s="1525">
        <f t="shared" si="955"/>
        <v>0</v>
      </c>
      <c r="AS1529" s="1525">
        <f t="shared" si="955"/>
        <v>0</v>
      </c>
      <c r="AU1529" s="1525"/>
      <c r="AV1529" s="1295"/>
      <c r="AW1529" s="1525"/>
      <c r="AX1529" s="1525"/>
      <c r="AY1529" s="1525"/>
      <c r="AZ1529" s="1525"/>
      <c r="BA1529" s="1525"/>
      <c r="BB1529" s="1525"/>
      <c r="BC1529" s="1525"/>
      <c r="BD1529" s="1525"/>
      <c r="BE1529" s="1525"/>
      <c r="BF1529" s="1525"/>
      <c r="BG1529" s="1525"/>
      <c r="BH1529" s="1525"/>
      <c r="BI1529" s="1525"/>
      <c r="BJ1529" s="1525"/>
      <c r="BK1529" s="1525"/>
      <c r="BL1529" s="1525"/>
      <c r="BM1529" s="1525"/>
      <c r="BN1529" s="1525"/>
      <c r="BO1529" s="1525"/>
      <c r="BP1529" s="1525"/>
      <c r="BQ1529" s="1525"/>
      <c r="BR1529" s="1525"/>
      <c r="BS1529" s="1525"/>
      <c r="BT1529" s="1670">
        <f t="shared" si="956"/>
        <v>0</v>
      </c>
      <c r="BV1529"/>
      <c r="BW1529" s="862" t="s">
        <v>1328</v>
      </c>
    </row>
    <row r="1530" spans="2:75" s="164" customFormat="1" ht="12.75" customHeight="1" x14ac:dyDescent="0.2">
      <c r="B1530" s="175">
        <f t="shared" si="948"/>
        <v>12</v>
      </c>
      <c r="C1530" s="547">
        <v>12</v>
      </c>
      <c r="D1530" s="547"/>
      <c r="E1530" s="4" t="s">
        <v>1665</v>
      </c>
      <c r="F1530" s="4" t="s">
        <v>1235</v>
      </c>
      <c r="G1530" s="862" t="s">
        <v>2050</v>
      </c>
      <c r="H1530" s="861">
        <v>170396</v>
      </c>
      <c r="I1530" s="197" t="s">
        <v>583</v>
      </c>
      <c r="J1530" s="174"/>
      <c r="K1530" s="174"/>
      <c r="L1530" s="861">
        <v>1</v>
      </c>
      <c r="M1530" s="861">
        <v>1</v>
      </c>
      <c r="N1530" s="855" t="s">
        <v>892</v>
      </c>
      <c r="O1530" s="1196">
        <v>25187</v>
      </c>
      <c r="P1530" s="1218">
        <f t="shared" ca="1" si="949"/>
        <v>48.797222222222224</v>
      </c>
      <c r="Q1530" s="1153">
        <v>50000</v>
      </c>
      <c r="R1530" s="874"/>
      <c r="S1530" s="876"/>
      <c r="T1530" s="876"/>
      <c r="U1530" s="876"/>
      <c r="V1530" s="876"/>
      <c r="W1530" s="876"/>
      <c r="X1530" s="1026">
        <f t="shared" si="950"/>
        <v>50000</v>
      </c>
      <c r="Y1530" s="1512">
        <f t="shared" si="951"/>
        <v>0</v>
      </c>
      <c r="Z1530" s="1741">
        <f t="shared" si="952"/>
        <v>1</v>
      </c>
      <c r="AA1530" s="1749">
        <f t="shared" si="953"/>
        <v>0</v>
      </c>
      <c r="AB1530" s="1810">
        <f t="shared" si="954"/>
        <v>0</v>
      </c>
      <c r="AC1530" s="224"/>
      <c r="AD1530" s="1525">
        <f t="shared" si="955"/>
        <v>0</v>
      </c>
      <c r="AE1530" s="1525">
        <f t="shared" si="955"/>
        <v>0</v>
      </c>
      <c r="AF1530" s="1525">
        <f t="shared" si="955"/>
        <v>0</v>
      </c>
      <c r="AG1530" s="1525">
        <f t="shared" si="955"/>
        <v>0</v>
      </c>
      <c r="AH1530" s="1525">
        <f t="shared" si="955"/>
        <v>0</v>
      </c>
      <c r="AI1530" s="1525">
        <f t="shared" si="955"/>
        <v>0</v>
      </c>
      <c r="AJ1530" s="1525">
        <f t="shared" si="955"/>
        <v>0</v>
      </c>
      <c r="AK1530" s="1525">
        <f t="shared" si="955"/>
        <v>0</v>
      </c>
      <c r="AL1530" s="1525">
        <f t="shared" si="955"/>
        <v>0</v>
      </c>
      <c r="AM1530" s="1525">
        <f t="shared" si="955"/>
        <v>0</v>
      </c>
      <c r="AN1530" s="1525">
        <f t="shared" si="955"/>
        <v>0</v>
      </c>
      <c r="AO1530" s="1525">
        <f t="shared" si="955"/>
        <v>0</v>
      </c>
      <c r="AP1530" s="1525">
        <f t="shared" si="955"/>
        <v>0</v>
      </c>
      <c r="AQ1530" s="1525">
        <f t="shared" si="955"/>
        <v>0</v>
      </c>
      <c r="AR1530" s="1525">
        <f t="shared" si="955"/>
        <v>0</v>
      </c>
      <c r="AS1530" s="1525">
        <f t="shared" si="955"/>
        <v>0</v>
      </c>
      <c r="AV1530" s="553"/>
      <c r="AX1530" s="553"/>
      <c r="BT1530" s="1672"/>
    </row>
    <row r="1531" spans="2:75" s="164" customFormat="1" ht="12.75" customHeight="1" x14ac:dyDescent="0.2">
      <c r="B1531" s="175">
        <f t="shared" si="948"/>
        <v>13</v>
      </c>
      <c r="C1531" s="219">
        <v>13</v>
      </c>
      <c r="D1531" s="547"/>
      <c r="E1531" s="4" t="s">
        <v>1665</v>
      </c>
      <c r="F1531" s="4" t="s">
        <v>1272</v>
      </c>
      <c r="G1531" s="876" t="s">
        <v>1000</v>
      </c>
      <c r="H1531" s="861">
        <v>88391</v>
      </c>
      <c r="I1531" s="272" t="s">
        <v>583</v>
      </c>
      <c r="J1531" s="174"/>
      <c r="K1531" s="174"/>
      <c r="L1531" s="861">
        <v>1</v>
      </c>
      <c r="M1531" s="861">
        <v>1</v>
      </c>
      <c r="N1531" s="832" t="s">
        <v>892</v>
      </c>
      <c r="O1531" s="1196">
        <v>26994</v>
      </c>
      <c r="P1531" s="1218">
        <f ca="1">YEARFRAC(TODAY(),O1531)</f>
        <v>43.85</v>
      </c>
      <c r="Q1531" s="1148">
        <v>22800</v>
      </c>
      <c r="R1531" s="874"/>
      <c r="S1531" s="876"/>
      <c r="T1531" s="884"/>
      <c r="U1531" s="884"/>
      <c r="V1531" s="884"/>
      <c r="W1531" s="876"/>
      <c r="X1531" s="1026">
        <f t="shared" ref="X1531:X1537" si="957">(Q1531+R1531+S1531+T1531+U1531+V1531+W1531)*M1531</f>
        <v>22800</v>
      </c>
      <c r="Y1531" s="1512">
        <f t="shared" ref="Y1531:Y1537" si="958">(T1531+U1531)*M1531/(X1531-M1531*(T1531+U1531))</f>
        <v>0</v>
      </c>
      <c r="Z1531" s="1741">
        <f t="shared" si="952"/>
        <v>1</v>
      </c>
      <c r="AA1531" s="1749">
        <f t="shared" si="953"/>
        <v>0</v>
      </c>
      <c r="AB1531" s="1810">
        <f t="shared" si="954"/>
        <v>0</v>
      </c>
      <c r="AC1531" s="876"/>
      <c r="AD1531" s="1525">
        <f t="shared" si="955"/>
        <v>0</v>
      </c>
      <c r="AE1531" s="1525">
        <f t="shared" si="955"/>
        <v>0</v>
      </c>
      <c r="AF1531" s="1525">
        <f t="shared" si="955"/>
        <v>0</v>
      </c>
      <c r="AG1531" s="1525">
        <f t="shared" si="955"/>
        <v>0</v>
      </c>
      <c r="AH1531" s="1525">
        <f t="shared" si="955"/>
        <v>0</v>
      </c>
      <c r="AI1531" s="1525">
        <f t="shared" si="955"/>
        <v>0</v>
      </c>
      <c r="AJ1531" s="1525">
        <f t="shared" si="955"/>
        <v>0</v>
      </c>
      <c r="AK1531" s="1525">
        <f t="shared" si="955"/>
        <v>0</v>
      </c>
      <c r="AL1531" s="1525">
        <f t="shared" si="955"/>
        <v>0</v>
      </c>
      <c r="AM1531" s="1525">
        <f t="shared" si="955"/>
        <v>0</v>
      </c>
      <c r="AN1531" s="1525">
        <f t="shared" si="955"/>
        <v>0</v>
      </c>
      <c r="AO1531" s="1525">
        <f t="shared" si="955"/>
        <v>0</v>
      </c>
      <c r="AP1531" s="1525">
        <f t="shared" si="955"/>
        <v>0</v>
      </c>
      <c r="AQ1531" s="1525">
        <f t="shared" si="955"/>
        <v>0</v>
      </c>
      <c r="AR1531" s="1525">
        <f t="shared" si="955"/>
        <v>0</v>
      </c>
      <c r="AS1531" s="1525">
        <f t="shared" si="955"/>
        <v>0</v>
      </c>
      <c r="AU1531" s="1525"/>
      <c r="AV1531" s="1295"/>
      <c r="AW1531" s="1525"/>
      <c r="AX1531" s="1525"/>
      <c r="AY1531" s="1525"/>
      <c r="AZ1531" s="1525"/>
      <c r="BA1531" s="1525"/>
      <c r="BB1531" s="1525"/>
      <c r="BC1531" s="1525"/>
      <c r="BD1531" s="1525"/>
      <c r="BE1531" s="1525"/>
      <c r="BF1531" s="1525"/>
      <c r="BG1531" s="1525"/>
      <c r="BH1531" s="1525"/>
      <c r="BI1531" s="1525"/>
      <c r="BJ1531" s="1525"/>
      <c r="BK1531" s="1525"/>
      <c r="BL1531" s="1525"/>
      <c r="BM1531" s="1525"/>
      <c r="BN1531" s="1525"/>
      <c r="BO1531" s="1525"/>
      <c r="BP1531" s="1525"/>
      <c r="BQ1531" s="1525"/>
      <c r="BR1531" s="1525"/>
      <c r="BS1531" s="1525"/>
      <c r="BT1531" s="1670">
        <f>SUM(AV1531:BS1531)</f>
        <v>0</v>
      </c>
      <c r="BV1531"/>
      <c r="BW1531" s="1141" t="s">
        <v>1000</v>
      </c>
    </row>
    <row r="1532" spans="2:75" s="164" customFormat="1" ht="12.75" customHeight="1" x14ac:dyDescent="0.2">
      <c r="B1532" s="175">
        <f t="shared" si="948"/>
        <v>14</v>
      </c>
      <c r="C1532" s="547">
        <v>13</v>
      </c>
      <c r="D1532" s="547"/>
      <c r="E1532" s="4" t="s">
        <v>1665</v>
      </c>
      <c r="F1532" s="4" t="s">
        <v>792</v>
      </c>
      <c r="G1532" s="824" t="s">
        <v>1351</v>
      </c>
      <c r="H1532" s="861">
        <v>3133</v>
      </c>
      <c r="I1532" s="197" t="s">
        <v>583</v>
      </c>
      <c r="J1532" s="174"/>
      <c r="K1532" s="174"/>
      <c r="L1532" s="861">
        <v>1</v>
      </c>
      <c r="M1532" s="861">
        <v>1</v>
      </c>
      <c r="N1532" s="836" t="s">
        <v>892</v>
      </c>
      <c r="O1532" s="1196">
        <v>18255</v>
      </c>
      <c r="P1532" s="1218">
        <f t="shared" ca="1" si="949"/>
        <v>67.775000000000006</v>
      </c>
      <c r="Q1532" s="1153">
        <v>21700</v>
      </c>
      <c r="R1532" s="884"/>
      <c r="S1532" s="876"/>
      <c r="T1532" s="876"/>
      <c r="U1532" s="876"/>
      <c r="V1532" s="876"/>
      <c r="W1532" s="876"/>
      <c r="X1532" s="1026">
        <f t="shared" si="957"/>
        <v>21700</v>
      </c>
      <c r="Y1532" s="1512">
        <f t="shared" si="958"/>
        <v>0</v>
      </c>
      <c r="Z1532" s="1741">
        <f t="shared" si="952"/>
        <v>1</v>
      </c>
      <c r="AA1532" s="1749">
        <f t="shared" si="953"/>
        <v>0</v>
      </c>
      <c r="AB1532" s="1810">
        <f t="shared" si="954"/>
        <v>0</v>
      </c>
      <c r="AC1532" s="876"/>
      <c r="AD1532" s="1525">
        <f t="shared" si="955"/>
        <v>0</v>
      </c>
      <c r="AE1532" s="1525">
        <f t="shared" si="955"/>
        <v>0</v>
      </c>
      <c r="AF1532" s="1525">
        <f t="shared" si="955"/>
        <v>0</v>
      </c>
      <c r="AG1532" s="1525">
        <f t="shared" si="955"/>
        <v>0</v>
      </c>
      <c r="AH1532" s="1525">
        <f t="shared" si="955"/>
        <v>0</v>
      </c>
      <c r="AI1532" s="1525">
        <f t="shared" si="955"/>
        <v>0</v>
      </c>
      <c r="AJ1532" s="1525">
        <f t="shared" si="955"/>
        <v>0</v>
      </c>
      <c r="AK1532" s="1525">
        <f t="shared" si="955"/>
        <v>0</v>
      </c>
      <c r="AL1532" s="1525">
        <f t="shared" si="955"/>
        <v>0</v>
      </c>
      <c r="AM1532" s="1525">
        <f t="shared" si="955"/>
        <v>0</v>
      </c>
      <c r="AN1532" s="1525">
        <f t="shared" si="955"/>
        <v>0</v>
      </c>
      <c r="AO1532" s="1525">
        <f t="shared" si="955"/>
        <v>0</v>
      </c>
      <c r="AP1532" s="1525">
        <f t="shared" si="955"/>
        <v>0</v>
      </c>
      <c r="AQ1532" s="1525">
        <f t="shared" si="955"/>
        <v>0</v>
      </c>
      <c r="AR1532" s="1525">
        <f t="shared" si="955"/>
        <v>0</v>
      </c>
      <c r="AS1532" s="1525">
        <f t="shared" si="955"/>
        <v>0</v>
      </c>
      <c r="AU1532" s="1525"/>
      <c r="AV1532" s="1295"/>
      <c r="AW1532" s="1525"/>
      <c r="AX1532" s="1525"/>
      <c r="AY1532" s="1525"/>
      <c r="AZ1532" s="1525"/>
      <c r="BA1532" s="1525"/>
      <c r="BB1532" s="1525"/>
      <c r="BC1532" s="1525"/>
      <c r="BD1532" s="1525"/>
      <c r="BE1532" s="1525"/>
      <c r="BF1532" s="1525"/>
      <c r="BG1532" s="1525"/>
      <c r="BH1532" s="1525"/>
      <c r="BI1532" s="1525"/>
      <c r="BJ1532" s="1525"/>
      <c r="BK1532" s="1525"/>
      <c r="BL1532" s="1525"/>
      <c r="BM1532" s="1525"/>
      <c r="BN1532" s="1525"/>
      <c r="BO1532" s="1525"/>
      <c r="BP1532" s="1525"/>
      <c r="BQ1532" s="1525"/>
      <c r="BR1532" s="1525"/>
      <c r="BS1532" s="1525"/>
      <c r="BT1532" s="1670">
        <f t="shared" si="956"/>
        <v>0</v>
      </c>
      <c r="BV1532"/>
      <c r="BW1532" s="824" t="s">
        <v>1351</v>
      </c>
    </row>
    <row r="1533" spans="2:75" ht="12.75" customHeight="1" x14ac:dyDescent="0.2">
      <c r="B1533" s="175">
        <f t="shared" si="948"/>
        <v>15</v>
      </c>
      <c r="C1533" s="219">
        <v>26</v>
      </c>
      <c r="D1533" s="170"/>
      <c r="E1533" s="4" t="s">
        <v>1665</v>
      </c>
      <c r="F1533" t="s">
        <v>1248</v>
      </c>
      <c r="G1533" s="799" t="s">
        <v>1684</v>
      </c>
      <c r="H1533" s="858">
        <v>142324</v>
      </c>
      <c r="I1533" s="232" t="s">
        <v>583</v>
      </c>
      <c r="L1533" s="843">
        <v>1</v>
      </c>
      <c r="M1533" s="858">
        <f>K1533+L1533</f>
        <v>1</v>
      </c>
      <c r="N1533" s="831" t="s">
        <v>892</v>
      </c>
      <c r="O1533" s="1196">
        <v>33488</v>
      </c>
      <c r="P1533" s="1218">
        <f ca="1">YEARFRAC(TODAY(),O1533)</f>
        <v>26.069444444444443</v>
      </c>
      <c r="Q1533" s="1148">
        <v>26000</v>
      </c>
      <c r="R1533" s="874"/>
      <c r="S1533" s="875"/>
      <c r="T1533" s="875"/>
      <c r="U1533" s="875"/>
      <c r="V1533" s="875"/>
      <c r="W1533" s="875"/>
      <c r="X1533" s="1026">
        <f t="shared" si="957"/>
        <v>26000</v>
      </c>
      <c r="Y1533" s="1512">
        <f t="shared" si="958"/>
        <v>0</v>
      </c>
      <c r="Z1533" s="1741">
        <f t="shared" si="952"/>
        <v>1</v>
      </c>
      <c r="AA1533" s="1749">
        <f t="shared" si="953"/>
        <v>0</v>
      </c>
      <c r="AB1533" s="1810">
        <f t="shared" si="954"/>
        <v>0</v>
      </c>
      <c r="AC1533" s="224"/>
      <c r="AD1533" s="1525">
        <f t="shared" si="955"/>
        <v>0</v>
      </c>
      <c r="AE1533" s="1525">
        <f t="shared" si="955"/>
        <v>0</v>
      </c>
      <c r="AF1533" s="1525">
        <f t="shared" si="955"/>
        <v>0</v>
      </c>
      <c r="AG1533" s="1525">
        <f t="shared" si="955"/>
        <v>0</v>
      </c>
      <c r="AH1533" s="1525">
        <f t="shared" si="955"/>
        <v>0</v>
      </c>
      <c r="AI1533" s="1525">
        <f t="shared" si="955"/>
        <v>0</v>
      </c>
      <c r="AJ1533" s="1525">
        <f t="shared" si="955"/>
        <v>0</v>
      </c>
      <c r="AK1533" s="1525">
        <f t="shared" si="955"/>
        <v>0</v>
      </c>
      <c r="AL1533" s="1525">
        <f t="shared" si="955"/>
        <v>0</v>
      </c>
      <c r="AM1533" s="1525">
        <f t="shared" si="955"/>
        <v>0</v>
      </c>
      <c r="AN1533" s="1525">
        <f t="shared" si="955"/>
        <v>0</v>
      </c>
      <c r="AO1533" s="1525">
        <f t="shared" si="955"/>
        <v>0</v>
      </c>
      <c r="AP1533" s="1525">
        <f t="shared" si="955"/>
        <v>0</v>
      </c>
      <c r="AQ1533" s="1525">
        <f t="shared" si="955"/>
        <v>0</v>
      </c>
      <c r="AR1533" s="1525">
        <f t="shared" si="955"/>
        <v>0</v>
      </c>
      <c r="AS1533" s="1525">
        <f t="shared" si="955"/>
        <v>0</v>
      </c>
      <c r="AU1533" s="224"/>
      <c r="AV1533" s="1292"/>
      <c r="AX1533" s="1292"/>
      <c r="BT1533" s="1671"/>
      <c r="BV1533" s="224"/>
      <c r="BW1533" s="224"/>
    </row>
    <row r="1534" spans="2:75" s="164" customFormat="1" ht="12.75" customHeight="1" x14ac:dyDescent="0.2">
      <c r="B1534" s="175">
        <f t="shared" si="948"/>
        <v>16</v>
      </c>
      <c r="C1534" s="547">
        <v>14</v>
      </c>
      <c r="D1534" s="547"/>
      <c r="E1534" s="4" t="s">
        <v>1665</v>
      </c>
      <c r="F1534" s="4" t="s">
        <v>626</v>
      </c>
      <c r="G1534" s="824" t="s">
        <v>1536</v>
      </c>
      <c r="H1534" s="861">
        <v>253971</v>
      </c>
      <c r="I1534" s="197" t="s">
        <v>583</v>
      </c>
      <c r="J1534" s="174"/>
      <c r="K1534" s="174"/>
      <c r="L1534" s="861">
        <v>1</v>
      </c>
      <c r="M1534" s="861">
        <v>1</v>
      </c>
      <c r="N1534" s="836" t="s">
        <v>892</v>
      </c>
      <c r="O1534" s="1196">
        <v>29610</v>
      </c>
      <c r="P1534" s="1218">
        <f t="shared" ca="1" si="949"/>
        <v>36.68888888888889</v>
      </c>
      <c r="Q1534" s="1153">
        <v>27000</v>
      </c>
      <c r="R1534" s="884"/>
      <c r="S1534" s="876"/>
      <c r="T1534" s="876"/>
      <c r="U1534" s="876"/>
      <c r="V1534" s="876"/>
      <c r="W1534" s="876"/>
      <c r="X1534" s="1026">
        <f t="shared" si="957"/>
        <v>27000</v>
      </c>
      <c r="Y1534" s="1512">
        <f t="shared" si="958"/>
        <v>0</v>
      </c>
      <c r="Z1534" s="1741">
        <f t="shared" si="952"/>
        <v>1</v>
      </c>
      <c r="AA1534" s="1749">
        <f t="shared" si="953"/>
        <v>1</v>
      </c>
      <c r="AB1534" s="1810">
        <f t="shared" ref="AB1534:AB1537" si="959">100*AA1534/Z1534</f>
        <v>100</v>
      </c>
      <c r="AC1534" s="876"/>
      <c r="AD1534" s="1525">
        <f t="shared" si="955"/>
        <v>1</v>
      </c>
      <c r="AE1534" s="1525">
        <f t="shared" si="955"/>
        <v>0</v>
      </c>
      <c r="AF1534" s="1525">
        <f t="shared" si="955"/>
        <v>0</v>
      </c>
      <c r="AG1534" s="1525">
        <f t="shared" si="955"/>
        <v>0</v>
      </c>
      <c r="AH1534" s="1525">
        <f t="shared" si="955"/>
        <v>0</v>
      </c>
      <c r="AI1534" s="1525">
        <f t="shared" si="955"/>
        <v>0</v>
      </c>
      <c r="AJ1534" s="1525">
        <f t="shared" si="955"/>
        <v>0</v>
      </c>
      <c r="AK1534" s="1525">
        <f t="shared" si="955"/>
        <v>0</v>
      </c>
      <c r="AL1534" s="1525">
        <f t="shared" si="955"/>
        <v>0</v>
      </c>
      <c r="AM1534" s="1525">
        <f t="shared" si="955"/>
        <v>0</v>
      </c>
      <c r="AN1534" s="1525">
        <f t="shared" si="955"/>
        <v>0</v>
      </c>
      <c r="AO1534" s="1525">
        <f t="shared" si="955"/>
        <v>0</v>
      </c>
      <c r="AP1534" s="1525">
        <f t="shared" si="955"/>
        <v>0</v>
      </c>
      <c r="AQ1534" s="1525">
        <f t="shared" si="955"/>
        <v>0</v>
      </c>
      <c r="AR1534" s="1525">
        <f t="shared" si="955"/>
        <v>0</v>
      </c>
      <c r="AS1534" s="1525">
        <f t="shared" si="955"/>
        <v>0</v>
      </c>
      <c r="AU1534" s="1525"/>
      <c r="AV1534" s="1295"/>
      <c r="AW1534" s="1525"/>
      <c r="AX1534" s="1525"/>
      <c r="AY1534" s="1525"/>
      <c r="AZ1534" s="1525"/>
      <c r="BA1534" s="1525"/>
      <c r="BB1534" s="1525"/>
      <c r="BC1534" s="1525"/>
      <c r="BD1534" s="1525"/>
      <c r="BE1534" s="1525"/>
      <c r="BF1534" s="1525"/>
      <c r="BG1534" s="1525"/>
      <c r="BH1534" s="1525"/>
      <c r="BI1534" s="1525"/>
      <c r="BJ1534" s="1525">
        <v>1</v>
      </c>
      <c r="BK1534" s="1525"/>
      <c r="BL1534" s="1525"/>
      <c r="BM1534" s="1525"/>
      <c r="BN1534" s="1525"/>
      <c r="BO1534" s="1525"/>
      <c r="BP1534" s="1525"/>
      <c r="BQ1534" s="1525"/>
      <c r="BR1534" s="1525"/>
      <c r="BS1534" s="1525"/>
      <c r="BT1534" s="1670">
        <f t="shared" si="956"/>
        <v>1</v>
      </c>
      <c r="BV1534"/>
      <c r="BW1534" s="824" t="s">
        <v>1536</v>
      </c>
    </row>
    <row r="1535" spans="2:75" s="164" customFormat="1" ht="12.75" customHeight="1" x14ac:dyDescent="0.2">
      <c r="B1535" s="175">
        <f t="shared" si="948"/>
        <v>17</v>
      </c>
      <c r="C1535" s="547">
        <v>14</v>
      </c>
      <c r="D1535" s="547"/>
      <c r="E1535" s="4" t="s">
        <v>1665</v>
      </c>
      <c r="F1535" s="4" t="s">
        <v>626</v>
      </c>
      <c r="G1535" s="824" t="s">
        <v>1640</v>
      </c>
      <c r="H1535" s="861">
        <v>285145</v>
      </c>
      <c r="I1535" s="197" t="s">
        <v>583</v>
      </c>
      <c r="J1535" s="174"/>
      <c r="K1535" s="174"/>
      <c r="L1535" s="861">
        <v>1</v>
      </c>
      <c r="M1535" s="861">
        <v>1</v>
      </c>
      <c r="N1535" s="836" t="s">
        <v>892</v>
      </c>
      <c r="O1535" s="1196">
        <v>17620</v>
      </c>
      <c r="P1535" s="1218">
        <f t="shared" ca="1" si="949"/>
        <v>69.511111111111106</v>
      </c>
      <c r="Q1535" s="1153">
        <v>32800</v>
      </c>
      <c r="R1535" s="884"/>
      <c r="S1535" s="876"/>
      <c r="T1535" s="876"/>
      <c r="U1535" s="876"/>
      <c r="V1535" s="876"/>
      <c r="W1535" s="876"/>
      <c r="X1535" s="1026">
        <f t="shared" si="957"/>
        <v>32800</v>
      </c>
      <c r="Y1535" s="1512">
        <f t="shared" si="958"/>
        <v>0</v>
      </c>
      <c r="Z1535" s="1741">
        <f t="shared" si="952"/>
        <v>1</v>
      </c>
      <c r="AA1535" s="1749">
        <f t="shared" si="953"/>
        <v>0.75</v>
      </c>
      <c r="AB1535" s="1810">
        <f t="shared" si="959"/>
        <v>75</v>
      </c>
      <c r="AC1535" s="876"/>
      <c r="AD1535" s="1525">
        <f t="shared" ref="AD1535:AS1537" si="960">SUMIF($AV$6:$BS$6,AD$5,$AV1535:$BS1535)</f>
        <v>0.75</v>
      </c>
      <c r="AE1535" s="1525">
        <f t="shared" si="960"/>
        <v>0</v>
      </c>
      <c r="AF1535" s="1525">
        <f t="shared" si="960"/>
        <v>0</v>
      </c>
      <c r="AG1535" s="1525">
        <f t="shared" si="960"/>
        <v>0</v>
      </c>
      <c r="AH1535" s="1525">
        <f t="shared" si="960"/>
        <v>0</v>
      </c>
      <c r="AI1535" s="1525">
        <f t="shared" si="960"/>
        <v>0</v>
      </c>
      <c r="AJ1535" s="1525">
        <f t="shared" si="960"/>
        <v>0</v>
      </c>
      <c r="AK1535" s="1525">
        <f t="shared" si="960"/>
        <v>0</v>
      </c>
      <c r="AL1535" s="1525">
        <f t="shared" si="960"/>
        <v>0</v>
      </c>
      <c r="AM1535" s="1525">
        <f t="shared" si="960"/>
        <v>0</v>
      </c>
      <c r="AN1535" s="1525">
        <f t="shared" si="960"/>
        <v>0</v>
      </c>
      <c r="AO1535" s="1525">
        <f t="shared" si="960"/>
        <v>0</v>
      </c>
      <c r="AP1535" s="1525">
        <f t="shared" si="960"/>
        <v>0</v>
      </c>
      <c r="AQ1535" s="1525">
        <f t="shared" si="960"/>
        <v>0</v>
      </c>
      <c r="AR1535" s="1525">
        <f t="shared" si="960"/>
        <v>0</v>
      </c>
      <c r="AS1535" s="1525">
        <f t="shared" si="960"/>
        <v>0</v>
      </c>
      <c r="AU1535" s="1525"/>
      <c r="AV1535" s="1295"/>
      <c r="AW1535" s="1525"/>
      <c r="AX1535" s="1525"/>
      <c r="AY1535" s="1525"/>
      <c r="AZ1535" s="1525"/>
      <c r="BA1535" s="1525"/>
      <c r="BB1535" s="1525"/>
      <c r="BC1535" s="1525"/>
      <c r="BD1535" s="1525"/>
      <c r="BE1535" s="1525"/>
      <c r="BF1535" s="1525"/>
      <c r="BG1535" s="1525"/>
      <c r="BH1535" s="1525"/>
      <c r="BI1535" s="1525"/>
      <c r="BJ1535" s="1525">
        <v>0.75</v>
      </c>
      <c r="BK1535" s="1525"/>
      <c r="BL1535" s="1525"/>
      <c r="BM1535" s="1525"/>
      <c r="BN1535" s="1525"/>
      <c r="BO1535" s="1525"/>
      <c r="BP1535" s="1525"/>
      <c r="BQ1535" s="1525"/>
      <c r="BR1535" s="1525"/>
      <c r="BS1535" s="1525"/>
      <c r="BT1535" s="1670">
        <f t="shared" si="956"/>
        <v>0.75</v>
      </c>
      <c r="BV1535"/>
      <c r="BW1535" s="824" t="s">
        <v>1640</v>
      </c>
    </row>
    <row r="1536" spans="2:75" s="164" customFormat="1" ht="12.75" customHeight="1" x14ac:dyDescent="0.2">
      <c r="B1536" s="175">
        <f t="shared" si="948"/>
        <v>18</v>
      </c>
      <c r="C1536" s="547">
        <v>14</v>
      </c>
      <c r="D1536" s="547"/>
      <c r="E1536" s="4" t="s">
        <v>1665</v>
      </c>
      <c r="F1536" s="4" t="s">
        <v>626</v>
      </c>
      <c r="G1536" s="824" t="s">
        <v>617</v>
      </c>
      <c r="H1536" s="861">
        <v>122370</v>
      </c>
      <c r="I1536" s="197" t="s">
        <v>583</v>
      </c>
      <c r="J1536" s="174"/>
      <c r="K1536" s="174"/>
      <c r="L1536" s="861">
        <v>1</v>
      </c>
      <c r="M1536" s="861">
        <v>1</v>
      </c>
      <c r="N1536" s="836" t="s">
        <v>892</v>
      </c>
      <c r="O1536" s="1196">
        <v>31603</v>
      </c>
      <c r="P1536" s="1218">
        <f t="shared" ca="1" si="949"/>
        <v>31.227777777777778</v>
      </c>
      <c r="Q1536" s="1153">
        <v>21000</v>
      </c>
      <c r="R1536" s="884"/>
      <c r="S1536" s="876"/>
      <c r="T1536" s="876"/>
      <c r="U1536" s="876"/>
      <c r="V1536" s="876"/>
      <c r="W1536" s="876"/>
      <c r="X1536" s="1026">
        <f t="shared" si="957"/>
        <v>21000</v>
      </c>
      <c r="Y1536" s="1512">
        <f t="shared" si="958"/>
        <v>0</v>
      </c>
      <c r="Z1536" s="1741">
        <f t="shared" si="952"/>
        <v>1</v>
      </c>
      <c r="AA1536" s="1749">
        <f t="shared" si="953"/>
        <v>0</v>
      </c>
      <c r="AB1536" s="1810">
        <f t="shared" si="959"/>
        <v>0</v>
      </c>
      <c r="AC1536" s="876"/>
      <c r="AD1536" s="1525">
        <f t="shared" si="960"/>
        <v>0</v>
      </c>
      <c r="AE1536" s="1525">
        <f t="shared" si="960"/>
        <v>0</v>
      </c>
      <c r="AF1536" s="1525">
        <f t="shared" si="960"/>
        <v>0</v>
      </c>
      <c r="AG1536" s="1525">
        <f t="shared" si="960"/>
        <v>0</v>
      </c>
      <c r="AH1536" s="1525">
        <f t="shared" si="960"/>
        <v>0</v>
      </c>
      <c r="AI1536" s="1525">
        <f t="shared" si="960"/>
        <v>0</v>
      </c>
      <c r="AJ1536" s="1525">
        <f t="shared" si="960"/>
        <v>0</v>
      </c>
      <c r="AK1536" s="1525">
        <f t="shared" si="960"/>
        <v>0</v>
      </c>
      <c r="AL1536" s="1525">
        <f t="shared" si="960"/>
        <v>0</v>
      </c>
      <c r="AM1536" s="1525">
        <f t="shared" si="960"/>
        <v>0</v>
      </c>
      <c r="AN1536" s="1525">
        <f t="shared" si="960"/>
        <v>0</v>
      </c>
      <c r="AO1536" s="1525">
        <f t="shared" si="960"/>
        <v>0</v>
      </c>
      <c r="AP1536" s="1525">
        <f t="shared" si="960"/>
        <v>0</v>
      </c>
      <c r="AQ1536" s="1525">
        <f t="shared" si="960"/>
        <v>0</v>
      </c>
      <c r="AR1536" s="1525">
        <f t="shared" si="960"/>
        <v>0</v>
      </c>
      <c r="AS1536" s="1525">
        <f t="shared" si="960"/>
        <v>0</v>
      </c>
      <c r="AU1536" s="1525"/>
      <c r="AV1536" s="1295"/>
      <c r="AW1536" s="1525"/>
      <c r="AX1536" s="1525"/>
      <c r="AY1536" s="1525"/>
      <c r="AZ1536" s="1525"/>
      <c r="BA1536" s="1525"/>
      <c r="BB1536" s="1525"/>
      <c r="BC1536" s="1525"/>
      <c r="BD1536" s="1525"/>
      <c r="BE1536" s="1525"/>
      <c r="BF1536" s="1525"/>
      <c r="BG1536" s="1525"/>
      <c r="BH1536" s="1525"/>
      <c r="BI1536" s="1525"/>
      <c r="BJ1536" s="1525"/>
      <c r="BK1536" s="1525"/>
      <c r="BL1536" s="1525"/>
      <c r="BM1536" s="1525"/>
      <c r="BN1536" s="1525"/>
      <c r="BO1536" s="1525"/>
      <c r="BP1536" s="1525"/>
      <c r="BQ1536" s="1525"/>
      <c r="BR1536" s="1525"/>
      <c r="BS1536" s="1525"/>
      <c r="BT1536" s="1670">
        <f t="shared" si="956"/>
        <v>0</v>
      </c>
      <c r="BV1536"/>
      <c r="BW1536" s="824" t="s">
        <v>617</v>
      </c>
    </row>
    <row r="1537" spans="2:75" s="164" customFormat="1" ht="12.75" customHeight="1" x14ac:dyDescent="0.2">
      <c r="B1537" s="175">
        <f t="shared" si="948"/>
        <v>19</v>
      </c>
      <c r="C1537" s="547">
        <v>14</v>
      </c>
      <c r="D1537" s="547"/>
      <c r="E1537" s="4" t="s">
        <v>1665</v>
      </c>
      <c r="F1537" s="4" t="s">
        <v>626</v>
      </c>
      <c r="G1537" s="824" t="s">
        <v>2051</v>
      </c>
      <c r="H1537" s="861">
        <v>166053</v>
      </c>
      <c r="I1537" s="197" t="s">
        <v>583</v>
      </c>
      <c r="J1537" s="174"/>
      <c r="K1537" s="174"/>
      <c r="L1537" s="861">
        <v>1</v>
      </c>
      <c r="M1537" s="861">
        <v>1</v>
      </c>
      <c r="N1537" s="836" t="s">
        <v>892</v>
      </c>
      <c r="O1537" s="1196">
        <v>34176</v>
      </c>
      <c r="P1537" s="1218">
        <f t="shared" ca="1" si="949"/>
        <v>24.183333333333334</v>
      </c>
      <c r="Q1537" s="1153">
        <v>20000</v>
      </c>
      <c r="R1537" s="884"/>
      <c r="S1537" s="876"/>
      <c r="T1537" s="876"/>
      <c r="U1537" s="876"/>
      <c r="V1537" s="876"/>
      <c r="W1537" s="876"/>
      <c r="X1537" s="1026">
        <f t="shared" si="957"/>
        <v>20000</v>
      </c>
      <c r="Y1537" s="1512">
        <f t="shared" si="958"/>
        <v>0</v>
      </c>
      <c r="Z1537" s="1741">
        <f t="shared" si="952"/>
        <v>1</v>
      </c>
      <c r="AA1537" s="1749">
        <f t="shared" si="953"/>
        <v>0</v>
      </c>
      <c r="AB1537" s="1810">
        <f t="shared" si="959"/>
        <v>0</v>
      </c>
      <c r="AC1537" s="224"/>
      <c r="AD1537" s="1525">
        <f t="shared" si="960"/>
        <v>0</v>
      </c>
      <c r="AE1537" s="1525">
        <f t="shared" si="960"/>
        <v>0</v>
      </c>
      <c r="AF1537" s="1525">
        <f t="shared" si="960"/>
        <v>0</v>
      </c>
      <c r="AG1537" s="1525">
        <f t="shared" si="960"/>
        <v>0</v>
      </c>
      <c r="AH1537" s="1525">
        <f t="shared" si="960"/>
        <v>0</v>
      </c>
      <c r="AI1537" s="1525">
        <f t="shared" si="960"/>
        <v>0</v>
      </c>
      <c r="AJ1537" s="1525">
        <f t="shared" si="960"/>
        <v>0</v>
      </c>
      <c r="AK1537" s="1525">
        <f t="shared" si="960"/>
        <v>0</v>
      </c>
      <c r="AL1537" s="1525">
        <f t="shared" si="960"/>
        <v>0</v>
      </c>
      <c r="AM1537" s="1525">
        <f t="shared" si="960"/>
        <v>0</v>
      </c>
      <c r="AN1537" s="1525">
        <f t="shared" si="960"/>
        <v>0</v>
      </c>
      <c r="AO1537" s="1525">
        <f t="shared" si="960"/>
        <v>0</v>
      </c>
      <c r="AP1537" s="1525">
        <f t="shared" si="960"/>
        <v>0</v>
      </c>
      <c r="AQ1537" s="1525">
        <f t="shared" si="960"/>
        <v>0</v>
      </c>
      <c r="AR1537" s="1525">
        <f t="shared" si="960"/>
        <v>0</v>
      </c>
      <c r="AS1537" s="1525">
        <f t="shared" si="960"/>
        <v>0</v>
      </c>
      <c r="AV1537" s="553"/>
      <c r="AX1537" s="553"/>
      <c r="BT1537" s="1672"/>
    </row>
    <row r="1538" spans="2:75" s="164" customFormat="1" ht="12.75" customHeight="1" x14ac:dyDescent="0.2">
      <c r="B1538" s="175">
        <f t="shared" si="948"/>
        <v>20</v>
      </c>
      <c r="C1538" s="547">
        <v>14</v>
      </c>
      <c r="D1538" s="547"/>
      <c r="E1538" s="4" t="s">
        <v>1665</v>
      </c>
      <c r="F1538" s="4" t="s">
        <v>626</v>
      </c>
      <c r="G1538" s="824" t="s">
        <v>1715</v>
      </c>
      <c r="H1538" s="861">
        <v>150150</v>
      </c>
      <c r="I1538" s="197" t="s">
        <v>583</v>
      </c>
      <c r="J1538" s="174"/>
      <c r="K1538" s="174"/>
      <c r="L1538" s="861">
        <v>1</v>
      </c>
      <c r="M1538" s="861">
        <v>1</v>
      </c>
      <c r="N1538" s="836" t="s">
        <v>1326</v>
      </c>
      <c r="O1538" s="1196">
        <v>33757</v>
      </c>
      <c r="P1538" s="1218">
        <f t="shared" ca="1" si="949"/>
        <v>25.333333333333332</v>
      </c>
      <c r="Q1538" s="1153">
        <v>35000</v>
      </c>
      <c r="R1538" s="874">
        <f>Q1538*0.1</f>
        <v>3500</v>
      </c>
      <c r="S1538" s="876"/>
      <c r="T1538" s="876">
        <v>4000</v>
      </c>
      <c r="U1538" s="876"/>
      <c r="V1538" s="876"/>
      <c r="W1538" s="876"/>
      <c r="X1538" s="1026">
        <f t="shared" ref="X1538:X1545" si="961">(Q1538+R1538+S1538+T1538+U1538+V1538+W1538)*M1538</f>
        <v>42500</v>
      </c>
      <c r="Y1538" s="1512">
        <f t="shared" ref="Y1538:Y1545" si="962">(T1538+U1538)*M1538/(X1538-M1538*(T1538+U1538))</f>
        <v>0.1038961038961039</v>
      </c>
      <c r="Z1538" s="1741">
        <f t="shared" si="952"/>
        <v>1.1038961038961039</v>
      </c>
      <c r="AA1538" s="1749">
        <f t="shared" ref="AA1538:AA1545" si="963">SUM(AD1538:AS1538)</f>
        <v>1</v>
      </c>
      <c r="AB1538" s="1810">
        <f t="shared" ref="AB1538:AB1545" si="964">100*AA1538/Z1538</f>
        <v>90.588235294117638</v>
      </c>
      <c r="AC1538" s="876"/>
      <c r="AD1538" s="1525">
        <f t="shared" ref="AD1538:AS1545" si="965">SUMIF($AV$6:$BS$6,AD$5,$AV1538:$BS1538)</f>
        <v>1</v>
      </c>
      <c r="AE1538" s="1525">
        <f t="shared" si="965"/>
        <v>0</v>
      </c>
      <c r="AF1538" s="1525">
        <f t="shared" si="965"/>
        <v>0</v>
      </c>
      <c r="AG1538" s="1525">
        <f t="shared" si="965"/>
        <v>0</v>
      </c>
      <c r="AH1538" s="1525">
        <f t="shared" si="965"/>
        <v>0</v>
      </c>
      <c r="AI1538" s="1525">
        <f t="shared" si="965"/>
        <v>0</v>
      </c>
      <c r="AJ1538" s="1525">
        <f t="shared" si="965"/>
        <v>0</v>
      </c>
      <c r="AK1538" s="1525">
        <f t="shared" si="965"/>
        <v>0</v>
      </c>
      <c r="AL1538" s="1525">
        <f t="shared" si="965"/>
        <v>0</v>
      </c>
      <c r="AM1538" s="1525">
        <f t="shared" si="965"/>
        <v>0</v>
      </c>
      <c r="AN1538" s="1525">
        <f t="shared" si="965"/>
        <v>0</v>
      </c>
      <c r="AO1538" s="1525">
        <f t="shared" si="965"/>
        <v>0</v>
      </c>
      <c r="AP1538" s="1525">
        <f t="shared" si="965"/>
        <v>0</v>
      </c>
      <c r="AQ1538" s="1525">
        <f t="shared" si="965"/>
        <v>0</v>
      </c>
      <c r="AR1538" s="1525">
        <f t="shared" si="965"/>
        <v>0</v>
      </c>
      <c r="AS1538" s="1525">
        <f t="shared" si="965"/>
        <v>0</v>
      </c>
      <c r="AU1538" s="1525"/>
      <c r="AV1538" s="1295"/>
      <c r="AW1538" s="1525"/>
      <c r="AX1538" s="1525"/>
      <c r="AY1538" s="1525"/>
      <c r="AZ1538" s="1525"/>
      <c r="BA1538" s="1525"/>
      <c r="BB1538" s="1525"/>
      <c r="BC1538" s="1525"/>
      <c r="BD1538" s="1525"/>
      <c r="BE1538" s="1525"/>
      <c r="BF1538" s="1525"/>
      <c r="BG1538" s="1525"/>
      <c r="BH1538" s="1525"/>
      <c r="BI1538" s="1525"/>
      <c r="BJ1538" s="1525">
        <v>1</v>
      </c>
      <c r="BK1538" s="1525"/>
      <c r="BL1538" s="1525"/>
      <c r="BM1538" s="1525"/>
      <c r="BN1538" s="1525"/>
      <c r="BO1538" s="1525"/>
      <c r="BP1538" s="1525"/>
      <c r="BQ1538" s="1525"/>
      <c r="BR1538" s="1525"/>
      <c r="BS1538" s="1525"/>
      <c r="BT1538" s="1670">
        <f t="shared" si="956"/>
        <v>1</v>
      </c>
      <c r="BV1538"/>
      <c r="BW1538" s="824" t="s">
        <v>1715</v>
      </c>
    </row>
    <row r="1539" spans="2:75" s="164" customFormat="1" ht="12.75" customHeight="1" x14ac:dyDescent="0.2">
      <c r="B1539" s="175">
        <f t="shared" si="948"/>
        <v>21</v>
      </c>
      <c r="C1539" s="547">
        <v>15</v>
      </c>
      <c r="D1539" s="547"/>
      <c r="E1539" s="4" t="s">
        <v>1665</v>
      </c>
      <c r="F1539" s="4" t="s">
        <v>631</v>
      </c>
      <c r="G1539" s="824" t="s">
        <v>1851</v>
      </c>
      <c r="H1539" s="861">
        <v>154976</v>
      </c>
      <c r="I1539" s="197" t="s">
        <v>583</v>
      </c>
      <c r="J1539" s="174"/>
      <c r="K1539" s="174"/>
      <c r="L1539" s="861">
        <v>1</v>
      </c>
      <c r="M1539" s="861">
        <v>1</v>
      </c>
      <c r="N1539" s="836" t="s">
        <v>892</v>
      </c>
      <c r="O1539" s="1196">
        <v>26419</v>
      </c>
      <c r="P1539" s="1218">
        <f t="shared" ca="1" si="949"/>
        <v>45.422222222222224</v>
      </c>
      <c r="Q1539" s="1153">
        <v>26000</v>
      </c>
      <c r="R1539" s="874"/>
      <c r="S1539" s="876"/>
      <c r="T1539" s="876">
        <v>10000</v>
      </c>
      <c r="U1539" s="876"/>
      <c r="V1539" s="876"/>
      <c r="W1539" s="876"/>
      <c r="X1539" s="1026">
        <f t="shared" si="961"/>
        <v>36000</v>
      </c>
      <c r="Y1539" s="1512">
        <f t="shared" si="962"/>
        <v>0.38461538461538464</v>
      </c>
      <c r="Z1539" s="1741">
        <f t="shared" si="952"/>
        <v>1.3846153846153846</v>
      </c>
      <c r="AA1539" s="1749">
        <f t="shared" si="963"/>
        <v>1</v>
      </c>
      <c r="AB1539" s="1810">
        <f t="shared" si="964"/>
        <v>72.222222222222229</v>
      </c>
      <c r="AC1539" s="876"/>
      <c r="AD1539" s="1525">
        <f t="shared" si="965"/>
        <v>1</v>
      </c>
      <c r="AE1539" s="1525">
        <f t="shared" si="965"/>
        <v>0</v>
      </c>
      <c r="AF1539" s="1525">
        <f t="shared" si="965"/>
        <v>0</v>
      </c>
      <c r="AG1539" s="1525">
        <f t="shared" si="965"/>
        <v>0</v>
      </c>
      <c r="AH1539" s="1525">
        <f t="shared" si="965"/>
        <v>0</v>
      </c>
      <c r="AI1539" s="1525">
        <f t="shared" si="965"/>
        <v>0</v>
      </c>
      <c r="AJ1539" s="1525">
        <f t="shared" si="965"/>
        <v>0</v>
      </c>
      <c r="AK1539" s="1525">
        <f t="shared" si="965"/>
        <v>0</v>
      </c>
      <c r="AL1539" s="1525">
        <f t="shared" si="965"/>
        <v>0</v>
      </c>
      <c r="AM1539" s="1525">
        <f t="shared" si="965"/>
        <v>0</v>
      </c>
      <c r="AN1539" s="1525">
        <f t="shared" si="965"/>
        <v>0</v>
      </c>
      <c r="AO1539" s="1525">
        <f t="shared" si="965"/>
        <v>0</v>
      </c>
      <c r="AP1539" s="1525">
        <f t="shared" si="965"/>
        <v>0</v>
      </c>
      <c r="AQ1539" s="1525">
        <f t="shared" si="965"/>
        <v>0</v>
      </c>
      <c r="AR1539" s="1525">
        <f t="shared" si="965"/>
        <v>0</v>
      </c>
      <c r="AS1539" s="1525">
        <f t="shared" si="965"/>
        <v>0</v>
      </c>
      <c r="AU1539" s="1525"/>
      <c r="AV1539" s="1295"/>
      <c r="AW1539" s="1525"/>
      <c r="AX1539" s="1525"/>
      <c r="AY1539" s="1525"/>
      <c r="AZ1539" s="1525"/>
      <c r="BA1539" s="1525"/>
      <c r="BB1539" s="1525"/>
      <c r="BC1539" s="1525"/>
      <c r="BD1539" s="1525"/>
      <c r="BE1539" s="1525"/>
      <c r="BF1539" s="1525"/>
      <c r="BG1539" s="1525"/>
      <c r="BH1539" s="1525"/>
      <c r="BI1539" s="1525"/>
      <c r="BJ1539" s="1525">
        <v>1</v>
      </c>
      <c r="BK1539" s="1525"/>
      <c r="BL1539" s="1525"/>
      <c r="BM1539" s="1525"/>
      <c r="BN1539" s="1525"/>
      <c r="BO1539" s="1525"/>
      <c r="BP1539" s="1525"/>
      <c r="BQ1539" s="1525"/>
      <c r="BR1539" s="1525"/>
      <c r="BS1539" s="1525"/>
      <c r="BT1539" s="1670">
        <f t="shared" si="956"/>
        <v>1</v>
      </c>
      <c r="BV1539"/>
      <c r="BW1539" s="824" t="s">
        <v>1851</v>
      </c>
    </row>
    <row r="1540" spans="2:75" s="164" customFormat="1" ht="12.75" customHeight="1" x14ac:dyDescent="0.2">
      <c r="B1540" s="175">
        <f t="shared" si="948"/>
        <v>22</v>
      </c>
      <c r="C1540" s="547">
        <v>15</v>
      </c>
      <c r="D1540" s="547"/>
      <c r="E1540" s="4" t="s">
        <v>1665</v>
      </c>
      <c r="F1540" s="4" t="s">
        <v>631</v>
      </c>
      <c r="G1540" s="824" t="s">
        <v>1668</v>
      </c>
      <c r="H1540" s="861">
        <v>143271</v>
      </c>
      <c r="I1540" s="197" t="s">
        <v>583</v>
      </c>
      <c r="J1540" s="174"/>
      <c r="K1540" s="174"/>
      <c r="L1540" s="861">
        <v>1</v>
      </c>
      <c r="M1540" s="861">
        <v>1</v>
      </c>
      <c r="N1540" s="836" t="s">
        <v>1402</v>
      </c>
      <c r="O1540" s="1196">
        <v>23070</v>
      </c>
      <c r="P1540" s="1218">
        <f t="shared" ca="1" si="949"/>
        <v>54.588888888888889</v>
      </c>
      <c r="Q1540" s="1153">
        <v>28500</v>
      </c>
      <c r="R1540" s="874">
        <f>Q1540*0.1</f>
        <v>2850</v>
      </c>
      <c r="S1540" s="876"/>
      <c r="T1540" s="876">
        <v>3000</v>
      </c>
      <c r="U1540" s="876"/>
      <c r="V1540" s="876"/>
      <c r="W1540" s="876"/>
      <c r="X1540" s="1026">
        <f t="shared" si="961"/>
        <v>34350</v>
      </c>
      <c r="Y1540" s="1512">
        <f t="shared" si="962"/>
        <v>9.569377990430622E-2</v>
      </c>
      <c r="Z1540" s="1741">
        <f t="shared" si="952"/>
        <v>1.0956937799043063</v>
      </c>
      <c r="AA1540" s="1749">
        <f t="shared" si="963"/>
        <v>1</v>
      </c>
      <c r="AB1540" s="1810">
        <f t="shared" si="964"/>
        <v>91.266375545851517</v>
      </c>
      <c r="AC1540" s="876"/>
      <c r="AD1540" s="1525">
        <f t="shared" si="965"/>
        <v>1</v>
      </c>
      <c r="AE1540" s="1525">
        <f t="shared" si="965"/>
        <v>0</v>
      </c>
      <c r="AF1540" s="1525">
        <f t="shared" si="965"/>
        <v>0</v>
      </c>
      <c r="AG1540" s="1525">
        <f t="shared" si="965"/>
        <v>0</v>
      </c>
      <c r="AH1540" s="1525">
        <f t="shared" si="965"/>
        <v>0</v>
      </c>
      <c r="AI1540" s="1525">
        <f t="shared" si="965"/>
        <v>0</v>
      </c>
      <c r="AJ1540" s="1525">
        <f t="shared" si="965"/>
        <v>0</v>
      </c>
      <c r="AK1540" s="1525">
        <f t="shared" si="965"/>
        <v>0</v>
      </c>
      <c r="AL1540" s="1525">
        <f t="shared" si="965"/>
        <v>0</v>
      </c>
      <c r="AM1540" s="1525">
        <f t="shared" si="965"/>
        <v>0</v>
      </c>
      <c r="AN1540" s="1525">
        <f t="shared" si="965"/>
        <v>0</v>
      </c>
      <c r="AO1540" s="1525">
        <f t="shared" si="965"/>
        <v>0</v>
      </c>
      <c r="AP1540" s="1525">
        <f t="shared" si="965"/>
        <v>0</v>
      </c>
      <c r="AQ1540" s="1525">
        <f t="shared" si="965"/>
        <v>0</v>
      </c>
      <c r="AR1540" s="1525">
        <f t="shared" si="965"/>
        <v>0</v>
      </c>
      <c r="AS1540" s="1525">
        <f t="shared" si="965"/>
        <v>0</v>
      </c>
      <c r="AU1540" s="1525"/>
      <c r="AV1540" s="1295"/>
      <c r="AW1540" s="1525"/>
      <c r="AX1540" s="1525"/>
      <c r="AY1540" s="1525"/>
      <c r="AZ1540" s="1525"/>
      <c r="BA1540" s="1525"/>
      <c r="BB1540" s="1525"/>
      <c r="BC1540" s="1525"/>
      <c r="BD1540" s="1525"/>
      <c r="BE1540" s="1525"/>
      <c r="BF1540" s="1525"/>
      <c r="BG1540" s="1525"/>
      <c r="BH1540" s="1525"/>
      <c r="BI1540" s="1525"/>
      <c r="BJ1540" s="1525">
        <v>1</v>
      </c>
      <c r="BK1540" s="1525"/>
      <c r="BL1540" s="1525"/>
      <c r="BM1540" s="1525"/>
      <c r="BN1540" s="1525"/>
      <c r="BO1540" s="1525"/>
      <c r="BP1540" s="1525"/>
      <c r="BQ1540" s="1525"/>
      <c r="BR1540" s="1525"/>
      <c r="BS1540" s="1525"/>
      <c r="BT1540" s="1670">
        <f t="shared" si="956"/>
        <v>1</v>
      </c>
      <c r="BV1540"/>
      <c r="BW1540" s="824" t="s">
        <v>1668</v>
      </c>
    </row>
    <row r="1541" spans="2:75" s="164" customFormat="1" ht="12.75" customHeight="1" x14ac:dyDescent="0.2">
      <c r="B1541" s="175">
        <f t="shared" si="948"/>
        <v>23</v>
      </c>
      <c r="C1541" s="547">
        <v>15</v>
      </c>
      <c r="D1541" s="547"/>
      <c r="E1541" s="4" t="s">
        <v>1665</v>
      </c>
      <c r="F1541" s="4" t="s">
        <v>631</v>
      </c>
      <c r="G1541" s="824" t="s">
        <v>1669</v>
      </c>
      <c r="H1541" s="861">
        <v>143270</v>
      </c>
      <c r="I1541" s="197" t="s">
        <v>583</v>
      </c>
      <c r="J1541" s="174"/>
      <c r="K1541" s="174"/>
      <c r="L1541" s="861">
        <v>1</v>
      </c>
      <c r="M1541" s="861">
        <v>1</v>
      </c>
      <c r="N1541" s="836" t="s">
        <v>1402</v>
      </c>
      <c r="O1541" s="1196">
        <v>20107</v>
      </c>
      <c r="P1541" s="1218">
        <f t="shared" ca="1" si="949"/>
        <v>62.705555555555556</v>
      </c>
      <c r="Q1541" s="1153">
        <v>28500</v>
      </c>
      <c r="R1541" s="874">
        <f>Q1541*0.1</f>
        <v>2850</v>
      </c>
      <c r="S1541" s="876"/>
      <c r="T1541" s="876">
        <v>3000</v>
      </c>
      <c r="U1541" s="876"/>
      <c r="V1541" s="876"/>
      <c r="W1541" s="876"/>
      <c r="X1541" s="1026">
        <f t="shared" si="961"/>
        <v>34350</v>
      </c>
      <c r="Y1541" s="1512">
        <f t="shared" si="962"/>
        <v>9.569377990430622E-2</v>
      </c>
      <c r="Z1541" s="1741">
        <f t="shared" si="952"/>
        <v>1.0956937799043063</v>
      </c>
      <c r="AA1541" s="1749">
        <f t="shared" si="963"/>
        <v>1</v>
      </c>
      <c r="AB1541" s="1810">
        <f t="shared" si="964"/>
        <v>91.266375545851517</v>
      </c>
      <c r="AC1541" s="876"/>
      <c r="AD1541" s="1525">
        <f t="shared" si="965"/>
        <v>1</v>
      </c>
      <c r="AE1541" s="1525">
        <f t="shared" si="965"/>
        <v>0</v>
      </c>
      <c r="AF1541" s="1525">
        <f t="shared" si="965"/>
        <v>0</v>
      </c>
      <c r="AG1541" s="1525">
        <f t="shared" si="965"/>
        <v>0</v>
      </c>
      <c r="AH1541" s="1525">
        <f t="shared" si="965"/>
        <v>0</v>
      </c>
      <c r="AI1541" s="1525">
        <f t="shared" si="965"/>
        <v>0</v>
      </c>
      <c r="AJ1541" s="1525">
        <f t="shared" si="965"/>
        <v>0</v>
      </c>
      <c r="AK1541" s="1525">
        <f t="shared" si="965"/>
        <v>0</v>
      </c>
      <c r="AL1541" s="1525">
        <f t="shared" si="965"/>
        <v>0</v>
      </c>
      <c r="AM1541" s="1525">
        <f t="shared" si="965"/>
        <v>0</v>
      </c>
      <c r="AN1541" s="1525">
        <f t="shared" si="965"/>
        <v>0</v>
      </c>
      <c r="AO1541" s="1525">
        <f t="shared" si="965"/>
        <v>0</v>
      </c>
      <c r="AP1541" s="1525">
        <f t="shared" si="965"/>
        <v>0</v>
      </c>
      <c r="AQ1541" s="1525">
        <f t="shared" si="965"/>
        <v>0</v>
      </c>
      <c r="AR1541" s="1525">
        <f t="shared" si="965"/>
        <v>0</v>
      </c>
      <c r="AS1541" s="1525">
        <f t="shared" si="965"/>
        <v>0</v>
      </c>
      <c r="AU1541" s="1525"/>
      <c r="AV1541" s="1295"/>
      <c r="AW1541" s="1525"/>
      <c r="AX1541" s="1525"/>
      <c r="AY1541" s="1525"/>
      <c r="AZ1541" s="1525"/>
      <c r="BA1541" s="1525"/>
      <c r="BB1541" s="1525"/>
      <c r="BC1541" s="1525"/>
      <c r="BD1541" s="1525"/>
      <c r="BE1541" s="1525"/>
      <c r="BF1541" s="1525"/>
      <c r="BG1541" s="1525"/>
      <c r="BH1541" s="1525"/>
      <c r="BI1541" s="1525"/>
      <c r="BJ1541" s="1525">
        <v>1</v>
      </c>
      <c r="BK1541" s="1525"/>
      <c r="BL1541" s="1525"/>
      <c r="BM1541" s="1525"/>
      <c r="BN1541" s="1525"/>
      <c r="BO1541" s="1525"/>
      <c r="BP1541" s="1525"/>
      <c r="BQ1541" s="1525"/>
      <c r="BR1541" s="1525"/>
      <c r="BS1541" s="1525"/>
      <c r="BT1541" s="1670">
        <f t="shared" si="956"/>
        <v>1</v>
      </c>
      <c r="BV1541"/>
      <c r="BW1541" s="824" t="s">
        <v>1669</v>
      </c>
    </row>
    <row r="1542" spans="2:75" s="164" customFormat="1" ht="12.75" customHeight="1" x14ac:dyDescent="0.2">
      <c r="B1542" s="175">
        <f t="shared" si="948"/>
        <v>24</v>
      </c>
      <c r="C1542" s="547">
        <v>21</v>
      </c>
      <c r="D1542" s="547"/>
      <c r="E1542" s="4" t="s">
        <v>1665</v>
      </c>
      <c r="F1542" s="4" t="s">
        <v>1583</v>
      </c>
      <c r="G1542" s="825" t="s">
        <v>204</v>
      </c>
      <c r="H1542" s="861">
        <v>21996</v>
      </c>
      <c r="I1542" s="197" t="s">
        <v>583</v>
      </c>
      <c r="J1542" s="174"/>
      <c r="K1542" s="174"/>
      <c r="L1542" s="861">
        <v>1</v>
      </c>
      <c r="M1542" s="861">
        <v>1</v>
      </c>
      <c r="N1542" s="832" t="s">
        <v>892</v>
      </c>
      <c r="O1542" s="1196">
        <v>21631</v>
      </c>
      <c r="P1542" s="1218">
        <f t="shared" ca="1" si="949"/>
        <v>58.527777777777779</v>
      </c>
      <c r="Q1542" s="1153">
        <v>20500</v>
      </c>
      <c r="R1542" s="884"/>
      <c r="S1542" s="876"/>
      <c r="T1542" s="876"/>
      <c r="U1542" s="876"/>
      <c r="V1542" s="876"/>
      <c r="W1542" s="876"/>
      <c r="X1542" s="1026">
        <f t="shared" si="961"/>
        <v>20500</v>
      </c>
      <c r="Y1542" s="1512">
        <f t="shared" si="962"/>
        <v>0</v>
      </c>
      <c r="Z1542" s="1741">
        <f t="shared" si="952"/>
        <v>1</v>
      </c>
      <c r="AA1542" s="1749">
        <f t="shared" si="963"/>
        <v>0</v>
      </c>
      <c r="AB1542" s="1810">
        <f t="shared" si="964"/>
        <v>0</v>
      </c>
      <c r="AC1542" s="876"/>
      <c r="AD1542" s="1525">
        <f t="shared" si="965"/>
        <v>0</v>
      </c>
      <c r="AE1542" s="1525">
        <f t="shared" si="965"/>
        <v>0</v>
      </c>
      <c r="AF1542" s="1525">
        <f t="shared" si="965"/>
        <v>0</v>
      </c>
      <c r="AG1542" s="1525">
        <f t="shared" si="965"/>
        <v>0</v>
      </c>
      <c r="AH1542" s="1525">
        <f t="shared" si="965"/>
        <v>0</v>
      </c>
      <c r="AI1542" s="1525">
        <f t="shared" si="965"/>
        <v>0</v>
      </c>
      <c r="AJ1542" s="1525">
        <f t="shared" si="965"/>
        <v>0</v>
      </c>
      <c r="AK1542" s="1525">
        <f t="shared" si="965"/>
        <v>0</v>
      </c>
      <c r="AL1542" s="1525">
        <f t="shared" si="965"/>
        <v>0</v>
      </c>
      <c r="AM1542" s="1525">
        <f t="shared" si="965"/>
        <v>0</v>
      </c>
      <c r="AN1542" s="1525">
        <f t="shared" si="965"/>
        <v>0</v>
      </c>
      <c r="AO1542" s="1525">
        <f t="shared" si="965"/>
        <v>0</v>
      </c>
      <c r="AP1542" s="1525">
        <f t="shared" si="965"/>
        <v>0</v>
      </c>
      <c r="AQ1542" s="1525">
        <f t="shared" si="965"/>
        <v>0</v>
      </c>
      <c r="AR1542" s="1525">
        <f t="shared" si="965"/>
        <v>0</v>
      </c>
      <c r="AS1542" s="1525">
        <f t="shared" si="965"/>
        <v>0</v>
      </c>
      <c r="AU1542" s="1525"/>
      <c r="AV1542" s="1295"/>
      <c r="AW1542" s="1525"/>
      <c r="AX1542" s="1525"/>
      <c r="AY1542" s="1525"/>
      <c r="AZ1542" s="1525"/>
      <c r="BA1542" s="1525"/>
      <c r="BB1542" s="1525"/>
      <c r="BC1542" s="1525"/>
      <c r="BD1542" s="1525"/>
      <c r="BE1542" s="1525"/>
      <c r="BF1542" s="1525"/>
      <c r="BG1542" s="1525"/>
      <c r="BH1542" s="1525"/>
      <c r="BI1542" s="1525"/>
      <c r="BJ1542" s="1525"/>
      <c r="BK1542" s="1525"/>
      <c r="BL1542" s="1525"/>
      <c r="BM1542" s="1525"/>
      <c r="BN1542" s="1525"/>
      <c r="BO1542" s="1525"/>
      <c r="BP1542" s="1525"/>
      <c r="BQ1542" s="1525"/>
      <c r="BR1542" s="1525"/>
      <c r="BS1542" s="1525"/>
      <c r="BT1542" s="1670">
        <f t="shared" si="956"/>
        <v>0</v>
      </c>
      <c r="BV1542"/>
      <c r="BW1542" s="825" t="s">
        <v>204</v>
      </c>
    </row>
    <row r="1543" spans="2:75" s="164" customFormat="1" ht="12.75" customHeight="1" x14ac:dyDescent="0.2">
      <c r="B1543" s="175">
        <f t="shared" si="948"/>
        <v>25</v>
      </c>
      <c r="C1543" s="547">
        <v>18</v>
      </c>
      <c r="D1543" s="547"/>
      <c r="E1543" s="4" t="s">
        <v>1665</v>
      </c>
      <c r="F1543" s="24" t="s">
        <v>584</v>
      </c>
      <c r="G1543" s="821" t="s">
        <v>1782</v>
      </c>
      <c r="H1543" s="861">
        <v>151184</v>
      </c>
      <c r="I1543" s="197" t="s">
        <v>583</v>
      </c>
      <c r="J1543" s="174"/>
      <c r="K1543" s="174"/>
      <c r="L1543" s="861">
        <v>0.5</v>
      </c>
      <c r="M1543" s="861">
        <v>0.5</v>
      </c>
      <c r="N1543" s="832" t="s">
        <v>892</v>
      </c>
      <c r="O1543" s="1196">
        <v>34380</v>
      </c>
      <c r="P1543" s="1218">
        <f t="shared" ca="1" si="949"/>
        <v>23.630555555555556</v>
      </c>
      <c r="Q1543" s="1153">
        <v>24000</v>
      </c>
      <c r="R1543" s="884"/>
      <c r="S1543" s="876"/>
      <c r="T1543" s="876"/>
      <c r="U1543" s="876"/>
      <c r="V1543" s="876"/>
      <c r="W1543" s="876"/>
      <c r="X1543" s="1026">
        <f t="shared" si="961"/>
        <v>12000</v>
      </c>
      <c r="Y1543" s="1512">
        <f t="shared" si="962"/>
        <v>0</v>
      </c>
      <c r="Z1543" s="1741">
        <f t="shared" si="952"/>
        <v>0.5</v>
      </c>
      <c r="AA1543" s="1749">
        <f t="shared" si="963"/>
        <v>0</v>
      </c>
      <c r="AB1543" s="1810">
        <f t="shared" si="964"/>
        <v>0</v>
      </c>
      <c r="AC1543" s="876"/>
      <c r="AD1543" s="1525">
        <f t="shared" si="965"/>
        <v>0</v>
      </c>
      <c r="AE1543" s="1525">
        <f t="shared" si="965"/>
        <v>0</v>
      </c>
      <c r="AF1543" s="1525">
        <f t="shared" si="965"/>
        <v>0</v>
      </c>
      <c r="AG1543" s="1525">
        <f t="shared" si="965"/>
        <v>0</v>
      </c>
      <c r="AH1543" s="1525">
        <f t="shared" si="965"/>
        <v>0</v>
      </c>
      <c r="AI1543" s="1525">
        <f t="shared" si="965"/>
        <v>0</v>
      </c>
      <c r="AJ1543" s="1525">
        <f t="shared" si="965"/>
        <v>0</v>
      </c>
      <c r="AK1543" s="1525">
        <f t="shared" si="965"/>
        <v>0</v>
      </c>
      <c r="AL1543" s="1525">
        <f t="shared" si="965"/>
        <v>0</v>
      </c>
      <c r="AM1543" s="1525">
        <f t="shared" si="965"/>
        <v>0</v>
      </c>
      <c r="AN1543" s="1525">
        <f t="shared" si="965"/>
        <v>0</v>
      </c>
      <c r="AO1543" s="1525">
        <f t="shared" si="965"/>
        <v>0</v>
      </c>
      <c r="AP1543" s="1525">
        <f t="shared" si="965"/>
        <v>0</v>
      </c>
      <c r="AQ1543" s="1525">
        <f t="shared" si="965"/>
        <v>0</v>
      </c>
      <c r="AR1543" s="1525">
        <f t="shared" si="965"/>
        <v>0</v>
      </c>
      <c r="AS1543" s="1525">
        <f t="shared" si="965"/>
        <v>0</v>
      </c>
      <c r="AU1543" s="1525"/>
      <c r="AV1543" s="1295"/>
      <c r="AW1543" s="1525"/>
      <c r="AX1543" s="1525"/>
      <c r="AY1543" s="1525"/>
      <c r="AZ1543" s="1525"/>
      <c r="BA1543" s="1525"/>
      <c r="BB1543" s="1525"/>
      <c r="BC1543" s="1525"/>
      <c r="BD1543" s="1525"/>
      <c r="BE1543" s="1525"/>
      <c r="BF1543" s="1525"/>
      <c r="BG1543" s="1525"/>
      <c r="BH1543" s="1525"/>
      <c r="BI1543" s="1525"/>
      <c r="BJ1543" s="1525"/>
      <c r="BK1543" s="1525"/>
      <c r="BL1543" s="1525"/>
      <c r="BM1543" s="1525"/>
      <c r="BN1543" s="1525"/>
      <c r="BO1543" s="1525"/>
      <c r="BP1543" s="1525"/>
      <c r="BQ1543" s="1525"/>
      <c r="BR1543" s="1525"/>
      <c r="BS1543" s="1525"/>
      <c r="BT1543" s="1670">
        <f t="shared" si="956"/>
        <v>0</v>
      </c>
      <c r="BV1543"/>
      <c r="BW1543" s="821" t="s">
        <v>1782</v>
      </c>
    </row>
    <row r="1544" spans="2:75" s="164" customFormat="1" ht="12.75" customHeight="1" x14ac:dyDescent="0.2">
      <c r="B1544" s="175">
        <f t="shared" si="948"/>
        <v>26</v>
      </c>
      <c r="C1544" s="547">
        <v>18</v>
      </c>
      <c r="D1544" s="547"/>
      <c r="E1544" s="4" t="s">
        <v>1665</v>
      </c>
      <c r="F1544" s="24" t="s">
        <v>584</v>
      </c>
      <c r="G1544" s="821" t="s">
        <v>1853</v>
      </c>
      <c r="H1544" s="861">
        <v>151197</v>
      </c>
      <c r="I1544" s="197" t="s">
        <v>583</v>
      </c>
      <c r="J1544" s="174"/>
      <c r="K1544" s="174"/>
      <c r="L1544" s="861">
        <v>0.5</v>
      </c>
      <c r="M1544" s="861">
        <v>0.5</v>
      </c>
      <c r="N1544" s="832" t="s">
        <v>892</v>
      </c>
      <c r="O1544" s="1196">
        <v>34928</v>
      </c>
      <c r="P1544" s="1218">
        <f t="shared" ca="1" si="949"/>
        <v>22.125</v>
      </c>
      <c r="Q1544" s="1153">
        <v>24000</v>
      </c>
      <c r="R1544" s="884"/>
      <c r="S1544" s="876"/>
      <c r="T1544" s="876"/>
      <c r="U1544" s="876"/>
      <c r="V1544" s="876"/>
      <c r="W1544" s="876"/>
      <c r="X1544" s="1026">
        <f t="shared" si="961"/>
        <v>12000</v>
      </c>
      <c r="Y1544" s="1512">
        <f t="shared" si="962"/>
        <v>0</v>
      </c>
      <c r="Z1544" s="1741">
        <f t="shared" si="952"/>
        <v>0.5</v>
      </c>
      <c r="AA1544" s="1749">
        <f t="shared" si="963"/>
        <v>0</v>
      </c>
      <c r="AB1544" s="1810">
        <f t="shared" si="964"/>
        <v>0</v>
      </c>
      <c r="AC1544" s="876"/>
      <c r="AD1544" s="1525">
        <f t="shared" si="965"/>
        <v>0</v>
      </c>
      <c r="AE1544" s="1525">
        <f t="shared" si="965"/>
        <v>0</v>
      </c>
      <c r="AF1544" s="1525">
        <f t="shared" si="965"/>
        <v>0</v>
      </c>
      <c r="AG1544" s="1525">
        <f t="shared" si="965"/>
        <v>0</v>
      </c>
      <c r="AH1544" s="1525">
        <f t="shared" si="965"/>
        <v>0</v>
      </c>
      <c r="AI1544" s="1525">
        <f t="shared" si="965"/>
        <v>0</v>
      </c>
      <c r="AJ1544" s="1525">
        <f t="shared" si="965"/>
        <v>0</v>
      </c>
      <c r="AK1544" s="1525">
        <f t="shared" si="965"/>
        <v>0</v>
      </c>
      <c r="AL1544" s="1525">
        <f t="shared" si="965"/>
        <v>0</v>
      </c>
      <c r="AM1544" s="1525">
        <f t="shared" si="965"/>
        <v>0</v>
      </c>
      <c r="AN1544" s="1525">
        <f t="shared" si="965"/>
        <v>0</v>
      </c>
      <c r="AO1544" s="1525">
        <f t="shared" si="965"/>
        <v>0</v>
      </c>
      <c r="AP1544" s="1525">
        <f t="shared" si="965"/>
        <v>0</v>
      </c>
      <c r="AQ1544" s="1525">
        <f t="shared" si="965"/>
        <v>0</v>
      </c>
      <c r="AR1544" s="1525">
        <f t="shared" si="965"/>
        <v>0</v>
      </c>
      <c r="AS1544" s="1525">
        <f t="shared" si="965"/>
        <v>0</v>
      </c>
      <c r="AU1544" s="1525"/>
      <c r="AV1544" s="1295"/>
      <c r="AW1544" s="1525"/>
      <c r="AX1544" s="1525"/>
      <c r="AY1544" s="1525"/>
      <c r="AZ1544" s="1525"/>
      <c r="BA1544" s="1525"/>
      <c r="BB1544" s="1525"/>
      <c r="BC1544" s="1525"/>
      <c r="BD1544" s="1525"/>
      <c r="BE1544" s="1525"/>
      <c r="BF1544" s="1525"/>
      <c r="BG1544" s="1525"/>
      <c r="BH1544" s="1525"/>
      <c r="BI1544" s="1525"/>
      <c r="BJ1544" s="1525"/>
      <c r="BK1544" s="1525"/>
      <c r="BL1544" s="1525"/>
      <c r="BM1544" s="1525"/>
      <c r="BN1544" s="1525"/>
      <c r="BO1544" s="1525"/>
      <c r="BP1544" s="1525"/>
      <c r="BQ1544" s="1525"/>
      <c r="BR1544" s="1525"/>
      <c r="BS1544" s="1525"/>
      <c r="BT1544" s="1670">
        <f t="shared" si="956"/>
        <v>0</v>
      </c>
      <c r="BV1544"/>
      <c r="BW1544" s="821" t="s">
        <v>1853</v>
      </c>
    </row>
    <row r="1545" spans="2:75" s="164" customFormat="1" ht="12.75" customHeight="1" x14ac:dyDescent="0.2">
      <c r="B1545" s="175">
        <f t="shared" si="948"/>
        <v>27</v>
      </c>
      <c r="C1545" s="547">
        <v>18</v>
      </c>
      <c r="D1545" s="547"/>
      <c r="E1545" s="4" t="s">
        <v>1665</v>
      </c>
      <c r="F1545" s="14" t="s">
        <v>1353</v>
      </c>
      <c r="G1545" s="912" t="s">
        <v>1431</v>
      </c>
      <c r="H1545" s="873">
        <v>8192</v>
      </c>
      <c r="I1545" s="273" t="s">
        <v>1442</v>
      </c>
      <c r="J1545" s="174"/>
      <c r="K1545" s="195"/>
      <c r="L1545" s="873">
        <v>1</v>
      </c>
      <c r="M1545" s="873">
        <v>1</v>
      </c>
      <c r="N1545" s="940" t="s">
        <v>1326</v>
      </c>
      <c r="O1545" s="1211">
        <v>18655</v>
      </c>
      <c r="P1545" s="1218">
        <f t="shared" ca="1" si="949"/>
        <v>66.680555555555557</v>
      </c>
      <c r="Q1545" s="1153">
        <v>32400</v>
      </c>
      <c r="R1545" s="874">
        <f>Q1545*0.1</f>
        <v>3240</v>
      </c>
      <c r="S1545" s="876"/>
      <c r="T1545" s="876"/>
      <c r="U1545" s="876"/>
      <c r="V1545" s="876"/>
      <c r="W1545" s="876"/>
      <c r="X1545" s="1026">
        <f t="shared" si="961"/>
        <v>35640</v>
      </c>
      <c r="Y1545" s="1512">
        <f t="shared" si="962"/>
        <v>0</v>
      </c>
      <c r="Z1545" s="1741">
        <f t="shared" si="952"/>
        <v>1</v>
      </c>
      <c r="AA1545" s="1749">
        <f t="shared" si="963"/>
        <v>0.65</v>
      </c>
      <c r="AB1545" s="1810">
        <f t="shared" si="964"/>
        <v>65</v>
      </c>
      <c r="AC1545" s="876"/>
      <c r="AD1545" s="1525">
        <f t="shared" si="965"/>
        <v>0.65</v>
      </c>
      <c r="AE1545" s="1525">
        <f t="shared" si="965"/>
        <v>0</v>
      </c>
      <c r="AF1545" s="1525">
        <f t="shared" si="965"/>
        <v>0</v>
      </c>
      <c r="AG1545" s="1525">
        <f t="shared" si="965"/>
        <v>0</v>
      </c>
      <c r="AH1545" s="1525">
        <f t="shared" si="965"/>
        <v>0</v>
      </c>
      <c r="AI1545" s="1525">
        <f t="shared" si="965"/>
        <v>0</v>
      </c>
      <c r="AJ1545" s="1525">
        <f t="shared" si="965"/>
        <v>0</v>
      </c>
      <c r="AK1545" s="1525">
        <f t="shared" si="965"/>
        <v>0</v>
      </c>
      <c r="AL1545" s="1525">
        <f t="shared" si="965"/>
        <v>0</v>
      </c>
      <c r="AM1545" s="1525">
        <f t="shared" si="965"/>
        <v>0</v>
      </c>
      <c r="AN1545" s="1525">
        <f t="shared" si="965"/>
        <v>0</v>
      </c>
      <c r="AO1545" s="1525">
        <f t="shared" si="965"/>
        <v>0</v>
      </c>
      <c r="AP1545" s="1525">
        <f t="shared" si="965"/>
        <v>0</v>
      </c>
      <c r="AQ1545" s="1525">
        <f t="shared" si="965"/>
        <v>0</v>
      </c>
      <c r="AR1545" s="1525">
        <f t="shared" si="965"/>
        <v>0</v>
      </c>
      <c r="AS1545" s="1525">
        <f t="shared" si="965"/>
        <v>0</v>
      </c>
      <c r="AU1545" s="1525"/>
      <c r="AV1545" s="1295"/>
      <c r="AW1545" s="1525"/>
      <c r="AX1545" s="1525"/>
      <c r="AY1545" s="1525"/>
      <c r="AZ1545" s="1525"/>
      <c r="BA1545" s="1525"/>
      <c r="BB1545" s="1525"/>
      <c r="BC1545" s="1525"/>
      <c r="BD1545" s="1525"/>
      <c r="BE1545" s="1525"/>
      <c r="BF1545" s="1525"/>
      <c r="BG1545" s="1525"/>
      <c r="BH1545" s="1525"/>
      <c r="BI1545" s="1525"/>
      <c r="BJ1545" s="1525">
        <v>0.65</v>
      </c>
      <c r="BK1545" s="1525"/>
      <c r="BL1545" s="1525"/>
      <c r="BM1545" s="1525"/>
      <c r="BN1545" s="1525"/>
      <c r="BO1545" s="1525"/>
      <c r="BP1545" s="1525"/>
      <c r="BQ1545" s="1525"/>
      <c r="BR1545" s="1525"/>
      <c r="BS1545" s="1525"/>
      <c r="BT1545" s="1670">
        <f t="shared" si="956"/>
        <v>0.65</v>
      </c>
      <c r="BV1545"/>
      <c r="BW1545" s="912" t="s">
        <v>1431</v>
      </c>
    </row>
    <row r="1546" spans="2:75" s="164" customFormat="1" ht="12.75" customHeight="1" x14ac:dyDescent="0.2">
      <c r="B1546" s="175"/>
      <c r="C1546" s="547" t="s">
        <v>1120</v>
      </c>
      <c r="D1546" s="547"/>
      <c r="E1546" s="4"/>
      <c r="F1546" s="4" t="s">
        <v>379</v>
      </c>
      <c r="G1546" s="824"/>
      <c r="H1546" s="1347" t="s">
        <v>1508</v>
      </c>
      <c r="I1546" s="197"/>
      <c r="J1546" s="174"/>
      <c r="K1546" s="1133">
        <f>SUM(K1519:K1545)</f>
        <v>0</v>
      </c>
      <c r="L1546" s="1133">
        <f>SUM(L1519:L1545)</f>
        <v>21.85</v>
      </c>
      <c r="M1546" s="1133">
        <f>SUM(M1519:M1545)</f>
        <v>21.85</v>
      </c>
      <c r="N1546" s="836"/>
      <c r="O1546" s="1190"/>
      <c r="P1546" s="1245"/>
      <c r="Q1546" s="1153"/>
      <c r="R1546" s="884"/>
      <c r="S1546" s="876"/>
      <c r="T1546" s="876"/>
      <c r="U1546" s="876"/>
      <c r="V1546" s="876"/>
      <c r="W1546" s="876"/>
      <c r="X1546" s="1026"/>
      <c r="Y1546" s="1335"/>
      <c r="Z1546" s="1335"/>
      <c r="AA1546" s="1775"/>
      <c r="AB1546" s="1814"/>
      <c r="AC1546" s="876"/>
      <c r="AD1546" s="1295"/>
      <c r="AE1546" s="1525"/>
      <c r="AF1546" s="1525"/>
      <c r="AG1546" s="1525"/>
      <c r="AH1546" s="1525"/>
      <c r="AI1546" s="1525"/>
      <c r="AJ1546" s="1525"/>
      <c r="AK1546" s="1525"/>
      <c r="AL1546" s="1525"/>
      <c r="AM1546" s="1525"/>
      <c r="AN1546" s="1525"/>
      <c r="AO1546" s="1525"/>
      <c r="AP1546" s="1525"/>
      <c r="AQ1546" s="1525"/>
      <c r="AR1546" s="1525"/>
      <c r="AS1546" s="1525"/>
      <c r="AU1546" s="1525"/>
      <c r="AV1546" s="1295"/>
      <c r="AW1546" s="1525"/>
      <c r="AX1546" s="1525"/>
      <c r="AY1546" s="1525"/>
      <c r="AZ1546" s="1525"/>
      <c r="BA1546" s="1525"/>
      <c r="BB1546" s="1525"/>
      <c r="BC1546" s="1525"/>
      <c r="BD1546" s="1525"/>
      <c r="BE1546" s="1525"/>
      <c r="BF1546" s="1525"/>
      <c r="BG1546" s="1525"/>
      <c r="BH1546" s="1525"/>
      <c r="BI1546" s="1525"/>
      <c r="BJ1546" s="1525"/>
      <c r="BK1546" s="1525"/>
      <c r="BL1546" s="1525"/>
      <c r="BM1546" s="1525"/>
      <c r="BN1546" s="1525"/>
      <c r="BO1546" s="1525"/>
      <c r="BP1546" s="1525"/>
      <c r="BQ1546" s="1525"/>
      <c r="BR1546" s="1525"/>
      <c r="BS1546" s="1525"/>
      <c r="BT1546" s="1670"/>
      <c r="BV1546"/>
      <c r="BW1546" s="824"/>
    </row>
    <row r="1547" spans="2:75" s="164" customFormat="1" ht="12.75" customHeight="1" x14ac:dyDescent="0.2">
      <c r="B1547" s="175"/>
      <c r="C1547" s="547"/>
      <c r="D1547" s="547"/>
      <c r="E1547" s="4"/>
      <c r="F1547" s="4"/>
      <c r="G1547" s="824"/>
      <c r="H1547" s="1347" t="s">
        <v>1508</v>
      </c>
      <c r="I1547" s="197"/>
      <c r="J1547" s="174"/>
      <c r="K1547" s="861"/>
      <c r="L1547" s="861"/>
      <c r="M1547" s="861"/>
      <c r="N1547" s="836"/>
      <c r="O1547" s="1190"/>
      <c r="P1547" s="1245"/>
      <c r="Q1547" s="1153"/>
      <c r="R1547" s="884"/>
      <c r="S1547" s="876"/>
      <c r="T1547" s="876"/>
      <c r="U1547" s="876"/>
      <c r="V1547" s="876"/>
      <c r="W1547" s="876"/>
      <c r="X1547" s="1026"/>
      <c r="Y1547" s="1754"/>
      <c r="Z1547" s="1755"/>
      <c r="AA1547" s="1775"/>
      <c r="AB1547" s="1814"/>
      <c r="AC1547" s="876"/>
      <c r="AD1547" s="1295"/>
      <c r="AE1547" s="1525"/>
      <c r="AF1547" s="1525"/>
      <c r="AG1547" s="1525"/>
      <c r="AH1547" s="1525"/>
      <c r="AI1547" s="1525"/>
      <c r="AJ1547" s="1525"/>
      <c r="AK1547" s="1525"/>
      <c r="AL1547" s="1525"/>
      <c r="AM1547" s="1525"/>
      <c r="AN1547" s="1525"/>
      <c r="AO1547" s="1525"/>
      <c r="AP1547" s="1525"/>
      <c r="AQ1547" s="1525"/>
      <c r="AR1547" s="1525"/>
      <c r="AS1547" s="1525"/>
      <c r="AU1547" s="1525"/>
      <c r="AV1547" s="1295"/>
      <c r="AW1547" s="1525"/>
      <c r="AX1547" s="1525"/>
      <c r="AY1547" s="1525"/>
      <c r="AZ1547" s="1525"/>
      <c r="BA1547" s="1525"/>
      <c r="BB1547" s="1525"/>
      <c r="BC1547" s="1525"/>
      <c r="BD1547" s="1525"/>
      <c r="BE1547" s="1525"/>
      <c r="BF1547" s="1525"/>
      <c r="BG1547" s="1525"/>
      <c r="BH1547" s="1525"/>
      <c r="BI1547" s="1525"/>
      <c r="BJ1547" s="1525"/>
      <c r="BK1547" s="1525"/>
      <c r="BL1547" s="1525"/>
      <c r="BM1547" s="1525"/>
      <c r="BN1547" s="1525"/>
      <c r="BO1547" s="1525"/>
      <c r="BP1547" s="1525"/>
      <c r="BQ1547" s="1525"/>
      <c r="BR1547" s="1525"/>
      <c r="BS1547" s="1525"/>
      <c r="BT1547" s="1670"/>
      <c r="BV1547"/>
      <c r="BW1547" s="824"/>
    </row>
    <row r="1548" spans="2:75" s="164" customFormat="1" ht="12.75" customHeight="1" x14ac:dyDescent="0.2">
      <c r="B1548" s="175"/>
      <c r="C1548" s="547"/>
      <c r="D1548" s="547"/>
      <c r="E1548" s="4"/>
      <c r="F1548" s="1117" t="s">
        <v>436</v>
      </c>
      <c r="G1548" s="824"/>
      <c r="H1548" s="1347" t="s">
        <v>1508</v>
      </c>
      <c r="I1548" s="180"/>
      <c r="J1548" s="174"/>
      <c r="K1548" s="174"/>
      <c r="L1548" s="861"/>
      <c r="M1548" s="861"/>
      <c r="N1548" s="836"/>
      <c r="O1548" s="1190"/>
      <c r="P1548" s="1245"/>
      <c r="Q1548" s="1153"/>
      <c r="R1548" s="884"/>
      <c r="S1548" s="876"/>
      <c r="T1548" s="876"/>
      <c r="U1548" s="876"/>
      <c r="V1548" s="876"/>
      <c r="W1548" s="876"/>
      <c r="X1548" s="1026"/>
      <c r="Y1548" s="1754"/>
      <c r="Z1548" s="1755"/>
      <c r="AA1548" s="1775"/>
      <c r="AB1548" s="1814"/>
      <c r="AC1548" s="876"/>
      <c r="AD1548" s="1295"/>
      <c r="AE1548" s="1525"/>
      <c r="AF1548" s="1525"/>
      <c r="AG1548" s="1525"/>
      <c r="AH1548" s="1525"/>
      <c r="AI1548" s="1525"/>
      <c r="AJ1548" s="1525"/>
      <c r="AK1548" s="1525"/>
      <c r="AL1548" s="1525"/>
      <c r="AM1548" s="1525"/>
      <c r="AN1548" s="1525"/>
      <c r="AO1548" s="1525"/>
      <c r="AP1548" s="1525"/>
      <c r="AQ1548" s="1525"/>
      <c r="AR1548" s="1525"/>
      <c r="AS1548" s="1525"/>
      <c r="AU1548" s="1525"/>
      <c r="AV1548" s="1295"/>
      <c r="AW1548" s="1525"/>
      <c r="AX1548" s="1525"/>
      <c r="AY1548" s="1525"/>
      <c r="AZ1548" s="1525"/>
      <c r="BA1548" s="1525"/>
      <c r="BB1548" s="1525"/>
      <c r="BC1548" s="1525"/>
      <c r="BD1548" s="1525"/>
      <c r="BE1548" s="1525"/>
      <c r="BF1548" s="1525"/>
      <c r="BG1548" s="1525"/>
      <c r="BH1548" s="1525"/>
      <c r="BI1548" s="1525"/>
      <c r="BJ1548" s="1525"/>
      <c r="BK1548" s="1525"/>
      <c r="BL1548" s="1525"/>
      <c r="BM1548" s="1525"/>
      <c r="BN1548" s="1525"/>
      <c r="BO1548" s="1525"/>
      <c r="BP1548" s="1525"/>
      <c r="BQ1548" s="1525"/>
      <c r="BR1548" s="1525"/>
      <c r="BS1548" s="1525"/>
      <c r="BT1548" s="1670"/>
      <c r="BV1548"/>
      <c r="BW1548" s="824"/>
    </row>
    <row r="1549" spans="2:75" s="164" customFormat="1" ht="12.75" customHeight="1" x14ac:dyDescent="0.2">
      <c r="B1549" s="175">
        <f t="shared" ref="B1549:B1554" si="966">B1548+1</f>
        <v>1</v>
      </c>
      <c r="C1549" s="219">
        <v>6</v>
      </c>
      <c r="D1549" s="547"/>
      <c r="E1549" s="4" t="s">
        <v>1665</v>
      </c>
      <c r="F1549" s="19" t="s">
        <v>167</v>
      </c>
      <c r="G1549" s="834" t="s">
        <v>366</v>
      </c>
      <c r="H1549" s="893">
        <v>132621</v>
      </c>
      <c r="I1549" s="180" t="s">
        <v>351</v>
      </c>
      <c r="J1549" s="174"/>
      <c r="K1549" s="173">
        <v>1</v>
      </c>
      <c r="L1549" s="893"/>
      <c r="M1549" s="893">
        <v>1</v>
      </c>
      <c r="N1549" s="832" t="s">
        <v>892</v>
      </c>
      <c r="O1549" s="1196">
        <v>16566</v>
      </c>
      <c r="P1549" s="1218">
        <f t="shared" ref="P1549:P1554" ca="1" si="967">YEARFRAC(TODAY(),O1549)</f>
        <v>72.397222222222226</v>
      </c>
      <c r="Q1549" s="1148">
        <v>56850</v>
      </c>
      <c r="R1549" s="874"/>
      <c r="S1549" s="875">
        <v>7000</v>
      </c>
      <c r="T1549" s="875">
        <v>3000</v>
      </c>
      <c r="U1549" s="875">
        <v>15000</v>
      </c>
      <c r="V1549" s="875"/>
      <c r="W1549" s="875"/>
      <c r="X1549" s="1026">
        <f>(Q1549+R1549+S1549+T1549+U1549+V1549+W1549)*M1549</f>
        <v>81850</v>
      </c>
      <c r="Y1549" s="1512">
        <f>(T1549+U1549)*M1549/(X1549-M1549*(T1549+U1549))</f>
        <v>0.28191072826938135</v>
      </c>
      <c r="Z1549" s="1741">
        <f>M1549*(1+Y1549)</f>
        <v>1.2819107282693813</v>
      </c>
      <c r="AA1549" s="1749">
        <f>SUM(AD1549:AS1549)</f>
        <v>1.28</v>
      </c>
      <c r="AB1549" s="1810">
        <f t="shared" ref="AB1549:AB1554" si="968">100*AA1549/Z1549</f>
        <v>99.850946854001222</v>
      </c>
      <c r="AC1549" s="876"/>
      <c r="AD1549" s="1525">
        <f t="shared" ref="AD1549:AS1554" si="969">SUMIF($AV$6:$BS$6,AD$5,$AV1549:$BS1549)</f>
        <v>0</v>
      </c>
      <c r="AE1549" s="1525">
        <f t="shared" si="969"/>
        <v>0</v>
      </c>
      <c r="AF1549" s="1525">
        <f t="shared" si="969"/>
        <v>0</v>
      </c>
      <c r="AG1549" s="1525">
        <f t="shared" si="969"/>
        <v>0.25</v>
      </c>
      <c r="AH1549" s="1525">
        <f t="shared" si="969"/>
        <v>0</v>
      </c>
      <c r="AI1549" s="1525">
        <f t="shared" si="969"/>
        <v>0</v>
      </c>
      <c r="AJ1549" s="1525">
        <f t="shared" si="969"/>
        <v>0</v>
      </c>
      <c r="AK1549" s="1525">
        <f t="shared" si="969"/>
        <v>0</v>
      </c>
      <c r="AL1549" s="1525">
        <f t="shared" si="969"/>
        <v>0</v>
      </c>
      <c r="AM1549" s="1525">
        <f t="shared" si="969"/>
        <v>0</v>
      </c>
      <c r="AN1549" s="1525">
        <f t="shared" si="969"/>
        <v>0.1</v>
      </c>
      <c r="AO1549" s="1525">
        <f t="shared" si="969"/>
        <v>0.93</v>
      </c>
      <c r="AP1549" s="1525">
        <f t="shared" si="969"/>
        <v>0</v>
      </c>
      <c r="AQ1549" s="1525">
        <f t="shared" si="969"/>
        <v>0</v>
      </c>
      <c r="AR1549" s="1525">
        <f t="shared" si="969"/>
        <v>0</v>
      </c>
      <c r="AS1549" s="1525">
        <f t="shared" si="969"/>
        <v>0</v>
      </c>
      <c r="AU1549" s="1525"/>
      <c r="AV1549" s="1295">
        <v>0.25</v>
      </c>
      <c r="AW1549" s="1525"/>
      <c r="AX1549" s="1525"/>
      <c r="AY1549" s="1525"/>
      <c r="AZ1549" s="1525"/>
      <c r="BA1549" s="1525"/>
      <c r="BB1549" s="1525"/>
      <c r="BC1549" s="1525"/>
      <c r="BD1549" s="1759">
        <v>0.93</v>
      </c>
      <c r="BE1549" s="1525">
        <v>0.1</v>
      </c>
      <c r="BF1549" s="1525"/>
      <c r="BG1549" s="1525"/>
      <c r="BH1549" s="1525"/>
      <c r="BI1549" s="1525"/>
      <c r="BJ1549" s="1525"/>
      <c r="BK1549" s="1525"/>
      <c r="BL1549" s="1525"/>
      <c r="BM1549" s="1525"/>
      <c r="BN1549" s="1525"/>
      <c r="BO1549" s="1525"/>
      <c r="BP1549" s="1525"/>
      <c r="BQ1549" s="1525"/>
      <c r="BR1549" s="1525"/>
      <c r="BS1549" s="1525"/>
      <c r="BT1549" s="1670">
        <f t="shared" ref="BT1549:BT1552" si="970">SUM(AV1549:BS1549)</f>
        <v>1.2800000000000002</v>
      </c>
      <c r="BV1549"/>
      <c r="BW1549" s="834" t="s">
        <v>366</v>
      </c>
    </row>
    <row r="1550" spans="2:75" s="164" customFormat="1" ht="12.75" customHeight="1" x14ac:dyDescent="0.2">
      <c r="B1550" s="175">
        <f t="shared" si="966"/>
        <v>2</v>
      </c>
      <c r="C1550" s="219">
        <v>8</v>
      </c>
      <c r="D1550" s="547"/>
      <c r="E1550" s="4" t="s">
        <v>1665</v>
      </c>
      <c r="F1550" s="24" t="s">
        <v>353</v>
      </c>
      <c r="G1550" s="834" t="s">
        <v>1831</v>
      </c>
      <c r="H1550" s="893">
        <v>160655</v>
      </c>
      <c r="I1550" s="200" t="s">
        <v>351</v>
      </c>
      <c r="J1550" s="174"/>
      <c r="K1550" s="173">
        <v>1</v>
      </c>
      <c r="L1550" s="893"/>
      <c r="M1550" s="893">
        <v>1</v>
      </c>
      <c r="N1550" s="832" t="s">
        <v>892</v>
      </c>
      <c r="O1550" s="1196">
        <v>26695</v>
      </c>
      <c r="P1550" s="1218">
        <f t="shared" ca="1" si="967"/>
        <v>44.672222222222224</v>
      </c>
      <c r="Q1550" s="1148">
        <v>37400</v>
      </c>
      <c r="R1550" s="874"/>
      <c r="S1550" s="875">
        <v>3000</v>
      </c>
      <c r="T1550" s="875"/>
      <c r="U1550" s="875"/>
      <c r="V1550" s="875"/>
      <c r="W1550" s="875"/>
      <c r="X1550" s="1026">
        <f>(Q1550+R1550+S1550+T1550+U1550+V1550+W1550)*M1550</f>
        <v>40400</v>
      </c>
      <c r="Y1550" s="1512">
        <f>(T1550+U1550)*M1550/(X1550-M1550*(T1550+U1550))</f>
        <v>0</v>
      </c>
      <c r="Z1550" s="1741">
        <f>M1550*(1+Y1550)</f>
        <v>1</v>
      </c>
      <c r="AA1550" s="1749">
        <f>SUM(AD1550:AS1550)</f>
        <v>0</v>
      </c>
      <c r="AB1550" s="1810">
        <f t="shared" si="968"/>
        <v>0</v>
      </c>
      <c r="AC1550" s="876"/>
      <c r="AD1550" s="1525">
        <f t="shared" si="969"/>
        <v>0</v>
      </c>
      <c r="AE1550" s="1525">
        <f t="shared" si="969"/>
        <v>0</v>
      </c>
      <c r="AF1550" s="1525">
        <f t="shared" si="969"/>
        <v>0</v>
      </c>
      <c r="AG1550" s="1525">
        <f t="shared" si="969"/>
        <v>0</v>
      </c>
      <c r="AH1550" s="1525">
        <f t="shared" si="969"/>
        <v>0</v>
      </c>
      <c r="AI1550" s="1525">
        <f t="shared" si="969"/>
        <v>0</v>
      </c>
      <c r="AJ1550" s="1525">
        <f t="shared" si="969"/>
        <v>0</v>
      </c>
      <c r="AK1550" s="1525">
        <f t="shared" si="969"/>
        <v>0</v>
      </c>
      <c r="AL1550" s="1525">
        <f t="shared" si="969"/>
        <v>0</v>
      </c>
      <c r="AM1550" s="1525">
        <f t="shared" si="969"/>
        <v>0</v>
      </c>
      <c r="AN1550" s="1525">
        <f t="shared" si="969"/>
        <v>0</v>
      </c>
      <c r="AO1550" s="1525">
        <f t="shared" si="969"/>
        <v>0</v>
      </c>
      <c r="AP1550" s="1525">
        <f t="shared" si="969"/>
        <v>0</v>
      </c>
      <c r="AQ1550" s="1525">
        <f t="shared" si="969"/>
        <v>0</v>
      </c>
      <c r="AR1550" s="1525">
        <f t="shared" si="969"/>
        <v>0</v>
      </c>
      <c r="AS1550" s="1525">
        <f t="shared" si="969"/>
        <v>0</v>
      </c>
      <c r="AU1550" s="1525"/>
      <c r="AV1550" s="1295"/>
      <c r="AW1550" s="1525"/>
      <c r="AX1550" s="1525"/>
      <c r="AY1550" s="1525"/>
      <c r="AZ1550" s="1525"/>
      <c r="BA1550" s="1525"/>
      <c r="BB1550" s="1525"/>
      <c r="BC1550" s="1525"/>
      <c r="BD1550" s="1525"/>
      <c r="BE1550" s="1525"/>
      <c r="BF1550" s="1525"/>
      <c r="BG1550" s="1525"/>
      <c r="BH1550" s="1525"/>
      <c r="BI1550" s="1525"/>
      <c r="BJ1550" s="1525"/>
      <c r="BK1550" s="1525"/>
      <c r="BL1550" s="1525"/>
      <c r="BM1550" s="1525"/>
      <c r="BN1550" s="1525"/>
      <c r="BO1550" s="1525"/>
      <c r="BP1550" s="1525"/>
      <c r="BQ1550" s="1525"/>
      <c r="BR1550" s="1525"/>
      <c r="BS1550" s="1525"/>
      <c r="BT1550" s="1670">
        <f t="shared" si="970"/>
        <v>0</v>
      </c>
      <c r="BV1550"/>
      <c r="BW1550" s="834" t="s">
        <v>1831</v>
      </c>
    </row>
    <row r="1551" spans="2:75" s="164" customFormat="1" ht="12.75" customHeight="1" x14ac:dyDescent="0.2">
      <c r="B1551" s="175">
        <f t="shared" si="966"/>
        <v>3</v>
      </c>
      <c r="C1551" s="219">
        <v>8</v>
      </c>
      <c r="D1551" s="547"/>
      <c r="E1551" s="4" t="s">
        <v>1665</v>
      </c>
      <c r="F1551" s="24" t="s">
        <v>353</v>
      </c>
      <c r="G1551" s="834" t="s">
        <v>118</v>
      </c>
      <c r="H1551" s="1413">
        <v>232264</v>
      </c>
      <c r="I1551" s="200" t="s">
        <v>351</v>
      </c>
      <c r="J1551" s="174"/>
      <c r="K1551" s="189">
        <v>1</v>
      </c>
      <c r="L1551" s="893"/>
      <c r="M1551" s="858">
        <f>K1551+L1551</f>
        <v>1</v>
      </c>
      <c r="N1551" s="832" t="s">
        <v>1326</v>
      </c>
      <c r="O1551" s="1196">
        <v>24057</v>
      </c>
      <c r="P1551" s="1218">
        <f t="shared" ca="1" si="967"/>
        <v>51.891666666666666</v>
      </c>
      <c r="Q1551" s="1148">
        <v>37400</v>
      </c>
      <c r="R1551" s="874">
        <f>Q1551*0.1</f>
        <v>3740</v>
      </c>
      <c r="S1551" s="875">
        <v>3000</v>
      </c>
      <c r="T1551" s="875"/>
      <c r="U1551" s="875"/>
      <c r="V1551" s="875"/>
      <c r="W1551" s="875"/>
      <c r="X1551" s="1026">
        <f>(Q1551+R1551+S1551+T1551+U1551+V1551+W1551)*M1551</f>
        <v>44140</v>
      </c>
      <c r="Y1551" s="1512">
        <f>(T1551+U1551)*M1551/(X1551-M1551*(T1551+U1551))</f>
        <v>0</v>
      </c>
      <c r="Z1551" s="1741">
        <f>M1551*(1+Y1551)</f>
        <v>1</v>
      </c>
      <c r="AA1551" s="1749">
        <f>SUM(AD1551:AS1551)</f>
        <v>1</v>
      </c>
      <c r="AB1551" s="1810">
        <f t="shared" si="968"/>
        <v>100</v>
      </c>
      <c r="AC1551" s="876"/>
      <c r="AD1551" s="1525">
        <f t="shared" si="969"/>
        <v>0</v>
      </c>
      <c r="AE1551" s="1525">
        <f t="shared" si="969"/>
        <v>0</v>
      </c>
      <c r="AF1551" s="1525">
        <f t="shared" si="969"/>
        <v>0</v>
      </c>
      <c r="AG1551" s="1525">
        <f t="shared" si="969"/>
        <v>0</v>
      </c>
      <c r="AH1551" s="1525">
        <f t="shared" si="969"/>
        <v>0</v>
      </c>
      <c r="AI1551" s="1525">
        <f t="shared" si="969"/>
        <v>0</v>
      </c>
      <c r="AJ1551" s="1525">
        <f t="shared" si="969"/>
        <v>0</v>
      </c>
      <c r="AK1551" s="1525">
        <f t="shared" si="969"/>
        <v>0</v>
      </c>
      <c r="AL1551" s="1525">
        <f t="shared" si="969"/>
        <v>0</v>
      </c>
      <c r="AM1551" s="1525">
        <f t="shared" si="969"/>
        <v>0</v>
      </c>
      <c r="AN1551" s="1525">
        <f t="shared" si="969"/>
        <v>0</v>
      </c>
      <c r="AO1551" s="1525">
        <f t="shared" si="969"/>
        <v>1</v>
      </c>
      <c r="AP1551" s="1525">
        <f t="shared" si="969"/>
        <v>0</v>
      </c>
      <c r="AQ1551" s="1525">
        <f t="shared" si="969"/>
        <v>0</v>
      </c>
      <c r="AR1551" s="1525">
        <f t="shared" si="969"/>
        <v>0</v>
      </c>
      <c r="AS1551" s="1525">
        <f t="shared" si="969"/>
        <v>0</v>
      </c>
      <c r="AU1551" s="1525"/>
      <c r="AV1551" s="1295"/>
      <c r="AW1551" s="1525"/>
      <c r="AX1551" s="1525"/>
      <c r="AY1551" s="1525"/>
      <c r="AZ1551" s="1525"/>
      <c r="BA1551" s="1525"/>
      <c r="BB1551" s="1525"/>
      <c r="BC1551" s="1525"/>
      <c r="BD1551" s="1525">
        <v>1</v>
      </c>
      <c r="BE1551" s="1525"/>
      <c r="BF1551" s="1525"/>
      <c r="BG1551" s="1525"/>
      <c r="BH1551" s="1525"/>
      <c r="BI1551" s="1525"/>
      <c r="BJ1551" s="1525"/>
      <c r="BK1551" s="1525"/>
      <c r="BL1551" s="1525"/>
      <c r="BM1551" s="1525"/>
      <c r="BN1551" s="1525"/>
      <c r="BO1551" s="1525"/>
      <c r="BP1551" s="1525"/>
      <c r="BQ1551" s="1525"/>
      <c r="BR1551" s="1525"/>
      <c r="BS1551" s="1525"/>
      <c r="BT1551" s="1670">
        <f t="shared" si="970"/>
        <v>1</v>
      </c>
      <c r="BV1551"/>
      <c r="BW1551" s="834" t="s">
        <v>118</v>
      </c>
    </row>
    <row r="1552" spans="2:75" s="164" customFormat="1" ht="12.75" customHeight="1" x14ac:dyDescent="0.2">
      <c r="B1552" s="175">
        <f t="shared" si="966"/>
        <v>4</v>
      </c>
      <c r="C1552" s="219">
        <v>9</v>
      </c>
      <c r="D1552" s="547"/>
      <c r="E1552" s="4" t="s">
        <v>1665</v>
      </c>
      <c r="F1552" s="4" t="s">
        <v>1396</v>
      </c>
      <c r="G1552" s="913" t="s">
        <v>1832</v>
      </c>
      <c r="H1552" s="858">
        <v>103158</v>
      </c>
      <c r="I1552" s="200" t="s">
        <v>351</v>
      </c>
      <c r="J1552" s="174"/>
      <c r="K1552" s="174">
        <v>0.5</v>
      </c>
      <c r="L1552" s="861"/>
      <c r="M1552" s="858">
        <f>K1552+L1552</f>
        <v>0.5</v>
      </c>
      <c r="N1552" s="836" t="s">
        <v>892</v>
      </c>
      <c r="O1552" s="1196">
        <v>28493</v>
      </c>
      <c r="P1552" s="1218">
        <f t="shared" ca="1" si="967"/>
        <v>39.74722222222222</v>
      </c>
      <c r="Q1552" s="1148">
        <v>29900</v>
      </c>
      <c r="R1552" s="874"/>
      <c r="S1552" s="875"/>
      <c r="T1552" s="875"/>
      <c r="U1552" s="875"/>
      <c r="V1552" s="875"/>
      <c r="W1552" s="875"/>
      <c r="X1552" s="1026">
        <f>(Q1552+R1552+S1552+T1552+U1552+V1552+W1552)*M1552</f>
        <v>14950</v>
      </c>
      <c r="Y1552" s="1512">
        <f>(T1552+U1552)*M1552/(X1552-M1552*(T1552+U1552))</f>
        <v>0</v>
      </c>
      <c r="Z1552" s="1741">
        <f>M1552*(1+Y1552)</f>
        <v>0.5</v>
      </c>
      <c r="AA1552" s="1749">
        <f>SUM(AD1552:AS1552)</f>
        <v>0.5</v>
      </c>
      <c r="AB1552" s="1810">
        <f t="shared" si="968"/>
        <v>100</v>
      </c>
      <c r="AC1552" s="876"/>
      <c r="AD1552" s="1525">
        <f t="shared" si="969"/>
        <v>0</v>
      </c>
      <c r="AE1552" s="1525">
        <f t="shared" si="969"/>
        <v>0</v>
      </c>
      <c r="AF1552" s="1525">
        <f t="shared" si="969"/>
        <v>0</v>
      </c>
      <c r="AG1552" s="1525">
        <f t="shared" si="969"/>
        <v>0</v>
      </c>
      <c r="AH1552" s="1525">
        <f t="shared" si="969"/>
        <v>0</v>
      </c>
      <c r="AI1552" s="1525">
        <f t="shared" si="969"/>
        <v>0</v>
      </c>
      <c r="AJ1552" s="1525">
        <f t="shared" si="969"/>
        <v>0</v>
      </c>
      <c r="AK1552" s="1525">
        <f t="shared" si="969"/>
        <v>0</v>
      </c>
      <c r="AL1552" s="1525">
        <f t="shared" si="969"/>
        <v>0</v>
      </c>
      <c r="AM1552" s="1525">
        <f t="shared" si="969"/>
        <v>0</v>
      </c>
      <c r="AN1552" s="1525">
        <f t="shared" si="969"/>
        <v>0</v>
      </c>
      <c r="AO1552" s="1525">
        <f t="shared" si="969"/>
        <v>0.5</v>
      </c>
      <c r="AP1552" s="1525">
        <f t="shared" si="969"/>
        <v>0</v>
      </c>
      <c r="AQ1552" s="1525">
        <f t="shared" si="969"/>
        <v>0</v>
      </c>
      <c r="AR1552" s="1525">
        <f t="shared" si="969"/>
        <v>0</v>
      </c>
      <c r="AS1552" s="1525">
        <f t="shared" si="969"/>
        <v>0</v>
      </c>
      <c r="AU1552" s="1525"/>
      <c r="AV1552" s="1295"/>
      <c r="AW1552" s="1525"/>
      <c r="AX1552" s="1525"/>
      <c r="AY1552" s="1525"/>
      <c r="AZ1552" s="1525"/>
      <c r="BA1552" s="1525"/>
      <c r="BB1552" s="1525"/>
      <c r="BC1552" s="1525"/>
      <c r="BD1552" s="1525">
        <v>0.5</v>
      </c>
      <c r="BE1552" s="1525"/>
      <c r="BF1552" s="1525"/>
      <c r="BG1552" s="1525"/>
      <c r="BH1552" s="1525"/>
      <c r="BI1552" s="1525"/>
      <c r="BJ1552" s="1525"/>
      <c r="BK1552" s="1525"/>
      <c r="BL1552" s="1525"/>
      <c r="BM1552" s="1525"/>
      <c r="BN1552" s="1525"/>
      <c r="BO1552" s="1525"/>
      <c r="BP1552" s="1525"/>
      <c r="BQ1552" s="1525"/>
      <c r="BR1552" s="1525"/>
      <c r="BS1552" s="1525"/>
      <c r="BT1552" s="1670">
        <f t="shared" si="970"/>
        <v>0.5</v>
      </c>
      <c r="BV1552"/>
      <c r="BW1552" s="913" t="s">
        <v>1832</v>
      </c>
    </row>
    <row r="1553" spans="2:75" s="164" customFormat="1" ht="12.75" customHeight="1" x14ac:dyDescent="0.2">
      <c r="B1553" s="175">
        <f t="shared" si="966"/>
        <v>5</v>
      </c>
      <c r="C1553" s="219">
        <v>11</v>
      </c>
      <c r="D1553" s="547"/>
      <c r="E1553" s="4" t="s">
        <v>1665</v>
      </c>
      <c r="F1553" s="4" t="s">
        <v>558</v>
      </c>
      <c r="G1553" s="876" t="s">
        <v>2052</v>
      </c>
      <c r="H1553" s="861">
        <v>170725</v>
      </c>
      <c r="I1553" s="272" t="s">
        <v>583</v>
      </c>
      <c r="J1553" s="174"/>
      <c r="K1553" s="174">
        <v>1</v>
      </c>
      <c r="L1553" s="861"/>
      <c r="M1553" s="861">
        <v>1</v>
      </c>
      <c r="N1553" s="832" t="s">
        <v>892</v>
      </c>
      <c r="O1553" s="1196">
        <v>31172</v>
      </c>
      <c r="P1553" s="1218">
        <f t="shared" ca="1" si="967"/>
        <v>32.408333333333331</v>
      </c>
      <c r="Q1553" s="1148">
        <v>25000</v>
      </c>
      <c r="R1553" s="874"/>
      <c r="S1553" s="876"/>
      <c r="T1553" s="884"/>
      <c r="U1553" s="884"/>
      <c r="V1553" s="884"/>
      <c r="W1553" s="876"/>
      <c r="X1553" s="1026">
        <f t="shared" ref="X1553:X1554" si="971">(Q1553+R1553+S1553+T1553+U1553+V1553+W1553)*M1553</f>
        <v>25000</v>
      </c>
      <c r="Y1553" s="1512">
        <f t="shared" ref="Y1553:Y1554" si="972">(T1553+U1553)*M1553/(X1553-M1553*(T1553+U1553))</f>
        <v>0</v>
      </c>
      <c r="Z1553" s="1741">
        <f t="shared" ref="Z1553:Z1554" si="973">M1553*(1+Y1553)</f>
        <v>1</v>
      </c>
      <c r="AA1553" s="1749">
        <f t="shared" ref="AA1553:AA1554" si="974">SUM(AD1553:AS1553)</f>
        <v>0</v>
      </c>
      <c r="AB1553" s="1810">
        <f t="shared" si="968"/>
        <v>0</v>
      </c>
      <c r="AC1553" s="224"/>
      <c r="AD1553" s="1525">
        <f t="shared" si="969"/>
        <v>0</v>
      </c>
      <c r="AE1553" s="1525">
        <f t="shared" si="969"/>
        <v>0</v>
      </c>
      <c r="AF1553" s="1525">
        <f t="shared" si="969"/>
        <v>0</v>
      </c>
      <c r="AG1553" s="1525">
        <f t="shared" si="969"/>
        <v>0</v>
      </c>
      <c r="AH1553" s="1525">
        <f t="shared" si="969"/>
        <v>0</v>
      </c>
      <c r="AI1553" s="1525">
        <f t="shared" si="969"/>
        <v>0</v>
      </c>
      <c r="AJ1553" s="1525">
        <f t="shared" si="969"/>
        <v>0</v>
      </c>
      <c r="AK1553" s="1525">
        <f t="shared" si="969"/>
        <v>0</v>
      </c>
      <c r="AL1553" s="1525">
        <f t="shared" si="969"/>
        <v>0</v>
      </c>
      <c r="AM1553" s="1525">
        <f t="shared" si="969"/>
        <v>0</v>
      </c>
      <c r="AN1553" s="1525">
        <f t="shared" si="969"/>
        <v>0</v>
      </c>
      <c r="AO1553" s="1525">
        <f t="shared" si="969"/>
        <v>0</v>
      </c>
      <c r="AP1553" s="1525">
        <f t="shared" si="969"/>
        <v>0</v>
      </c>
      <c r="AQ1553" s="1525">
        <f t="shared" si="969"/>
        <v>0</v>
      </c>
      <c r="AR1553" s="1525">
        <f t="shared" si="969"/>
        <v>0</v>
      </c>
      <c r="AS1553" s="1525">
        <f t="shared" si="969"/>
        <v>0</v>
      </c>
      <c r="AV1553" s="553"/>
      <c r="AX1553" s="553"/>
      <c r="BT1553" s="1672"/>
    </row>
    <row r="1554" spans="2:75" s="164" customFormat="1" ht="12.75" customHeight="1" x14ac:dyDescent="0.2">
      <c r="B1554" s="175">
        <f t="shared" si="966"/>
        <v>6</v>
      </c>
      <c r="C1554" s="219">
        <v>15</v>
      </c>
      <c r="D1554" s="547"/>
      <c r="E1554" s="4" t="s">
        <v>1665</v>
      </c>
      <c r="F1554" s="4" t="s">
        <v>626</v>
      </c>
      <c r="G1554" s="876" t="s">
        <v>2053</v>
      </c>
      <c r="H1554" s="861">
        <v>166184</v>
      </c>
      <c r="I1554" s="272" t="s">
        <v>583</v>
      </c>
      <c r="J1554" s="174"/>
      <c r="K1554" s="174">
        <v>1</v>
      </c>
      <c r="L1554" s="861"/>
      <c r="M1554" s="861">
        <v>1</v>
      </c>
      <c r="N1554" s="832" t="s">
        <v>892</v>
      </c>
      <c r="O1554" s="1196">
        <v>32818</v>
      </c>
      <c r="P1554" s="1218">
        <f t="shared" ca="1" si="967"/>
        <v>27.905555555555555</v>
      </c>
      <c r="Q1554" s="1148">
        <v>25000</v>
      </c>
      <c r="R1554" s="874"/>
      <c r="S1554" s="876"/>
      <c r="T1554" s="884"/>
      <c r="U1554" s="884"/>
      <c r="V1554" s="884"/>
      <c r="W1554" s="876"/>
      <c r="X1554" s="1026">
        <f t="shared" si="971"/>
        <v>25000</v>
      </c>
      <c r="Y1554" s="1512">
        <f t="shared" si="972"/>
        <v>0</v>
      </c>
      <c r="Z1554" s="1741">
        <f t="shared" si="973"/>
        <v>1</v>
      </c>
      <c r="AA1554" s="1749">
        <f t="shared" si="974"/>
        <v>0</v>
      </c>
      <c r="AB1554" s="1810">
        <f t="shared" si="968"/>
        <v>0</v>
      </c>
      <c r="AC1554" s="224"/>
      <c r="AD1554" s="1525">
        <f t="shared" si="969"/>
        <v>0</v>
      </c>
      <c r="AE1554" s="1525">
        <f t="shared" si="969"/>
        <v>0</v>
      </c>
      <c r="AF1554" s="1525">
        <f t="shared" si="969"/>
        <v>0</v>
      </c>
      <c r="AG1554" s="1525">
        <f t="shared" si="969"/>
        <v>0</v>
      </c>
      <c r="AH1554" s="1525">
        <f t="shared" si="969"/>
        <v>0</v>
      </c>
      <c r="AI1554" s="1525">
        <f t="shared" si="969"/>
        <v>0</v>
      </c>
      <c r="AJ1554" s="1525">
        <f t="shared" si="969"/>
        <v>0</v>
      </c>
      <c r="AK1554" s="1525">
        <f t="shared" si="969"/>
        <v>0</v>
      </c>
      <c r="AL1554" s="1525">
        <f t="shared" si="969"/>
        <v>0</v>
      </c>
      <c r="AM1554" s="1525">
        <f t="shared" si="969"/>
        <v>0</v>
      </c>
      <c r="AN1554" s="1525">
        <f t="shared" si="969"/>
        <v>0</v>
      </c>
      <c r="AO1554" s="1525">
        <f t="shared" si="969"/>
        <v>0</v>
      </c>
      <c r="AP1554" s="1525">
        <f t="shared" si="969"/>
        <v>0</v>
      </c>
      <c r="AQ1554" s="1525">
        <f t="shared" si="969"/>
        <v>0</v>
      </c>
      <c r="AR1554" s="1525">
        <f t="shared" si="969"/>
        <v>0</v>
      </c>
      <c r="AS1554" s="1525">
        <f t="shared" si="969"/>
        <v>0</v>
      </c>
      <c r="AV1554" s="553"/>
      <c r="AX1554" s="553"/>
      <c r="BT1554" s="1672"/>
    </row>
    <row r="1555" spans="2:75" s="164" customFormat="1" ht="12.75" customHeight="1" x14ac:dyDescent="0.2">
      <c r="B1555" s="175"/>
      <c r="C1555" s="547" t="s">
        <v>1120</v>
      </c>
      <c r="D1555" s="547"/>
      <c r="E1555" s="4"/>
      <c r="F1555" s="4" t="s">
        <v>379</v>
      </c>
      <c r="G1555" s="824"/>
      <c r="H1555" s="1400" t="s">
        <v>1508</v>
      </c>
      <c r="I1555" s="197"/>
      <c r="J1555" s="174"/>
      <c r="K1555" s="1127">
        <f>SUM(K1549:K1554)</f>
        <v>5.5</v>
      </c>
      <c r="L1555" s="1127">
        <f t="shared" ref="L1555:M1555" si="975">SUM(L1549:L1554)</f>
        <v>0</v>
      </c>
      <c r="M1555" s="1127">
        <f t="shared" si="975"/>
        <v>5.5</v>
      </c>
      <c r="N1555" s="836"/>
      <c r="O1555" s="1190"/>
      <c r="P1555" s="1245"/>
      <c r="Q1555" s="1153"/>
      <c r="R1555" s="884"/>
      <c r="S1555" s="876"/>
      <c r="T1555" s="876"/>
      <c r="U1555" s="876"/>
      <c r="V1555" s="876"/>
      <c r="W1555" s="876"/>
      <c r="X1555" s="1026"/>
      <c r="Y1555" s="1335"/>
      <c r="Z1555" s="1335"/>
      <c r="AA1555" s="1749"/>
      <c r="AB1555" s="1812"/>
      <c r="AC1555" s="876"/>
      <c r="AD1555" s="1295"/>
      <c r="AE1555" s="1525"/>
      <c r="AF1555" s="1525"/>
      <c r="AG1555" s="1525"/>
      <c r="AH1555" s="1525"/>
      <c r="AI1555" s="1525"/>
      <c r="AJ1555" s="1525"/>
      <c r="AK1555" s="1525"/>
      <c r="AL1555" s="1525"/>
      <c r="AM1555" s="1525"/>
      <c r="AN1555" s="1525"/>
      <c r="AO1555" s="1525"/>
      <c r="AP1555" s="1525"/>
      <c r="AQ1555" s="1525"/>
      <c r="AR1555" s="1525"/>
      <c r="AS1555" s="1525"/>
      <c r="AU1555" s="1525"/>
      <c r="AV1555" s="1295"/>
      <c r="AW1555" s="1525"/>
      <c r="AX1555" s="1525"/>
      <c r="AY1555" s="1525"/>
      <c r="AZ1555" s="1525"/>
      <c r="BA1555" s="1525"/>
      <c r="BB1555" s="1525"/>
      <c r="BC1555" s="1525"/>
      <c r="BD1555" s="1525"/>
      <c r="BE1555" s="1525"/>
      <c r="BF1555" s="1525"/>
      <c r="BG1555" s="1525"/>
      <c r="BH1555" s="1525"/>
      <c r="BI1555" s="1525"/>
      <c r="BJ1555" s="1525"/>
      <c r="BK1555" s="1525"/>
      <c r="BL1555" s="1525"/>
      <c r="BM1555" s="1525"/>
      <c r="BN1555" s="1525"/>
      <c r="BO1555" s="1525"/>
      <c r="BP1555" s="1525"/>
      <c r="BQ1555" s="1525"/>
      <c r="BR1555" s="1525"/>
      <c r="BS1555" s="1525"/>
      <c r="BT1555" s="1670"/>
      <c r="BV1555"/>
      <c r="BW1555" s="824"/>
    </row>
    <row r="1556" spans="2:75" s="164" customFormat="1" ht="12.75" customHeight="1" x14ac:dyDescent="0.2">
      <c r="B1556" s="175"/>
      <c r="C1556" s="547"/>
      <c r="D1556" s="547"/>
      <c r="E1556" s="4"/>
      <c r="F1556" s="4"/>
      <c r="G1556" s="862"/>
      <c r="H1556" s="1347" t="s">
        <v>1508</v>
      </c>
      <c r="I1556" s="197"/>
      <c r="J1556" s="174"/>
      <c r="K1556" s="174"/>
      <c r="L1556" s="861"/>
      <c r="M1556" s="861"/>
      <c r="N1556" s="836"/>
      <c r="O1556" s="1190"/>
      <c r="P1556" s="1245"/>
      <c r="Q1556" s="1153"/>
      <c r="R1556" s="884"/>
      <c r="S1556" s="876"/>
      <c r="T1556" s="876"/>
      <c r="U1556" s="876"/>
      <c r="V1556" s="876"/>
      <c r="W1556" s="876"/>
      <c r="X1556" s="1026"/>
      <c r="Y1556" s="1562"/>
      <c r="Z1556" s="1742"/>
      <c r="AA1556" s="1749"/>
      <c r="AB1556" s="1812"/>
      <c r="AC1556" s="876"/>
      <c r="AD1556" s="1295"/>
      <c r="AE1556" s="1525"/>
      <c r="AF1556" s="1525"/>
      <c r="AG1556" s="1525"/>
      <c r="AH1556" s="1525"/>
      <c r="AI1556" s="1525"/>
      <c r="AJ1556" s="1525"/>
      <c r="AK1556" s="1525"/>
      <c r="AL1556" s="1525"/>
      <c r="AM1556" s="1525"/>
      <c r="AN1556" s="1525"/>
      <c r="AO1556" s="1525"/>
      <c r="AP1556" s="1525"/>
      <c r="AQ1556" s="1525"/>
      <c r="AR1556" s="1525"/>
      <c r="AS1556" s="1525"/>
      <c r="AU1556" s="1525"/>
      <c r="AV1556" s="1295"/>
      <c r="AW1556" s="1525"/>
      <c r="AX1556" s="1525"/>
      <c r="AY1556" s="1525"/>
      <c r="AZ1556" s="1525"/>
      <c r="BA1556" s="1525"/>
      <c r="BB1556" s="1525"/>
      <c r="BC1556" s="1525"/>
      <c r="BD1556" s="1525"/>
      <c r="BE1556" s="1525"/>
      <c r="BF1556" s="1525"/>
      <c r="BG1556" s="1525"/>
      <c r="BH1556" s="1525"/>
      <c r="BI1556" s="1525"/>
      <c r="BJ1556" s="1525"/>
      <c r="BK1556" s="1525"/>
      <c r="BL1556" s="1525"/>
      <c r="BM1556" s="1525"/>
      <c r="BN1556" s="1525"/>
      <c r="BO1556" s="1525"/>
      <c r="BP1556" s="1525"/>
      <c r="BQ1556" s="1525"/>
      <c r="BR1556" s="1525"/>
      <c r="BS1556" s="1525"/>
      <c r="BT1556" s="1670"/>
      <c r="BV1556"/>
      <c r="BW1556" s="862"/>
    </row>
    <row r="1557" spans="2:75" s="164" customFormat="1" ht="12.75" customHeight="1" x14ac:dyDescent="0.2">
      <c r="B1557" s="175"/>
      <c r="C1557" s="547"/>
      <c r="D1557" s="547"/>
      <c r="E1557" s="4"/>
      <c r="F1557" s="1103" t="s">
        <v>1688</v>
      </c>
      <c r="G1557" s="862"/>
      <c r="H1557" s="1347" t="s">
        <v>1508</v>
      </c>
      <c r="I1557" s="197"/>
      <c r="J1557" s="174"/>
      <c r="K1557" s="174"/>
      <c r="L1557" s="861"/>
      <c r="M1557" s="861"/>
      <c r="N1557" s="836"/>
      <c r="O1557" s="1190"/>
      <c r="P1557" s="1245"/>
      <c r="Q1557" s="1153"/>
      <c r="R1557" s="884"/>
      <c r="S1557" s="876"/>
      <c r="T1557" s="876"/>
      <c r="U1557" s="876"/>
      <c r="V1557" s="876"/>
      <c r="W1557" s="876"/>
      <c r="X1557" s="1026"/>
      <c r="Y1557" s="1562"/>
      <c r="Z1557" s="1742"/>
      <c r="AA1557" s="1749"/>
      <c r="AB1557" s="1812"/>
      <c r="AC1557" s="876"/>
      <c r="AD1557" s="1295"/>
      <c r="AE1557" s="1525"/>
      <c r="AF1557" s="1525"/>
      <c r="AG1557" s="1525"/>
      <c r="AH1557" s="1525"/>
      <c r="AI1557" s="1525"/>
      <c r="AJ1557" s="1525"/>
      <c r="AK1557" s="1525"/>
      <c r="AL1557" s="1525"/>
      <c r="AM1557" s="1525"/>
      <c r="AN1557" s="1525"/>
      <c r="AO1557" s="1525"/>
      <c r="AP1557" s="1525"/>
      <c r="AQ1557" s="1525"/>
      <c r="AR1557" s="1525"/>
      <c r="AS1557" s="1525"/>
      <c r="AU1557" s="1525"/>
      <c r="AV1557" s="1295"/>
      <c r="AW1557" s="1525"/>
      <c r="AX1557" s="1525"/>
      <c r="AY1557" s="1525"/>
      <c r="AZ1557" s="1525"/>
      <c r="BA1557" s="1525"/>
      <c r="BB1557" s="1525"/>
      <c r="BC1557" s="1525"/>
      <c r="BD1557" s="1525"/>
      <c r="BE1557" s="1525"/>
      <c r="BF1557" s="1525"/>
      <c r="BG1557" s="1525"/>
      <c r="BH1557" s="1525"/>
      <c r="BI1557" s="1525"/>
      <c r="BJ1557" s="1525"/>
      <c r="BK1557" s="1525"/>
      <c r="BL1557" s="1525"/>
      <c r="BM1557" s="1525"/>
      <c r="BN1557" s="1525"/>
      <c r="BO1557" s="1525"/>
      <c r="BP1557" s="1525"/>
      <c r="BQ1557" s="1525"/>
      <c r="BR1557" s="1525"/>
      <c r="BS1557" s="1525"/>
      <c r="BT1557" s="1670"/>
      <c r="BV1557"/>
      <c r="BW1557" s="862"/>
    </row>
    <row r="1558" spans="2:75" s="164" customFormat="1" ht="12.75" customHeight="1" x14ac:dyDescent="0.2">
      <c r="B1558" s="175">
        <f t="shared" ref="B1558:B1570" si="976">B1557+1</f>
        <v>1</v>
      </c>
      <c r="C1558" s="219">
        <v>5</v>
      </c>
      <c r="D1558" s="547"/>
      <c r="E1558" s="4" t="s">
        <v>1665</v>
      </c>
      <c r="F1558" s="4" t="s">
        <v>166</v>
      </c>
      <c r="G1558" s="825" t="s">
        <v>85</v>
      </c>
      <c r="H1558" s="861">
        <v>3098</v>
      </c>
      <c r="I1558" s="197" t="s">
        <v>351</v>
      </c>
      <c r="J1558" s="174"/>
      <c r="K1558" s="174"/>
      <c r="L1558" s="861">
        <v>1</v>
      </c>
      <c r="M1558" s="861">
        <f>K1558+L1558</f>
        <v>1</v>
      </c>
      <c r="N1558" s="836" t="s">
        <v>1326</v>
      </c>
      <c r="O1558" s="1196">
        <v>17982</v>
      </c>
      <c r="P1558" s="1262">
        <f t="shared" ref="P1558:P1570" ca="1" si="977">YEARFRAC(TODAY(),O1558)</f>
        <v>68.519444444444446</v>
      </c>
      <c r="Q1558" s="1148">
        <v>57500</v>
      </c>
      <c r="R1558" s="874">
        <f>Q1558*0.1</f>
        <v>5750</v>
      </c>
      <c r="S1558" s="876">
        <v>3000</v>
      </c>
      <c r="T1558" s="874">
        <v>19300</v>
      </c>
      <c r="U1558" s="874"/>
      <c r="V1558" s="874"/>
      <c r="W1558" s="876"/>
      <c r="X1558" s="1026">
        <f t="shared" ref="X1558:X1570" si="978">(Q1558+R1558+S1558+T1558+U1558+V1558+W1558)*M1558</f>
        <v>85550</v>
      </c>
      <c r="Y1558" s="1512">
        <f t="shared" ref="Y1558:Y1570" si="979">(T1558+U1558)*M1558/(X1558-M1558*(T1558+U1558))</f>
        <v>0.29132075471698116</v>
      </c>
      <c r="Z1558" s="1741">
        <f t="shared" ref="Z1558:Z1570" si="980">M1558*(1+Y1558)</f>
        <v>1.2913207547169812</v>
      </c>
      <c r="AA1558" s="1749">
        <f t="shared" ref="AA1558:AA1570" si="981">SUM(AD1558:AS1558)</f>
        <v>1.2999999999999998</v>
      </c>
      <c r="AB1558" s="1810">
        <f t="shared" ref="AB1558:AB1570" si="982">100*AA1558/Z1558</f>
        <v>100.67212156633545</v>
      </c>
      <c r="AC1558" s="876"/>
      <c r="AD1558" s="1525">
        <f t="shared" ref="AD1558:AS1570" si="983">SUMIF($AV$6:$BS$6,AD$5,$AV1558:$BS1558)</f>
        <v>0.89999999999999991</v>
      </c>
      <c r="AE1558" s="1525">
        <f t="shared" si="983"/>
        <v>0</v>
      </c>
      <c r="AF1558" s="1525">
        <f t="shared" si="983"/>
        <v>0</v>
      </c>
      <c r="AG1558" s="1525">
        <f t="shared" si="983"/>
        <v>0.1</v>
      </c>
      <c r="AH1558" s="1525">
        <f t="shared" si="983"/>
        <v>0</v>
      </c>
      <c r="AI1558" s="1525">
        <f t="shared" si="983"/>
        <v>0</v>
      </c>
      <c r="AJ1558" s="1525">
        <f t="shared" si="983"/>
        <v>0</v>
      </c>
      <c r="AK1558" s="1525">
        <f t="shared" si="983"/>
        <v>0</v>
      </c>
      <c r="AL1558" s="1525">
        <f t="shared" si="983"/>
        <v>0</v>
      </c>
      <c r="AM1558" s="1525">
        <f t="shared" si="983"/>
        <v>0</v>
      </c>
      <c r="AN1558" s="1525">
        <f t="shared" si="983"/>
        <v>0</v>
      </c>
      <c r="AO1558" s="1525">
        <f t="shared" si="983"/>
        <v>0.3</v>
      </c>
      <c r="AP1558" s="1525">
        <f t="shared" si="983"/>
        <v>0</v>
      </c>
      <c r="AQ1558" s="1525">
        <f t="shared" si="983"/>
        <v>0</v>
      </c>
      <c r="AR1558" s="1525">
        <f t="shared" si="983"/>
        <v>0</v>
      </c>
      <c r="AS1558" s="1525">
        <f t="shared" si="983"/>
        <v>0</v>
      </c>
      <c r="AU1558" s="1525"/>
      <c r="AV1558" s="1295">
        <v>0.1</v>
      </c>
      <c r="AW1558" s="1525"/>
      <c r="AX1558" s="1525"/>
      <c r="AY1558" s="1525"/>
      <c r="AZ1558" s="1525"/>
      <c r="BA1558" s="1525"/>
      <c r="BB1558" s="1525"/>
      <c r="BC1558" s="1525"/>
      <c r="BD1558" s="1759">
        <v>0.3</v>
      </c>
      <c r="BE1558" s="1525"/>
      <c r="BF1558" s="1525"/>
      <c r="BG1558" s="1525"/>
      <c r="BH1558" s="1525"/>
      <c r="BI1558" s="1759">
        <v>0.7</v>
      </c>
      <c r="BJ1558" s="1525">
        <v>0.2</v>
      </c>
      <c r="BK1558" s="1525"/>
      <c r="BL1558" s="1525"/>
      <c r="BM1558" s="1525"/>
      <c r="BN1558" s="1525"/>
      <c r="BO1558" s="1525"/>
      <c r="BP1558" s="1525"/>
      <c r="BQ1558" s="1525"/>
      <c r="BR1558" s="1525"/>
      <c r="BS1558" s="1525"/>
      <c r="BT1558" s="1670">
        <f t="shared" ref="BT1558:BT1570" si="984">SUM(AV1558:BS1558)</f>
        <v>1.3</v>
      </c>
      <c r="BV1558"/>
      <c r="BW1558" s="825" t="s">
        <v>85</v>
      </c>
    </row>
    <row r="1559" spans="2:75" s="164" customFormat="1" ht="12.75" customHeight="1" x14ac:dyDescent="0.2">
      <c r="B1559" s="175">
        <f t="shared" si="976"/>
        <v>2</v>
      </c>
      <c r="C1559" s="219">
        <v>8</v>
      </c>
      <c r="D1559" s="547"/>
      <c r="E1559" s="4" t="s">
        <v>1665</v>
      </c>
      <c r="F1559" s="232" t="s">
        <v>353</v>
      </c>
      <c r="G1559" s="844" t="s">
        <v>334</v>
      </c>
      <c r="H1559" s="858">
        <v>35744</v>
      </c>
      <c r="I1559" s="200" t="s">
        <v>351</v>
      </c>
      <c r="J1559" s="174"/>
      <c r="K1559" s="189"/>
      <c r="L1559" s="858">
        <v>1</v>
      </c>
      <c r="M1559" s="858">
        <v>1</v>
      </c>
      <c r="N1559" s="999" t="s">
        <v>892</v>
      </c>
      <c r="O1559" s="1196">
        <v>24462</v>
      </c>
      <c r="P1559" s="1218">
        <f t="shared" ca="1" si="977"/>
        <v>50.780555555555559</v>
      </c>
      <c r="Q1559" s="1148">
        <v>25150</v>
      </c>
      <c r="R1559" s="874"/>
      <c r="S1559" s="875"/>
      <c r="T1559" s="885"/>
      <c r="U1559" s="885"/>
      <c r="V1559" s="885"/>
      <c r="W1559" s="875"/>
      <c r="X1559" s="1026">
        <f t="shared" si="978"/>
        <v>25150</v>
      </c>
      <c r="Y1559" s="1512">
        <f t="shared" si="979"/>
        <v>0</v>
      </c>
      <c r="Z1559" s="1741">
        <f t="shared" si="980"/>
        <v>1</v>
      </c>
      <c r="AA1559" s="1749">
        <f t="shared" si="981"/>
        <v>0</v>
      </c>
      <c r="AB1559" s="1810">
        <f t="shared" si="982"/>
        <v>0</v>
      </c>
      <c r="AC1559" s="876"/>
      <c r="AD1559" s="1525">
        <f t="shared" si="983"/>
        <v>0</v>
      </c>
      <c r="AE1559" s="1525">
        <f t="shared" si="983"/>
        <v>0</v>
      </c>
      <c r="AF1559" s="1525">
        <f t="shared" si="983"/>
        <v>0</v>
      </c>
      <c r="AG1559" s="1525">
        <f t="shared" si="983"/>
        <v>0</v>
      </c>
      <c r="AH1559" s="1525">
        <f t="shared" si="983"/>
        <v>0</v>
      </c>
      <c r="AI1559" s="1525">
        <f t="shared" si="983"/>
        <v>0</v>
      </c>
      <c r="AJ1559" s="1525">
        <f t="shared" si="983"/>
        <v>0</v>
      </c>
      <c r="AK1559" s="1525">
        <f t="shared" si="983"/>
        <v>0</v>
      </c>
      <c r="AL1559" s="1525">
        <f t="shared" si="983"/>
        <v>0</v>
      </c>
      <c r="AM1559" s="1525">
        <f t="shared" si="983"/>
        <v>0</v>
      </c>
      <c r="AN1559" s="1525">
        <f t="shared" si="983"/>
        <v>0</v>
      </c>
      <c r="AO1559" s="1525">
        <f t="shared" si="983"/>
        <v>0</v>
      </c>
      <c r="AP1559" s="1525">
        <f t="shared" si="983"/>
        <v>0</v>
      </c>
      <c r="AQ1559" s="1525">
        <f t="shared" si="983"/>
        <v>0</v>
      </c>
      <c r="AR1559" s="1525">
        <f t="shared" si="983"/>
        <v>0</v>
      </c>
      <c r="AS1559" s="1525">
        <f t="shared" si="983"/>
        <v>0</v>
      </c>
      <c r="AU1559" s="1525"/>
      <c r="AV1559" s="1295"/>
      <c r="AW1559" s="1525"/>
      <c r="AX1559" s="1525"/>
      <c r="AY1559" s="1525"/>
      <c r="AZ1559" s="1525"/>
      <c r="BA1559" s="1525"/>
      <c r="BB1559" s="1525"/>
      <c r="BC1559" s="1525"/>
      <c r="BD1559" s="1525"/>
      <c r="BE1559" s="1525"/>
      <c r="BF1559" s="1525"/>
      <c r="BG1559" s="1525"/>
      <c r="BH1559" s="1525"/>
      <c r="BI1559" s="1525"/>
      <c r="BJ1559" s="1525"/>
      <c r="BK1559" s="1525"/>
      <c r="BL1559" s="1525"/>
      <c r="BM1559" s="1525"/>
      <c r="BN1559" s="1525"/>
      <c r="BO1559" s="1525"/>
      <c r="BP1559" s="1525"/>
      <c r="BQ1559" s="1525"/>
      <c r="BR1559" s="1525"/>
      <c r="BS1559" s="1525"/>
      <c r="BT1559" s="1670">
        <f t="shared" si="984"/>
        <v>0</v>
      </c>
      <c r="BV1559"/>
      <c r="BW1559" s="844" t="s">
        <v>334</v>
      </c>
    </row>
    <row r="1560" spans="2:75" s="164" customFormat="1" ht="12.75" customHeight="1" x14ac:dyDescent="0.2">
      <c r="B1560" s="175">
        <f t="shared" si="976"/>
        <v>3</v>
      </c>
      <c r="C1560" s="219">
        <v>8</v>
      </c>
      <c r="D1560" s="547"/>
      <c r="E1560" s="4" t="s">
        <v>1665</v>
      </c>
      <c r="F1560" s="232" t="s">
        <v>353</v>
      </c>
      <c r="G1560" s="821" t="s">
        <v>1666</v>
      </c>
      <c r="H1560" s="858">
        <v>141568</v>
      </c>
      <c r="I1560" s="200" t="s">
        <v>351</v>
      </c>
      <c r="J1560" s="174"/>
      <c r="K1560" s="189"/>
      <c r="L1560" s="858">
        <v>1</v>
      </c>
      <c r="M1560" s="858">
        <v>1</v>
      </c>
      <c r="N1560" s="857" t="s">
        <v>892</v>
      </c>
      <c r="O1560" s="1196">
        <v>30733</v>
      </c>
      <c r="P1560" s="1218">
        <f t="shared" ca="1" si="977"/>
        <v>33.613888888888887</v>
      </c>
      <c r="Q1560" s="1148">
        <v>37400</v>
      </c>
      <c r="R1560" s="874"/>
      <c r="S1560" s="875">
        <v>3000</v>
      </c>
      <c r="T1560" s="885"/>
      <c r="U1560" s="885"/>
      <c r="V1560" s="885"/>
      <c r="W1560" s="875"/>
      <c r="X1560" s="1026">
        <f t="shared" si="978"/>
        <v>40400</v>
      </c>
      <c r="Y1560" s="1512">
        <f t="shared" si="979"/>
        <v>0</v>
      </c>
      <c r="Z1560" s="1741">
        <f t="shared" si="980"/>
        <v>1</v>
      </c>
      <c r="AA1560" s="1749">
        <f t="shared" si="981"/>
        <v>0.5</v>
      </c>
      <c r="AB1560" s="1810">
        <f t="shared" si="982"/>
        <v>50</v>
      </c>
      <c r="AC1560" s="876"/>
      <c r="AD1560" s="1525">
        <f t="shared" si="983"/>
        <v>0</v>
      </c>
      <c r="AE1560" s="1525">
        <f t="shared" si="983"/>
        <v>0</v>
      </c>
      <c r="AF1560" s="1525">
        <f t="shared" si="983"/>
        <v>0</v>
      </c>
      <c r="AG1560" s="1525">
        <f t="shared" si="983"/>
        <v>0</v>
      </c>
      <c r="AH1560" s="1525">
        <f t="shared" si="983"/>
        <v>0</v>
      </c>
      <c r="AI1560" s="1525">
        <f t="shared" si="983"/>
        <v>0</v>
      </c>
      <c r="AJ1560" s="1525">
        <f t="shared" si="983"/>
        <v>0</v>
      </c>
      <c r="AK1560" s="1525">
        <f t="shared" si="983"/>
        <v>0</v>
      </c>
      <c r="AL1560" s="1525">
        <f t="shared" si="983"/>
        <v>0</v>
      </c>
      <c r="AM1560" s="1525">
        <f t="shared" si="983"/>
        <v>0</v>
      </c>
      <c r="AN1560" s="1525">
        <f t="shared" si="983"/>
        <v>0</v>
      </c>
      <c r="AO1560" s="1525">
        <f t="shared" si="983"/>
        <v>0.5</v>
      </c>
      <c r="AP1560" s="1525">
        <f t="shared" si="983"/>
        <v>0</v>
      </c>
      <c r="AQ1560" s="1525">
        <f t="shared" si="983"/>
        <v>0</v>
      </c>
      <c r="AR1560" s="1525">
        <f t="shared" si="983"/>
        <v>0</v>
      </c>
      <c r="AS1560" s="1525">
        <f t="shared" si="983"/>
        <v>0</v>
      </c>
      <c r="AU1560" s="1525"/>
      <c r="AV1560" s="1295"/>
      <c r="AW1560" s="1525"/>
      <c r="AX1560" s="1525"/>
      <c r="AY1560" s="1525"/>
      <c r="AZ1560" s="1525"/>
      <c r="BA1560" s="1525"/>
      <c r="BB1560" s="1525"/>
      <c r="BC1560" s="1525"/>
      <c r="BD1560" s="1525">
        <v>0.5</v>
      </c>
      <c r="BE1560" s="1525"/>
      <c r="BF1560" s="1525"/>
      <c r="BG1560" s="1525"/>
      <c r="BH1560" s="1525"/>
      <c r="BI1560" s="1525"/>
      <c r="BJ1560" s="1525"/>
      <c r="BK1560" s="1525"/>
      <c r="BL1560" s="1525"/>
      <c r="BM1560" s="1525"/>
      <c r="BN1560" s="1525"/>
      <c r="BO1560" s="1525"/>
      <c r="BP1560" s="1525"/>
      <c r="BQ1560" s="1525"/>
      <c r="BR1560" s="1525"/>
      <c r="BS1560" s="1525"/>
      <c r="BT1560" s="1670">
        <f t="shared" si="984"/>
        <v>0.5</v>
      </c>
      <c r="BV1560"/>
      <c r="BW1560" s="821" t="s">
        <v>1666</v>
      </c>
    </row>
    <row r="1561" spans="2:75" s="164" customFormat="1" ht="12.75" customHeight="1" x14ac:dyDescent="0.2">
      <c r="B1561" s="175">
        <f t="shared" si="976"/>
        <v>4</v>
      </c>
      <c r="C1561" s="219">
        <v>8</v>
      </c>
      <c r="D1561" s="547"/>
      <c r="E1561" s="4" t="s">
        <v>1665</v>
      </c>
      <c r="F1561" s="232" t="s">
        <v>353</v>
      </c>
      <c r="G1561" s="821" t="s">
        <v>86</v>
      </c>
      <c r="H1561" s="858">
        <v>21890</v>
      </c>
      <c r="I1561" s="200" t="s">
        <v>351</v>
      </c>
      <c r="J1561" s="174"/>
      <c r="K1561" s="189"/>
      <c r="L1561" s="858">
        <v>1</v>
      </c>
      <c r="M1561" s="858">
        <f>K1561+L1561</f>
        <v>1</v>
      </c>
      <c r="N1561" s="857" t="s">
        <v>1326</v>
      </c>
      <c r="O1561" s="1196">
        <v>20279</v>
      </c>
      <c r="P1561" s="1218">
        <f t="shared" ca="1" si="977"/>
        <v>62.230555555555554</v>
      </c>
      <c r="Q1561" s="1148">
        <v>23400</v>
      </c>
      <c r="R1561" s="874">
        <f>Q1561*0.1</f>
        <v>2340</v>
      </c>
      <c r="S1561" s="875"/>
      <c r="T1561" s="877"/>
      <c r="U1561" s="877"/>
      <c r="V1561" s="877"/>
      <c r="W1561" s="875"/>
      <c r="X1561" s="1026">
        <f t="shared" si="978"/>
        <v>25740</v>
      </c>
      <c r="Y1561" s="1512">
        <f t="shared" si="979"/>
        <v>0</v>
      </c>
      <c r="Z1561" s="1741">
        <f t="shared" si="980"/>
        <v>1</v>
      </c>
      <c r="AA1561" s="1749">
        <f t="shared" si="981"/>
        <v>0</v>
      </c>
      <c r="AB1561" s="1810">
        <f t="shared" si="982"/>
        <v>0</v>
      </c>
      <c r="AC1561" s="876"/>
      <c r="AD1561" s="1525">
        <f t="shared" si="983"/>
        <v>0</v>
      </c>
      <c r="AE1561" s="1525">
        <f t="shared" si="983"/>
        <v>0</v>
      </c>
      <c r="AF1561" s="1525">
        <f t="shared" si="983"/>
        <v>0</v>
      </c>
      <c r="AG1561" s="1525">
        <f t="shared" si="983"/>
        <v>0</v>
      </c>
      <c r="AH1561" s="1525">
        <f t="shared" si="983"/>
        <v>0</v>
      </c>
      <c r="AI1561" s="1525">
        <f t="shared" si="983"/>
        <v>0</v>
      </c>
      <c r="AJ1561" s="1525">
        <f t="shared" si="983"/>
        <v>0</v>
      </c>
      <c r="AK1561" s="1525">
        <f t="shared" si="983"/>
        <v>0</v>
      </c>
      <c r="AL1561" s="1525">
        <f t="shared" si="983"/>
        <v>0</v>
      </c>
      <c r="AM1561" s="1525">
        <f t="shared" si="983"/>
        <v>0</v>
      </c>
      <c r="AN1561" s="1525">
        <f t="shared" si="983"/>
        <v>0</v>
      </c>
      <c r="AO1561" s="1525">
        <f t="shared" si="983"/>
        <v>0</v>
      </c>
      <c r="AP1561" s="1525">
        <f t="shared" si="983"/>
        <v>0</v>
      </c>
      <c r="AQ1561" s="1525">
        <f t="shared" si="983"/>
        <v>0</v>
      </c>
      <c r="AR1561" s="1525">
        <f t="shared" si="983"/>
        <v>0</v>
      </c>
      <c r="AS1561" s="1525">
        <f t="shared" si="983"/>
        <v>0</v>
      </c>
      <c r="AU1561" s="1525"/>
      <c r="AV1561" s="1295"/>
      <c r="AW1561" s="1525"/>
      <c r="AX1561" s="1525"/>
      <c r="AY1561" s="1525"/>
      <c r="AZ1561" s="1525"/>
      <c r="BA1561" s="1525"/>
      <c r="BB1561" s="1525"/>
      <c r="BC1561" s="1525"/>
      <c r="BD1561" s="1525"/>
      <c r="BE1561" s="1525"/>
      <c r="BF1561" s="1525"/>
      <c r="BG1561" s="1525"/>
      <c r="BH1561" s="1525"/>
      <c r="BI1561" s="1525"/>
      <c r="BJ1561" s="1525"/>
      <c r="BK1561" s="1525"/>
      <c r="BL1561" s="1525"/>
      <c r="BM1561" s="1525"/>
      <c r="BN1561" s="1525"/>
      <c r="BO1561" s="1525"/>
      <c r="BP1561" s="1525"/>
      <c r="BQ1561" s="1525"/>
      <c r="BR1561" s="1525"/>
      <c r="BS1561" s="1525"/>
      <c r="BT1561" s="1670">
        <f t="shared" si="984"/>
        <v>0</v>
      </c>
      <c r="BV1561"/>
      <c r="BW1561" s="821" t="s">
        <v>86</v>
      </c>
    </row>
    <row r="1562" spans="2:75" s="164" customFormat="1" ht="12.75" customHeight="1" x14ac:dyDescent="0.2">
      <c r="B1562" s="175">
        <f t="shared" si="976"/>
        <v>5</v>
      </c>
      <c r="C1562" s="219">
        <v>12</v>
      </c>
      <c r="D1562" s="547"/>
      <c r="E1562" s="4" t="s">
        <v>1665</v>
      </c>
      <c r="F1562" s="4" t="s">
        <v>1235</v>
      </c>
      <c r="G1562" s="825" t="s">
        <v>87</v>
      </c>
      <c r="H1562" s="861">
        <v>82215</v>
      </c>
      <c r="I1562" s="197" t="s">
        <v>583</v>
      </c>
      <c r="J1562" s="174"/>
      <c r="K1562" s="174"/>
      <c r="L1562" s="861">
        <v>1</v>
      </c>
      <c r="M1562" s="861">
        <f>K1562+L1562</f>
        <v>1</v>
      </c>
      <c r="N1562" s="999" t="s">
        <v>1402</v>
      </c>
      <c r="O1562" s="1196">
        <v>22275</v>
      </c>
      <c r="P1562" s="1218">
        <f t="shared" ca="1" si="977"/>
        <v>56.769444444444446</v>
      </c>
      <c r="Q1562" s="1148">
        <v>36100</v>
      </c>
      <c r="R1562" s="874">
        <f>Q1562*0.1</f>
        <v>3610</v>
      </c>
      <c r="S1562" s="876"/>
      <c r="T1562" s="884"/>
      <c r="U1562" s="884"/>
      <c r="V1562" s="884"/>
      <c r="W1562" s="876"/>
      <c r="X1562" s="1026">
        <f t="shared" si="978"/>
        <v>39710</v>
      </c>
      <c r="Y1562" s="1512">
        <f t="shared" si="979"/>
        <v>0</v>
      </c>
      <c r="Z1562" s="1741">
        <f t="shared" si="980"/>
        <v>1</v>
      </c>
      <c r="AA1562" s="1749">
        <f t="shared" si="981"/>
        <v>1</v>
      </c>
      <c r="AB1562" s="1810">
        <f t="shared" si="982"/>
        <v>100</v>
      </c>
      <c r="AC1562" s="876"/>
      <c r="AD1562" s="1525">
        <f t="shared" si="983"/>
        <v>1</v>
      </c>
      <c r="AE1562" s="1525">
        <f t="shared" si="983"/>
        <v>0</v>
      </c>
      <c r="AF1562" s="1525">
        <f t="shared" si="983"/>
        <v>0</v>
      </c>
      <c r="AG1562" s="1525">
        <f t="shared" si="983"/>
        <v>0</v>
      </c>
      <c r="AH1562" s="1525">
        <f t="shared" si="983"/>
        <v>0</v>
      </c>
      <c r="AI1562" s="1525">
        <f t="shared" si="983"/>
        <v>0</v>
      </c>
      <c r="AJ1562" s="1525">
        <f t="shared" si="983"/>
        <v>0</v>
      </c>
      <c r="AK1562" s="1525">
        <f t="shared" si="983"/>
        <v>0</v>
      </c>
      <c r="AL1562" s="1525">
        <f t="shared" si="983"/>
        <v>0</v>
      </c>
      <c r="AM1562" s="1525">
        <f t="shared" si="983"/>
        <v>0</v>
      </c>
      <c r="AN1562" s="1525">
        <f t="shared" si="983"/>
        <v>0</v>
      </c>
      <c r="AO1562" s="1525">
        <f t="shared" si="983"/>
        <v>0</v>
      </c>
      <c r="AP1562" s="1525">
        <f t="shared" si="983"/>
        <v>0</v>
      </c>
      <c r="AQ1562" s="1525">
        <f t="shared" si="983"/>
        <v>0</v>
      </c>
      <c r="AR1562" s="1525">
        <f t="shared" si="983"/>
        <v>0</v>
      </c>
      <c r="AS1562" s="1525">
        <f t="shared" si="983"/>
        <v>0</v>
      </c>
      <c r="AU1562" s="1525"/>
      <c r="AV1562" s="1295"/>
      <c r="AW1562" s="1525"/>
      <c r="AX1562" s="1525"/>
      <c r="AY1562" s="1525"/>
      <c r="AZ1562" s="1525"/>
      <c r="BA1562" s="1525"/>
      <c r="BB1562" s="1525"/>
      <c r="BC1562" s="1525"/>
      <c r="BD1562" s="1525"/>
      <c r="BE1562" s="1525"/>
      <c r="BF1562" s="1525"/>
      <c r="BG1562" s="1525"/>
      <c r="BH1562" s="1525"/>
      <c r="BI1562" s="1525"/>
      <c r="BJ1562" s="1525">
        <v>1</v>
      </c>
      <c r="BK1562" s="1525"/>
      <c r="BL1562" s="1525"/>
      <c r="BM1562" s="1525"/>
      <c r="BN1562" s="1525"/>
      <c r="BO1562" s="1525"/>
      <c r="BP1562" s="1525"/>
      <c r="BQ1562" s="1525"/>
      <c r="BR1562" s="1525"/>
      <c r="BS1562" s="1525"/>
      <c r="BT1562" s="1670">
        <f t="shared" si="984"/>
        <v>1</v>
      </c>
      <c r="BV1562"/>
      <c r="BW1562" s="825" t="s">
        <v>87</v>
      </c>
    </row>
    <row r="1563" spans="2:75" s="164" customFormat="1" ht="12.75" customHeight="1" x14ac:dyDescent="0.2">
      <c r="B1563" s="175">
        <f t="shared" si="976"/>
        <v>6</v>
      </c>
      <c r="C1563" s="219">
        <v>13</v>
      </c>
      <c r="D1563" s="547"/>
      <c r="E1563" s="4" t="s">
        <v>1665</v>
      </c>
      <c r="F1563" s="4" t="s">
        <v>792</v>
      </c>
      <c r="G1563" s="821" t="s">
        <v>335</v>
      </c>
      <c r="H1563" s="858">
        <v>17521</v>
      </c>
      <c r="I1563" s="274" t="s">
        <v>583</v>
      </c>
      <c r="J1563" s="174"/>
      <c r="K1563" s="174"/>
      <c r="L1563" s="861">
        <v>1</v>
      </c>
      <c r="M1563" s="858">
        <v>1</v>
      </c>
      <c r="N1563" s="999" t="s">
        <v>892</v>
      </c>
      <c r="O1563" s="1196">
        <v>25337</v>
      </c>
      <c r="P1563" s="1218">
        <f t="shared" ca="1" si="977"/>
        <v>48.383333333333333</v>
      </c>
      <c r="Q1563" s="1148">
        <v>20000</v>
      </c>
      <c r="R1563" s="874"/>
      <c r="S1563" s="875"/>
      <c r="T1563" s="877"/>
      <c r="U1563" s="877"/>
      <c r="V1563" s="877"/>
      <c r="W1563" s="875"/>
      <c r="X1563" s="1026">
        <f t="shared" si="978"/>
        <v>20000</v>
      </c>
      <c r="Y1563" s="1512">
        <f t="shared" si="979"/>
        <v>0</v>
      </c>
      <c r="Z1563" s="1741">
        <f t="shared" si="980"/>
        <v>1</v>
      </c>
      <c r="AA1563" s="1749">
        <f t="shared" si="981"/>
        <v>0</v>
      </c>
      <c r="AB1563" s="1810">
        <f t="shared" si="982"/>
        <v>0</v>
      </c>
      <c r="AC1563" s="876"/>
      <c r="AD1563" s="1525">
        <f t="shared" si="983"/>
        <v>0</v>
      </c>
      <c r="AE1563" s="1525">
        <f t="shared" si="983"/>
        <v>0</v>
      </c>
      <c r="AF1563" s="1525">
        <f t="shared" si="983"/>
        <v>0</v>
      </c>
      <c r="AG1563" s="1525">
        <f t="shared" si="983"/>
        <v>0</v>
      </c>
      <c r="AH1563" s="1525">
        <f t="shared" si="983"/>
        <v>0</v>
      </c>
      <c r="AI1563" s="1525">
        <f t="shared" si="983"/>
        <v>0</v>
      </c>
      <c r="AJ1563" s="1525">
        <f t="shared" si="983"/>
        <v>0</v>
      </c>
      <c r="AK1563" s="1525">
        <f t="shared" si="983"/>
        <v>0</v>
      </c>
      <c r="AL1563" s="1525">
        <f t="shared" si="983"/>
        <v>0</v>
      </c>
      <c r="AM1563" s="1525">
        <f t="shared" si="983"/>
        <v>0</v>
      </c>
      <c r="AN1563" s="1525">
        <f t="shared" si="983"/>
        <v>0</v>
      </c>
      <c r="AO1563" s="1525">
        <f t="shared" si="983"/>
        <v>0</v>
      </c>
      <c r="AP1563" s="1525">
        <f t="shared" si="983"/>
        <v>0</v>
      </c>
      <c r="AQ1563" s="1525">
        <f t="shared" si="983"/>
        <v>0</v>
      </c>
      <c r="AR1563" s="1525">
        <f t="shared" si="983"/>
        <v>0</v>
      </c>
      <c r="AS1563" s="1525">
        <f t="shared" si="983"/>
        <v>0</v>
      </c>
      <c r="AU1563" s="1525"/>
      <c r="AV1563" s="1295"/>
      <c r="AW1563" s="1525"/>
      <c r="AX1563" s="1525"/>
      <c r="AY1563" s="1525"/>
      <c r="AZ1563" s="1525"/>
      <c r="BA1563" s="1525"/>
      <c r="BB1563" s="1525"/>
      <c r="BC1563" s="1525"/>
      <c r="BD1563" s="1525"/>
      <c r="BE1563" s="1525"/>
      <c r="BF1563" s="1525"/>
      <c r="BG1563" s="1525"/>
      <c r="BH1563" s="1525"/>
      <c r="BI1563" s="1525"/>
      <c r="BJ1563" s="1525"/>
      <c r="BK1563" s="1525"/>
      <c r="BL1563" s="1525"/>
      <c r="BM1563" s="1525"/>
      <c r="BN1563" s="1525"/>
      <c r="BO1563" s="1525"/>
      <c r="BP1563" s="1525"/>
      <c r="BQ1563" s="1525"/>
      <c r="BR1563" s="1525"/>
      <c r="BS1563" s="1525"/>
      <c r="BT1563" s="1670">
        <f t="shared" si="984"/>
        <v>0</v>
      </c>
      <c r="BV1563"/>
      <c r="BW1563" s="821" t="s">
        <v>335</v>
      </c>
    </row>
    <row r="1564" spans="2:75" s="164" customFormat="1" ht="12.75" customHeight="1" x14ac:dyDescent="0.2">
      <c r="B1564" s="175">
        <f t="shared" si="976"/>
        <v>7</v>
      </c>
      <c r="C1564" s="219">
        <v>13</v>
      </c>
      <c r="D1564" s="547"/>
      <c r="E1564" s="4" t="s">
        <v>1665</v>
      </c>
      <c r="F1564" s="4" t="s">
        <v>792</v>
      </c>
      <c r="G1564" s="825" t="s">
        <v>1061</v>
      </c>
      <c r="H1564" s="858">
        <v>21197</v>
      </c>
      <c r="I1564" s="274" t="s">
        <v>583</v>
      </c>
      <c r="J1564" s="174"/>
      <c r="K1564" s="182"/>
      <c r="L1564" s="861">
        <v>1</v>
      </c>
      <c r="M1564" s="858">
        <f t="shared" ref="M1564:M1570" si="985">K1564+L1564</f>
        <v>1</v>
      </c>
      <c r="N1564" s="836" t="s">
        <v>1402</v>
      </c>
      <c r="O1564" s="1196">
        <v>22167</v>
      </c>
      <c r="P1564" s="1218">
        <f t="shared" ca="1" si="977"/>
        <v>57.06666666666667</v>
      </c>
      <c r="Q1564" s="1148">
        <v>36000</v>
      </c>
      <c r="R1564" s="874">
        <f>Q1564*0.1</f>
        <v>3600</v>
      </c>
      <c r="S1564" s="875"/>
      <c r="T1564" s="877">
        <v>6500</v>
      </c>
      <c r="U1564" s="877"/>
      <c r="V1564" s="877"/>
      <c r="W1564" s="875"/>
      <c r="X1564" s="1026">
        <f t="shared" si="978"/>
        <v>46100</v>
      </c>
      <c r="Y1564" s="1512">
        <f t="shared" si="979"/>
        <v>0.16414141414141414</v>
      </c>
      <c r="Z1564" s="1741">
        <f t="shared" si="980"/>
        <v>1.1641414141414141</v>
      </c>
      <c r="AA1564" s="1749">
        <f t="shared" si="981"/>
        <v>1</v>
      </c>
      <c r="AB1564" s="1810">
        <f t="shared" si="982"/>
        <v>85.900216919739691</v>
      </c>
      <c r="AC1564" s="876"/>
      <c r="AD1564" s="1525">
        <f t="shared" si="983"/>
        <v>1</v>
      </c>
      <c r="AE1564" s="1525">
        <f t="shared" si="983"/>
        <v>0</v>
      </c>
      <c r="AF1564" s="1525">
        <f t="shared" si="983"/>
        <v>0</v>
      </c>
      <c r="AG1564" s="1525">
        <f t="shared" si="983"/>
        <v>0</v>
      </c>
      <c r="AH1564" s="1525">
        <f t="shared" si="983"/>
        <v>0</v>
      </c>
      <c r="AI1564" s="1525">
        <f t="shared" si="983"/>
        <v>0</v>
      </c>
      <c r="AJ1564" s="1525">
        <f t="shared" si="983"/>
        <v>0</v>
      </c>
      <c r="AK1564" s="1525">
        <f t="shared" si="983"/>
        <v>0</v>
      </c>
      <c r="AL1564" s="1525">
        <f t="shared" si="983"/>
        <v>0</v>
      </c>
      <c r="AM1564" s="1525">
        <f t="shared" si="983"/>
        <v>0</v>
      </c>
      <c r="AN1564" s="1525">
        <f t="shared" si="983"/>
        <v>0</v>
      </c>
      <c r="AO1564" s="1525">
        <f t="shared" si="983"/>
        <v>0</v>
      </c>
      <c r="AP1564" s="1525">
        <f t="shared" si="983"/>
        <v>0</v>
      </c>
      <c r="AQ1564" s="1525">
        <f t="shared" si="983"/>
        <v>0</v>
      </c>
      <c r="AR1564" s="1525">
        <f t="shared" si="983"/>
        <v>0</v>
      </c>
      <c r="AS1564" s="1525">
        <f t="shared" si="983"/>
        <v>0</v>
      </c>
      <c r="AU1564" s="1525"/>
      <c r="AV1564" s="1295"/>
      <c r="AW1564" s="1525"/>
      <c r="AX1564" s="1525"/>
      <c r="AY1564" s="1525"/>
      <c r="AZ1564" s="1525"/>
      <c r="BA1564" s="1525"/>
      <c r="BB1564" s="1525"/>
      <c r="BC1564" s="1525"/>
      <c r="BD1564" s="1525"/>
      <c r="BE1564" s="1525"/>
      <c r="BF1564" s="1525"/>
      <c r="BG1564" s="1525"/>
      <c r="BH1564" s="1525"/>
      <c r="BI1564" s="1525">
        <v>1</v>
      </c>
      <c r="BJ1564" s="1525"/>
      <c r="BK1564" s="1525"/>
      <c r="BL1564" s="1525"/>
      <c r="BM1564" s="1525"/>
      <c r="BN1564" s="1525"/>
      <c r="BO1564" s="1525"/>
      <c r="BP1564" s="1525"/>
      <c r="BQ1564" s="1525"/>
      <c r="BR1564" s="1525"/>
      <c r="BS1564" s="1525"/>
      <c r="BT1564" s="1670">
        <f t="shared" si="984"/>
        <v>1</v>
      </c>
      <c r="BV1564"/>
      <c r="BW1564" s="825" t="s">
        <v>1061</v>
      </c>
    </row>
    <row r="1565" spans="2:75" s="164" customFormat="1" ht="12.75" customHeight="1" x14ac:dyDescent="0.2">
      <c r="B1565" s="175">
        <f t="shared" si="976"/>
        <v>8</v>
      </c>
      <c r="C1565" s="219">
        <v>13</v>
      </c>
      <c r="D1565" s="547"/>
      <c r="E1565" s="4" t="s">
        <v>1665</v>
      </c>
      <c r="F1565" s="4" t="s">
        <v>792</v>
      </c>
      <c r="G1565" s="821" t="s">
        <v>1852</v>
      </c>
      <c r="H1565" s="858">
        <v>3043</v>
      </c>
      <c r="I1565" s="197" t="s">
        <v>583</v>
      </c>
      <c r="J1565" s="174"/>
      <c r="K1565" s="174"/>
      <c r="L1565" s="861">
        <v>0.5</v>
      </c>
      <c r="M1565" s="858">
        <f t="shared" si="985"/>
        <v>0.5</v>
      </c>
      <c r="N1565" s="857" t="s">
        <v>892</v>
      </c>
      <c r="O1565" s="1196">
        <v>13128</v>
      </c>
      <c r="P1565" s="1218">
        <f t="shared" ca="1" si="977"/>
        <v>81.811111111111117</v>
      </c>
      <c r="Q1565" s="1148">
        <v>34800</v>
      </c>
      <c r="R1565" s="874"/>
      <c r="S1565" s="875"/>
      <c r="T1565" s="877"/>
      <c r="U1565" s="877"/>
      <c r="V1565" s="877"/>
      <c r="W1565" s="875"/>
      <c r="X1565" s="1026">
        <f t="shared" si="978"/>
        <v>17400</v>
      </c>
      <c r="Y1565" s="1512">
        <f t="shared" si="979"/>
        <v>0</v>
      </c>
      <c r="Z1565" s="1741">
        <f t="shared" si="980"/>
        <v>0.5</v>
      </c>
      <c r="AA1565" s="1749">
        <f t="shared" si="981"/>
        <v>0.5</v>
      </c>
      <c r="AB1565" s="1810">
        <f t="shared" si="982"/>
        <v>100</v>
      </c>
      <c r="AC1565" s="876"/>
      <c r="AD1565" s="1525">
        <f t="shared" si="983"/>
        <v>0.5</v>
      </c>
      <c r="AE1565" s="1525">
        <f t="shared" si="983"/>
        <v>0</v>
      </c>
      <c r="AF1565" s="1525">
        <f t="shared" si="983"/>
        <v>0</v>
      </c>
      <c r="AG1565" s="1525">
        <f t="shared" si="983"/>
        <v>0</v>
      </c>
      <c r="AH1565" s="1525">
        <f t="shared" si="983"/>
        <v>0</v>
      </c>
      <c r="AI1565" s="1525">
        <f t="shared" si="983"/>
        <v>0</v>
      </c>
      <c r="AJ1565" s="1525">
        <f t="shared" si="983"/>
        <v>0</v>
      </c>
      <c r="AK1565" s="1525">
        <f t="shared" si="983"/>
        <v>0</v>
      </c>
      <c r="AL1565" s="1525">
        <f t="shared" si="983"/>
        <v>0</v>
      </c>
      <c r="AM1565" s="1525">
        <f t="shared" si="983"/>
        <v>0</v>
      </c>
      <c r="AN1565" s="1525">
        <f t="shared" si="983"/>
        <v>0</v>
      </c>
      <c r="AO1565" s="1525">
        <f t="shared" si="983"/>
        <v>0</v>
      </c>
      <c r="AP1565" s="1525">
        <f t="shared" si="983"/>
        <v>0</v>
      </c>
      <c r="AQ1565" s="1525">
        <f t="shared" si="983"/>
        <v>0</v>
      </c>
      <c r="AR1565" s="1525">
        <f t="shared" si="983"/>
        <v>0</v>
      </c>
      <c r="AS1565" s="1525">
        <f t="shared" si="983"/>
        <v>0</v>
      </c>
      <c r="AU1565" s="1525"/>
      <c r="AV1565" s="1295"/>
      <c r="AW1565" s="1525"/>
      <c r="AX1565" s="1525"/>
      <c r="AY1565" s="1525"/>
      <c r="AZ1565" s="1525"/>
      <c r="BA1565" s="1525"/>
      <c r="BB1565" s="1525"/>
      <c r="BC1565" s="1525"/>
      <c r="BD1565" s="1525"/>
      <c r="BE1565" s="1525"/>
      <c r="BF1565" s="1525"/>
      <c r="BG1565" s="1525"/>
      <c r="BH1565" s="1525"/>
      <c r="BI1565" s="1525">
        <v>0.5</v>
      </c>
      <c r="BJ1565" s="1525"/>
      <c r="BK1565" s="1525"/>
      <c r="BL1565" s="1525"/>
      <c r="BM1565" s="1525"/>
      <c r="BN1565" s="1525"/>
      <c r="BO1565" s="1525"/>
      <c r="BP1565" s="1525"/>
      <c r="BQ1565" s="1525"/>
      <c r="BR1565" s="1525"/>
      <c r="BS1565" s="1525"/>
      <c r="BT1565" s="1670">
        <f t="shared" si="984"/>
        <v>0.5</v>
      </c>
      <c r="BV1565"/>
      <c r="BW1565" s="821" t="s">
        <v>1852</v>
      </c>
    </row>
    <row r="1566" spans="2:75" s="164" customFormat="1" ht="12.75" customHeight="1" x14ac:dyDescent="0.2">
      <c r="B1566" s="175">
        <f t="shared" si="976"/>
        <v>9</v>
      </c>
      <c r="C1566" s="219">
        <v>13</v>
      </c>
      <c r="D1566" s="547"/>
      <c r="E1566" s="4" t="s">
        <v>1665</v>
      </c>
      <c r="F1566" s="4" t="s">
        <v>792</v>
      </c>
      <c r="G1566" s="825" t="s">
        <v>1063</v>
      </c>
      <c r="H1566" s="858">
        <v>100778</v>
      </c>
      <c r="I1566" s="197" t="s">
        <v>583</v>
      </c>
      <c r="J1566" s="174"/>
      <c r="K1566" s="174"/>
      <c r="L1566" s="861">
        <v>1</v>
      </c>
      <c r="M1566" s="858">
        <f t="shared" si="985"/>
        <v>1</v>
      </c>
      <c r="N1566" s="999" t="s">
        <v>1402</v>
      </c>
      <c r="O1566" s="1196">
        <v>24066</v>
      </c>
      <c r="P1566" s="1218">
        <f t="shared" ca="1" si="977"/>
        <v>51.866666666666667</v>
      </c>
      <c r="Q1566" s="1148">
        <v>27500</v>
      </c>
      <c r="R1566" s="874">
        <f>Q1566*0.1</f>
        <v>2750</v>
      </c>
      <c r="S1566" s="875"/>
      <c r="T1566" s="877"/>
      <c r="U1566" s="877"/>
      <c r="V1566" s="877"/>
      <c r="W1566" s="875"/>
      <c r="X1566" s="1026">
        <f t="shared" si="978"/>
        <v>30250</v>
      </c>
      <c r="Y1566" s="1512">
        <f t="shared" si="979"/>
        <v>0</v>
      </c>
      <c r="Z1566" s="1741">
        <f t="shared" si="980"/>
        <v>1</v>
      </c>
      <c r="AA1566" s="1749">
        <f t="shared" si="981"/>
        <v>0</v>
      </c>
      <c r="AB1566" s="1810">
        <f t="shared" si="982"/>
        <v>0</v>
      </c>
      <c r="AC1566" s="876"/>
      <c r="AD1566" s="1525">
        <f t="shared" si="983"/>
        <v>0</v>
      </c>
      <c r="AE1566" s="1525">
        <f t="shared" si="983"/>
        <v>0</v>
      </c>
      <c r="AF1566" s="1525">
        <f t="shared" si="983"/>
        <v>0</v>
      </c>
      <c r="AG1566" s="1525">
        <f t="shared" si="983"/>
        <v>0</v>
      </c>
      <c r="AH1566" s="1525">
        <f t="shared" si="983"/>
        <v>0</v>
      </c>
      <c r="AI1566" s="1525">
        <f t="shared" si="983"/>
        <v>0</v>
      </c>
      <c r="AJ1566" s="1525">
        <f t="shared" si="983"/>
        <v>0</v>
      </c>
      <c r="AK1566" s="1525">
        <f t="shared" si="983"/>
        <v>0</v>
      </c>
      <c r="AL1566" s="1525">
        <f t="shared" si="983"/>
        <v>0</v>
      </c>
      <c r="AM1566" s="1525">
        <f t="shared" si="983"/>
        <v>0</v>
      </c>
      <c r="AN1566" s="1525">
        <f t="shared" si="983"/>
        <v>0</v>
      </c>
      <c r="AO1566" s="1525">
        <f t="shared" si="983"/>
        <v>0</v>
      </c>
      <c r="AP1566" s="1525">
        <f t="shared" si="983"/>
        <v>0</v>
      </c>
      <c r="AQ1566" s="1525">
        <f t="shared" si="983"/>
        <v>0</v>
      </c>
      <c r="AR1566" s="1525">
        <f t="shared" si="983"/>
        <v>0</v>
      </c>
      <c r="AS1566" s="1525">
        <f t="shared" si="983"/>
        <v>0</v>
      </c>
      <c r="AU1566" s="1525"/>
      <c r="AV1566" s="1295"/>
      <c r="AW1566" s="1525"/>
      <c r="AX1566" s="1525"/>
      <c r="AY1566" s="1525"/>
      <c r="AZ1566" s="1525"/>
      <c r="BA1566" s="1525"/>
      <c r="BB1566" s="1525"/>
      <c r="BC1566" s="1525"/>
      <c r="BD1566" s="1525"/>
      <c r="BE1566" s="1525"/>
      <c r="BF1566" s="1525"/>
      <c r="BG1566" s="1525"/>
      <c r="BH1566" s="1525"/>
      <c r="BI1566" s="1525"/>
      <c r="BJ1566" s="1525"/>
      <c r="BK1566" s="1525"/>
      <c r="BL1566" s="1525"/>
      <c r="BM1566" s="1525"/>
      <c r="BN1566" s="1525"/>
      <c r="BO1566" s="1525"/>
      <c r="BP1566" s="1525"/>
      <c r="BQ1566" s="1525"/>
      <c r="BR1566" s="1525"/>
      <c r="BS1566" s="1525"/>
      <c r="BT1566" s="1670">
        <f t="shared" si="984"/>
        <v>0</v>
      </c>
      <c r="BV1566"/>
      <c r="BW1566" s="825" t="s">
        <v>1063</v>
      </c>
    </row>
    <row r="1567" spans="2:75" s="164" customFormat="1" ht="12.75" customHeight="1" x14ac:dyDescent="0.2">
      <c r="B1567" s="175">
        <f t="shared" si="976"/>
        <v>10</v>
      </c>
      <c r="C1567" s="219">
        <v>13</v>
      </c>
      <c r="D1567" s="547"/>
      <c r="E1567" s="4" t="s">
        <v>1665</v>
      </c>
      <c r="F1567" s="4" t="s">
        <v>792</v>
      </c>
      <c r="G1567" s="821" t="s">
        <v>282</v>
      </c>
      <c r="H1567" s="858">
        <v>3371</v>
      </c>
      <c r="I1567" s="197" t="s">
        <v>583</v>
      </c>
      <c r="J1567" s="174"/>
      <c r="K1567" s="174"/>
      <c r="L1567" s="861">
        <v>0.5</v>
      </c>
      <c r="M1567" s="858">
        <f t="shared" si="985"/>
        <v>0.5</v>
      </c>
      <c r="N1567" s="999" t="s">
        <v>1402</v>
      </c>
      <c r="O1567" s="1196">
        <v>17965</v>
      </c>
      <c r="P1567" s="1218">
        <f t="shared" ca="1" si="977"/>
        <v>68.566666666666663</v>
      </c>
      <c r="Q1567" s="1148">
        <v>26000</v>
      </c>
      <c r="R1567" s="874">
        <f>Q1567*0.1</f>
        <v>2600</v>
      </c>
      <c r="S1567" s="875"/>
      <c r="T1567" s="877"/>
      <c r="U1567" s="877"/>
      <c r="V1567" s="877"/>
      <c r="W1567" s="875"/>
      <c r="X1567" s="1026">
        <f t="shared" si="978"/>
        <v>14300</v>
      </c>
      <c r="Y1567" s="1512">
        <f t="shared" si="979"/>
        <v>0</v>
      </c>
      <c r="Z1567" s="1741">
        <f t="shared" si="980"/>
        <v>0.5</v>
      </c>
      <c r="AA1567" s="1749">
        <f t="shared" si="981"/>
        <v>0</v>
      </c>
      <c r="AB1567" s="1810">
        <f t="shared" si="982"/>
        <v>0</v>
      </c>
      <c r="AC1567" s="876"/>
      <c r="AD1567" s="1525">
        <f t="shared" si="983"/>
        <v>0</v>
      </c>
      <c r="AE1567" s="1525">
        <f t="shared" si="983"/>
        <v>0</v>
      </c>
      <c r="AF1567" s="1525">
        <f t="shared" si="983"/>
        <v>0</v>
      </c>
      <c r="AG1567" s="1525">
        <f t="shared" si="983"/>
        <v>0</v>
      </c>
      <c r="AH1567" s="1525">
        <f t="shared" si="983"/>
        <v>0</v>
      </c>
      <c r="AI1567" s="1525">
        <f t="shared" si="983"/>
        <v>0</v>
      </c>
      <c r="AJ1567" s="1525">
        <f t="shared" si="983"/>
        <v>0</v>
      </c>
      <c r="AK1567" s="1525">
        <f t="shared" si="983"/>
        <v>0</v>
      </c>
      <c r="AL1567" s="1525">
        <f t="shared" si="983"/>
        <v>0</v>
      </c>
      <c r="AM1567" s="1525">
        <f t="shared" si="983"/>
        <v>0</v>
      </c>
      <c r="AN1567" s="1525">
        <f t="shared" si="983"/>
        <v>0</v>
      </c>
      <c r="AO1567" s="1525">
        <f t="shared" si="983"/>
        <v>0</v>
      </c>
      <c r="AP1567" s="1525">
        <f t="shared" si="983"/>
        <v>0</v>
      </c>
      <c r="AQ1567" s="1525">
        <f t="shared" si="983"/>
        <v>0</v>
      </c>
      <c r="AR1567" s="1525">
        <f t="shared" si="983"/>
        <v>0</v>
      </c>
      <c r="AS1567" s="1525">
        <f t="shared" si="983"/>
        <v>0</v>
      </c>
      <c r="AU1567" s="1525"/>
      <c r="AV1567" s="1295"/>
      <c r="AW1567" s="1525"/>
      <c r="AX1567" s="1525"/>
      <c r="AY1567" s="1525"/>
      <c r="AZ1567" s="1525"/>
      <c r="BA1567" s="1525"/>
      <c r="BB1567" s="1525"/>
      <c r="BC1567" s="1525"/>
      <c r="BD1567" s="1525"/>
      <c r="BE1567" s="1525"/>
      <c r="BF1567" s="1525"/>
      <c r="BG1567" s="1525"/>
      <c r="BH1567" s="1525"/>
      <c r="BI1567" s="1525"/>
      <c r="BJ1567" s="1525"/>
      <c r="BK1567" s="1525"/>
      <c r="BL1567" s="1525"/>
      <c r="BM1567" s="1525"/>
      <c r="BN1567" s="1525"/>
      <c r="BO1567" s="1525"/>
      <c r="BP1567" s="1525"/>
      <c r="BQ1567" s="1525"/>
      <c r="BR1567" s="1525"/>
      <c r="BS1567" s="1525"/>
      <c r="BT1567" s="1670">
        <f t="shared" si="984"/>
        <v>0</v>
      </c>
      <c r="BV1567"/>
      <c r="BW1567" s="821" t="s">
        <v>282</v>
      </c>
    </row>
    <row r="1568" spans="2:75" s="164" customFormat="1" ht="12.75" customHeight="1" x14ac:dyDescent="0.2">
      <c r="B1568" s="175">
        <f t="shared" si="976"/>
        <v>11</v>
      </c>
      <c r="C1568" s="219">
        <v>13</v>
      </c>
      <c r="D1568" s="547"/>
      <c r="E1568" s="4" t="s">
        <v>1665</v>
      </c>
      <c r="F1568" s="4" t="s">
        <v>792</v>
      </c>
      <c r="G1568" s="821" t="s">
        <v>1716</v>
      </c>
      <c r="H1568" s="858">
        <v>151282</v>
      </c>
      <c r="I1568" s="197" t="s">
        <v>583</v>
      </c>
      <c r="J1568" s="174"/>
      <c r="K1568" s="174"/>
      <c r="L1568" s="861">
        <v>1</v>
      </c>
      <c r="M1568" s="858">
        <f t="shared" si="985"/>
        <v>1</v>
      </c>
      <c r="N1568" s="999" t="s">
        <v>892</v>
      </c>
      <c r="O1568" s="1196">
        <v>31211</v>
      </c>
      <c r="P1568" s="1218">
        <f t="shared" ca="1" si="977"/>
        <v>32.302777777777777</v>
      </c>
      <c r="Q1568" s="1148">
        <v>30000</v>
      </c>
      <c r="R1568" s="874"/>
      <c r="S1568" s="875"/>
      <c r="T1568" s="877">
        <v>4000</v>
      </c>
      <c r="U1568" s="877"/>
      <c r="V1568" s="877"/>
      <c r="W1568" s="875"/>
      <c r="X1568" s="1026">
        <f t="shared" si="978"/>
        <v>34000</v>
      </c>
      <c r="Y1568" s="1512">
        <f t="shared" si="979"/>
        <v>0.13333333333333333</v>
      </c>
      <c r="Z1568" s="1741">
        <f t="shared" si="980"/>
        <v>1.1333333333333333</v>
      </c>
      <c r="AA1568" s="1749">
        <f t="shared" si="981"/>
        <v>1</v>
      </c>
      <c r="AB1568" s="1810">
        <f t="shared" si="982"/>
        <v>88.235294117647058</v>
      </c>
      <c r="AC1568" s="876"/>
      <c r="AD1568" s="1525">
        <f t="shared" si="983"/>
        <v>1</v>
      </c>
      <c r="AE1568" s="1525">
        <f t="shared" si="983"/>
        <v>0</v>
      </c>
      <c r="AF1568" s="1525">
        <f t="shared" si="983"/>
        <v>0</v>
      </c>
      <c r="AG1568" s="1525">
        <f t="shared" si="983"/>
        <v>0</v>
      </c>
      <c r="AH1568" s="1525">
        <f t="shared" si="983"/>
        <v>0</v>
      </c>
      <c r="AI1568" s="1525">
        <f t="shared" si="983"/>
        <v>0</v>
      </c>
      <c r="AJ1568" s="1525">
        <f t="shared" si="983"/>
        <v>0</v>
      </c>
      <c r="AK1568" s="1525">
        <f t="shared" si="983"/>
        <v>0</v>
      </c>
      <c r="AL1568" s="1525">
        <f t="shared" si="983"/>
        <v>0</v>
      </c>
      <c r="AM1568" s="1525">
        <f t="shared" si="983"/>
        <v>0</v>
      </c>
      <c r="AN1568" s="1525">
        <f t="shared" si="983"/>
        <v>0</v>
      </c>
      <c r="AO1568" s="1525">
        <f t="shared" si="983"/>
        <v>0</v>
      </c>
      <c r="AP1568" s="1525">
        <f t="shared" si="983"/>
        <v>0</v>
      </c>
      <c r="AQ1568" s="1525">
        <f t="shared" si="983"/>
        <v>0</v>
      </c>
      <c r="AR1568" s="1525">
        <f t="shared" si="983"/>
        <v>0</v>
      </c>
      <c r="AS1568" s="1525">
        <f t="shared" si="983"/>
        <v>0</v>
      </c>
      <c r="AU1568" s="1525"/>
      <c r="AV1568" s="1295"/>
      <c r="AW1568" s="1525"/>
      <c r="AX1568" s="1525"/>
      <c r="AY1568" s="1525"/>
      <c r="AZ1568" s="1525"/>
      <c r="BA1568" s="1525"/>
      <c r="BB1568" s="1525"/>
      <c r="BC1568" s="1525"/>
      <c r="BD1568" s="1525"/>
      <c r="BE1568" s="1525"/>
      <c r="BF1568" s="1525"/>
      <c r="BG1568" s="1525"/>
      <c r="BH1568" s="1525"/>
      <c r="BI1568" s="1525">
        <v>0.75</v>
      </c>
      <c r="BJ1568" s="1525">
        <v>0.25</v>
      </c>
      <c r="BK1568" s="1525"/>
      <c r="BL1568" s="1525"/>
      <c r="BM1568" s="1525"/>
      <c r="BN1568" s="1525"/>
      <c r="BO1568" s="1525"/>
      <c r="BP1568" s="1525"/>
      <c r="BQ1568" s="1525"/>
      <c r="BR1568" s="1525"/>
      <c r="BS1568" s="1525"/>
      <c r="BT1568" s="1670">
        <f t="shared" si="984"/>
        <v>1</v>
      </c>
      <c r="BV1568"/>
      <c r="BW1568" s="821" t="s">
        <v>1716</v>
      </c>
    </row>
    <row r="1569" spans="2:75" s="164" customFormat="1" ht="12.75" customHeight="1" x14ac:dyDescent="0.2">
      <c r="B1569" s="175">
        <f t="shared" si="976"/>
        <v>12</v>
      </c>
      <c r="C1569" s="219">
        <v>14</v>
      </c>
      <c r="D1569" s="547"/>
      <c r="E1569" s="4" t="s">
        <v>1665</v>
      </c>
      <c r="F1569" s="4" t="s">
        <v>626</v>
      </c>
      <c r="G1569" s="825" t="s">
        <v>283</v>
      </c>
      <c r="H1569" s="861">
        <v>38031</v>
      </c>
      <c r="I1569" s="197" t="s">
        <v>583</v>
      </c>
      <c r="J1569" s="174"/>
      <c r="K1569" s="174"/>
      <c r="L1569" s="861">
        <v>1</v>
      </c>
      <c r="M1569" s="861">
        <f t="shared" si="985"/>
        <v>1</v>
      </c>
      <c r="N1569" s="836" t="s">
        <v>1402</v>
      </c>
      <c r="O1569" s="1196">
        <v>24051</v>
      </c>
      <c r="P1569" s="1218">
        <f t="shared" ca="1" si="977"/>
        <v>51.908333333333331</v>
      </c>
      <c r="Q1569" s="1148">
        <v>21000</v>
      </c>
      <c r="R1569" s="874">
        <f>Q1569*0.1</f>
        <v>2100</v>
      </c>
      <c r="S1569" s="876"/>
      <c r="T1569" s="884"/>
      <c r="U1569" s="884"/>
      <c r="V1569" s="884"/>
      <c r="W1569" s="876"/>
      <c r="X1569" s="1026">
        <f t="shared" si="978"/>
        <v>23100</v>
      </c>
      <c r="Y1569" s="1512">
        <f t="shared" si="979"/>
        <v>0</v>
      </c>
      <c r="Z1569" s="1741">
        <f t="shared" si="980"/>
        <v>1</v>
      </c>
      <c r="AA1569" s="1749">
        <f t="shared" si="981"/>
        <v>1</v>
      </c>
      <c r="AB1569" s="1810">
        <f t="shared" si="982"/>
        <v>100</v>
      </c>
      <c r="AC1569" s="876"/>
      <c r="AD1569" s="1525">
        <f t="shared" si="983"/>
        <v>1</v>
      </c>
      <c r="AE1569" s="1525">
        <f t="shared" si="983"/>
        <v>0</v>
      </c>
      <c r="AF1569" s="1525">
        <f t="shared" si="983"/>
        <v>0</v>
      </c>
      <c r="AG1569" s="1525">
        <f t="shared" si="983"/>
        <v>0</v>
      </c>
      <c r="AH1569" s="1525">
        <f t="shared" si="983"/>
        <v>0</v>
      </c>
      <c r="AI1569" s="1525">
        <f t="shared" si="983"/>
        <v>0</v>
      </c>
      <c r="AJ1569" s="1525">
        <f t="shared" si="983"/>
        <v>0</v>
      </c>
      <c r="AK1569" s="1525">
        <f t="shared" si="983"/>
        <v>0</v>
      </c>
      <c r="AL1569" s="1525">
        <f t="shared" si="983"/>
        <v>0</v>
      </c>
      <c r="AM1569" s="1525">
        <f t="shared" si="983"/>
        <v>0</v>
      </c>
      <c r="AN1569" s="1525">
        <f t="shared" si="983"/>
        <v>0</v>
      </c>
      <c r="AO1569" s="1525">
        <f t="shared" si="983"/>
        <v>0</v>
      </c>
      <c r="AP1569" s="1525">
        <f t="shared" si="983"/>
        <v>0</v>
      </c>
      <c r="AQ1569" s="1525">
        <f t="shared" si="983"/>
        <v>0</v>
      </c>
      <c r="AR1569" s="1525">
        <f t="shared" si="983"/>
        <v>0</v>
      </c>
      <c r="AS1569" s="1525">
        <f t="shared" si="983"/>
        <v>0</v>
      </c>
      <c r="AU1569" s="1525"/>
      <c r="AV1569" s="1295"/>
      <c r="AW1569" s="1525"/>
      <c r="AX1569" s="1525"/>
      <c r="AY1569" s="1525"/>
      <c r="AZ1569" s="1525"/>
      <c r="BA1569" s="1525"/>
      <c r="BB1569" s="1525"/>
      <c r="BC1569" s="1525"/>
      <c r="BD1569" s="1525"/>
      <c r="BE1569" s="1525"/>
      <c r="BF1569" s="1525"/>
      <c r="BG1569" s="1525"/>
      <c r="BH1569" s="1525"/>
      <c r="BI1569" s="1525"/>
      <c r="BJ1569" s="1525">
        <v>1</v>
      </c>
      <c r="BK1569" s="1525"/>
      <c r="BL1569" s="1525"/>
      <c r="BM1569" s="1525"/>
      <c r="BN1569" s="1525"/>
      <c r="BO1569" s="1525"/>
      <c r="BP1569" s="1525"/>
      <c r="BQ1569" s="1525"/>
      <c r="BR1569" s="1525"/>
      <c r="BS1569" s="1525"/>
      <c r="BT1569" s="1670">
        <f t="shared" si="984"/>
        <v>1</v>
      </c>
      <c r="BV1569"/>
      <c r="BW1569" s="825" t="s">
        <v>283</v>
      </c>
    </row>
    <row r="1570" spans="2:75" s="164" customFormat="1" ht="12.75" customHeight="1" x14ac:dyDescent="0.2">
      <c r="B1570" s="175">
        <f t="shared" si="976"/>
        <v>13</v>
      </c>
      <c r="C1570" s="219">
        <v>14</v>
      </c>
      <c r="D1570" s="547"/>
      <c r="E1570" s="4" t="s">
        <v>1665</v>
      </c>
      <c r="F1570" s="26" t="s">
        <v>626</v>
      </c>
      <c r="G1570" s="830" t="s">
        <v>1733</v>
      </c>
      <c r="H1570" s="873">
        <v>134287</v>
      </c>
      <c r="I1570" s="196" t="s">
        <v>583</v>
      </c>
      <c r="J1570" s="174"/>
      <c r="K1570" s="195"/>
      <c r="L1570" s="873">
        <v>1</v>
      </c>
      <c r="M1570" s="873">
        <f t="shared" si="985"/>
        <v>1</v>
      </c>
      <c r="N1570" s="872" t="s">
        <v>892</v>
      </c>
      <c r="O1570" s="1211">
        <v>32891</v>
      </c>
      <c r="P1570" s="1218">
        <f t="shared" ca="1" si="977"/>
        <v>27.705555555555556</v>
      </c>
      <c r="Q1570" s="1071">
        <v>28100</v>
      </c>
      <c r="R1570" s="890"/>
      <c r="S1570" s="891"/>
      <c r="T1570" s="1048"/>
      <c r="U1570" s="1048"/>
      <c r="V1570" s="1048"/>
      <c r="W1570" s="891"/>
      <c r="X1570" s="1026">
        <f t="shared" si="978"/>
        <v>28100</v>
      </c>
      <c r="Y1570" s="1512">
        <f t="shared" si="979"/>
        <v>0</v>
      </c>
      <c r="Z1570" s="1741">
        <f t="shared" si="980"/>
        <v>1</v>
      </c>
      <c r="AA1570" s="1749">
        <f t="shared" si="981"/>
        <v>1.65</v>
      </c>
      <c r="AB1570" s="1810">
        <f t="shared" si="982"/>
        <v>165</v>
      </c>
      <c r="AC1570" s="876"/>
      <c r="AD1570" s="1525">
        <f t="shared" si="983"/>
        <v>0.65</v>
      </c>
      <c r="AE1570" s="1525">
        <f t="shared" si="983"/>
        <v>0</v>
      </c>
      <c r="AF1570" s="1525">
        <f t="shared" si="983"/>
        <v>0</v>
      </c>
      <c r="AG1570" s="1525">
        <f t="shared" si="983"/>
        <v>0</v>
      </c>
      <c r="AH1570" s="1525">
        <f t="shared" si="983"/>
        <v>0</v>
      </c>
      <c r="AI1570" s="1525">
        <f t="shared" si="983"/>
        <v>0</v>
      </c>
      <c r="AJ1570" s="1525">
        <f t="shared" si="983"/>
        <v>0</v>
      </c>
      <c r="AK1570" s="1525">
        <f t="shared" si="983"/>
        <v>0</v>
      </c>
      <c r="AL1570" s="1525">
        <f t="shared" si="983"/>
        <v>0</v>
      </c>
      <c r="AM1570" s="1525">
        <f t="shared" si="983"/>
        <v>0</v>
      </c>
      <c r="AN1570" s="1525">
        <f t="shared" si="983"/>
        <v>0</v>
      </c>
      <c r="AO1570" s="1525">
        <f t="shared" si="983"/>
        <v>1</v>
      </c>
      <c r="AP1570" s="1525">
        <f t="shared" si="983"/>
        <v>0</v>
      </c>
      <c r="AQ1570" s="1525">
        <f t="shared" si="983"/>
        <v>0</v>
      </c>
      <c r="AR1570" s="1525">
        <f t="shared" si="983"/>
        <v>0</v>
      </c>
      <c r="AS1570" s="1525">
        <f t="shared" si="983"/>
        <v>0</v>
      </c>
      <c r="AU1570" s="1525"/>
      <c r="AV1570" s="1295"/>
      <c r="AW1570" s="1525"/>
      <c r="AX1570" s="1525"/>
      <c r="AY1570" s="1525"/>
      <c r="AZ1570" s="1525"/>
      <c r="BA1570" s="1525"/>
      <c r="BB1570" s="1525"/>
      <c r="BC1570" s="1525"/>
      <c r="BD1570" s="1525">
        <v>1</v>
      </c>
      <c r="BE1570" s="1525"/>
      <c r="BF1570" s="1525"/>
      <c r="BG1570" s="1525"/>
      <c r="BH1570" s="1525"/>
      <c r="BI1570" s="1525">
        <v>0.4</v>
      </c>
      <c r="BJ1570" s="1525">
        <v>0.25</v>
      </c>
      <c r="BK1570" s="1525"/>
      <c r="BL1570" s="1525"/>
      <c r="BM1570" s="1525"/>
      <c r="BN1570" s="1525"/>
      <c r="BO1570" s="1525"/>
      <c r="BP1570" s="1525"/>
      <c r="BQ1570" s="1525"/>
      <c r="BR1570" s="1525"/>
      <c r="BS1570" s="1525"/>
      <c r="BT1570" s="1670">
        <f t="shared" si="984"/>
        <v>1.65</v>
      </c>
      <c r="BV1570"/>
      <c r="BW1570" s="830" t="s">
        <v>1733</v>
      </c>
    </row>
    <row r="1571" spans="2:75" s="164" customFormat="1" ht="12.75" customHeight="1" x14ac:dyDescent="0.2">
      <c r="B1571" s="175"/>
      <c r="C1571" s="219"/>
      <c r="D1571" s="547"/>
      <c r="E1571" s="4"/>
      <c r="F1571" s="4"/>
      <c r="G1571" s="825"/>
      <c r="H1571" s="861"/>
      <c r="I1571" s="197"/>
      <c r="J1571" s="174"/>
      <c r="K1571" s="174"/>
      <c r="L1571" s="861"/>
      <c r="M1571" s="861"/>
      <c r="N1571" s="836"/>
      <c r="O1571" s="1196"/>
      <c r="P1571" s="1218"/>
      <c r="Q1571" s="1148"/>
      <c r="R1571" s="874"/>
      <c r="S1571" s="876"/>
      <c r="T1571" s="884"/>
      <c r="U1571" s="884"/>
      <c r="V1571" s="884"/>
      <c r="W1571" s="876"/>
      <c r="X1571" s="1026"/>
      <c r="Y1571" s="1754"/>
      <c r="Z1571" s="1755"/>
      <c r="AA1571" s="1775"/>
      <c r="AB1571" s="1814"/>
      <c r="AC1571" s="876"/>
      <c r="AD1571" s="1525"/>
      <c r="AE1571" s="1525"/>
      <c r="AF1571" s="1525"/>
      <c r="AG1571" s="1525"/>
      <c r="AH1571" s="1525"/>
      <c r="AI1571" s="1525"/>
      <c r="AJ1571" s="1525"/>
      <c r="AK1571" s="1525"/>
      <c r="AL1571" s="1525"/>
      <c r="AM1571" s="1525"/>
      <c r="AN1571" s="1525"/>
      <c r="AO1571" s="1525"/>
      <c r="AP1571" s="1525"/>
      <c r="AQ1571" s="1525"/>
      <c r="AR1571" s="1525"/>
      <c r="AS1571" s="1525"/>
      <c r="AU1571" s="1525"/>
      <c r="AV1571" s="1295"/>
      <c r="AW1571" s="1525"/>
      <c r="AX1571" s="1525"/>
      <c r="AY1571" s="1525"/>
      <c r="AZ1571" s="1525"/>
      <c r="BA1571" s="1525"/>
      <c r="BB1571" s="1525"/>
      <c r="BC1571" s="1525"/>
      <c r="BD1571" s="1525"/>
      <c r="BE1571" s="1525"/>
      <c r="BF1571" s="1525"/>
      <c r="BG1571" s="1525"/>
      <c r="BH1571" s="1525"/>
      <c r="BI1571" s="1525"/>
      <c r="BJ1571" s="1525"/>
      <c r="BK1571" s="1525"/>
      <c r="BL1571" s="1525"/>
      <c r="BM1571" s="1525"/>
      <c r="BN1571" s="1525"/>
      <c r="BO1571" s="1525"/>
      <c r="BP1571" s="1525"/>
      <c r="BQ1571" s="1525"/>
      <c r="BR1571" s="1525"/>
      <c r="BS1571" s="1525"/>
      <c r="BT1571" s="1670"/>
      <c r="BV1571"/>
      <c r="BW1571" s="825"/>
    </row>
    <row r="1572" spans="2:75" s="164" customFormat="1" ht="12.75" customHeight="1" x14ac:dyDescent="0.2">
      <c r="B1572" s="175"/>
      <c r="C1572" s="547"/>
      <c r="D1572" s="547"/>
      <c r="E1572" s="4"/>
      <c r="F1572" s="35" t="s">
        <v>181</v>
      </c>
      <c r="G1572" s="862"/>
      <c r="H1572" s="1347" t="s">
        <v>1508</v>
      </c>
      <c r="I1572" s="272"/>
      <c r="J1572" s="174"/>
      <c r="K1572" s="174"/>
      <c r="L1572" s="861"/>
      <c r="M1572" s="861"/>
      <c r="N1572" s="836"/>
      <c r="O1572" s="1190"/>
      <c r="P1572" s="1245"/>
      <c r="Q1572" s="1153"/>
      <c r="R1572" s="884"/>
      <c r="S1572" s="876"/>
      <c r="T1572" s="876"/>
      <c r="U1572" s="876"/>
      <c r="V1572" s="876"/>
      <c r="W1572" s="876"/>
      <c r="X1572" s="1026"/>
      <c r="Y1572" s="1754"/>
      <c r="Z1572" s="1755"/>
      <c r="AA1572" s="1775"/>
      <c r="AB1572" s="1814"/>
      <c r="AC1572" s="876"/>
      <c r="AD1572" s="1295"/>
      <c r="AE1572" s="1525"/>
      <c r="AF1572" s="1525"/>
      <c r="AG1572" s="1525"/>
      <c r="AH1572" s="1525"/>
      <c r="AI1572" s="1525"/>
      <c r="AJ1572" s="1525"/>
      <c r="AK1572" s="1525"/>
      <c r="AL1572" s="1525"/>
      <c r="AM1572" s="1525"/>
      <c r="AN1572" s="1525"/>
      <c r="AO1572" s="1525"/>
      <c r="AP1572" s="1525"/>
      <c r="AQ1572" s="1525"/>
      <c r="AR1572" s="1525"/>
      <c r="AS1572" s="1525"/>
      <c r="AU1572" s="1525"/>
      <c r="AV1572" s="1295"/>
      <c r="AW1572" s="1525"/>
      <c r="AX1572" s="1525"/>
      <c r="AY1572" s="1525"/>
      <c r="AZ1572" s="1525"/>
      <c r="BA1572" s="1525"/>
      <c r="BB1572" s="1525"/>
      <c r="BC1572" s="1525"/>
      <c r="BD1572" s="1525"/>
      <c r="BE1572" s="1525"/>
      <c r="BF1572" s="1525"/>
      <c r="BG1572" s="1525"/>
      <c r="BH1572" s="1525"/>
      <c r="BI1572" s="1525"/>
      <c r="BJ1572" s="1525"/>
      <c r="BK1572" s="1525"/>
      <c r="BL1572" s="1525"/>
      <c r="BM1572" s="1525"/>
      <c r="BN1572" s="1525"/>
      <c r="BO1572" s="1525"/>
      <c r="BP1572" s="1525"/>
      <c r="BQ1572" s="1525"/>
      <c r="BR1572" s="1525"/>
      <c r="BS1572" s="1525"/>
      <c r="BT1572" s="1670"/>
      <c r="BV1572"/>
      <c r="BW1572" s="862"/>
    </row>
    <row r="1573" spans="2:75" s="164" customFormat="1" ht="12.75" customHeight="1" x14ac:dyDescent="0.2">
      <c r="B1573" s="175"/>
      <c r="C1573" s="547"/>
      <c r="D1573" s="547"/>
      <c r="E1573" s="4"/>
      <c r="F1573" s="35"/>
      <c r="G1573" s="862"/>
      <c r="H1573" s="1347"/>
      <c r="I1573" s="272"/>
      <c r="J1573" s="174"/>
      <c r="K1573" s="174"/>
      <c r="L1573" s="861"/>
      <c r="M1573" s="861"/>
      <c r="N1573" s="836"/>
      <c r="O1573" s="1190"/>
      <c r="P1573" s="1245"/>
      <c r="Q1573" s="1153"/>
      <c r="R1573" s="884"/>
      <c r="S1573" s="876"/>
      <c r="T1573" s="876"/>
      <c r="U1573" s="876"/>
      <c r="V1573" s="876"/>
      <c r="W1573" s="876"/>
      <c r="X1573" s="1026"/>
      <c r="Y1573" s="1754"/>
      <c r="Z1573" s="1755"/>
      <c r="AA1573" s="1775"/>
      <c r="AB1573" s="1814"/>
      <c r="AC1573" s="876"/>
      <c r="AD1573" s="1295"/>
      <c r="AE1573" s="1525"/>
      <c r="AF1573" s="1525"/>
      <c r="AG1573" s="1525"/>
      <c r="AH1573" s="1525"/>
      <c r="AI1573" s="1525"/>
      <c r="AJ1573" s="1525"/>
      <c r="AK1573" s="1525"/>
      <c r="AL1573" s="1525"/>
      <c r="AM1573" s="1525"/>
      <c r="AN1573" s="1525"/>
      <c r="AO1573" s="1525"/>
      <c r="AP1573" s="1525"/>
      <c r="AQ1573" s="1525"/>
      <c r="AR1573" s="1525"/>
      <c r="AS1573" s="1525"/>
      <c r="AU1573" s="1525"/>
      <c r="AV1573" s="1295"/>
      <c r="AW1573" s="1525"/>
      <c r="AX1573" s="1525"/>
      <c r="AY1573" s="1525"/>
      <c r="AZ1573" s="1525"/>
      <c r="BA1573" s="1525"/>
      <c r="BB1573" s="1525"/>
      <c r="BC1573" s="1525"/>
      <c r="BD1573" s="1525"/>
      <c r="BE1573" s="1525"/>
      <c r="BF1573" s="1525"/>
      <c r="BG1573" s="1525"/>
      <c r="BH1573" s="1525"/>
      <c r="BI1573" s="1525"/>
      <c r="BJ1573" s="1525"/>
      <c r="BK1573" s="1525"/>
      <c r="BL1573" s="1525"/>
      <c r="BM1573" s="1525"/>
      <c r="BN1573" s="1525"/>
      <c r="BO1573" s="1525"/>
      <c r="BP1573" s="1525"/>
      <c r="BQ1573" s="1525"/>
      <c r="BR1573" s="1525"/>
      <c r="BS1573" s="1525"/>
      <c r="BT1573" s="1670"/>
      <c r="BV1573"/>
      <c r="BW1573" s="862"/>
    </row>
    <row r="1574" spans="2:75" s="164" customFormat="1" ht="12.75" customHeight="1" x14ac:dyDescent="0.2">
      <c r="B1574" s="175"/>
      <c r="C1574" s="547"/>
      <c r="D1574" s="547"/>
      <c r="E1574" s="4"/>
      <c r="F1574" s="1103" t="s">
        <v>436</v>
      </c>
      <c r="G1574" s="862"/>
      <c r="H1574" s="1347" t="s">
        <v>1508</v>
      </c>
      <c r="I1574" s="197"/>
      <c r="J1574" s="174"/>
      <c r="K1574" s="174"/>
      <c r="L1574" s="861"/>
      <c r="M1574" s="861"/>
      <c r="N1574" s="836"/>
      <c r="O1574" s="1190"/>
      <c r="P1574" s="1245"/>
      <c r="Q1574" s="1153"/>
      <c r="R1574" s="884"/>
      <c r="S1574" s="876"/>
      <c r="T1574" s="876"/>
      <c r="U1574" s="876"/>
      <c r="V1574" s="876"/>
      <c r="W1574" s="876"/>
      <c r="X1574" s="1026"/>
      <c r="Y1574" s="1754"/>
      <c r="Z1574" s="1755"/>
      <c r="AA1574" s="1775"/>
      <c r="AB1574" s="1814"/>
      <c r="AC1574" s="876"/>
      <c r="AD1574" s="1295"/>
      <c r="AE1574" s="1525"/>
      <c r="AF1574" s="1525"/>
      <c r="AG1574" s="1525"/>
      <c r="AH1574" s="1525"/>
      <c r="AI1574" s="1525"/>
      <c r="AJ1574" s="1525"/>
      <c r="AK1574" s="1525"/>
      <c r="AL1574" s="1525"/>
      <c r="AM1574" s="1525"/>
      <c r="AN1574" s="1525"/>
      <c r="AO1574" s="1525"/>
      <c r="AP1574" s="1525"/>
      <c r="AQ1574" s="1525"/>
      <c r="AR1574" s="1525"/>
      <c r="AS1574" s="1525"/>
      <c r="AU1574" s="1525"/>
      <c r="AV1574" s="1295"/>
      <c r="AW1574" s="1525"/>
      <c r="AX1574" s="1525"/>
      <c r="AY1574" s="1525"/>
      <c r="AZ1574" s="1525"/>
      <c r="BA1574" s="1525"/>
      <c r="BB1574" s="1525"/>
      <c r="BC1574" s="1525"/>
      <c r="BD1574" s="1525"/>
      <c r="BE1574" s="1525"/>
      <c r="BF1574" s="1525"/>
      <c r="BG1574" s="1525"/>
      <c r="BH1574" s="1525"/>
      <c r="BI1574" s="1525"/>
      <c r="BJ1574" s="1525"/>
      <c r="BK1574" s="1525"/>
      <c r="BL1574" s="1525"/>
      <c r="BM1574" s="1525"/>
      <c r="BN1574" s="1525"/>
      <c r="BO1574" s="1525"/>
      <c r="BP1574" s="1525"/>
      <c r="BQ1574" s="1525"/>
      <c r="BR1574" s="1525"/>
      <c r="BS1574" s="1525"/>
      <c r="BT1574" s="1670"/>
      <c r="BV1574"/>
      <c r="BW1574" s="862"/>
    </row>
    <row r="1575" spans="2:75" s="164" customFormat="1" ht="12.75" customHeight="1" x14ac:dyDescent="0.2">
      <c r="B1575" s="175">
        <f t="shared" ref="B1575:B1576" si="986">B1574+1</f>
        <v>1</v>
      </c>
      <c r="C1575" s="547">
        <v>6</v>
      </c>
      <c r="D1575" s="547"/>
      <c r="E1575" s="4" t="s">
        <v>1665</v>
      </c>
      <c r="F1575" s="30" t="s">
        <v>167</v>
      </c>
      <c r="G1575" s="825" t="s">
        <v>336</v>
      </c>
      <c r="H1575" s="861">
        <v>48177</v>
      </c>
      <c r="I1575" s="200" t="s">
        <v>351</v>
      </c>
      <c r="J1575" s="174"/>
      <c r="K1575" s="174">
        <v>1</v>
      </c>
      <c r="L1575" s="861"/>
      <c r="M1575" s="861">
        <f>K1575+L1575</f>
        <v>1</v>
      </c>
      <c r="N1575" s="836" t="s">
        <v>892</v>
      </c>
      <c r="O1575" s="1196">
        <v>19803</v>
      </c>
      <c r="P1575" s="1218">
        <f ca="1">YEARFRAC(TODAY(),O1575)</f>
        <v>63.533333333333331</v>
      </c>
      <c r="Q1575" s="1153">
        <v>51350</v>
      </c>
      <c r="R1575" s="884"/>
      <c r="S1575" s="876">
        <v>7000</v>
      </c>
      <c r="T1575" s="876"/>
      <c r="U1575" s="876"/>
      <c r="V1575" s="876"/>
      <c r="W1575" s="876"/>
      <c r="X1575" s="1026">
        <f>(Q1575+R1575+S1575+T1575+U1575+V1575+W1575)*M1575</f>
        <v>58350</v>
      </c>
      <c r="Y1575" s="1512">
        <f>(T1575+U1575)*M1575/(X1575-M1575*(T1575+U1575))</f>
        <v>0</v>
      </c>
      <c r="Z1575" s="1741">
        <f>M1575*(1+Y1575)</f>
        <v>1</v>
      </c>
      <c r="AA1575" s="1749">
        <f>SUM(AD1575:AS1575)</f>
        <v>0</v>
      </c>
      <c r="AB1575" s="1810">
        <f t="shared" ref="AB1575:AB1576" si="987">100*AA1575/Z1575</f>
        <v>0</v>
      </c>
      <c r="AC1575" s="876"/>
      <c r="AD1575" s="1525">
        <f t="shared" ref="AD1575:AS1576" si="988">SUMIF($AV$6:$BS$6,AD$5,$AV1575:$BS1575)</f>
        <v>0</v>
      </c>
      <c r="AE1575" s="1525">
        <f t="shared" si="988"/>
        <v>0</v>
      </c>
      <c r="AF1575" s="1525">
        <f t="shared" si="988"/>
        <v>0</v>
      </c>
      <c r="AG1575" s="1525">
        <f t="shared" si="988"/>
        <v>0</v>
      </c>
      <c r="AH1575" s="1525">
        <f t="shared" si="988"/>
        <v>0</v>
      </c>
      <c r="AI1575" s="1525">
        <f t="shared" si="988"/>
        <v>0</v>
      </c>
      <c r="AJ1575" s="1525">
        <f t="shared" si="988"/>
        <v>0</v>
      </c>
      <c r="AK1575" s="1525">
        <f t="shared" si="988"/>
        <v>0</v>
      </c>
      <c r="AL1575" s="1525">
        <f t="shared" si="988"/>
        <v>0</v>
      </c>
      <c r="AM1575" s="1525">
        <f t="shared" si="988"/>
        <v>0</v>
      </c>
      <c r="AN1575" s="1525">
        <f t="shared" si="988"/>
        <v>0</v>
      </c>
      <c r="AO1575" s="1525">
        <f t="shared" si="988"/>
        <v>0</v>
      </c>
      <c r="AP1575" s="1525">
        <f t="shared" si="988"/>
        <v>0</v>
      </c>
      <c r="AQ1575" s="1525">
        <f t="shared" si="988"/>
        <v>0</v>
      </c>
      <c r="AR1575" s="1525">
        <f t="shared" si="988"/>
        <v>0</v>
      </c>
      <c r="AS1575" s="1525">
        <f t="shared" si="988"/>
        <v>0</v>
      </c>
      <c r="AU1575" s="1525"/>
      <c r="AV1575" s="1295"/>
      <c r="AW1575" s="1525"/>
      <c r="AX1575" s="1525"/>
      <c r="AY1575" s="1525"/>
      <c r="AZ1575" s="1525"/>
      <c r="BA1575" s="1525"/>
      <c r="BB1575" s="1525"/>
      <c r="BC1575" s="1525"/>
      <c r="BD1575" s="1525"/>
      <c r="BE1575" s="1525"/>
      <c r="BF1575" s="1525"/>
      <c r="BG1575" s="1525"/>
      <c r="BH1575" s="1525"/>
      <c r="BI1575" s="1525"/>
      <c r="BJ1575" s="1525"/>
      <c r="BK1575" s="1525"/>
      <c r="BL1575" s="1525"/>
      <c r="BM1575" s="1525"/>
      <c r="BN1575" s="1525"/>
      <c r="BO1575" s="1525"/>
      <c r="BP1575" s="1525"/>
      <c r="BQ1575" s="1525"/>
      <c r="BR1575" s="1525"/>
      <c r="BS1575" s="1525"/>
      <c r="BT1575" s="1670">
        <f t="shared" ref="BT1575:BT1576" si="989">SUM(AV1575:BS1575)</f>
        <v>0</v>
      </c>
      <c r="BV1575"/>
      <c r="BW1575" s="825" t="s">
        <v>336</v>
      </c>
    </row>
    <row r="1576" spans="2:75" s="164" customFormat="1" ht="12.75" customHeight="1" x14ac:dyDescent="0.2">
      <c r="B1576" s="175">
        <f t="shared" si="986"/>
        <v>2</v>
      </c>
      <c r="C1576" s="547">
        <v>14</v>
      </c>
      <c r="D1576" s="547"/>
      <c r="E1576" s="4" t="s">
        <v>1665</v>
      </c>
      <c r="F1576" s="24" t="s">
        <v>626</v>
      </c>
      <c r="G1576" s="825" t="s">
        <v>1727</v>
      </c>
      <c r="H1576" s="861">
        <v>152739</v>
      </c>
      <c r="I1576" s="200" t="s">
        <v>583</v>
      </c>
      <c r="J1576" s="174"/>
      <c r="K1576" s="174">
        <v>0.5</v>
      </c>
      <c r="L1576" s="861"/>
      <c r="M1576" s="861">
        <v>0.5</v>
      </c>
      <c r="N1576" s="836" t="s">
        <v>892</v>
      </c>
      <c r="O1576" s="1196">
        <v>30742</v>
      </c>
      <c r="P1576" s="1218">
        <f ca="1">YEARFRAC(TODAY(),O1576)</f>
        <v>33.586111111111109</v>
      </c>
      <c r="Q1576" s="1153">
        <v>17300</v>
      </c>
      <c r="R1576" s="884"/>
      <c r="S1576" s="876"/>
      <c r="T1576" s="876"/>
      <c r="U1576" s="876"/>
      <c r="V1576" s="876"/>
      <c r="W1576" s="876"/>
      <c r="X1576" s="1026">
        <f>(Q1576+R1576+S1576+T1576+U1576+V1576+W1576)*M1576</f>
        <v>8650</v>
      </c>
      <c r="Y1576" s="1512">
        <f>(T1576+U1576)*M1576/(X1576-M1576*(T1576+U1576))</f>
        <v>0</v>
      </c>
      <c r="Z1576" s="1741">
        <f>M1576*(1+Y1576)</f>
        <v>0.5</v>
      </c>
      <c r="AA1576" s="1749">
        <f>SUM(AD1576:AS1576)</f>
        <v>0</v>
      </c>
      <c r="AB1576" s="1810">
        <f t="shared" si="987"/>
        <v>0</v>
      </c>
      <c r="AC1576" s="876"/>
      <c r="AD1576" s="1525">
        <f t="shared" si="988"/>
        <v>0</v>
      </c>
      <c r="AE1576" s="1525">
        <f t="shared" si="988"/>
        <v>0</v>
      </c>
      <c r="AF1576" s="1525">
        <f t="shared" si="988"/>
        <v>0</v>
      </c>
      <c r="AG1576" s="1525">
        <f t="shared" si="988"/>
        <v>0</v>
      </c>
      <c r="AH1576" s="1525">
        <f t="shared" si="988"/>
        <v>0</v>
      </c>
      <c r="AI1576" s="1525">
        <f t="shared" si="988"/>
        <v>0</v>
      </c>
      <c r="AJ1576" s="1525">
        <f t="shared" si="988"/>
        <v>0</v>
      </c>
      <c r="AK1576" s="1525">
        <f t="shared" si="988"/>
        <v>0</v>
      </c>
      <c r="AL1576" s="1525">
        <f t="shared" si="988"/>
        <v>0</v>
      </c>
      <c r="AM1576" s="1525">
        <f t="shared" si="988"/>
        <v>0</v>
      </c>
      <c r="AN1576" s="1525">
        <f t="shared" si="988"/>
        <v>0</v>
      </c>
      <c r="AO1576" s="1525">
        <f t="shared" si="988"/>
        <v>0</v>
      </c>
      <c r="AP1576" s="1525">
        <f t="shared" si="988"/>
        <v>0</v>
      </c>
      <c r="AQ1576" s="1525">
        <f t="shared" si="988"/>
        <v>0</v>
      </c>
      <c r="AR1576" s="1525">
        <f t="shared" si="988"/>
        <v>0</v>
      </c>
      <c r="AS1576" s="1525">
        <f t="shared" si="988"/>
        <v>0</v>
      </c>
      <c r="AU1576" s="1525"/>
      <c r="AV1576" s="1295"/>
      <c r="AW1576" s="1525"/>
      <c r="AX1576" s="1525"/>
      <c r="AY1576" s="1525"/>
      <c r="AZ1576" s="1525"/>
      <c r="BA1576" s="1525"/>
      <c r="BB1576" s="1525"/>
      <c r="BC1576" s="1525"/>
      <c r="BD1576" s="1525"/>
      <c r="BE1576" s="1525"/>
      <c r="BF1576" s="1525"/>
      <c r="BG1576" s="1525"/>
      <c r="BH1576" s="1525"/>
      <c r="BI1576" s="1525"/>
      <c r="BJ1576" s="1525"/>
      <c r="BK1576" s="1525"/>
      <c r="BL1576" s="1525"/>
      <c r="BM1576" s="1525"/>
      <c r="BN1576" s="1525"/>
      <c r="BO1576" s="1525"/>
      <c r="BP1576" s="1525"/>
      <c r="BQ1576" s="1525"/>
      <c r="BR1576" s="1525"/>
      <c r="BS1576" s="1525"/>
      <c r="BT1576" s="1670">
        <f t="shared" si="989"/>
        <v>0</v>
      </c>
      <c r="BV1576"/>
      <c r="BW1576" s="825" t="s">
        <v>1727</v>
      </c>
    </row>
    <row r="1577" spans="2:75" s="164" customFormat="1" ht="12.75" customHeight="1" x14ac:dyDescent="0.2">
      <c r="B1577" s="175"/>
      <c r="C1577" s="219"/>
      <c r="D1577" s="547"/>
      <c r="E1577" s="4"/>
      <c r="F1577" s="4"/>
      <c r="G1577" s="825"/>
      <c r="H1577" s="861"/>
      <c r="I1577" s="197"/>
      <c r="J1577" s="174"/>
      <c r="K1577" s="174"/>
      <c r="L1577" s="861"/>
      <c r="M1577" s="861"/>
      <c r="N1577" s="836"/>
      <c r="O1577" s="1196"/>
      <c r="P1577" s="1218"/>
      <c r="Q1577" s="1148"/>
      <c r="R1577" s="874"/>
      <c r="S1577" s="876"/>
      <c r="T1577" s="884"/>
      <c r="U1577" s="884"/>
      <c r="V1577" s="884"/>
      <c r="W1577" s="876"/>
      <c r="X1577" s="1026"/>
      <c r="Y1577" s="1335"/>
      <c r="Z1577" s="1335"/>
      <c r="AA1577" s="1775"/>
      <c r="AB1577" s="1814"/>
      <c r="AC1577" s="876"/>
      <c r="AD1577" s="1525"/>
      <c r="AE1577" s="1525"/>
      <c r="AF1577" s="1525"/>
      <c r="AG1577" s="1525"/>
      <c r="AH1577" s="1525"/>
      <c r="AI1577" s="1525"/>
      <c r="AJ1577" s="1525"/>
      <c r="AK1577" s="1525"/>
      <c r="AL1577" s="1525"/>
      <c r="AM1577" s="1525"/>
      <c r="AN1577" s="1525"/>
      <c r="AO1577" s="1525"/>
      <c r="AP1577" s="1525"/>
      <c r="AQ1577" s="1525"/>
      <c r="AR1577" s="1525"/>
      <c r="AS1577" s="1525"/>
      <c r="AU1577" s="1525"/>
      <c r="AV1577" s="1295"/>
      <c r="AW1577" s="1525"/>
      <c r="AX1577" s="1525"/>
      <c r="AY1577" s="1525"/>
      <c r="AZ1577" s="1525"/>
      <c r="BA1577" s="1525"/>
      <c r="BB1577" s="1525"/>
      <c r="BC1577" s="1525"/>
      <c r="BD1577" s="1525"/>
      <c r="BE1577" s="1525"/>
      <c r="BF1577" s="1525"/>
      <c r="BG1577" s="1525"/>
      <c r="BH1577" s="1525"/>
      <c r="BI1577" s="1525"/>
      <c r="BJ1577" s="1525"/>
      <c r="BK1577" s="1525"/>
      <c r="BL1577" s="1525"/>
      <c r="BM1577" s="1525"/>
      <c r="BN1577" s="1525"/>
      <c r="BO1577" s="1525"/>
      <c r="BP1577" s="1525"/>
      <c r="BQ1577" s="1525"/>
      <c r="BR1577" s="1525"/>
      <c r="BS1577" s="1525"/>
      <c r="BT1577" s="1670"/>
      <c r="BV1577"/>
      <c r="BW1577" s="825"/>
    </row>
    <row r="1578" spans="2:75" s="164" customFormat="1" ht="12.75" customHeight="1" x14ac:dyDescent="0.2">
      <c r="B1578" s="175"/>
      <c r="C1578" s="547" t="s">
        <v>1120</v>
      </c>
      <c r="D1578" s="547"/>
      <c r="E1578" s="4"/>
      <c r="F1578" s="4" t="s">
        <v>379</v>
      </c>
      <c r="G1578" s="862"/>
      <c r="H1578" s="1367" t="s">
        <v>1508</v>
      </c>
      <c r="I1578" s="197"/>
      <c r="J1578" s="174"/>
      <c r="K1578" s="446">
        <f t="shared" ref="K1578:L1578" si="990">SUM(K1558:K1576)</f>
        <v>1.5</v>
      </c>
      <c r="L1578" s="446">
        <f t="shared" si="990"/>
        <v>12</v>
      </c>
      <c r="M1578" s="446">
        <f>SUM(M1558:M1576)</f>
        <v>13.5</v>
      </c>
      <c r="N1578" s="836"/>
      <c r="O1578" s="1190"/>
      <c r="P1578" s="1245"/>
      <c r="Q1578" s="1153"/>
      <c r="R1578" s="884"/>
      <c r="S1578" s="876"/>
      <c r="T1578" s="876"/>
      <c r="U1578" s="876"/>
      <c r="V1578" s="876"/>
      <c r="W1578" s="876"/>
      <c r="X1578" s="1026"/>
      <c r="Y1578" s="1335"/>
      <c r="Z1578" s="1335"/>
      <c r="AA1578" s="1775"/>
      <c r="AB1578" s="1814"/>
      <c r="AC1578" s="876"/>
      <c r="AD1578" s="1295"/>
      <c r="AE1578" s="1525"/>
      <c r="AF1578" s="1525"/>
      <c r="AG1578" s="1525"/>
      <c r="AH1578" s="1525"/>
      <c r="AI1578" s="1525"/>
      <c r="AJ1578" s="1525"/>
      <c r="AK1578" s="1525"/>
      <c r="AL1578" s="1525"/>
      <c r="AM1578" s="1525"/>
      <c r="AN1578" s="1525"/>
      <c r="AO1578" s="1525"/>
      <c r="AP1578" s="1525"/>
      <c r="AQ1578" s="1525"/>
      <c r="AR1578" s="1525"/>
      <c r="AS1578" s="1525"/>
      <c r="AU1578" s="1525"/>
      <c r="AV1578" s="1295"/>
      <c r="AW1578" s="1525"/>
      <c r="AX1578" s="1525"/>
      <c r="AY1578" s="1525"/>
      <c r="AZ1578" s="1525"/>
      <c r="BA1578" s="1525"/>
      <c r="BB1578" s="1525"/>
      <c r="BC1578" s="1525"/>
      <c r="BD1578" s="1525"/>
      <c r="BE1578" s="1525"/>
      <c r="BF1578" s="1525"/>
      <c r="BG1578" s="1525"/>
      <c r="BH1578" s="1525"/>
      <c r="BI1578" s="1525"/>
      <c r="BJ1578" s="1525"/>
      <c r="BK1578" s="1525"/>
      <c r="BL1578" s="1525"/>
      <c r="BM1578" s="1525"/>
      <c r="BN1578" s="1525"/>
      <c r="BO1578" s="1525"/>
      <c r="BP1578" s="1525"/>
      <c r="BQ1578" s="1525"/>
      <c r="BR1578" s="1525"/>
      <c r="BS1578" s="1525"/>
      <c r="BT1578" s="1670"/>
      <c r="BV1578"/>
      <c r="BW1578" s="862"/>
    </row>
    <row r="1579" spans="2:75" s="164" customFormat="1" ht="12.75" customHeight="1" x14ac:dyDescent="0.2">
      <c r="B1579" s="175"/>
      <c r="C1579" s="547"/>
      <c r="D1579" s="547"/>
      <c r="E1579" s="4"/>
      <c r="F1579" s="4"/>
      <c r="G1579" s="862"/>
      <c r="H1579" s="1347" t="s">
        <v>1508</v>
      </c>
      <c r="I1579" s="197"/>
      <c r="J1579" s="174"/>
      <c r="K1579" s="174"/>
      <c r="L1579" s="861"/>
      <c r="M1579" s="861"/>
      <c r="N1579" s="836"/>
      <c r="O1579" s="1190"/>
      <c r="P1579" s="1245"/>
      <c r="Q1579" s="1153"/>
      <c r="R1579" s="884"/>
      <c r="S1579" s="876"/>
      <c r="T1579" s="876"/>
      <c r="U1579" s="876"/>
      <c r="V1579" s="876"/>
      <c r="W1579" s="876"/>
      <c r="X1579" s="1026"/>
      <c r="Y1579" s="1754"/>
      <c r="Z1579" s="1755"/>
      <c r="AA1579" s="1775"/>
      <c r="AB1579" s="1814"/>
      <c r="AC1579" s="876"/>
      <c r="AD1579" s="1295"/>
      <c r="AE1579" s="1525"/>
      <c r="AF1579" s="1525"/>
      <c r="AG1579" s="1525"/>
      <c r="AH1579" s="1525"/>
      <c r="AI1579" s="1525"/>
      <c r="AJ1579" s="1525"/>
      <c r="AK1579" s="1525"/>
      <c r="AL1579" s="1525"/>
      <c r="AM1579" s="1525"/>
      <c r="AN1579" s="1525"/>
      <c r="AO1579" s="1525"/>
      <c r="AP1579" s="1525"/>
      <c r="AQ1579" s="1525"/>
      <c r="AR1579" s="1525"/>
      <c r="AS1579" s="1525"/>
      <c r="AU1579" s="1525"/>
      <c r="AV1579" s="1295"/>
      <c r="AW1579" s="1525"/>
      <c r="AX1579" s="1525"/>
      <c r="AY1579" s="1525"/>
      <c r="AZ1579" s="1525"/>
      <c r="BA1579" s="1525"/>
      <c r="BB1579" s="1525"/>
      <c r="BC1579" s="1525"/>
      <c r="BD1579" s="1525"/>
      <c r="BE1579" s="1525"/>
      <c r="BF1579" s="1525"/>
      <c r="BG1579" s="1525"/>
      <c r="BH1579" s="1525"/>
      <c r="BI1579" s="1525"/>
      <c r="BJ1579" s="1525"/>
      <c r="BK1579" s="1525"/>
      <c r="BL1579" s="1525"/>
      <c r="BM1579" s="1525"/>
      <c r="BN1579" s="1525"/>
      <c r="BO1579" s="1525"/>
      <c r="BP1579" s="1525"/>
      <c r="BQ1579" s="1525"/>
      <c r="BR1579" s="1525"/>
      <c r="BS1579" s="1525"/>
      <c r="BT1579" s="1670"/>
      <c r="BV1579"/>
      <c r="BW1579" s="862"/>
    </row>
    <row r="1580" spans="2:75" x14ac:dyDescent="0.15">
      <c r="X1580" s="1709"/>
      <c r="Y1580" s="210"/>
      <c r="Z1580" s="210"/>
      <c r="AA1580" s="1763"/>
      <c r="AB1580" s="1760"/>
      <c r="AC1580" s="210"/>
      <c r="AD1580" s="553"/>
      <c r="AE1580" s="553"/>
      <c r="AF1580" s="553"/>
      <c r="AG1580" s="553"/>
      <c r="AH1580" s="553"/>
      <c r="AI1580" s="553"/>
      <c r="AJ1580" s="553"/>
      <c r="AK1580" s="553"/>
      <c r="AL1580" s="553"/>
      <c r="AM1580" s="553"/>
      <c r="AN1580" s="553"/>
      <c r="AO1580" s="553"/>
      <c r="AP1580" s="553"/>
      <c r="AQ1580" s="553"/>
      <c r="AR1580" s="553"/>
      <c r="AS1580" s="553"/>
      <c r="AV1580" s="1292"/>
      <c r="AX1580" s="1292"/>
      <c r="BT1580" s="1671"/>
    </row>
    <row r="1581" spans="2:75" x14ac:dyDescent="0.15">
      <c r="X1581" s="1709"/>
      <c r="Y1581" s="210"/>
      <c r="Z1581" s="210"/>
      <c r="AA1581" s="1763"/>
      <c r="AB1581" s="1760"/>
      <c r="AC1581" s="210"/>
      <c r="AD1581" s="553"/>
      <c r="AE1581" s="553"/>
      <c r="AF1581" s="553"/>
      <c r="AG1581" s="553"/>
      <c r="AH1581" s="553"/>
      <c r="AI1581" s="553"/>
      <c r="AJ1581" s="553"/>
      <c r="AK1581" s="553"/>
      <c r="AL1581" s="553"/>
      <c r="AM1581" s="553"/>
      <c r="AN1581" s="553"/>
      <c r="AO1581" s="553"/>
      <c r="AP1581" s="553"/>
      <c r="AQ1581" s="553"/>
      <c r="AR1581" s="553"/>
      <c r="AS1581" s="553"/>
      <c r="AV1581" s="1292"/>
      <c r="AX1581" s="1292"/>
      <c r="BT1581" s="1671"/>
    </row>
    <row r="1582" spans="2:75" s="164" customFormat="1" ht="12.75" customHeight="1" x14ac:dyDescent="0.15">
      <c r="B1582" s="175"/>
      <c r="C1582" s="1880" t="s">
        <v>344</v>
      </c>
      <c r="D1582" s="1880"/>
      <c r="E1582" s="1881"/>
      <c r="F1582" s="343" t="s">
        <v>1667</v>
      </c>
      <c r="G1582" s="863">
        <f>COUNTA(G1515:G1581)</f>
        <v>49</v>
      </c>
      <c r="H1582" s="1373" t="s">
        <v>1508</v>
      </c>
      <c r="I1582" s="1120"/>
      <c r="J1582" s="174"/>
      <c r="K1582" s="373">
        <f t="shared" ref="K1582:L1582" si="991">K1516+K1546+K1578+K1555</f>
        <v>7</v>
      </c>
      <c r="L1582" s="373">
        <f t="shared" si="991"/>
        <v>34.85</v>
      </c>
      <c r="M1582" s="373">
        <f>M1516+M1546+M1578+M1555</f>
        <v>41.85</v>
      </c>
      <c r="N1582" s="840"/>
      <c r="O1582" s="840"/>
      <c r="P1582" s="1220"/>
      <c r="Q1582" s="1152"/>
      <c r="R1582" s="883"/>
      <c r="S1582" s="879"/>
      <c r="T1582" s="879"/>
      <c r="U1582" s="879"/>
      <c r="V1582" s="879"/>
      <c r="W1582" s="879"/>
      <c r="X1582" s="1276">
        <f>SUM(X1516:X1579)</f>
        <v>1566215</v>
      </c>
      <c r="Y1582" s="1073"/>
      <c r="Z1582" s="1654">
        <f>SUM(Z1516:Z1581)</f>
        <v>44.675697839395909</v>
      </c>
      <c r="AA1582" s="1827">
        <f>SUM(AA1516:AA1581)</f>
        <v>22.979999999999997</v>
      </c>
      <c r="AB1582" s="1813">
        <f t="shared" ref="AB1582" si="992">100*AA1582/Z1582</f>
        <v>51.437361051662812</v>
      </c>
      <c r="AC1582" s="1721"/>
      <c r="AD1582" s="1295"/>
      <c r="AE1582" s="1525"/>
      <c r="AF1582" s="1525"/>
      <c r="AG1582" s="1525"/>
      <c r="AH1582" s="1525"/>
      <c r="AI1582" s="1525"/>
      <c r="AJ1582" s="1525"/>
      <c r="AK1582" s="1525"/>
      <c r="AL1582" s="1525"/>
      <c r="AM1582" s="1525"/>
      <c r="AN1582" s="1525"/>
      <c r="AO1582" s="1525"/>
      <c r="AP1582" s="1525"/>
      <c r="AQ1582" s="1525"/>
      <c r="AR1582" s="1525"/>
      <c r="AS1582" s="1525"/>
      <c r="AU1582" s="1525"/>
      <c r="AV1582" s="1295"/>
      <c r="AW1582" s="1525"/>
      <c r="AX1582" s="1525"/>
      <c r="AY1582" s="1525"/>
      <c r="AZ1582" s="1525"/>
      <c r="BA1582" s="1525"/>
      <c r="BB1582" s="1525"/>
      <c r="BC1582" s="1525"/>
      <c r="BD1582" s="1525"/>
      <c r="BE1582" s="1525"/>
      <c r="BF1582" s="1525"/>
      <c r="BG1582" s="1525"/>
      <c r="BH1582" s="1525"/>
      <c r="BI1582" s="1525"/>
      <c r="BJ1582" s="1525"/>
      <c r="BK1582" s="1525"/>
      <c r="BL1582" s="1525"/>
      <c r="BM1582" s="1525"/>
      <c r="BN1582" s="1525"/>
      <c r="BO1582" s="1525"/>
      <c r="BP1582" s="1525"/>
      <c r="BQ1582" s="1525"/>
      <c r="BR1582" s="1525"/>
      <c r="BS1582" s="1525"/>
      <c r="BT1582" s="1670"/>
      <c r="BV1582"/>
      <c r="BW1582" s="839"/>
    </row>
    <row r="1583" spans="2:75" s="164" customFormat="1" ht="12.75" customHeight="1" x14ac:dyDescent="0.15">
      <c r="B1583" s="175"/>
      <c r="C1583" s="547" t="s">
        <v>136</v>
      </c>
      <c r="D1583" s="547"/>
      <c r="E1583" s="4"/>
      <c r="F1583" s="424" t="s">
        <v>893</v>
      </c>
      <c r="G1583" s="867"/>
      <c r="H1583" s="1349" t="s">
        <v>1508</v>
      </c>
      <c r="I1583" s="1121"/>
      <c r="J1583" s="174"/>
      <c r="K1583" s="425"/>
      <c r="L1583" s="866"/>
      <c r="M1583" s="866"/>
      <c r="N1583" s="1001"/>
      <c r="O1583" s="1001"/>
      <c r="P1583" s="1259"/>
      <c r="Q1583" s="1155"/>
      <c r="R1583" s="888"/>
      <c r="S1583" s="889"/>
      <c r="T1583" s="889"/>
      <c r="U1583" s="889"/>
      <c r="V1583" s="889"/>
      <c r="W1583" s="889"/>
      <c r="X1583" s="1694"/>
      <c r="Y1583" s="1040"/>
      <c r="Z1583" s="1040"/>
      <c r="AA1583" s="1749"/>
      <c r="AB1583" s="1812"/>
      <c r="AC1583" s="876"/>
      <c r="AD1583" s="1295"/>
      <c r="AE1583" s="1525"/>
      <c r="AF1583" s="1525"/>
      <c r="AG1583" s="1525"/>
      <c r="AH1583" s="1525"/>
      <c r="AI1583" s="1525"/>
      <c r="AJ1583" s="1525"/>
      <c r="AK1583" s="1525"/>
      <c r="AL1583" s="1525"/>
      <c r="AM1583" s="1525"/>
      <c r="AN1583" s="1525"/>
      <c r="AO1583" s="1525"/>
      <c r="AP1583" s="1525"/>
      <c r="AQ1583" s="1525"/>
      <c r="AR1583" s="1525"/>
      <c r="AS1583" s="1525"/>
      <c r="AU1583" s="1525"/>
      <c r="AV1583" s="1295"/>
      <c r="AW1583" s="1525"/>
      <c r="AX1583" s="1525"/>
      <c r="AY1583" s="1525"/>
      <c r="AZ1583" s="1525"/>
      <c r="BA1583" s="1525"/>
      <c r="BB1583" s="1525"/>
      <c r="BC1583" s="1525"/>
      <c r="BD1583" s="1525"/>
      <c r="BE1583" s="1525"/>
      <c r="BF1583" s="1525"/>
      <c r="BG1583" s="1525"/>
      <c r="BH1583" s="1525"/>
      <c r="BI1583" s="1525"/>
      <c r="BJ1583" s="1525"/>
      <c r="BK1583" s="1525"/>
      <c r="BL1583" s="1525"/>
      <c r="BM1583" s="1525"/>
      <c r="BN1583" s="1525"/>
      <c r="BO1583" s="1525"/>
      <c r="BP1583" s="1525"/>
      <c r="BQ1583" s="1525"/>
      <c r="BR1583" s="1525"/>
      <c r="BS1583" s="1525"/>
      <c r="BT1583" s="1670"/>
      <c r="BV1583"/>
      <c r="BW1583" s="867"/>
    </row>
    <row r="1584" spans="2:75" s="164" customFormat="1" ht="12.75" customHeight="1" x14ac:dyDescent="0.2">
      <c r="B1584" s="175"/>
      <c r="C1584" s="547"/>
      <c r="D1584" s="547"/>
      <c r="E1584" s="4"/>
      <c r="F1584" s="4"/>
      <c r="G1584" s="862"/>
      <c r="H1584" s="1347" t="s">
        <v>1508</v>
      </c>
      <c r="I1584" s="280"/>
      <c r="J1584" s="174"/>
      <c r="K1584" s="174"/>
      <c r="L1584" s="861"/>
      <c r="M1584" s="861"/>
      <c r="N1584" s="836"/>
      <c r="O1584" s="1190"/>
      <c r="P1584" s="1245"/>
      <c r="Q1584" s="1153"/>
      <c r="R1584" s="884"/>
      <c r="S1584" s="876"/>
      <c r="T1584" s="876"/>
      <c r="U1584" s="876"/>
      <c r="V1584" s="876"/>
      <c r="W1584" s="876"/>
      <c r="X1584" s="1026"/>
      <c r="Y1584" s="1757"/>
      <c r="Z1584" s="1756"/>
      <c r="AA1584" s="1775"/>
      <c r="AB1584" s="1814"/>
      <c r="AC1584" s="876"/>
      <c r="AD1584" s="1295"/>
      <c r="AE1584" s="1525"/>
      <c r="AF1584" s="1525"/>
      <c r="AG1584" s="1525"/>
      <c r="AH1584" s="1525"/>
      <c r="AI1584" s="1525"/>
      <c r="AJ1584" s="1525"/>
      <c r="AK1584" s="1525"/>
      <c r="AL1584" s="1525"/>
      <c r="AM1584" s="1525"/>
      <c r="AN1584" s="1525"/>
      <c r="AO1584" s="1525"/>
      <c r="AP1584" s="1525"/>
      <c r="AQ1584" s="1525"/>
      <c r="AR1584" s="1525"/>
      <c r="AS1584" s="1525"/>
      <c r="AU1584" s="1525"/>
      <c r="AV1584" s="1295"/>
      <c r="AW1584" s="1525"/>
      <c r="AX1584" s="1525"/>
      <c r="AY1584" s="1525"/>
      <c r="AZ1584" s="1525"/>
      <c r="BA1584" s="1525"/>
      <c r="BB1584" s="1525"/>
      <c r="BC1584" s="1525"/>
      <c r="BD1584" s="1525"/>
      <c r="BE1584" s="1525"/>
      <c r="BF1584" s="1525"/>
      <c r="BG1584" s="1525"/>
      <c r="BH1584" s="1525"/>
      <c r="BI1584" s="1525"/>
      <c r="BJ1584" s="1525"/>
      <c r="BK1584" s="1525"/>
      <c r="BL1584" s="1525"/>
      <c r="BM1584" s="1525"/>
      <c r="BN1584" s="1525"/>
      <c r="BO1584" s="1525"/>
      <c r="BP1584" s="1525"/>
      <c r="BQ1584" s="1525"/>
      <c r="BR1584" s="1525"/>
      <c r="BS1584" s="1525"/>
      <c r="BT1584" s="1670"/>
      <c r="BV1584"/>
      <c r="BW1584" s="862"/>
    </row>
    <row r="1585" spans="2:75" s="164" customFormat="1" ht="12.75" customHeight="1" x14ac:dyDescent="0.15">
      <c r="B1585" s="175"/>
      <c r="F1585" s="71"/>
      <c r="G1585" s="834"/>
      <c r="H1585" s="1358" t="s">
        <v>1508</v>
      </c>
      <c r="I1585" s="241"/>
      <c r="J1585" s="292"/>
      <c r="K1585" s="292"/>
      <c r="L1585" s="893"/>
      <c r="M1585" s="893"/>
      <c r="N1585" s="832"/>
      <c r="O1585" s="1200"/>
      <c r="P1585" s="550"/>
      <c r="Q1585" s="1148"/>
      <c r="R1585" s="874"/>
      <c r="S1585" s="875"/>
      <c r="T1585" s="875"/>
      <c r="U1585" s="875"/>
      <c r="V1585" s="875"/>
      <c r="W1585" s="875"/>
      <c r="X1585" s="1026"/>
      <c r="Y1585" s="1757"/>
      <c r="Z1585" s="1756"/>
      <c r="AA1585" s="1775"/>
      <c r="AB1585" s="1814"/>
      <c r="AC1585" s="1026"/>
      <c r="AD1585" s="1295"/>
      <c r="AE1585" s="1525"/>
      <c r="AF1585" s="1525"/>
      <c r="AG1585" s="1525"/>
      <c r="AH1585" s="1525"/>
      <c r="AI1585" s="1525"/>
      <c r="AJ1585" s="1525"/>
      <c r="AK1585" s="1525"/>
      <c r="AL1585" s="1525"/>
      <c r="AM1585" s="1525"/>
      <c r="AN1585" s="1525"/>
      <c r="AO1585" s="1525"/>
      <c r="AP1585" s="1525"/>
      <c r="AQ1585" s="1525"/>
      <c r="AR1585" s="1525"/>
      <c r="AS1585" s="1525"/>
      <c r="AU1585" s="1525"/>
      <c r="AV1585" s="1295"/>
      <c r="AW1585" s="1525"/>
      <c r="AX1585" s="1525"/>
      <c r="AY1585" s="1525"/>
      <c r="AZ1585" s="1525"/>
      <c r="BA1585" s="1525"/>
      <c r="BB1585" s="1525"/>
      <c r="BC1585" s="1525"/>
      <c r="BD1585" s="1525"/>
      <c r="BE1585" s="1525"/>
      <c r="BF1585" s="1525"/>
      <c r="BG1585" s="1525"/>
      <c r="BH1585" s="1525"/>
      <c r="BI1585" s="1525"/>
      <c r="BJ1585" s="1525"/>
      <c r="BK1585" s="1525"/>
      <c r="BL1585" s="1525"/>
      <c r="BM1585" s="1525"/>
      <c r="BN1585" s="1525"/>
      <c r="BO1585" s="1525"/>
      <c r="BP1585" s="1525"/>
      <c r="BQ1585" s="1525"/>
      <c r="BR1585" s="1525"/>
      <c r="BS1585" s="1525"/>
      <c r="BT1585" s="1670"/>
      <c r="BV1585"/>
      <c r="BW1585" s="834"/>
    </row>
    <row r="1586" spans="2:75" s="164" customFormat="1" ht="12.75" customHeight="1" x14ac:dyDescent="0.15">
      <c r="B1586" s="175"/>
      <c r="F1586" s="35" t="s">
        <v>326</v>
      </c>
      <c r="G1586" s="821"/>
      <c r="H1586" s="1377" t="s">
        <v>1508</v>
      </c>
      <c r="I1586" s="197"/>
      <c r="J1586" s="174"/>
      <c r="K1586" s="174"/>
      <c r="L1586" s="946"/>
      <c r="M1586" s="946"/>
      <c r="N1586" s="857"/>
      <c r="O1586" s="1200"/>
      <c r="P1586" s="550"/>
      <c r="Q1586" s="1148"/>
      <c r="R1586" s="874"/>
      <c r="S1586" s="875"/>
      <c r="T1586" s="875"/>
      <c r="U1586" s="875"/>
      <c r="V1586" s="875"/>
      <c r="W1586" s="875"/>
      <c r="X1586" s="1026"/>
      <c r="Y1586" s="1757"/>
      <c r="Z1586" s="1756"/>
      <c r="AA1586" s="1775"/>
      <c r="AB1586" s="1814"/>
      <c r="AC1586" s="1026"/>
      <c r="AD1586" s="1295"/>
      <c r="AE1586" s="1525"/>
      <c r="AF1586" s="1525"/>
      <c r="AG1586" s="1525"/>
      <c r="AH1586" s="1525"/>
      <c r="AI1586" s="1525"/>
      <c r="AJ1586" s="1525"/>
      <c r="AK1586" s="1525"/>
      <c r="AL1586" s="1525"/>
      <c r="AM1586" s="1525"/>
      <c r="AN1586" s="1525"/>
      <c r="AO1586" s="1525"/>
      <c r="AP1586" s="1525"/>
      <c r="AQ1586" s="1525"/>
      <c r="AR1586" s="1525"/>
      <c r="AS1586" s="1525"/>
      <c r="AU1586" s="1525"/>
      <c r="AV1586" s="1295"/>
      <c r="AW1586" s="1525"/>
      <c r="AX1586" s="1525"/>
      <c r="AY1586" s="1525"/>
      <c r="AZ1586" s="1525"/>
      <c r="BA1586" s="1525"/>
      <c r="BB1586" s="1525"/>
      <c r="BC1586" s="1525"/>
      <c r="BD1586" s="1525"/>
      <c r="BE1586" s="1525"/>
      <c r="BF1586" s="1525"/>
      <c r="BG1586" s="1525"/>
      <c r="BH1586" s="1525"/>
      <c r="BI1586" s="1525"/>
      <c r="BJ1586" s="1525"/>
      <c r="BK1586" s="1525"/>
      <c r="BL1586" s="1525"/>
      <c r="BM1586" s="1525"/>
      <c r="BN1586" s="1525"/>
      <c r="BO1586" s="1525"/>
      <c r="BP1586" s="1525"/>
      <c r="BQ1586" s="1525"/>
      <c r="BR1586" s="1525"/>
      <c r="BS1586" s="1525"/>
      <c r="BT1586" s="1670"/>
      <c r="BV1586"/>
      <c r="BW1586" s="821"/>
    </row>
    <row r="1587" spans="2:75" s="164" customFormat="1" ht="12.75" customHeight="1" x14ac:dyDescent="0.15">
      <c r="B1587" s="175"/>
      <c r="F1587" s="4"/>
      <c r="G1587" s="821"/>
      <c r="H1587" s="1346" t="s">
        <v>1508</v>
      </c>
      <c r="I1587" s="197"/>
      <c r="J1587" s="174"/>
      <c r="K1587" s="174"/>
      <c r="L1587" s="858"/>
      <c r="M1587" s="858"/>
      <c r="N1587" s="857"/>
      <c r="O1587" s="1200"/>
      <c r="P1587" s="550"/>
      <c r="Q1587" s="1148"/>
      <c r="R1587" s="874"/>
      <c r="S1587" s="875"/>
      <c r="T1587" s="875"/>
      <c r="U1587" s="875"/>
      <c r="V1587" s="875"/>
      <c r="W1587" s="875"/>
      <c r="X1587" s="1026"/>
      <c r="Y1587" s="1757"/>
      <c r="Z1587" s="1756"/>
      <c r="AA1587" s="1775"/>
      <c r="AB1587" s="1814"/>
      <c r="AC1587" s="876"/>
      <c r="AD1587" s="1295"/>
      <c r="AE1587" s="1525"/>
      <c r="AF1587" s="1525"/>
      <c r="AG1587" s="1525"/>
      <c r="AH1587" s="1525"/>
      <c r="AI1587" s="1525"/>
      <c r="AJ1587" s="1525"/>
      <c r="AK1587" s="1525"/>
      <c r="AL1587" s="1525"/>
      <c r="AM1587" s="1525"/>
      <c r="AN1587" s="1525"/>
      <c r="AO1587" s="1525"/>
      <c r="AP1587" s="1525"/>
      <c r="AQ1587" s="1525"/>
      <c r="AR1587" s="1525"/>
      <c r="AS1587" s="1525"/>
      <c r="AU1587" s="1525"/>
      <c r="AV1587" s="1295"/>
      <c r="AW1587" s="1525"/>
      <c r="AX1587" s="1525"/>
      <c r="AY1587" s="1525"/>
      <c r="AZ1587" s="1525"/>
      <c r="BA1587" s="1525"/>
      <c r="BB1587" s="1525"/>
      <c r="BC1587" s="1525"/>
      <c r="BD1587" s="1525"/>
      <c r="BE1587" s="1525"/>
      <c r="BF1587" s="1525"/>
      <c r="BG1587" s="1525"/>
      <c r="BH1587" s="1525"/>
      <c r="BI1587" s="1525"/>
      <c r="BJ1587" s="1525"/>
      <c r="BK1587" s="1525"/>
      <c r="BL1587" s="1525"/>
      <c r="BM1587" s="1525"/>
      <c r="BN1587" s="1525"/>
      <c r="BO1587" s="1525"/>
      <c r="BP1587" s="1525"/>
      <c r="BQ1587" s="1525"/>
      <c r="BR1587" s="1525"/>
      <c r="BS1587" s="1525"/>
      <c r="BT1587" s="1670"/>
      <c r="BV1587"/>
      <c r="BW1587" s="821"/>
    </row>
    <row r="1588" spans="2:75" ht="12.75" customHeight="1" x14ac:dyDescent="0.2">
      <c r="B1588" s="175">
        <f t="shared" ref="B1588:B1589" si="993">B1587+1</f>
        <v>1</v>
      </c>
      <c r="C1588" s="219">
        <v>5</v>
      </c>
      <c r="E1588" s="12" t="s">
        <v>1149</v>
      </c>
      <c r="F1588" s="24" t="s">
        <v>599</v>
      </c>
      <c r="G1588" s="821" t="s">
        <v>7</v>
      </c>
      <c r="H1588" s="858">
        <v>46300</v>
      </c>
      <c r="I1588" s="200" t="s">
        <v>351</v>
      </c>
      <c r="J1588" s="189"/>
      <c r="K1588" s="189"/>
      <c r="L1588" s="858">
        <v>1</v>
      </c>
      <c r="M1588" s="858">
        <f>K1588+L1588</f>
        <v>1</v>
      </c>
      <c r="N1588" s="857" t="s">
        <v>1326</v>
      </c>
      <c r="O1588" s="1196">
        <v>20015</v>
      </c>
      <c r="P1588" s="1218">
        <f ca="1">YEARFRAC(TODAY(),O1588)</f>
        <v>62.955555555555556</v>
      </c>
      <c r="Q1588" s="1148">
        <v>46750</v>
      </c>
      <c r="R1588" s="874">
        <f>Q1588*0.1</f>
        <v>4675</v>
      </c>
      <c r="S1588" s="875">
        <v>3000</v>
      </c>
      <c r="T1588" s="877"/>
      <c r="U1588" s="877"/>
      <c r="V1588" s="877"/>
      <c r="W1588" s="875"/>
      <c r="X1588" s="1026">
        <f>(Q1588+R1588+S1588+T1588+U1588+V1588+W1588)*M1588</f>
        <v>54425</v>
      </c>
      <c r="Y1588" s="1512">
        <f>(T1588+U1588)*M1588/(X1588-M1588*(T1588+U1588))</f>
        <v>0</v>
      </c>
      <c r="Z1588" s="1741">
        <f>M1588*(1+Y1588)</f>
        <v>1</v>
      </c>
      <c r="AA1588" s="1749">
        <f>SUM(AD1588:AS1588)</f>
        <v>1</v>
      </c>
      <c r="AB1588" s="1810">
        <f t="shared" ref="AB1588:AB1590" si="994">100*AA1588/Z1588</f>
        <v>100</v>
      </c>
      <c r="AC1588" s="876"/>
      <c r="AD1588" s="1525">
        <f t="shared" ref="AD1588:AS1590" si="995">SUMIF($AV$6:$BS$6,AD$5,$AV1588:$BS1588)</f>
        <v>0.7</v>
      </c>
      <c r="AE1588" s="1525">
        <f t="shared" si="995"/>
        <v>0</v>
      </c>
      <c r="AF1588" s="1525">
        <f t="shared" si="995"/>
        <v>0.1</v>
      </c>
      <c r="AG1588" s="1525">
        <f t="shared" si="995"/>
        <v>0</v>
      </c>
      <c r="AH1588" s="1525">
        <f t="shared" si="995"/>
        <v>0</v>
      </c>
      <c r="AI1588" s="1525">
        <f t="shared" si="995"/>
        <v>0</v>
      </c>
      <c r="AJ1588" s="1525">
        <f t="shared" si="995"/>
        <v>0</v>
      </c>
      <c r="AK1588" s="1525">
        <f t="shared" si="995"/>
        <v>0</v>
      </c>
      <c r="AL1588" s="1525">
        <f t="shared" si="995"/>
        <v>0</v>
      </c>
      <c r="AM1588" s="1525">
        <f t="shared" si="995"/>
        <v>0</v>
      </c>
      <c r="AN1588" s="1525">
        <f t="shared" si="995"/>
        <v>0.2</v>
      </c>
      <c r="AO1588" s="1525">
        <f t="shared" si="995"/>
        <v>0</v>
      </c>
      <c r="AP1588" s="1525">
        <f t="shared" si="995"/>
        <v>0</v>
      </c>
      <c r="AQ1588" s="1525">
        <f t="shared" si="995"/>
        <v>0</v>
      </c>
      <c r="AR1588" s="1525">
        <f t="shared" si="995"/>
        <v>0</v>
      </c>
      <c r="AS1588" s="1525">
        <f t="shared" si="995"/>
        <v>0</v>
      </c>
      <c r="AU1588" s="1525"/>
      <c r="AV1588" s="1291"/>
      <c r="AW1588" s="1292"/>
      <c r="AX1588" s="1292"/>
      <c r="AY1588" s="1292">
        <v>0.1</v>
      </c>
      <c r="AZ1588" s="1292"/>
      <c r="BA1588" s="1292"/>
      <c r="BB1588" s="1292"/>
      <c r="BC1588" s="1292"/>
      <c r="BD1588" s="1292"/>
      <c r="BE1588" s="1292">
        <v>0.2</v>
      </c>
      <c r="BF1588" s="1292"/>
      <c r="BG1588" s="1292"/>
      <c r="BH1588" s="1292"/>
      <c r="BI1588" s="1292">
        <v>0.2</v>
      </c>
      <c r="BJ1588" s="1292">
        <v>0.5</v>
      </c>
      <c r="BK1588" s="1292"/>
      <c r="BL1588" s="1292"/>
      <c r="BM1588" s="1292"/>
      <c r="BN1588" s="1292"/>
      <c r="BO1588" s="1292"/>
      <c r="BP1588" s="1292"/>
      <c r="BQ1588" s="1292"/>
      <c r="BR1588" s="1292"/>
      <c r="BS1588" s="1292"/>
      <c r="BT1588" s="1670">
        <f t="shared" ref="BT1588:BT1590" si="996">SUM(AV1588:BS1588)</f>
        <v>1</v>
      </c>
      <c r="BW1588" s="821" t="s">
        <v>7</v>
      </c>
    </row>
    <row r="1589" spans="2:75" ht="12.75" customHeight="1" x14ac:dyDescent="0.2">
      <c r="B1589" s="175">
        <f t="shared" si="993"/>
        <v>2</v>
      </c>
      <c r="C1589" s="282">
        <v>7</v>
      </c>
      <c r="D1589" s="464"/>
      <c r="E1589" s="474" t="s">
        <v>760</v>
      </c>
      <c r="F1589" s="67" t="s">
        <v>1334</v>
      </c>
      <c r="G1589" s="862" t="s">
        <v>859</v>
      </c>
      <c r="H1589" s="861">
        <v>134557</v>
      </c>
      <c r="I1589" s="1102" t="s">
        <v>351</v>
      </c>
      <c r="J1589" s="625"/>
      <c r="K1589" s="625"/>
      <c r="L1589" s="861">
        <v>0.5</v>
      </c>
      <c r="M1589" s="861">
        <v>0.5</v>
      </c>
      <c r="N1589" s="836" t="s">
        <v>892</v>
      </c>
      <c r="O1589" s="1196">
        <v>16369</v>
      </c>
      <c r="P1589" s="1218">
        <f ca="1">YEARFRAC(TODAY(),O1589)</f>
        <v>72.938888888888883</v>
      </c>
      <c r="Q1589" s="1148">
        <v>45550</v>
      </c>
      <c r="R1589" s="874"/>
      <c r="S1589" s="875"/>
      <c r="T1589" s="874"/>
      <c r="U1589" s="874"/>
      <c r="V1589" s="874"/>
      <c r="W1589" s="875"/>
      <c r="X1589" s="1026">
        <f>(Q1589+R1589+S1589+T1589+U1589+V1589+W1589)*M1589</f>
        <v>22775</v>
      </c>
      <c r="Y1589" s="1512">
        <f>(T1589+U1589)*M1589/(X1589-M1589*(T1589+U1589))</f>
        <v>0</v>
      </c>
      <c r="Z1589" s="1741">
        <f>M1589*(1+Y1589)</f>
        <v>0.5</v>
      </c>
      <c r="AA1589" s="1749">
        <f>SUM(AD1589:AS1589)</f>
        <v>0.5</v>
      </c>
      <c r="AB1589" s="1810">
        <f t="shared" si="994"/>
        <v>100</v>
      </c>
      <c r="AC1589" s="876"/>
      <c r="AD1589" s="1525">
        <f t="shared" si="995"/>
        <v>0.5</v>
      </c>
      <c r="AE1589" s="1525">
        <f t="shared" si="995"/>
        <v>0</v>
      </c>
      <c r="AF1589" s="1525">
        <f t="shared" si="995"/>
        <v>0</v>
      </c>
      <c r="AG1589" s="1525">
        <f t="shared" si="995"/>
        <v>0</v>
      </c>
      <c r="AH1589" s="1525">
        <f t="shared" si="995"/>
        <v>0</v>
      </c>
      <c r="AI1589" s="1525">
        <f t="shared" si="995"/>
        <v>0</v>
      </c>
      <c r="AJ1589" s="1525">
        <f t="shared" si="995"/>
        <v>0</v>
      </c>
      <c r="AK1589" s="1525">
        <f t="shared" si="995"/>
        <v>0</v>
      </c>
      <c r="AL1589" s="1525">
        <f t="shared" si="995"/>
        <v>0</v>
      </c>
      <c r="AM1589" s="1525">
        <f t="shared" si="995"/>
        <v>0</v>
      </c>
      <c r="AN1589" s="1525">
        <f t="shared" si="995"/>
        <v>0</v>
      </c>
      <c r="AO1589" s="1525">
        <f t="shared" si="995"/>
        <v>0</v>
      </c>
      <c r="AP1589" s="1525">
        <f t="shared" si="995"/>
        <v>0</v>
      </c>
      <c r="AQ1589" s="1525">
        <f t="shared" si="995"/>
        <v>0</v>
      </c>
      <c r="AR1589" s="1525">
        <f t="shared" si="995"/>
        <v>0</v>
      </c>
      <c r="AS1589" s="1525">
        <f t="shared" si="995"/>
        <v>0</v>
      </c>
      <c r="AU1589" s="1525"/>
      <c r="AV1589" s="1291"/>
      <c r="AW1589" s="1292"/>
      <c r="AX1589" s="1292"/>
      <c r="AY1589" s="1292"/>
      <c r="AZ1589" s="1292"/>
      <c r="BA1589" s="1292"/>
      <c r="BB1589" s="1292"/>
      <c r="BC1589" s="1292"/>
      <c r="BD1589" s="1292"/>
      <c r="BE1589" s="1292"/>
      <c r="BF1589" s="1292"/>
      <c r="BG1589" s="1292"/>
      <c r="BH1589" s="1292"/>
      <c r="BI1589" s="1292">
        <v>0.2</v>
      </c>
      <c r="BJ1589" s="1292">
        <v>0.3</v>
      </c>
      <c r="BK1589" s="1292"/>
      <c r="BL1589" s="1292"/>
      <c r="BM1589" s="1292"/>
      <c r="BN1589" s="1292"/>
      <c r="BO1589" s="1292"/>
      <c r="BP1589" s="1292"/>
      <c r="BQ1589" s="1292"/>
      <c r="BR1589" s="1292"/>
      <c r="BS1589" s="1292"/>
      <c r="BT1589" s="1670">
        <f t="shared" si="996"/>
        <v>0.5</v>
      </c>
      <c r="BW1589" s="862" t="s">
        <v>859</v>
      </c>
    </row>
    <row r="1590" spans="2:75" ht="12.75" customHeight="1" x14ac:dyDescent="0.2">
      <c r="B1590" s="175">
        <f>B1589+1</f>
        <v>3</v>
      </c>
      <c r="C1590" s="282">
        <v>14</v>
      </c>
      <c r="D1590" s="464"/>
      <c r="E1590" s="474" t="s">
        <v>760</v>
      </c>
      <c r="F1590" s="26" t="s">
        <v>41</v>
      </c>
      <c r="G1590" s="910" t="s">
        <v>606</v>
      </c>
      <c r="H1590" s="873">
        <v>155818</v>
      </c>
      <c r="I1590" s="196" t="s">
        <v>583</v>
      </c>
      <c r="J1590" s="625"/>
      <c r="K1590" s="690"/>
      <c r="L1590" s="873">
        <v>1</v>
      </c>
      <c r="M1590" s="873">
        <v>1</v>
      </c>
      <c r="N1590" s="836" t="s">
        <v>892</v>
      </c>
      <c r="O1590" s="1196">
        <v>27648</v>
      </c>
      <c r="P1590" s="1218">
        <f ca="1">YEARFRAC(TODAY(),O1590)</f>
        <v>42.05833333333333</v>
      </c>
      <c r="Q1590" s="1148">
        <v>23800</v>
      </c>
      <c r="R1590" s="874"/>
      <c r="S1590" s="875"/>
      <c r="T1590" s="874"/>
      <c r="U1590" s="874"/>
      <c r="V1590" s="874"/>
      <c r="W1590" s="875"/>
      <c r="X1590" s="1026">
        <f>(Q1590+R1590+S1590+T1590+U1590+V1590+W1590)*M1590</f>
        <v>23800</v>
      </c>
      <c r="Y1590" s="1512">
        <f>(T1590+U1590)*M1590/(X1590-M1590*(T1590+U1590))</f>
        <v>0</v>
      </c>
      <c r="Z1590" s="1741">
        <f>M1590*(1+Y1590)</f>
        <v>1</v>
      </c>
      <c r="AA1590" s="1749">
        <f>SUM(AD1590:AS1590)</f>
        <v>1</v>
      </c>
      <c r="AB1590" s="1810">
        <f t="shared" si="994"/>
        <v>100</v>
      </c>
      <c r="AC1590" s="876"/>
      <c r="AD1590" s="1525">
        <f t="shared" si="995"/>
        <v>1</v>
      </c>
      <c r="AE1590" s="1525">
        <f t="shared" si="995"/>
        <v>0</v>
      </c>
      <c r="AF1590" s="1525">
        <f t="shared" si="995"/>
        <v>0</v>
      </c>
      <c r="AG1590" s="1525">
        <f t="shared" si="995"/>
        <v>0</v>
      </c>
      <c r="AH1590" s="1525">
        <f t="shared" si="995"/>
        <v>0</v>
      </c>
      <c r="AI1590" s="1525">
        <f t="shared" si="995"/>
        <v>0</v>
      </c>
      <c r="AJ1590" s="1525">
        <f t="shared" si="995"/>
        <v>0</v>
      </c>
      <c r="AK1590" s="1525">
        <f t="shared" si="995"/>
        <v>0</v>
      </c>
      <c r="AL1590" s="1525">
        <f t="shared" si="995"/>
        <v>0</v>
      </c>
      <c r="AM1590" s="1525">
        <f t="shared" si="995"/>
        <v>0</v>
      </c>
      <c r="AN1590" s="1525">
        <f t="shared" si="995"/>
        <v>0</v>
      </c>
      <c r="AO1590" s="1525">
        <f t="shared" si="995"/>
        <v>0</v>
      </c>
      <c r="AP1590" s="1525">
        <f t="shared" si="995"/>
        <v>0</v>
      </c>
      <c r="AQ1590" s="1525">
        <f t="shared" si="995"/>
        <v>0</v>
      </c>
      <c r="AR1590" s="1525">
        <f t="shared" si="995"/>
        <v>0</v>
      </c>
      <c r="AS1590" s="1525">
        <f t="shared" si="995"/>
        <v>0</v>
      </c>
      <c r="AU1590" s="1525"/>
      <c r="AV1590" s="1291"/>
      <c r="AW1590" s="1292"/>
      <c r="AX1590" s="1292"/>
      <c r="AY1590" s="1292"/>
      <c r="AZ1590" s="1292"/>
      <c r="BA1590" s="1292"/>
      <c r="BB1590" s="1292"/>
      <c r="BC1590" s="1292"/>
      <c r="BD1590" s="1292"/>
      <c r="BE1590" s="1292"/>
      <c r="BF1590" s="1292"/>
      <c r="BG1590" s="1292"/>
      <c r="BH1590" s="1292"/>
      <c r="BI1590" s="1292">
        <v>0.5</v>
      </c>
      <c r="BJ1590" s="1292">
        <v>0.5</v>
      </c>
      <c r="BK1590" s="1292"/>
      <c r="BL1590" s="1292"/>
      <c r="BM1590" s="1292"/>
      <c r="BN1590" s="1292"/>
      <c r="BO1590" s="1292"/>
      <c r="BP1590" s="1292"/>
      <c r="BQ1590" s="1292"/>
      <c r="BR1590" s="1292"/>
      <c r="BS1590" s="1292"/>
      <c r="BT1590" s="1670">
        <f t="shared" si="996"/>
        <v>1</v>
      </c>
      <c r="BW1590" s="910" t="s">
        <v>606</v>
      </c>
    </row>
    <row r="1591" spans="2:75" s="164" customFormat="1" ht="12.75" customHeight="1" x14ac:dyDescent="0.15">
      <c r="B1591" s="175"/>
      <c r="C1591" s="219" t="s">
        <v>1120</v>
      </c>
      <c r="F1591" s="24" t="s">
        <v>1038</v>
      </c>
      <c r="G1591" s="859"/>
      <c r="H1591" s="1346" t="s">
        <v>1508</v>
      </c>
      <c r="I1591" s="200"/>
      <c r="J1591" s="189"/>
      <c r="K1591" s="190">
        <f>SUM(K1588:K1588)</f>
        <v>0</v>
      </c>
      <c r="L1591" s="858">
        <f>SUM(L1588:L1590)</f>
        <v>2.5</v>
      </c>
      <c r="M1591" s="858">
        <f>SUM(M1588:M1590)</f>
        <v>2.5</v>
      </c>
      <c r="N1591" s="857"/>
      <c r="O1591" s="1200"/>
      <c r="P1591" s="550"/>
      <c r="Q1591" s="1153"/>
      <c r="R1591" s="877"/>
      <c r="S1591" s="875"/>
      <c r="T1591" s="875"/>
      <c r="U1591" s="875"/>
      <c r="V1591" s="875"/>
      <c r="W1591" s="875"/>
      <c r="X1591" s="1026"/>
      <c r="Y1591" s="1335"/>
      <c r="Z1591" s="1335"/>
      <c r="AA1591" s="1775"/>
      <c r="AB1591" s="1814"/>
      <c r="AC1591" s="876"/>
      <c r="AD1591" s="1295"/>
      <c r="AE1591" s="1525"/>
      <c r="AF1591" s="1525"/>
      <c r="AG1591" s="1525"/>
      <c r="AH1591" s="1525"/>
      <c r="AI1591" s="1525"/>
      <c r="AJ1591" s="1525"/>
      <c r="AK1591" s="1525"/>
      <c r="AL1591" s="1525"/>
      <c r="AM1591" s="1525"/>
      <c r="AN1591" s="1525"/>
      <c r="AO1591" s="1525"/>
      <c r="AP1591" s="1525"/>
      <c r="AQ1591" s="1525"/>
      <c r="AR1591" s="1525"/>
      <c r="AS1591" s="1525"/>
      <c r="AU1591" s="1525"/>
      <c r="AV1591" s="1295"/>
      <c r="AW1591" s="1525"/>
      <c r="AX1591" s="1525"/>
      <c r="AY1591" s="1525"/>
      <c r="AZ1591" s="1525"/>
      <c r="BA1591" s="1525"/>
      <c r="BB1591" s="1525"/>
      <c r="BC1591" s="1525"/>
      <c r="BD1591" s="1525"/>
      <c r="BE1591" s="1525"/>
      <c r="BF1591" s="1525"/>
      <c r="BG1591" s="1525"/>
      <c r="BH1591" s="1525"/>
      <c r="BI1591" s="1525"/>
      <c r="BJ1591" s="1525"/>
      <c r="BK1591" s="1525"/>
      <c r="BL1591" s="1525"/>
      <c r="BM1591" s="1525"/>
      <c r="BN1591" s="1525"/>
      <c r="BO1591" s="1525"/>
      <c r="BP1591" s="1525"/>
      <c r="BQ1591" s="1525"/>
      <c r="BR1591" s="1525"/>
      <c r="BS1591" s="1525"/>
      <c r="BT1591" s="1670"/>
      <c r="BV1591"/>
      <c r="BW1591" s="859"/>
    </row>
    <row r="1592" spans="2:75" s="164" customFormat="1" ht="12.75" customHeight="1" x14ac:dyDescent="0.15">
      <c r="B1592" s="175"/>
      <c r="F1592" s="24" t="s">
        <v>605</v>
      </c>
      <c r="G1592" s="859"/>
      <c r="H1592" s="1346" t="s">
        <v>1508</v>
      </c>
      <c r="I1592" s="200"/>
      <c r="J1592" s="189"/>
      <c r="K1592" s="189"/>
      <c r="L1592" s="858"/>
      <c r="M1592" s="858"/>
      <c r="N1592" s="857"/>
      <c r="O1592" s="1200"/>
      <c r="P1592" s="550"/>
      <c r="Q1592" s="1148"/>
      <c r="R1592" s="874"/>
      <c r="S1592" s="875"/>
      <c r="T1592" s="875"/>
      <c r="U1592" s="875"/>
      <c r="V1592" s="875"/>
      <c r="W1592" s="875"/>
      <c r="X1592" s="1026"/>
      <c r="Y1592" s="1754"/>
      <c r="Z1592" s="1755"/>
      <c r="AA1592" s="1775"/>
      <c r="AB1592" s="1814"/>
      <c r="AC1592" s="876"/>
      <c r="AD1592" s="1295"/>
      <c r="AE1592" s="1525"/>
      <c r="AF1592" s="1525"/>
      <c r="AG1592" s="1525"/>
      <c r="AH1592" s="1525"/>
      <c r="AI1592" s="1525"/>
      <c r="AJ1592" s="1525"/>
      <c r="AK1592" s="1525"/>
      <c r="AL1592" s="1525"/>
      <c r="AM1592" s="1525"/>
      <c r="AN1592" s="1525"/>
      <c r="AO1592" s="1525"/>
      <c r="AP1592" s="1525"/>
      <c r="AQ1592" s="1525"/>
      <c r="AR1592" s="1525"/>
      <c r="AS1592" s="1525"/>
      <c r="AU1592" s="1525"/>
      <c r="AV1592" s="1295"/>
      <c r="AW1592" s="1525"/>
      <c r="AX1592" s="1525"/>
      <c r="AY1592" s="1525"/>
      <c r="AZ1592" s="1525"/>
      <c r="BA1592" s="1525"/>
      <c r="BB1592" s="1525"/>
      <c r="BC1592" s="1525"/>
      <c r="BD1592" s="1525"/>
      <c r="BE1592" s="1525"/>
      <c r="BF1592" s="1525"/>
      <c r="BG1592" s="1525"/>
      <c r="BH1592" s="1525"/>
      <c r="BI1592" s="1525"/>
      <c r="BJ1592" s="1525"/>
      <c r="BK1592" s="1525"/>
      <c r="BL1592" s="1525"/>
      <c r="BM1592" s="1525"/>
      <c r="BN1592" s="1525"/>
      <c r="BO1592" s="1525"/>
      <c r="BP1592" s="1525"/>
      <c r="BQ1592" s="1525"/>
      <c r="BR1592" s="1525"/>
      <c r="BS1592" s="1525"/>
      <c r="BT1592" s="1670"/>
      <c r="BV1592"/>
      <c r="BW1592" s="859"/>
    </row>
    <row r="1593" spans="2:75" s="164" customFormat="1" ht="12.75" customHeight="1" x14ac:dyDescent="0.15">
      <c r="B1593" s="175"/>
      <c r="F1593" s="24"/>
      <c r="G1593" s="859"/>
      <c r="H1593" s="1346" t="s">
        <v>1508</v>
      </c>
      <c r="I1593" s="200"/>
      <c r="J1593" s="189"/>
      <c r="K1593" s="189"/>
      <c r="L1593" s="858"/>
      <c r="M1593" s="858"/>
      <c r="N1593" s="857"/>
      <c r="O1593" s="1200"/>
      <c r="P1593" s="550"/>
      <c r="Q1593" s="1148"/>
      <c r="R1593" s="874"/>
      <c r="S1593" s="875"/>
      <c r="T1593" s="875"/>
      <c r="U1593" s="875"/>
      <c r="V1593" s="875"/>
      <c r="W1593" s="875"/>
      <c r="X1593" s="1026"/>
      <c r="Y1593" s="1754"/>
      <c r="Z1593" s="1755"/>
      <c r="AA1593" s="1775"/>
      <c r="AB1593" s="1814"/>
      <c r="AC1593" s="876"/>
      <c r="AD1593" s="1295"/>
      <c r="AE1593" s="1525"/>
      <c r="AF1593" s="1525"/>
      <c r="AG1593" s="1525"/>
      <c r="AH1593" s="1525"/>
      <c r="AI1593" s="1525"/>
      <c r="AJ1593" s="1525"/>
      <c r="AK1593" s="1525"/>
      <c r="AL1593" s="1525"/>
      <c r="AM1593" s="1525"/>
      <c r="AN1593" s="1525"/>
      <c r="AO1593" s="1525"/>
      <c r="AP1593" s="1525"/>
      <c r="AQ1593" s="1525"/>
      <c r="AR1593" s="1525"/>
      <c r="AS1593" s="1525"/>
      <c r="AU1593" s="1525"/>
      <c r="AV1593" s="1295"/>
      <c r="AW1593" s="1525"/>
      <c r="AX1593" s="1525"/>
      <c r="AY1593" s="1525"/>
      <c r="AZ1593" s="1525"/>
      <c r="BA1593" s="1525"/>
      <c r="BB1593" s="1525"/>
      <c r="BC1593" s="1525"/>
      <c r="BD1593" s="1525"/>
      <c r="BE1593" s="1525"/>
      <c r="BF1593" s="1525"/>
      <c r="BG1593" s="1525"/>
      <c r="BH1593" s="1525"/>
      <c r="BI1593" s="1525"/>
      <c r="BJ1593" s="1525"/>
      <c r="BK1593" s="1525"/>
      <c r="BL1593" s="1525"/>
      <c r="BM1593" s="1525"/>
      <c r="BN1593" s="1525"/>
      <c r="BO1593" s="1525"/>
      <c r="BP1593" s="1525"/>
      <c r="BQ1593" s="1525"/>
      <c r="BR1593" s="1525"/>
      <c r="BS1593" s="1525"/>
      <c r="BT1593" s="1670"/>
      <c r="BV1593"/>
      <c r="BW1593" s="859"/>
    </row>
    <row r="1594" spans="2:75" ht="12.75" customHeight="1" x14ac:dyDescent="0.2">
      <c r="B1594" s="175">
        <f>B1593+1</f>
        <v>1</v>
      </c>
      <c r="C1594" s="219">
        <v>14</v>
      </c>
      <c r="E1594" s="12" t="s">
        <v>1149</v>
      </c>
      <c r="F1594" s="37" t="s">
        <v>626</v>
      </c>
      <c r="G1594" s="834" t="s">
        <v>607</v>
      </c>
      <c r="H1594" s="861">
        <v>3337</v>
      </c>
      <c r="I1594" s="180" t="s">
        <v>583</v>
      </c>
      <c r="J1594" s="173"/>
      <c r="K1594" s="173"/>
      <c r="L1594" s="893">
        <v>0.5</v>
      </c>
      <c r="M1594" s="861">
        <f>K1594+L1594</f>
        <v>0.5</v>
      </c>
      <c r="N1594" s="832" t="s">
        <v>892</v>
      </c>
      <c r="O1594" s="1196">
        <v>19919</v>
      </c>
      <c r="P1594" s="1218">
        <f t="shared" ref="P1594:P1599" ca="1" si="997">YEARFRAC(TODAY(),O1594)</f>
        <v>63.216666666666669</v>
      </c>
      <c r="Q1594" s="1148">
        <v>32000</v>
      </c>
      <c r="R1594" s="874"/>
      <c r="S1594" s="876"/>
      <c r="T1594" s="884">
        <v>2600</v>
      </c>
      <c r="U1594" s="884"/>
      <c r="V1594" s="884"/>
      <c r="W1594" s="876"/>
      <c r="X1594" s="1026">
        <f t="shared" ref="X1594:X1599" si="998">(Q1594+R1594+S1594+T1594+U1594+V1594+W1594)*M1594</f>
        <v>17300</v>
      </c>
      <c r="Y1594" s="1512">
        <f t="shared" ref="Y1594:Y1598" si="999">(T1594+U1594)*M1594/(X1594-M1594*(T1594+U1594))</f>
        <v>8.1250000000000003E-2</v>
      </c>
      <c r="Z1594" s="1741">
        <f t="shared" ref="Z1594:Z1599" si="1000">M1594*(1+Y1594)</f>
        <v>0.54062500000000002</v>
      </c>
      <c r="AA1594" s="1749">
        <f t="shared" ref="AA1594:AA1599" si="1001">SUM(AD1594:AS1594)</f>
        <v>0.55000000000000004</v>
      </c>
      <c r="AB1594" s="1810">
        <f t="shared" ref="AB1594:AB1599" si="1002">100*AA1594/Z1594</f>
        <v>101.73410404624278</v>
      </c>
      <c r="AC1594" s="876"/>
      <c r="AD1594" s="1525">
        <f t="shared" ref="AD1594:AS1599" si="1003">SUMIF($AV$6:$BS$6,AD$5,$AV1594:$BS1594)</f>
        <v>0.55000000000000004</v>
      </c>
      <c r="AE1594" s="1525">
        <f t="shared" si="1003"/>
        <v>0</v>
      </c>
      <c r="AF1594" s="1525">
        <f t="shared" si="1003"/>
        <v>0</v>
      </c>
      <c r="AG1594" s="1525">
        <f t="shared" si="1003"/>
        <v>0</v>
      </c>
      <c r="AH1594" s="1525">
        <f t="shared" si="1003"/>
        <v>0</v>
      </c>
      <c r="AI1594" s="1525">
        <f t="shared" si="1003"/>
        <v>0</v>
      </c>
      <c r="AJ1594" s="1525">
        <f t="shared" si="1003"/>
        <v>0</v>
      </c>
      <c r="AK1594" s="1525">
        <f t="shared" si="1003"/>
        <v>0</v>
      </c>
      <c r="AL1594" s="1525">
        <f t="shared" si="1003"/>
        <v>0</v>
      </c>
      <c r="AM1594" s="1525">
        <f t="shared" si="1003"/>
        <v>0</v>
      </c>
      <c r="AN1594" s="1525">
        <f t="shared" si="1003"/>
        <v>0</v>
      </c>
      <c r="AO1594" s="1525">
        <f t="shared" si="1003"/>
        <v>0</v>
      </c>
      <c r="AP1594" s="1525">
        <f t="shared" si="1003"/>
        <v>0</v>
      </c>
      <c r="AQ1594" s="1525">
        <f t="shared" si="1003"/>
        <v>0</v>
      </c>
      <c r="AR1594" s="1525">
        <f t="shared" si="1003"/>
        <v>0</v>
      </c>
      <c r="AS1594" s="1525">
        <f t="shared" si="1003"/>
        <v>0</v>
      </c>
      <c r="AU1594" s="1525"/>
      <c r="AV1594" s="1291"/>
      <c r="AW1594" s="1292"/>
      <c r="AX1594" s="1292"/>
      <c r="AY1594" s="1292"/>
      <c r="AZ1594" s="1292"/>
      <c r="BA1594" s="1292"/>
      <c r="BB1594" s="1292"/>
      <c r="BC1594" s="1292"/>
      <c r="BD1594" s="1292"/>
      <c r="BE1594" s="1292"/>
      <c r="BF1594" s="1292"/>
      <c r="BG1594" s="1292"/>
      <c r="BH1594" s="1292"/>
      <c r="BI1594" s="1292">
        <v>0.2</v>
      </c>
      <c r="BJ1594" s="1292">
        <v>0.35</v>
      </c>
      <c r="BK1594" s="1292"/>
      <c r="BL1594" s="1292"/>
      <c r="BM1594" s="1292"/>
      <c r="BN1594" s="1292"/>
      <c r="BO1594" s="1292"/>
      <c r="BP1594" s="1292"/>
      <c r="BQ1594" s="1292"/>
      <c r="BR1594" s="1292"/>
      <c r="BS1594" s="1292"/>
      <c r="BT1594" s="1670">
        <f t="shared" ref="BT1594:BT1599" si="1004">SUM(AV1594:BS1594)</f>
        <v>0.55000000000000004</v>
      </c>
      <c r="BW1594" s="834" t="s">
        <v>607</v>
      </c>
    </row>
    <row r="1595" spans="2:75" ht="12.75" customHeight="1" x14ac:dyDescent="0.2">
      <c r="B1595" s="175">
        <f>B1594+1</f>
        <v>2</v>
      </c>
      <c r="C1595" s="220">
        <v>14</v>
      </c>
      <c r="D1595" s="170"/>
      <c r="E1595" s="447" t="s">
        <v>1149</v>
      </c>
      <c r="F1595" s="37" t="s">
        <v>626</v>
      </c>
      <c r="G1595" s="834" t="s">
        <v>225</v>
      </c>
      <c r="H1595" s="861">
        <v>204235</v>
      </c>
      <c r="I1595" s="180" t="s">
        <v>583</v>
      </c>
      <c r="J1595" s="173"/>
      <c r="K1595" s="173"/>
      <c r="L1595" s="893">
        <v>1</v>
      </c>
      <c r="M1595" s="861">
        <f>K1595+L1595</f>
        <v>1</v>
      </c>
      <c r="N1595" s="832" t="s">
        <v>892</v>
      </c>
      <c r="O1595" s="1196">
        <v>29527</v>
      </c>
      <c r="P1595" s="1262">
        <f t="shared" ca="1" si="997"/>
        <v>36.916666666666664</v>
      </c>
      <c r="Q1595" s="1148">
        <v>20200</v>
      </c>
      <c r="R1595" s="874"/>
      <c r="S1595" s="876"/>
      <c r="T1595" s="884"/>
      <c r="U1595" s="884"/>
      <c r="V1595" s="884"/>
      <c r="W1595" s="876"/>
      <c r="X1595" s="1026">
        <f t="shared" si="998"/>
        <v>20200</v>
      </c>
      <c r="Y1595" s="1512">
        <f t="shared" si="999"/>
        <v>0</v>
      </c>
      <c r="Z1595" s="1741">
        <f t="shared" si="1000"/>
        <v>1</v>
      </c>
      <c r="AA1595" s="1749">
        <f t="shared" si="1001"/>
        <v>1</v>
      </c>
      <c r="AB1595" s="1810">
        <f t="shared" si="1002"/>
        <v>100</v>
      </c>
      <c r="AC1595" s="876"/>
      <c r="AD1595" s="1525">
        <f t="shared" si="1003"/>
        <v>1</v>
      </c>
      <c r="AE1595" s="1525">
        <f t="shared" si="1003"/>
        <v>0</v>
      </c>
      <c r="AF1595" s="1525">
        <f t="shared" si="1003"/>
        <v>0</v>
      </c>
      <c r="AG1595" s="1525">
        <f t="shared" si="1003"/>
        <v>0</v>
      </c>
      <c r="AH1595" s="1525">
        <f t="shared" si="1003"/>
        <v>0</v>
      </c>
      <c r="AI1595" s="1525">
        <f t="shared" si="1003"/>
        <v>0</v>
      </c>
      <c r="AJ1595" s="1525">
        <f t="shared" si="1003"/>
        <v>0</v>
      </c>
      <c r="AK1595" s="1525">
        <f t="shared" si="1003"/>
        <v>0</v>
      </c>
      <c r="AL1595" s="1525">
        <f t="shared" si="1003"/>
        <v>0</v>
      </c>
      <c r="AM1595" s="1525">
        <f t="shared" si="1003"/>
        <v>0</v>
      </c>
      <c r="AN1595" s="1525">
        <f t="shared" si="1003"/>
        <v>0</v>
      </c>
      <c r="AO1595" s="1525">
        <f t="shared" si="1003"/>
        <v>0</v>
      </c>
      <c r="AP1595" s="1525">
        <f t="shared" si="1003"/>
        <v>0</v>
      </c>
      <c r="AQ1595" s="1525">
        <f t="shared" si="1003"/>
        <v>0</v>
      </c>
      <c r="AR1595" s="1525">
        <f t="shared" si="1003"/>
        <v>0</v>
      </c>
      <c r="AS1595" s="1525">
        <f t="shared" si="1003"/>
        <v>0</v>
      </c>
      <c r="AU1595" s="1525"/>
      <c r="AV1595" s="1291"/>
      <c r="AW1595" s="1292"/>
      <c r="AX1595" s="1292"/>
      <c r="AY1595" s="1292"/>
      <c r="AZ1595" s="1292"/>
      <c r="BA1595" s="1292"/>
      <c r="BB1595" s="1292"/>
      <c r="BC1595" s="1292"/>
      <c r="BD1595" s="1292"/>
      <c r="BE1595" s="1292"/>
      <c r="BF1595" s="1292"/>
      <c r="BG1595" s="1292"/>
      <c r="BH1595" s="1292"/>
      <c r="BI1595" s="1292">
        <v>0.5</v>
      </c>
      <c r="BJ1595" s="1292">
        <v>0.5</v>
      </c>
      <c r="BK1595" s="1292"/>
      <c r="BL1595" s="1292"/>
      <c r="BM1595" s="1292"/>
      <c r="BN1595" s="1292"/>
      <c r="BO1595" s="1292"/>
      <c r="BP1595" s="1292"/>
      <c r="BQ1595" s="1292"/>
      <c r="BR1595" s="1292"/>
      <c r="BS1595" s="1292"/>
      <c r="BT1595" s="1670">
        <f t="shared" si="1004"/>
        <v>1</v>
      </c>
      <c r="BW1595" s="834" t="s">
        <v>225</v>
      </c>
    </row>
    <row r="1596" spans="2:75" ht="12.75" customHeight="1" x14ac:dyDescent="0.2">
      <c r="B1596" s="175">
        <f>B1595+1</f>
        <v>3</v>
      </c>
      <c r="C1596" s="219">
        <v>14</v>
      </c>
      <c r="E1596" s="12" t="s">
        <v>1149</v>
      </c>
      <c r="F1596" s="1" t="s">
        <v>626</v>
      </c>
      <c r="G1596" s="823" t="s">
        <v>1569</v>
      </c>
      <c r="H1596" s="858">
        <v>201919</v>
      </c>
      <c r="I1596" s="172" t="s">
        <v>583</v>
      </c>
      <c r="J1596" s="168"/>
      <c r="K1596" s="168"/>
      <c r="L1596" s="841">
        <v>1</v>
      </c>
      <c r="M1596" s="858">
        <f>K1596+L1596</f>
        <v>1</v>
      </c>
      <c r="N1596" s="855" t="s">
        <v>892</v>
      </c>
      <c r="O1596" s="1196">
        <v>24261</v>
      </c>
      <c r="P1596" s="1218">
        <f t="shared" ca="1" si="997"/>
        <v>51.330555555555556</v>
      </c>
      <c r="Q1596" s="1148">
        <v>25800</v>
      </c>
      <c r="R1596" s="874"/>
      <c r="S1596" s="875"/>
      <c r="T1596" s="877">
        <v>4000</v>
      </c>
      <c r="U1596" s="877"/>
      <c r="V1596" s="877"/>
      <c r="W1596" s="875"/>
      <c r="X1596" s="1026">
        <f t="shared" si="998"/>
        <v>29800</v>
      </c>
      <c r="Y1596" s="1512">
        <f t="shared" si="999"/>
        <v>0.15503875968992248</v>
      </c>
      <c r="Z1596" s="1741">
        <f t="shared" si="1000"/>
        <v>1.1550387596899225</v>
      </c>
      <c r="AA1596" s="1749">
        <f t="shared" si="1001"/>
        <v>1.1499999999999999</v>
      </c>
      <c r="AB1596" s="1810">
        <f t="shared" si="1002"/>
        <v>99.563758389261722</v>
      </c>
      <c r="AC1596" s="876"/>
      <c r="AD1596" s="1525">
        <f t="shared" si="1003"/>
        <v>1</v>
      </c>
      <c r="AE1596" s="1525">
        <f t="shared" si="1003"/>
        <v>0</v>
      </c>
      <c r="AF1596" s="1525">
        <f t="shared" si="1003"/>
        <v>0</v>
      </c>
      <c r="AG1596" s="1525">
        <f t="shared" si="1003"/>
        <v>0</v>
      </c>
      <c r="AH1596" s="1525">
        <f t="shared" si="1003"/>
        <v>0</v>
      </c>
      <c r="AI1596" s="1525">
        <f t="shared" si="1003"/>
        <v>0</v>
      </c>
      <c r="AJ1596" s="1525">
        <f t="shared" si="1003"/>
        <v>0</v>
      </c>
      <c r="AK1596" s="1525">
        <f t="shared" si="1003"/>
        <v>0</v>
      </c>
      <c r="AL1596" s="1525">
        <f t="shared" si="1003"/>
        <v>0</v>
      </c>
      <c r="AM1596" s="1525">
        <f t="shared" si="1003"/>
        <v>0</v>
      </c>
      <c r="AN1596" s="1525">
        <f t="shared" si="1003"/>
        <v>0.15</v>
      </c>
      <c r="AO1596" s="1525">
        <f t="shared" si="1003"/>
        <v>0</v>
      </c>
      <c r="AP1596" s="1525">
        <f t="shared" si="1003"/>
        <v>0</v>
      </c>
      <c r="AQ1596" s="1525">
        <f t="shared" si="1003"/>
        <v>0</v>
      </c>
      <c r="AR1596" s="1525">
        <f t="shared" si="1003"/>
        <v>0</v>
      </c>
      <c r="AS1596" s="1525">
        <f t="shared" si="1003"/>
        <v>0</v>
      </c>
      <c r="AU1596" s="1525"/>
      <c r="AV1596" s="1291"/>
      <c r="AW1596" s="1292"/>
      <c r="AX1596" s="1292"/>
      <c r="AY1596" s="1292"/>
      <c r="AZ1596" s="1292"/>
      <c r="BA1596" s="1292"/>
      <c r="BB1596" s="1292"/>
      <c r="BC1596" s="1292"/>
      <c r="BD1596" s="1292"/>
      <c r="BE1596" s="1292">
        <v>0.15</v>
      </c>
      <c r="BF1596" s="1292"/>
      <c r="BG1596" s="1292"/>
      <c r="BH1596" s="1292"/>
      <c r="BI1596" s="1292">
        <v>0.5</v>
      </c>
      <c r="BJ1596" s="1292">
        <v>0.5</v>
      </c>
      <c r="BK1596" s="1292"/>
      <c r="BL1596" s="1292"/>
      <c r="BM1596" s="1292"/>
      <c r="BN1596" s="1292"/>
      <c r="BO1596" s="1292"/>
      <c r="BP1596" s="1292"/>
      <c r="BQ1596" s="1292"/>
      <c r="BR1596" s="1292"/>
      <c r="BS1596" s="1292"/>
      <c r="BT1596" s="1670">
        <f t="shared" si="1004"/>
        <v>1.1499999999999999</v>
      </c>
      <c r="BW1596" s="823" t="s">
        <v>1569</v>
      </c>
    </row>
    <row r="1597" spans="2:75" ht="12.75" customHeight="1" x14ac:dyDescent="0.2">
      <c r="B1597" s="175">
        <f>B1596+1</f>
        <v>4</v>
      </c>
      <c r="C1597" s="219">
        <v>18</v>
      </c>
      <c r="E1597" s="12" t="s">
        <v>1149</v>
      </c>
      <c r="F1597" s="1" t="s">
        <v>584</v>
      </c>
      <c r="G1597" s="823" t="s">
        <v>1728</v>
      </c>
      <c r="H1597" s="858">
        <v>150527</v>
      </c>
      <c r="I1597" s="172" t="s">
        <v>583</v>
      </c>
      <c r="J1597" s="168"/>
      <c r="K1597" s="168"/>
      <c r="L1597" s="841">
        <v>1</v>
      </c>
      <c r="M1597" s="858">
        <v>1</v>
      </c>
      <c r="N1597" s="855"/>
      <c r="O1597" s="1196">
        <v>35348</v>
      </c>
      <c r="P1597" s="1218">
        <f t="shared" ca="1" si="997"/>
        <v>20.977777777777778</v>
      </c>
      <c r="Q1597" s="1148">
        <v>16300</v>
      </c>
      <c r="R1597" s="874"/>
      <c r="S1597" s="875"/>
      <c r="T1597" s="877"/>
      <c r="U1597" s="877"/>
      <c r="V1597" s="877"/>
      <c r="W1597" s="875"/>
      <c r="X1597" s="1026">
        <f t="shared" si="998"/>
        <v>16300</v>
      </c>
      <c r="Y1597" s="1512">
        <f t="shared" si="999"/>
        <v>0</v>
      </c>
      <c r="Z1597" s="1741">
        <f t="shared" si="1000"/>
        <v>1</v>
      </c>
      <c r="AA1597" s="1749">
        <f t="shared" si="1001"/>
        <v>1</v>
      </c>
      <c r="AB1597" s="1810">
        <f t="shared" si="1002"/>
        <v>100</v>
      </c>
      <c r="AC1597" s="876"/>
      <c r="AD1597" s="1525">
        <f t="shared" si="1003"/>
        <v>1</v>
      </c>
      <c r="AE1597" s="1525">
        <f t="shared" si="1003"/>
        <v>0</v>
      </c>
      <c r="AF1597" s="1525">
        <f t="shared" si="1003"/>
        <v>0</v>
      </c>
      <c r="AG1597" s="1525">
        <f t="shared" si="1003"/>
        <v>0</v>
      </c>
      <c r="AH1597" s="1525">
        <f t="shared" si="1003"/>
        <v>0</v>
      </c>
      <c r="AI1597" s="1525">
        <f t="shared" si="1003"/>
        <v>0</v>
      </c>
      <c r="AJ1597" s="1525">
        <f t="shared" si="1003"/>
        <v>0</v>
      </c>
      <c r="AK1597" s="1525">
        <f t="shared" si="1003"/>
        <v>0</v>
      </c>
      <c r="AL1597" s="1525">
        <f t="shared" si="1003"/>
        <v>0</v>
      </c>
      <c r="AM1597" s="1525">
        <f t="shared" si="1003"/>
        <v>0</v>
      </c>
      <c r="AN1597" s="1525">
        <f t="shared" si="1003"/>
        <v>0</v>
      </c>
      <c r="AO1597" s="1525">
        <f t="shared" si="1003"/>
        <v>0</v>
      </c>
      <c r="AP1597" s="1525">
        <f t="shared" si="1003"/>
        <v>0</v>
      </c>
      <c r="AQ1597" s="1525">
        <f t="shared" si="1003"/>
        <v>0</v>
      </c>
      <c r="AR1597" s="1525">
        <f t="shared" si="1003"/>
        <v>0</v>
      </c>
      <c r="AS1597" s="1525">
        <f t="shared" si="1003"/>
        <v>0</v>
      </c>
      <c r="AU1597" s="1525"/>
      <c r="AV1597" s="1291"/>
      <c r="AW1597" s="1292"/>
      <c r="AX1597" s="1292"/>
      <c r="AY1597" s="1292"/>
      <c r="AZ1597" s="1292"/>
      <c r="BA1597" s="1292"/>
      <c r="BB1597" s="1292"/>
      <c r="BC1597" s="1292"/>
      <c r="BD1597" s="1292"/>
      <c r="BE1597" s="1292"/>
      <c r="BF1597" s="1292"/>
      <c r="BG1597" s="1292"/>
      <c r="BH1597" s="1292"/>
      <c r="BI1597" s="1292">
        <v>0.5</v>
      </c>
      <c r="BJ1597" s="1292">
        <v>0.5</v>
      </c>
      <c r="BK1597" s="1292"/>
      <c r="BL1597" s="1292"/>
      <c r="BM1597" s="1292"/>
      <c r="BN1597" s="1292"/>
      <c r="BO1597" s="1292"/>
      <c r="BP1597" s="1292"/>
      <c r="BQ1597" s="1292"/>
      <c r="BR1597" s="1292"/>
      <c r="BS1597" s="1292"/>
      <c r="BT1597" s="1670">
        <f t="shared" si="1004"/>
        <v>1</v>
      </c>
      <c r="BW1597" s="823" t="s">
        <v>1728</v>
      </c>
    </row>
    <row r="1598" spans="2:75" ht="12.75" customHeight="1" x14ac:dyDescent="0.2">
      <c r="B1598" s="175">
        <f t="shared" ref="B1598:B1599" si="1005">B1597+1</f>
        <v>5</v>
      </c>
      <c r="C1598" s="219">
        <v>18</v>
      </c>
      <c r="E1598" s="12" t="s">
        <v>1149</v>
      </c>
      <c r="F1598" s="1" t="s">
        <v>584</v>
      </c>
      <c r="G1598" s="823" t="s">
        <v>1570</v>
      </c>
      <c r="H1598" s="858">
        <v>7080</v>
      </c>
      <c r="I1598" s="172" t="s">
        <v>583</v>
      </c>
      <c r="J1598" s="168"/>
      <c r="K1598" s="168"/>
      <c r="L1598" s="841">
        <v>0.5</v>
      </c>
      <c r="M1598" s="858">
        <f>K1598+L1598</f>
        <v>0.5</v>
      </c>
      <c r="N1598" s="836"/>
      <c r="O1598" s="1196">
        <v>16649</v>
      </c>
      <c r="P1598" s="1218">
        <f t="shared" ca="1" si="997"/>
        <v>72.172222222222217</v>
      </c>
      <c r="Q1598" s="1148">
        <v>28000</v>
      </c>
      <c r="R1598" s="874"/>
      <c r="S1598" s="875"/>
      <c r="T1598" s="877">
        <v>5100</v>
      </c>
      <c r="U1598" s="877"/>
      <c r="V1598" s="877"/>
      <c r="W1598" s="1036"/>
      <c r="X1598" s="1026">
        <f t="shared" si="998"/>
        <v>16550</v>
      </c>
      <c r="Y1598" s="1512">
        <f t="shared" si="999"/>
        <v>0.18214285714285713</v>
      </c>
      <c r="Z1598" s="1741">
        <f t="shared" si="1000"/>
        <v>0.59107142857142858</v>
      </c>
      <c r="AA1598" s="1749">
        <f>SUM(AD1598:AS1598)</f>
        <v>0.6</v>
      </c>
      <c r="AB1598" s="1810">
        <f t="shared" si="1002"/>
        <v>101.51057401812689</v>
      </c>
      <c r="AC1598" s="876"/>
      <c r="AD1598" s="1525">
        <f t="shared" si="1003"/>
        <v>0.5</v>
      </c>
      <c r="AE1598" s="1525">
        <f t="shared" si="1003"/>
        <v>0</v>
      </c>
      <c r="AF1598" s="1525">
        <f t="shared" si="1003"/>
        <v>0</v>
      </c>
      <c r="AG1598" s="1525">
        <f t="shared" si="1003"/>
        <v>0</v>
      </c>
      <c r="AH1598" s="1525">
        <f t="shared" si="1003"/>
        <v>0</v>
      </c>
      <c r="AI1598" s="1525">
        <f t="shared" si="1003"/>
        <v>0</v>
      </c>
      <c r="AJ1598" s="1525">
        <f t="shared" si="1003"/>
        <v>0</v>
      </c>
      <c r="AK1598" s="1525">
        <f t="shared" si="1003"/>
        <v>0</v>
      </c>
      <c r="AL1598" s="1525">
        <f t="shared" si="1003"/>
        <v>0</v>
      </c>
      <c r="AM1598" s="1525">
        <f t="shared" si="1003"/>
        <v>0</v>
      </c>
      <c r="AN1598" s="1525">
        <f t="shared" si="1003"/>
        <v>0.1</v>
      </c>
      <c r="AO1598" s="1525">
        <f t="shared" si="1003"/>
        <v>0</v>
      </c>
      <c r="AP1598" s="1525">
        <f t="shared" si="1003"/>
        <v>0</v>
      </c>
      <c r="AQ1598" s="1525">
        <f t="shared" si="1003"/>
        <v>0</v>
      </c>
      <c r="AR1598" s="1525">
        <f t="shared" si="1003"/>
        <v>0</v>
      </c>
      <c r="AS1598" s="1525">
        <f t="shared" si="1003"/>
        <v>0</v>
      </c>
      <c r="AU1598" s="1525"/>
      <c r="AV1598" s="1291"/>
      <c r="AW1598" s="1292"/>
      <c r="AX1598" s="1292"/>
      <c r="AY1598" s="1292"/>
      <c r="AZ1598" s="1292"/>
      <c r="BA1598" s="1292"/>
      <c r="BB1598" s="1292"/>
      <c r="BC1598" s="1292"/>
      <c r="BD1598" s="1292"/>
      <c r="BE1598" s="1292">
        <v>0.1</v>
      </c>
      <c r="BF1598" s="1292"/>
      <c r="BG1598" s="1292"/>
      <c r="BH1598" s="1292"/>
      <c r="BI1598" s="1292">
        <v>0.2</v>
      </c>
      <c r="BJ1598" s="1292">
        <v>0.3</v>
      </c>
      <c r="BK1598" s="1292"/>
      <c r="BL1598" s="1292"/>
      <c r="BM1598" s="1292"/>
      <c r="BN1598" s="1292"/>
      <c r="BO1598" s="1292"/>
      <c r="BP1598" s="1292"/>
      <c r="BQ1598" s="1292"/>
      <c r="BR1598" s="1292"/>
      <c r="BS1598" s="1292"/>
      <c r="BT1598" s="1670">
        <f t="shared" si="1004"/>
        <v>0.60000000000000009</v>
      </c>
      <c r="BW1598" s="823" t="s">
        <v>1570</v>
      </c>
    </row>
    <row r="1599" spans="2:75" ht="12.75" customHeight="1" x14ac:dyDescent="0.2">
      <c r="B1599" s="175">
        <f t="shared" si="1005"/>
        <v>6</v>
      </c>
      <c r="C1599" s="219">
        <v>18</v>
      </c>
      <c r="E1599" s="12" t="s">
        <v>1149</v>
      </c>
      <c r="F1599" s="42" t="s">
        <v>1221</v>
      </c>
      <c r="G1599" s="830" t="s">
        <v>385</v>
      </c>
      <c r="H1599" s="873">
        <v>40036</v>
      </c>
      <c r="I1599" s="176" t="s">
        <v>1442</v>
      </c>
      <c r="J1599" s="177"/>
      <c r="K1599" s="177"/>
      <c r="L1599" s="873">
        <v>1</v>
      </c>
      <c r="M1599" s="873">
        <f>K1599+L1599</f>
        <v>1</v>
      </c>
      <c r="N1599" s="872" t="s">
        <v>1402</v>
      </c>
      <c r="O1599" s="1211">
        <v>21771</v>
      </c>
      <c r="P1599" s="1218">
        <f t="shared" ca="1" si="997"/>
        <v>58.147222222222226</v>
      </c>
      <c r="Q1599" s="1071">
        <v>28000</v>
      </c>
      <c r="R1599" s="890">
        <f>Q1599*0.1</f>
        <v>2800</v>
      </c>
      <c r="S1599" s="891"/>
      <c r="T1599" s="1048"/>
      <c r="U1599" s="1048"/>
      <c r="V1599" s="1048"/>
      <c r="W1599" s="891">
        <f>ROUND((Q1599+R1599)*0.26,0)</f>
        <v>8008</v>
      </c>
      <c r="X1599" s="1026">
        <f t="shared" si="998"/>
        <v>38808</v>
      </c>
      <c r="Y1599" s="1512">
        <f>(T1599+U1599+V1599+W1599)*M1599/(X1599-M1599*(T1599+U1599+V1599+W1599))</f>
        <v>0.26</v>
      </c>
      <c r="Z1599" s="1741">
        <f t="shared" si="1000"/>
        <v>1.26</v>
      </c>
      <c r="AA1599" s="1749">
        <f t="shared" si="1001"/>
        <v>1</v>
      </c>
      <c r="AB1599" s="1810">
        <f t="shared" si="1002"/>
        <v>79.365079365079367</v>
      </c>
      <c r="AC1599" s="876"/>
      <c r="AD1599" s="1525">
        <f t="shared" si="1003"/>
        <v>0.7</v>
      </c>
      <c r="AE1599" s="1525">
        <f t="shared" si="1003"/>
        <v>0</v>
      </c>
      <c r="AF1599" s="1525">
        <f t="shared" si="1003"/>
        <v>0.1</v>
      </c>
      <c r="AG1599" s="1525">
        <f t="shared" si="1003"/>
        <v>0</v>
      </c>
      <c r="AH1599" s="1525">
        <f t="shared" si="1003"/>
        <v>0</v>
      </c>
      <c r="AI1599" s="1525">
        <f t="shared" si="1003"/>
        <v>0</v>
      </c>
      <c r="AJ1599" s="1525">
        <f t="shared" si="1003"/>
        <v>0</v>
      </c>
      <c r="AK1599" s="1525">
        <f t="shared" si="1003"/>
        <v>0</v>
      </c>
      <c r="AL1599" s="1525">
        <f t="shared" si="1003"/>
        <v>0</v>
      </c>
      <c r="AM1599" s="1525">
        <f t="shared" si="1003"/>
        <v>0</v>
      </c>
      <c r="AN1599" s="1525">
        <f t="shared" si="1003"/>
        <v>0.2</v>
      </c>
      <c r="AO1599" s="1525">
        <f t="shared" si="1003"/>
        <v>0</v>
      </c>
      <c r="AP1599" s="1525">
        <f t="shared" si="1003"/>
        <v>0</v>
      </c>
      <c r="AQ1599" s="1525">
        <f t="shared" si="1003"/>
        <v>0</v>
      </c>
      <c r="AR1599" s="1525">
        <f t="shared" si="1003"/>
        <v>0</v>
      </c>
      <c r="AS1599" s="1525">
        <f t="shared" si="1003"/>
        <v>0</v>
      </c>
      <c r="AU1599" s="1525"/>
      <c r="AV1599" s="1291"/>
      <c r="AW1599" s="1292"/>
      <c r="AX1599" s="1292"/>
      <c r="AY1599" s="1292">
        <v>0.1</v>
      </c>
      <c r="AZ1599" s="1292"/>
      <c r="BA1599" s="1292"/>
      <c r="BB1599" s="1292"/>
      <c r="BC1599" s="1292"/>
      <c r="BD1599" s="1292"/>
      <c r="BE1599" s="1292">
        <v>0.2</v>
      </c>
      <c r="BF1599" s="1292"/>
      <c r="BG1599" s="1292"/>
      <c r="BH1599" s="1292"/>
      <c r="BI1599" s="1292">
        <v>0.3</v>
      </c>
      <c r="BJ1599" s="1292">
        <v>0.4</v>
      </c>
      <c r="BK1599" s="1292"/>
      <c r="BL1599" s="1292"/>
      <c r="BM1599" s="1292"/>
      <c r="BN1599" s="1292"/>
      <c r="BO1599" s="1292"/>
      <c r="BP1599" s="1292"/>
      <c r="BQ1599" s="1292"/>
      <c r="BR1599" s="1292"/>
      <c r="BS1599" s="1292"/>
      <c r="BT1599" s="1670">
        <f t="shared" si="1004"/>
        <v>1</v>
      </c>
      <c r="BW1599" s="830" t="s">
        <v>385</v>
      </c>
    </row>
    <row r="1600" spans="2:75" s="164" customFormat="1" ht="12.75" customHeight="1" x14ac:dyDescent="0.15">
      <c r="B1600" s="175"/>
      <c r="C1600" s="219" t="s">
        <v>1120</v>
      </c>
      <c r="F1600" s="1" t="s">
        <v>1238</v>
      </c>
      <c r="G1600" s="821"/>
      <c r="H1600" s="1346" t="s">
        <v>1508</v>
      </c>
      <c r="I1600" s="172"/>
      <c r="J1600" s="168"/>
      <c r="K1600" s="190"/>
      <c r="L1600" s="858">
        <f>SUM(L1594:L1599)</f>
        <v>5</v>
      </c>
      <c r="M1600" s="858">
        <f>SUM(M1594:M1599)+K1600</f>
        <v>5</v>
      </c>
      <c r="N1600" s="857"/>
      <c r="O1600" s="1200"/>
      <c r="P1600" s="550"/>
      <c r="Q1600" s="1148"/>
      <c r="R1600" s="885"/>
      <c r="S1600" s="875"/>
      <c r="T1600" s="875"/>
      <c r="U1600" s="875"/>
      <c r="V1600" s="875"/>
      <c r="W1600" s="875"/>
      <c r="X1600" s="1026"/>
      <c r="Y1600" s="1335"/>
      <c r="Z1600" s="1335"/>
      <c r="AA1600" s="1775"/>
      <c r="AB1600" s="1812"/>
      <c r="AC1600" s="876"/>
      <c r="AD1600" s="1295"/>
      <c r="AE1600" s="1525"/>
      <c r="AF1600" s="1525"/>
      <c r="AG1600" s="1525"/>
      <c r="AH1600" s="1525"/>
      <c r="AI1600" s="1525"/>
      <c r="AJ1600" s="1525"/>
      <c r="AK1600" s="1525"/>
      <c r="AL1600" s="1525"/>
      <c r="AM1600" s="1525"/>
      <c r="AN1600" s="1525"/>
      <c r="AO1600" s="1525"/>
      <c r="AP1600" s="1525"/>
      <c r="AQ1600" s="1525"/>
      <c r="AR1600" s="1525"/>
      <c r="AS1600" s="1525"/>
      <c r="AU1600" s="1525"/>
      <c r="AV1600" s="1295"/>
      <c r="AW1600" s="1525"/>
      <c r="AX1600" s="1525"/>
      <c r="AY1600" s="1525"/>
      <c r="AZ1600" s="1525"/>
      <c r="BA1600" s="1525"/>
      <c r="BB1600" s="1525"/>
      <c r="BC1600" s="1525"/>
      <c r="BD1600" s="1525"/>
      <c r="BE1600" s="1525"/>
      <c r="BF1600" s="1525"/>
      <c r="BG1600" s="1525"/>
      <c r="BH1600" s="1525"/>
      <c r="BI1600" s="1525"/>
      <c r="BJ1600" s="1525"/>
      <c r="BK1600" s="1525"/>
      <c r="BL1600" s="1525"/>
      <c r="BM1600" s="1525"/>
      <c r="BN1600" s="1525"/>
      <c r="BO1600" s="1525"/>
      <c r="BP1600" s="1525"/>
      <c r="BQ1600" s="1525"/>
      <c r="BR1600" s="1525"/>
      <c r="BS1600" s="1525"/>
      <c r="BT1600" s="1670"/>
      <c r="BV1600"/>
      <c r="BW1600" s="821"/>
    </row>
    <row r="1601" spans="1:75" s="164" customFormat="1" ht="12.75" customHeight="1" x14ac:dyDescent="0.15">
      <c r="B1601" s="175"/>
      <c r="F1601" s="1"/>
      <c r="G1601" s="821"/>
      <c r="H1601" s="1346" t="s">
        <v>1508</v>
      </c>
      <c r="I1601" s="172"/>
      <c r="J1601" s="168"/>
      <c r="K1601" s="168"/>
      <c r="L1601" s="858"/>
      <c r="M1601" s="858"/>
      <c r="N1601" s="857"/>
      <c r="O1601" s="1200"/>
      <c r="P1601" s="550"/>
      <c r="Q1601" s="1148"/>
      <c r="R1601" s="874"/>
      <c r="S1601" s="875"/>
      <c r="T1601" s="875"/>
      <c r="U1601" s="875"/>
      <c r="V1601" s="875"/>
      <c r="W1601" s="875"/>
      <c r="X1601" s="1026"/>
      <c r="Y1601" s="1562"/>
      <c r="Z1601" s="1742"/>
      <c r="AA1601" s="1775"/>
      <c r="AB1601" s="1812"/>
      <c r="AC1601" s="876"/>
      <c r="AD1601" s="1295"/>
      <c r="AE1601" s="1525"/>
      <c r="AF1601" s="1525"/>
      <c r="AG1601" s="1525"/>
      <c r="AH1601" s="1525"/>
      <c r="AI1601" s="1525"/>
      <c r="AJ1601" s="1525"/>
      <c r="AK1601" s="1525"/>
      <c r="AL1601" s="1525"/>
      <c r="AM1601" s="1525"/>
      <c r="AN1601" s="1525"/>
      <c r="AO1601" s="1525"/>
      <c r="AP1601" s="1525"/>
      <c r="AQ1601" s="1525"/>
      <c r="AR1601" s="1525"/>
      <c r="AS1601" s="1525"/>
      <c r="AU1601" s="1525"/>
      <c r="AV1601" s="1295"/>
      <c r="AW1601" s="1525"/>
      <c r="AX1601" s="1525"/>
      <c r="AY1601" s="1525"/>
      <c r="AZ1601" s="1525"/>
      <c r="BA1601" s="1525"/>
      <c r="BB1601" s="1525"/>
      <c r="BC1601" s="1525"/>
      <c r="BD1601" s="1525"/>
      <c r="BE1601" s="1525"/>
      <c r="BF1601" s="1525"/>
      <c r="BG1601" s="1525"/>
      <c r="BH1601" s="1525"/>
      <c r="BI1601" s="1525"/>
      <c r="BJ1601" s="1525"/>
      <c r="BK1601" s="1525"/>
      <c r="BL1601" s="1525"/>
      <c r="BM1601" s="1525"/>
      <c r="BN1601" s="1525"/>
      <c r="BO1601" s="1525"/>
      <c r="BP1601" s="1525"/>
      <c r="BQ1601" s="1525"/>
      <c r="BR1601" s="1525"/>
      <c r="BS1601" s="1525"/>
      <c r="BT1601" s="1670"/>
      <c r="BV1601"/>
      <c r="BW1601" s="821"/>
    </row>
    <row r="1602" spans="1:75" s="164" customFormat="1" ht="12.75" customHeight="1" x14ac:dyDescent="0.15">
      <c r="B1602" s="175"/>
      <c r="F1602" s="1"/>
      <c r="G1602" s="821"/>
      <c r="H1602" s="1346" t="s">
        <v>1508</v>
      </c>
      <c r="I1602" s="172"/>
      <c r="J1602" s="168"/>
      <c r="K1602" s="168"/>
      <c r="L1602" s="858"/>
      <c r="M1602" s="858"/>
      <c r="N1602" s="857"/>
      <c r="O1602" s="1200"/>
      <c r="P1602" s="550"/>
      <c r="Q1602" s="1148"/>
      <c r="R1602" s="874"/>
      <c r="S1602" s="875"/>
      <c r="T1602" s="875"/>
      <c r="U1602" s="875"/>
      <c r="V1602" s="875"/>
      <c r="W1602" s="875"/>
      <c r="X1602" s="1026"/>
      <c r="Y1602" s="1562"/>
      <c r="Z1602" s="1742"/>
      <c r="AA1602" s="1775"/>
      <c r="AB1602" s="1812"/>
      <c r="AC1602" s="876"/>
      <c r="AD1602" s="1295"/>
      <c r="AE1602" s="1525"/>
      <c r="AF1602" s="1525"/>
      <c r="AG1602" s="1525"/>
      <c r="AH1602" s="1525"/>
      <c r="AI1602" s="1525"/>
      <c r="AJ1602" s="1525"/>
      <c r="AK1602" s="1525"/>
      <c r="AL1602" s="1525"/>
      <c r="AM1602" s="1525"/>
      <c r="AN1602" s="1525"/>
      <c r="AO1602" s="1525"/>
      <c r="AP1602" s="1525"/>
      <c r="AQ1602" s="1525"/>
      <c r="AR1602" s="1525"/>
      <c r="AS1602" s="1525"/>
      <c r="AU1602" s="1525"/>
      <c r="AV1602" s="1295"/>
      <c r="AW1602" s="1525"/>
      <c r="AX1602" s="1525"/>
      <c r="AY1602" s="1525"/>
      <c r="AZ1602" s="1525"/>
      <c r="BA1602" s="1525"/>
      <c r="BB1602" s="1525"/>
      <c r="BC1602" s="1525"/>
      <c r="BD1602" s="1525"/>
      <c r="BE1602" s="1525"/>
      <c r="BF1602" s="1525"/>
      <c r="BG1602" s="1525"/>
      <c r="BH1602" s="1525"/>
      <c r="BI1602" s="1525"/>
      <c r="BJ1602" s="1525"/>
      <c r="BK1602" s="1525"/>
      <c r="BL1602" s="1525"/>
      <c r="BM1602" s="1525"/>
      <c r="BN1602" s="1525"/>
      <c r="BO1602" s="1525"/>
      <c r="BP1602" s="1525"/>
      <c r="BQ1602" s="1525"/>
      <c r="BR1602" s="1525"/>
      <c r="BS1602" s="1525"/>
      <c r="BT1602" s="1670"/>
      <c r="BV1602"/>
      <c r="BW1602" s="821"/>
    </row>
    <row r="1603" spans="1:75" s="164" customFormat="1" ht="12.75" customHeight="1" x14ac:dyDescent="0.15">
      <c r="B1603" s="175"/>
      <c r="F1603" s="1" t="s">
        <v>387</v>
      </c>
      <c r="G1603" s="825"/>
      <c r="H1603" s="1347" t="s">
        <v>1508</v>
      </c>
      <c r="I1603" s="180"/>
      <c r="J1603" s="173"/>
      <c r="K1603" s="173"/>
      <c r="L1603" s="861"/>
      <c r="M1603" s="861"/>
      <c r="N1603" s="836"/>
      <c r="O1603" s="1200"/>
      <c r="P1603" s="550"/>
      <c r="Q1603" s="1148"/>
      <c r="R1603" s="874"/>
      <c r="S1603" s="876"/>
      <c r="T1603" s="876"/>
      <c r="U1603" s="876"/>
      <c r="V1603" s="876"/>
      <c r="W1603" s="875"/>
      <c r="X1603" s="1026"/>
      <c r="Y1603" s="1562"/>
      <c r="Z1603" s="1742"/>
      <c r="AA1603" s="1775"/>
      <c r="AB1603" s="1812"/>
      <c r="AC1603" s="876"/>
      <c r="AD1603" s="1295"/>
      <c r="AE1603" s="1525"/>
      <c r="AF1603" s="1525"/>
      <c r="AG1603" s="1525"/>
      <c r="AH1603" s="1525"/>
      <c r="AI1603" s="1525"/>
      <c r="AJ1603" s="1525"/>
      <c r="AK1603" s="1525"/>
      <c r="AL1603" s="1525"/>
      <c r="AM1603" s="1525"/>
      <c r="AN1603" s="1525"/>
      <c r="AO1603" s="1525"/>
      <c r="AP1603" s="1525"/>
      <c r="AQ1603" s="1525"/>
      <c r="AR1603" s="1525"/>
      <c r="AS1603" s="1525"/>
      <c r="AU1603" s="1525"/>
      <c r="AV1603" s="1295"/>
      <c r="AW1603" s="1525"/>
      <c r="AX1603" s="1525"/>
      <c r="AY1603" s="1525"/>
      <c r="AZ1603" s="1525"/>
      <c r="BA1603" s="1525"/>
      <c r="BB1603" s="1525"/>
      <c r="BC1603" s="1525"/>
      <c r="BD1603" s="1525"/>
      <c r="BE1603" s="1525"/>
      <c r="BF1603" s="1525"/>
      <c r="BG1603" s="1525"/>
      <c r="BH1603" s="1525"/>
      <c r="BI1603" s="1525"/>
      <c r="BJ1603" s="1525"/>
      <c r="BK1603" s="1525"/>
      <c r="BL1603" s="1525"/>
      <c r="BM1603" s="1525"/>
      <c r="BN1603" s="1525"/>
      <c r="BO1603" s="1525"/>
      <c r="BP1603" s="1525"/>
      <c r="BQ1603" s="1525"/>
      <c r="BR1603" s="1525"/>
      <c r="BS1603" s="1525"/>
      <c r="BT1603" s="1670"/>
      <c r="BV1603"/>
      <c r="BW1603" s="825"/>
    </row>
    <row r="1604" spans="1:75" s="164" customFormat="1" ht="12.75" customHeight="1" x14ac:dyDescent="0.15">
      <c r="B1604" s="175"/>
      <c r="F1604" s="1" t="s">
        <v>388</v>
      </c>
      <c r="G1604" s="821"/>
      <c r="H1604" s="1346" t="s">
        <v>1508</v>
      </c>
      <c r="I1604" s="172"/>
      <c r="J1604" s="168"/>
      <c r="K1604" s="168"/>
      <c r="L1604" s="858"/>
      <c r="M1604" s="858"/>
      <c r="N1604" s="857"/>
      <c r="O1604" s="1200"/>
      <c r="P1604" s="550"/>
      <c r="Q1604" s="1148"/>
      <c r="R1604" s="874"/>
      <c r="S1604" s="875"/>
      <c r="T1604" s="875"/>
      <c r="U1604" s="875"/>
      <c r="V1604" s="875"/>
      <c r="W1604" s="875"/>
      <c r="X1604" s="1026"/>
      <c r="Y1604" s="1562"/>
      <c r="Z1604" s="1742"/>
      <c r="AA1604" s="1775"/>
      <c r="AB1604" s="1812"/>
      <c r="AC1604" s="876"/>
      <c r="AD1604" s="1295"/>
      <c r="AE1604" s="1525"/>
      <c r="AF1604" s="1525"/>
      <c r="AG1604" s="1525"/>
      <c r="AH1604" s="1525"/>
      <c r="AI1604" s="1525"/>
      <c r="AJ1604" s="1525"/>
      <c r="AK1604" s="1525"/>
      <c r="AL1604" s="1525"/>
      <c r="AM1604" s="1525"/>
      <c r="AN1604" s="1525"/>
      <c r="AO1604" s="1525"/>
      <c r="AP1604" s="1525"/>
      <c r="AQ1604" s="1525"/>
      <c r="AR1604" s="1525"/>
      <c r="AS1604" s="1525"/>
      <c r="AU1604" s="1525"/>
      <c r="AV1604" s="1295"/>
      <c r="AW1604" s="1525"/>
      <c r="AX1604" s="1525"/>
      <c r="AY1604" s="1525"/>
      <c r="AZ1604" s="1525"/>
      <c r="BA1604" s="1525"/>
      <c r="BB1604" s="1525"/>
      <c r="BC1604" s="1525"/>
      <c r="BD1604" s="1525"/>
      <c r="BE1604" s="1525"/>
      <c r="BF1604" s="1525"/>
      <c r="BG1604" s="1525"/>
      <c r="BH1604" s="1525"/>
      <c r="BI1604" s="1525"/>
      <c r="BJ1604" s="1525"/>
      <c r="BK1604" s="1525"/>
      <c r="BL1604" s="1525"/>
      <c r="BM1604" s="1525"/>
      <c r="BN1604" s="1525"/>
      <c r="BO1604" s="1525"/>
      <c r="BP1604" s="1525"/>
      <c r="BQ1604" s="1525"/>
      <c r="BR1604" s="1525"/>
      <c r="BS1604" s="1525"/>
      <c r="BT1604" s="1670"/>
      <c r="BV1604"/>
      <c r="BW1604" s="821"/>
    </row>
    <row r="1605" spans="1:75" s="164" customFormat="1" ht="12.75" customHeight="1" x14ac:dyDescent="0.15">
      <c r="B1605" s="175"/>
      <c r="C1605" s="170"/>
      <c r="D1605" s="170"/>
      <c r="E1605" s="170"/>
      <c r="F1605" s="37"/>
      <c r="G1605" s="825"/>
      <c r="H1605" s="1347" t="s">
        <v>1508</v>
      </c>
      <c r="I1605" s="180"/>
      <c r="J1605" s="173"/>
      <c r="K1605" s="173"/>
      <c r="L1605" s="861"/>
      <c r="M1605" s="861"/>
      <c r="N1605" s="836"/>
      <c r="O1605" s="1200"/>
      <c r="P1605" s="1294"/>
      <c r="Q1605" s="1148"/>
      <c r="R1605" s="874"/>
      <c r="S1605" s="876"/>
      <c r="T1605" s="876"/>
      <c r="U1605" s="876"/>
      <c r="V1605" s="876"/>
      <c r="W1605" s="876"/>
      <c r="X1605" s="1026"/>
      <c r="Y1605" s="1562"/>
      <c r="Z1605" s="1742"/>
      <c r="AA1605" s="1775"/>
      <c r="AB1605" s="1812"/>
      <c r="AC1605" s="876"/>
      <c r="AD1605" s="1295"/>
      <c r="AE1605" s="1525"/>
      <c r="AF1605" s="1525"/>
      <c r="AG1605" s="1525"/>
      <c r="AH1605" s="1525"/>
      <c r="AI1605" s="1525"/>
      <c r="AJ1605" s="1525"/>
      <c r="AK1605" s="1525"/>
      <c r="AL1605" s="1525"/>
      <c r="AM1605" s="1525"/>
      <c r="AN1605" s="1525"/>
      <c r="AO1605" s="1525"/>
      <c r="AP1605" s="1525"/>
      <c r="AQ1605" s="1525"/>
      <c r="AR1605" s="1525"/>
      <c r="AS1605" s="1525"/>
      <c r="AU1605" s="1525"/>
      <c r="AV1605" s="1295"/>
      <c r="AW1605" s="1525"/>
      <c r="AX1605" s="1525"/>
      <c r="AY1605" s="1525"/>
      <c r="AZ1605" s="1525"/>
      <c r="BA1605" s="1525"/>
      <c r="BB1605" s="1525"/>
      <c r="BC1605" s="1525"/>
      <c r="BD1605" s="1525"/>
      <c r="BE1605" s="1525"/>
      <c r="BF1605" s="1525"/>
      <c r="BG1605" s="1525"/>
      <c r="BH1605" s="1525"/>
      <c r="BI1605" s="1525"/>
      <c r="BJ1605" s="1525"/>
      <c r="BK1605" s="1525"/>
      <c r="BL1605" s="1525"/>
      <c r="BM1605" s="1525"/>
      <c r="BN1605" s="1525"/>
      <c r="BO1605" s="1525"/>
      <c r="BP1605" s="1525"/>
      <c r="BQ1605" s="1525"/>
      <c r="BR1605" s="1525"/>
      <c r="BS1605" s="1525"/>
      <c r="BT1605" s="1670"/>
      <c r="BV1605"/>
      <c r="BW1605" s="825"/>
    </row>
    <row r="1606" spans="1:75" s="164" customFormat="1" ht="12.75" customHeight="1" x14ac:dyDescent="0.2">
      <c r="B1606" s="175">
        <f>B1605+1</f>
        <v>1</v>
      </c>
      <c r="C1606" s="219">
        <v>7</v>
      </c>
      <c r="E1606" s="12" t="s">
        <v>760</v>
      </c>
      <c r="F1606" s="67" t="s">
        <v>1334</v>
      </c>
      <c r="G1606" s="862" t="s">
        <v>1490</v>
      </c>
      <c r="H1606" s="861">
        <v>7076</v>
      </c>
      <c r="I1606" s="200" t="s">
        <v>351</v>
      </c>
      <c r="J1606" s="189"/>
      <c r="K1606" s="189"/>
      <c r="L1606" s="861">
        <v>1</v>
      </c>
      <c r="M1606" s="861">
        <f>K1606+L1606</f>
        <v>1</v>
      </c>
      <c r="N1606" s="832" t="s">
        <v>892</v>
      </c>
      <c r="O1606" s="1196">
        <v>15426</v>
      </c>
      <c r="P1606" s="1218">
        <f ca="1">YEARFRAC(TODAY(),O1606)</f>
        <v>75.516666666666666</v>
      </c>
      <c r="Q1606" s="1148">
        <v>26850</v>
      </c>
      <c r="R1606" s="874"/>
      <c r="S1606" s="875">
        <v>3000</v>
      </c>
      <c r="T1606" s="877"/>
      <c r="U1606" s="877"/>
      <c r="V1606" s="877"/>
      <c r="W1606" s="875"/>
      <c r="X1606" s="1026">
        <f>(Q1606+R1606+S1606+T1606+U1606+V1606+W1606)*M1606</f>
        <v>29850</v>
      </c>
      <c r="Y1606" s="1512">
        <f>(T1606+U1606)*M1606/(X1606-M1606*(T1606+U1606))</f>
        <v>0</v>
      </c>
      <c r="Z1606" s="1741">
        <f>M1606*(1+Y1606)</f>
        <v>1</v>
      </c>
      <c r="AA1606" s="1749">
        <f>SUM(AD1606:AS1606)</f>
        <v>1</v>
      </c>
      <c r="AB1606" s="1810">
        <f t="shared" ref="AB1606:AB1610" si="1006">100*AA1606/Z1606</f>
        <v>100</v>
      </c>
      <c r="AC1606" s="876"/>
      <c r="AD1606" s="1525">
        <f t="shared" ref="AD1606:AS1610" si="1007">SUMIF($AV$6:$BS$6,AD$5,$AV1606:$BS1606)</f>
        <v>0.8</v>
      </c>
      <c r="AE1606" s="1525">
        <f t="shared" si="1007"/>
        <v>0</v>
      </c>
      <c r="AF1606" s="1525">
        <f t="shared" si="1007"/>
        <v>0</v>
      </c>
      <c r="AG1606" s="1525">
        <f t="shared" si="1007"/>
        <v>0</v>
      </c>
      <c r="AH1606" s="1525">
        <f t="shared" si="1007"/>
        <v>0</v>
      </c>
      <c r="AI1606" s="1525">
        <f t="shared" si="1007"/>
        <v>0</v>
      </c>
      <c r="AJ1606" s="1525">
        <f t="shared" si="1007"/>
        <v>0</v>
      </c>
      <c r="AK1606" s="1525">
        <f t="shared" si="1007"/>
        <v>0</v>
      </c>
      <c r="AL1606" s="1525">
        <f t="shared" si="1007"/>
        <v>0</v>
      </c>
      <c r="AM1606" s="1525">
        <f t="shared" si="1007"/>
        <v>0</v>
      </c>
      <c r="AN1606" s="1525">
        <f t="shared" si="1007"/>
        <v>0.2</v>
      </c>
      <c r="AO1606" s="1525">
        <f t="shared" si="1007"/>
        <v>0</v>
      </c>
      <c r="AP1606" s="1525">
        <f t="shared" si="1007"/>
        <v>0</v>
      </c>
      <c r="AQ1606" s="1525">
        <f t="shared" si="1007"/>
        <v>0</v>
      </c>
      <c r="AR1606" s="1525">
        <f t="shared" si="1007"/>
        <v>0</v>
      </c>
      <c r="AS1606" s="1525">
        <f t="shared" si="1007"/>
        <v>0</v>
      </c>
      <c r="AU1606" s="1525"/>
      <c r="AV1606" s="1295"/>
      <c r="AW1606" s="1525"/>
      <c r="AX1606" s="1525"/>
      <c r="AY1606" s="1525"/>
      <c r="AZ1606" s="1525"/>
      <c r="BA1606" s="1525"/>
      <c r="BB1606" s="1525"/>
      <c r="BC1606" s="1525"/>
      <c r="BD1606" s="1525"/>
      <c r="BE1606" s="1525">
        <v>0.2</v>
      </c>
      <c r="BF1606" s="1525"/>
      <c r="BG1606" s="1525"/>
      <c r="BH1606" s="1525"/>
      <c r="BI1606" s="1525">
        <v>0.5</v>
      </c>
      <c r="BJ1606" s="1525">
        <v>0.3</v>
      </c>
      <c r="BK1606" s="1525"/>
      <c r="BL1606" s="1525"/>
      <c r="BM1606" s="1525"/>
      <c r="BN1606" s="1525"/>
      <c r="BO1606" s="1525"/>
      <c r="BP1606" s="1525"/>
      <c r="BQ1606" s="1525"/>
      <c r="BR1606" s="1525"/>
      <c r="BS1606" s="1525"/>
      <c r="BT1606" s="1670">
        <f t="shared" ref="BT1606:BT1610" si="1008">SUM(AV1606:BS1606)</f>
        <v>1</v>
      </c>
      <c r="BV1606"/>
      <c r="BW1606" s="862" t="s">
        <v>1490</v>
      </c>
    </row>
    <row r="1607" spans="1:75" ht="12.75" customHeight="1" x14ac:dyDescent="0.2">
      <c r="B1607" s="175">
        <f>B1606+1</f>
        <v>2</v>
      </c>
      <c r="C1607" s="219">
        <v>9</v>
      </c>
      <c r="E1607" s="12" t="s">
        <v>760</v>
      </c>
      <c r="F1607" s="30" t="s">
        <v>1396</v>
      </c>
      <c r="G1607" s="821" t="s">
        <v>25</v>
      </c>
      <c r="H1607" s="858">
        <v>65948</v>
      </c>
      <c r="I1607" s="202" t="s">
        <v>351</v>
      </c>
      <c r="J1607" s="215"/>
      <c r="K1607" s="215"/>
      <c r="L1607" s="858">
        <v>1</v>
      </c>
      <c r="M1607" s="858">
        <f>K1607+L1607</f>
        <v>1</v>
      </c>
      <c r="N1607" s="857" t="s">
        <v>1326</v>
      </c>
      <c r="O1607" s="1196">
        <v>25536</v>
      </c>
      <c r="P1607" s="1218">
        <f ca="1">YEARFRAC(TODAY(),O1607)</f>
        <v>47.841666666666669</v>
      </c>
      <c r="Q1607" s="1148">
        <v>29900</v>
      </c>
      <c r="R1607" s="874">
        <f>Q1607*0.1</f>
        <v>2990</v>
      </c>
      <c r="S1607" s="875"/>
      <c r="T1607" s="877"/>
      <c r="U1607" s="877"/>
      <c r="V1607" s="877"/>
      <c r="W1607" s="875"/>
      <c r="X1607" s="1026">
        <f>(Q1607+R1607+S1607+T1607+U1607+V1607+W1607)*M1607</f>
        <v>32890</v>
      </c>
      <c r="Y1607" s="1512">
        <f>(T1607+U1607)*M1607/(X1607-M1607*(T1607+U1607))</f>
        <v>0</v>
      </c>
      <c r="Z1607" s="1741">
        <f>M1607*(1+Y1607)</f>
        <v>1</v>
      </c>
      <c r="AA1607" s="1749">
        <f>SUM(AD1607:AS1607)</f>
        <v>1</v>
      </c>
      <c r="AB1607" s="1810">
        <f t="shared" si="1006"/>
        <v>100</v>
      </c>
      <c r="AC1607" s="876"/>
      <c r="AD1607" s="1525">
        <f t="shared" si="1007"/>
        <v>0.8</v>
      </c>
      <c r="AE1607" s="1525">
        <f t="shared" si="1007"/>
        <v>0</v>
      </c>
      <c r="AF1607" s="1525">
        <f t="shared" si="1007"/>
        <v>0</v>
      </c>
      <c r="AG1607" s="1525">
        <f t="shared" si="1007"/>
        <v>0</v>
      </c>
      <c r="AH1607" s="1525">
        <f t="shared" si="1007"/>
        <v>0</v>
      </c>
      <c r="AI1607" s="1525">
        <f t="shared" si="1007"/>
        <v>0</v>
      </c>
      <c r="AJ1607" s="1525">
        <f t="shared" si="1007"/>
        <v>0</v>
      </c>
      <c r="AK1607" s="1525">
        <f t="shared" si="1007"/>
        <v>0</v>
      </c>
      <c r="AL1607" s="1525">
        <f t="shared" si="1007"/>
        <v>0</v>
      </c>
      <c r="AM1607" s="1525">
        <f t="shared" si="1007"/>
        <v>0</v>
      </c>
      <c r="AN1607" s="1525">
        <f t="shared" si="1007"/>
        <v>0.2</v>
      </c>
      <c r="AO1607" s="1525">
        <f t="shared" si="1007"/>
        <v>0</v>
      </c>
      <c r="AP1607" s="1525">
        <f t="shared" si="1007"/>
        <v>0</v>
      </c>
      <c r="AQ1607" s="1525">
        <f t="shared" si="1007"/>
        <v>0</v>
      </c>
      <c r="AR1607" s="1525">
        <f t="shared" si="1007"/>
        <v>0</v>
      </c>
      <c r="AS1607" s="1525">
        <f t="shared" si="1007"/>
        <v>0</v>
      </c>
      <c r="AU1607" s="1525"/>
      <c r="AV1607" s="1291"/>
      <c r="AW1607" s="1292"/>
      <c r="AX1607" s="1292"/>
      <c r="AY1607" s="1292"/>
      <c r="AZ1607" s="1292"/>
      <c r="BA1607" s="1292"/>
      <c r="BB1607" s="1292"/>
      <c r="BC1607" s="1292"/>
      <c r="BD1607" s="1292"/>
      <c r="BE1607" s="1292">
        <v>0.2</v>
      </c>
      <c r="BF1607" s="1292"/>
      <c r="BG1607" s="1292"/>
      <c r="BH1607" s="1292"/>
      <c r="BI1607" s="1292">
        <v>0.5</v>
      </c>
      <c r="BJ1607" s="1292">
        <v>0.3</v>
      </c>
      <c r="BK1607" s="1292"/>
      <c r="BL1607" s="1292"/>
      <c r="BM1607" s="1292"/>
      <c r="BN1607" s="1292"/>
      <c r="BO1607" s="1292"/>
      <c r="BP1607" s="1292"/>
      <c r="BQ1607" s="1292"/>
      <c r="BR1607" s="1292"/>
      <c r="BS1607" s="1292"/>
      <c r="BT1607" s="1670">
        <f t="shared" si="1008"/>
        <v>1</v>
      </c>
      <c r="BW1607" s="821" t="s">
        <v>25</v>
      </c>
    </row>
    <row r="1608" spans="1:75" ht="12.75" customHeight="1" x14ac:dyDescent="0.2">
      <c r="B1608" s="175">
        <f>B1607+1</f>
        <v>3</v>
      </c>
      <c r="C1608" s="219">
        <v>13</v>
      </c>
      <c r="E1608" s="12" t="s">
        <v>760</v>
      </c>
      <c r="F1608" s="4" t="s">
        <v>792</v>
      </c>
      <c r="G1608" s="821" t="s">
        <v>1491</v>
      </c>
      <c r="H1608" s="858">
        <v>204139</v>
      </c>
      <c r="I1608" s="202" t="s">
        <v>583</v>
      </c>
      <c r="J1608" s="215"/>
      <c r="K1608" s="215"/>
      <c r="L1608" s="858">
        <v>1</v>
      </c>
      <c r="M1608" s="858">
        <f>K1608+L1608</f>
        <v>1</v>
      </c>
      <c r="N1608" s="857" t="s">
        <v>892</v>
      </c>
      <c r="O1608" s="1196">
        <v>18225</v>
      </c>
      <c r="P1608" s="1218">
        <f ca="1">YEARFRAC(TODAY(),O1608)</f>
        <v>67.858333333333334</v>
      </c>
      <c r="Q1608" s="1148">
        <v>21400</v>
      </c>
      <c r="R1608" s="874"/>
      <c r="S1608" s="875"/>
      <c r="T1608" s="877"/>
      <c r="U1608" s="877"/>
      <c r="V1608" s="877"/>
      <c r="W1608" s="875"/>
      <c r="X1608" s="1026">
        <f>(Q1608+R1608+S1608+T1608+U1608+V1608+W1608)*M1608</f>
        <v>21400</v>
      </c>
      <c r="Y1608" s="1512">
        <f>(T1608+U1608)*M1608/(X1608-M1608*(T1608+U1608))</f>
        <v>0</v>
      </c>
      <c r="Z1608" s="1741">
        <f>M1608*(1+Y1608)</f>
        <v>1</v>
      </c>
      <c r="AA1608" s="1749">
        <f>SUM(AD1608:AS1608)</f>
        <v>1</v>
      </c>
      <c r="AB1608" s="1810">
        <f t="shared" si="1006"/>
        <v>100</v>
      </c>
      <c r="AC1608" s="876"/>
      <c r="AD1608" s="1525">
        <f t="shared" si="1007"/>
        <v>1</v>
      </c>
      <c r="AE1608" s="1525">
        <f t="shared" si="1007"/>
        <v>0</v>
      </c>
      <c r="AF1608" s="1525">
        <f t="shared" si="1007"/>
        <v>0</v>
      </c>
      <c r="AG1608" s="1525">
        <f t="shared" si="1007"/>
        <v>0</v>
      </c>
      <c r="AH1608" s="1525">
        <f t="shared" si="1007"/>
        <v>0</v>
      </c>
      <c r="AI1608" s="1525">
        <f t="shared" si="1007"/>
        <v>0</v>
      </c>
      <c r="AJ1608" s="1525">
        <f t="shared" si="1007"/>
        <v>0</v>
      </c>
      <c r="AK1608" s="1525">
        <f t="shared" si="1007"/>
        <v>0</v>
      </c>
      <c r="AL1608" s="1525">
        <f t="shared" si="1007"/>
        <v>0</v>
      </c>
      <c r="AM1608" s="1525">
        <f t="shared" si="1007"/>
        <v>0</v>
      </c>
      <c r="AN1608" s="1525">
        <f t="shared" si="1007"/>
        <v>0</v>
      </c>
      <c r="AO1608" s="1525">
        <f t="shared" si="1007"/>
        <v>0</v>
      </c>
      <c r="AP1608" s="1525">
        <f t="shared" si="1007"/>
        <v>0</v>
      </c>
      <c r="AQ1608" s="1525">
        <f t="shared" si="1007"/>
        <v>0</v>
      </c>
      <c r="AR1608" s="1525">
        <f t="shared" si="1007"/>
        <v>0</v>
      </c>
      <c r="AS1608" s="1525">
        <f t="shared" si="1007"/>
        <v>0</v>
      </c>
      <c r="AU1608" s="1525"/>
      <c r="AV1608" s="1291"/>
      <c r="AW1608" s="1292"/>
      <c r="AX1608" s="1292"/>
      <c r="AY1608" s="1292"/>
      <c r="AZ1608" s="1292"/>
      <c r="BA1608" s="1292"/>
      <c r="BB1608" s="1292"/>
      <c r="BC1608" s="1292"/>
      <c r="BD1608" s="1292"/>
      <c r="BE1608" s="1292"/>
      <c r="BF1608" s="1292"/>
      <c r="BG1608" s="1292"/>
      <c r="BH1608" s="1292"/>
      <c r="BI1608" s="1292">
        <v>0.5</v>
      </c>
      <c r="BJ1608" s="1292">
        <v>0.5</v>
      </c>
      <c r="BK1608" s="1292"/>
      <c r="BL1608" s="1292"/>
      <c r="BM1608" s="1292"/>
      <c r="BN1608" s="1292"/>
      <c r="BO1608" s="1292"/>
      <c r="BP1608" s="1292"/>
      <c r="BQ1608" s="1292"/>
      <c r="BR1608" s="1292"/>
      <c r="BS1608" s="1292"/>
      <c r="BT1608" s="1670">
        <f t="shared" si="1008"/>
        <v>1</v>
      </c>
      <c r="BW1608" s="821" t="s">
        <v>1491</v>
      </c>
    </row>
    <row r="1609" spans="1:75" ht="12.75" customHeight="1" x14ac:dyDescent="0.2">
      <c r="B1609" s="175">
        <f>B1608+1</f>
        <v>4</v>
      </c>
      <c r="C1609" s="219">
        <v>18</v>
      </c>
      <c r="E1609" s="12" t="s">
        <v>760</v>
      </c>
      <c r="F1609" s="4" t="s">
        <v>1319</v>
      </c>
      <c r="G1609" s="821" t="s">
        <v>587</v>
      </c>
      <c r="H1609" s="858">
        <v>52065</v>
      </c>
      <c r="I1609" s="202" t="s">
        <v>583</v>
      </c>
      <c r="J1609" s="215"/>
      <c r="K1609" s="215"/>
      <c r="L1609" s="858">
        <v>1</v>
      </c>
      <c r="M1609" s="858">
        <v>1</v>
      </c>
      <c r="N1609" s="857" t="s">
        <v>1402</v>
      </c>
      <c r="O1609" s="1196">
        <v>25085</v>
      </c>
      <c r="P1609" s="1218">
        <f ca="1">YEARFRAC(TODAY(),O1609)</f>
        <v>49.077777777777776</v>
      </c>
      <c r="Q1609" s="1148">
        <v>15000</v>
      </c>
      <c r="R1609" s="874">
        <f>Q1609*0.1</f>
        <v>1500</v>
      </c>
      <c r="S1609" s="875"/>
      <c r="T1609" s="877"/>
      <c r="U1609" s="877"/>
      <c r="V1609" s="877"/>
      <c r="W1609" s="875"/>
      <c r="X1609" s="1026">
        <f>(Q1609+R1609+S1609+T1609+U1609+V1609+W1609)*M1609</f>
        <v>16500</v>
      </c>
      <c r="Y1609" s="1512">
        <f>(T1609+U1609)*M1609/(X1609-M1609*(T1609+U1609))</f>
        <v>0</v>
      </c>
      <c r="Z1609" s="1741">
        <f>M1609*(1+Y1609)</f>
        <v>1</v>
      </c>
      <c r="AA1609" s="1749">
        <f>SUM(AD1609:AS1609)</f>
        <v>1</v>
      </c>
      <c r="AB1609" s="1810">
        <f t="shared" si="1006"/>
        <v>100</v>
      </c>
      <c r="AC1609" s="876"/>
      <c r="AD1609" s="1525">
        <f t="shared" si="1007"/>
        <v>0.9</v>
      </c>
      <c r="AE1609" s="1525">
        <f t="shared" si="1007"/>
        <v>0</v>
      </c>
      <c r="AF1609" s="1525">
        <f t="shared" si="1007"/>
        <v>0.1</v>
      </c>
      <c r="AG1609" s="1525">
        <f t="shared" si="1007"/>
        <v>0</v>
      </c>
      <c r="AH1609" s="1525">
        <f t="shared" si="1007"/>
        <v>0</v>
      </c>
      <c r="AI1609" s="1525">
        <f t="shared" si="1007"/>
        <v>0</v>
      </c>
      <c r="AJ1609" s="1525">
        <f t="shared" si="1007"/>
        <v>0</v>
      </c>
      <c r="AK1609" s="1525">
        <f t="shared" si="1007"/>
        <v>0</v>
      </c>
      <c r="AL1609" s="1525">
        <f t="shared" si="1007"/>
        <v>0</v>
      </c>
      <c r="AM1609" s="1525">
        <f t="shared" si="1007"/>
        <v>0</v>
      </c>
      <c r="AN1609" s="1525">
        <f t="shared" si="1007"/>
        <v>0</v>
      </c>
      <c r="AO1609" s="1525">
        <f t="shared" si="1007"/>
        <v>0</v>
      </c>
      <c r="AP1609" s="1525">
        <f t="shared" si="1007"/>
        <v>0</v>
      </c>
      <c r="AQ1609" s="1525">
        <f t="shared" si="1007"/>
        <v>0</v>
      </c>
      <c r="AR1609" s="1525">
        <f t="shared" si="1007"/>
        <v>0</v>
      </c>
      <c r="AS1609" s="1525">
        <f t="shared" si="1007"/>
        <v>0</v>
      </c>
      <c r="AU1609" s="1525"/>
      <c r="AV1609" s="1291"/>
      <c r="AW1609" s="1292"/>
      <c r="AX1609" s="1292"/>
      <c r="AY1609" s="1292">
        <v>0.1</v>
      </c>
      <c r="AZ1609" s="1292"/>
      <c r="BA1609" s="1292"/>
      <c r="BB1609" s="1292"/>
      <c r="BC1609" s="1292"/>
      <c r="BD1609" s="1292"/>
      <c r="BE1609" s="1292"/>
      <c r="BF1609" s="1292"/>
      <c r="BG1609" s="1292"/>
      <c r="BH1609" s="1292"/>
      <c r="BI1609" s="1292">
        <v>0.4</v>
      </c>
      <c r="BJ1609" s="1292">
        <v>0.5</v>
      </c>
      <c r="BK1609" s="1292"/>
      <c r="BL1609" s="1292"/>
      <c r="BM1609" s="1292"/>
      <c r="BN1609" s="1292"/>
      <c r="BO1609" s="1292"/>
      <c r="BP1609" s="1292"/>
      <c r="BQ1609" s="1292"/>
      <c r="BR1609" s="1292"/>
      <c r="BS1609" s="1292"/>
      <c r="BT1609" s="1670">
        <f t="shared" si="1008"/>
        <v>1</v>
      </c>
      <c r="BW1609" s="821" t="s">
        <v>587</v>
      </c>
    </row>
    <row r="1610" spans="1:75" ht="12.75" customHeight="1" x14ac:dyDescent="0.2">
      <c r="B1610" s="175">
        <f>B1609+1</f>
        <v>5</v>
      </c>
      <c r="C1610" s="219">
        <v>18</v>
      </c>
      <c r="E1610" s="12" t="s">
        <v>760</v>
      </c>
      <c r="F1610" s="1" t="s">
        <v>384</v>
      </c>
      <c r="G1610" s="821" t="s">
        <v>26</v>
      </c>
      <c r="H1610" s="858">
        <v>3097</v>
      </c>
      <c r="I1610" s="172" t="s">
        <v>1442</v>
      </c>
      <c r="J1610" s="168"/>
      <c r="K1610" s="168"/>
      <c r="L1610" s="841">
        <v>1</v>
      </c>
      <c r="M1610" s="858">
        <f>K1610+L1610</f>
        <v>1</v>
      </c>
      <c r="N1610" s="857" t="s">
        <v>1326</v>
      </c>
      <c r="O1610" s="1212">
        <v>31211</v>
      </c>
      <c r="P1610" s="1218">
        <f ca="1">YEARFRAC(TODAY(),O1610)</f>
        <v>32.302777777777777</v>
      </c>
      <c r="Q1610" s="1148">
        <v>23800</v>
      </c>
      <c r="R1610" s="874">
        <f>Q1610*0.1</f>
        <v>2380</v>
      </c>
      <c r="S1610" s="875"/>
      <c r="T1610" s="877"/>
      <c r="U1610" s="877"/>
      <c r="V1610" s="877"/>
      <c r="W1610" s="1036"/>
      <c r="X1610" s="1026">
        <f>(Q1610+R1610+S1610+T1610+U1610+V1610+W1610)*M1610</f>
        <v>26180</v>
      </c>
      <c r="Y1610" s="1512">
        <f>(T1610+U1610)*M1610/(X1610-M1610*(T1610+U1610))</f>
        <v>0</v>
      </c>
      <c r="Z1610" s="1741">
        <f>M1610*(1+Y1610)</f>
        <v>1</v>
      </c>
      <c r="AA1610" s="1749">
        <f>SUM(AD1610:AS1610)</f>
        <v>1</v>
      </c>
      <c r="AB1610" s="1810">
        <f t="shared" si="1006"/>
        <v>100</v>
      </c>
      <c r="AC1610" s="876"/>
      <c r="AD1610" s="1525">
        <f t="shared" si="1007"/>
        <v>1</v>
      </c>
      <c r="AE1610" s="1525">
        <f t="shared" si="1007"/>
        <v>0</v>
      </c>
      <c r="AF1610" s="1525">
        <f t="shared" si="1007"/>
        <v>0</v>
      </c>
      <c r="AG1610" s="1525">
        <f t="shared" si="1007"/>
        <v>0</v>
      </c>
      <c r="AH1610" s="1525">
        <f t="shared" si="1007"/>
        <v>0</v>
      </c>
      <c r="AI1610" s="1525">
        <f t="shared" si="1007"/>
        <v>0</v>
      </c>
      <c r="AJ1610" s="1525">
        <f t="shared" si="1007"/>
        <v>0</v>
      </c>
      <c r="AK1610" s="1525">
        <f t="shared" si="1007"/>
        <v>0</v>
      </c>
      <c r="AL1610" s="1525">
        <f t="shared" si="1007"/>
        <v>0</v>
      </c>
      <c r="AM1610" s="1525">
        <f t="shared" si="1007"/>
        <v>0</v>
      </c>
      <c r="AN1610" s="1525">
        <f t="shared" si="1007"/>
        <v>0</v>
      </c>
      <c r="AO1610" s="1525">
        <f t="shared" si="1007"/>
        <v>0</v>
      </c>
      <c r="AP1610" s="1525">
        <f t="shared" si="1007"/>
        <v>0</v>
      </c>
      <c r="AQ1610" s="1525">
        <f t="shared" si="1007"/>
        <v>0</v>
      </c>
      <c r="AR1610" s="1525">
        <f t="shared" si="1007"/>
        <v>0</v>
      </c>
      <c r="AS1610" s="1525">
        <f t="shared" si="1007"/>
        <v>0</v>
      </c>
      <c r="AU1610" s="1525"/>
      <c r="AV1610" s="1291"/>
      <c r="AW1610" s="1292"/>
      <c r="AX1610" s="1292"/>
      <c r="AY1610" s="1292"/>
      <c r="AZ1610" s="1292"/>
      <c r="BA1610" s="1292"/>
      <c r="BB1610" s="1292"/>
      <c r="BC1610" s="1292"/>
      <c r="BD1610" s="1292"/>
      <c r="BE1610" s="1292"/>
      <c r="BF1610" s="1292"/>
      <c r="BG1610" s="1292"/>
      <c r="BH1610" s="1292"/>
      <c r="BI1610" s="1292">
        <v>0.5</v>
      </c>
      <c r="BJ1610" s="1292">
        <v>0.5</v>
      </c>
      <c r="BK1610" s="1292"/>
      <c r="BL1610" s="1292"/>
      <c r="BM1610" s="1292"/>
      <c r="BN1610" s="1292"/>
      <c r="BO1610" s="1292"/>
      <c r="BP1610" s="1292"/>
      <c r="BQ1610" s="1292"/>
      <c r="BR1610" s="1292"/>
      <c r="BS1610" s="1292"/>
      <c r="BT1610" s="1670">
        <f t="shared" si="1008"/>
        <v>1</v>
      </c>
      <c r="BW1610" s="821" t="s">
        <v>26</v>
      </c>
    </row>
    <row r="1611" spans="1:75" ht="12.75" customHeight="1" x14ac:dyDescent="0.2">
      <c r="B1611" s="175"/>
      <c r="C1611" s="220"/>
      <c r="D1611" s="170"/>
      <c r="E1611" s="447"/>
      <c r="F1611" s="26"/>
      <c r="G1611" s="830"/>
      <c r="H1611" s="1354" t="s">
        <v>1508</v>
      </c>
      <c r="I1611" s="176"/>
      <c r="J1611" s="177"/>
      <c r="K1611" s="177"/>
      <c r="L1611" s="873"/>
      <c r="M1611" s="873"/>
      <c r="N1611" s="872"/>
      <c r="O1611" s="1213"/>
      <c r="P1611" s="1235"/>
      <c r="Q1611" s="1071"/>
      <c r="R1611" s="890"/>
      <c r="S1611" s="891"/>
      <c r="T1611" s="1048"/>
      <c r="U1611" s="1048"/>
      <c r="V1611" s="1048"/>
      <c r="W1611" s="891"/>
      <c r="X1611" s="1043"/>
      <c r="Y1611" s="1513"/>
      <c r="Z1611" s="1743"/>
      <c r="AA1611" s="1749"/>
      <c r="AB1611" s="1814"/>
      <c r="AC1611" s="876"/>
      <c r="AD1611" s="1295"/>
      <c r="AE1611" s="1525"/>
      <c r="AF1611" s="1525"/>
      <c r="AG1611" s="1525"/>
      <c r="AH1611" s="1525"/>
      <c r="AI1611" s="1525"/>
      <c r="AJ1611" s="1525"/>
      <c r="AK1611" s="1525"/>
      <c r="AL1611" s="1525"/>
      <c r="AM1611" s="1525"/>
      <c r="AN1611" s="1525"/>
      <c r="AO1611" s="1525"/>
      <c r="AP1611" s="1525"/>
      <c r="AQ1611" s="1525"/>
      <c r="AR1611" s="1525"/>
      <c r="AS1611" s="1525"/>
      <c r="AU1611" s="1525"/>
      <c r="AV1611" s="1291"/>
      <c r="AW1611" s="1292"/>
      <c r="AX1611" s="1292"/>
      <c r="AY1611" s="1292"/>
      <c r="AZ1611" s="1292"/>
      <c r="BA1611" s="1292"/>
      <c r="BB1611" s="1292"/>
      <c r="BC1611" s="1292"/>
      <c r="BD1611" s="1292"/>
      <c r="BE1611" s="1292"/>
      <c r="BF1611" s="1292"/>
      <c r="BG1611" s="1292"/>
      <c r="BH1611" s="1292"/>
      <c r="BI1611" s="1292"/>
      <c r="BJ1611" s="1292"/>
      <c r="BK1611" s="1292"/>
      <c r="BL1611" s="1292"/>
      <c r="BM1611" s="1292"/>
      <c r="BN1611" s="1292"/>
      <c r="BO1611" s="1292"/>
      <c r="BP1611" s="1292"/>
      <c r="BQ1611" s="1292"/>
      <c r="BR1611" s="1292"/>
      <c r="BS1611" s="1292"/>
      <c r="BT1611" s="1670"/>
      <c r="BW1611" s="830"/>
    </row>
    <row r="1612" spans="1:75" s="164" customFormat="1" ht="12.75" customHeight="1" x14ac:dyDescent="0.15">
      <c r="B1612" s="175"/>
      <c r="C1612" s="220" t="s">
        <v>1120</v>
      </c>
      <c r="D1612" s="170"/>
      <c r="E1612" s="170"/>
      <c r="F1612" s="4" t="s">
        <v>1188</v>
      </c>
      <c r="G1612" s="825"/>
      <c r="H1612" s="1347" t="s">
        <v>1508</v>
      </c>
      <c r="I1612" s="197"/>
      <c r="J1612" s="174"/>
      <c r="K1612" s="174"/>
      <c r="L1612" s="861">
        <f>SUM(L1606:L1611)</f>
        <v>5</v>
      </c>
      <c r="M1612" s="861">
        <f>SUM(M1606:M1611)</f>
        <v>5</v>
      </c>
      <c r="N1612" s="836"/>
      <c r="O1612" s="1200"/>
      <c r="P1612" s="1294"/>
      <c r="Q1612" s="1153"/>
      <c r="R1612" s="884"/>
      <c r="S1612" s="876"/>
      <c r="T1612" s="876"/>
      <c r="U1612" s="876"/>
      <c r="V1612" s="876"/>
      <c r="W1612" s="876"/>
      <c r="X1612" s="1026"/>
      <c r="Y1612" s="876"/>
      <c r="Z1612" s="876"/>
      <c r="AA1612" s="1775"/>
      <c r="AB1612" s="1812"/>
      <c r="AC1612" s="876"/>
      <c r="AD1612" s="1295"/>
      <c r="AE1612" s="1525"/>
      <c r="AF1612" s="1525"/>
      <c r="AG1612" s="1525"/>
      <c r="AH1612" s="1525"/>
      <c r="AI1612" s="1525"/>
      <c r="AJ1612" s="1525"/>
      <c r="AK1612" s="1525"/>
      <c r="AL1612" s="1525"/>
      <c r="AM1612" s="1525"/>
      <c r="AN1612" s="1525"/>
      <c r="AO1612" s="1525"/>
      <c r="AP1612" s="1525"/>
      <c r="AQ1612" s="1525"/>
      <c r="AR1612" s="1525"/>
      <c r="AS1612" s="1525"/>
      <c r="AU1612" s="1525"/>
      <c r="AV1612" s="1295"/>
      <c r="AW1612" s="1525"/>
      <c r="AX1612" s="1525"/>
      <c r="AY1612" s="1525"/>
      <c r="AZ1612" s="1525"/>
      <c r="BA1612" s="1525"/>
      <c r="BB1612" s="1525"/>
      <c r="BC1612" s="1525"/>
      <c r="BD1612" s="1525"/>
      <c r="BE1612" s="1525"/>
      <c r="BF1612" s="1525"/>
      <c r="BG1612" s="1525"/>
      <c r="BH1612" s="1525"/>
      <c r="BI1612" s="1525"/>
      <c r="BJ1612" s="1525"/>
      <c r="BK1612" s="1525"/>
      <c r="BL1612" s="1525"/>
      <c r="BM1612" s="1525"/>
      <c r="BN1612" s="1525"/>
      <c r="BO1612" s="1525"/>
      <c r="BP1612" s="1525"/>
      <c r="BQ1612" s="1525"/>
      <c r="BR1612" s="1525"/>
      <c r="BS1612" s="1525"/>
      <c r="BT1612" s="1670"/>
      <c r="BV1612"/>
      <c r="BW1612" s="825"/>
    </row>
    <row r="1613" spans="1:75" s="164" customFormat="1" ht="12.75" customHeight="1" x14ac:dyDescent="0.15">
      <c r="B1613" s="175"/>
      <c r="C1613" s="170"/>
      <c r="D1613" s="170"/>
      <c r="E1613" s="170"/>
      <c r="F1613" s="4"/>
      <c r="G1613" s="825"/>
      <c r="H1613" s="1347" t="s">
        <v>1508</v>
      </c>
      <c r="I1613" s="197"/>
      <c r="J1613" s="174"/>
      <c r="K1613" s="174"/>
      <c r="L1613" s="861"/>
      <c r="M1613" s="861"/>
      <c r="N1613" s="836"/>
      <c r="O1613" s="1200"/>
      <c r="P1613" s="1294"/>
      <c r="Q1613" s="1148"/>
      <c r="R1613" s="874"/>
      <c r="S1613" s="876"/>
      <c r="T1613" s="876"/>
      <c r="U1613" s="876"/>
      <c r="V1613" s="876"/>
      <c r="W1613" s="876"/>
      <c r="X1613" s="1026"/>
      <c r="Y1613" s="1757"/>
      <c r="Z1613" s="1756"/>
      <c r="AA1613" s="1775"/>
      <c r="AB1613" s="1812"/>
      <c r="AC1613" s="876"/>
      <c r="AD1613" s="1295"/>
      <c r="AE1613" s="1525"/>
      <c r="AF1613" s="1525"/>
      <c r="AG1613" s="1525"/>
      <c r="AH1613" s="1525"/>
      <c r="AI1613" s="1525"/>
      <c r="AJ1613" s="1525"/>
      <c r="AK1613" s="1525"/>
      <c r="AL1613" s="1525"/>
      <c r="AM1613" s="1525"/>
      <c r="AN1613" s="1525"/>
      <c r="AO1613" s="1525"/>
      <c r="AP1613" s="1525"/>
      <c r="AQ1613" s="1525"/>
      <c r="AR1613" s="1525"/>
      <c r="AS1613" s="1525"/>
      <c r="AU1613" s="1525"/>
      <c r="AV1613" s="1295"/>
      <c r="AW1613" s="1525"/>
      <c r="AX1613" s="1525"/>
      <c r="AY1613" s="1525"/>
      <c r="AZ1613" s="1525"/>
      <c r="BA1613" s="1525"/>
      <c r="BB1613" s="1525"/>
      <c r="BC1613" s="1525"/>
      <c r="BD1613" s="1525"/>
      <c r="BE1613" s="1525"/>
      <c r="BF1613" s="1525"/>
      <c r="BG1613" s="1525"/>
      <c r="BH1613" s="1525"/>
      <c r="BI1613" s="1525"/>
      <c r="BJ1613" s="1525"/>
      <c r="BK1613" s="1525"/>
      <c r="BL1613" s="1525"/>
      <c r="BM1613" s="1525"/>
      <c r="BN1613" s="1525"/>
      <c r="BO1613" s="1525"/>
      <c r="BP1613" s="1525"/>
      <c r="BQ1613" s="1525"/>
      <c r="BR1613" s="1525"/>
      <c r="BS1613" s="1525"/>
      <c r="BT1613" s="1670"/>
      <c r="BV1613"/>
      <c r="BW1613" s="825"/>
    </row>
    <row r="1614" spans="1:75" s="388" customFormat="1" ht="12.75" customHeight="1" x14ac:dyDescent="0.15">
      <c r="A1614" s="164"/>
      <c r="B1614" s="175"/>
      <c r="C1614" s="1879" t="s">
        <v>344</v>
      </c>
      <c r="D1614" s="590"/>
      <c r="E1614" s="691" t="s">
        <v>760</v>
      </c>
      <c r="F1614" s="584" t="s">
        <v>264</v>
      </c>
      <c r="G1614" s="863">
        <f>COUNTA(G1587:G1613)</f>
        <v>14</v>
      </c>
      <c r="H1614" s="1401" t="s">
        <v>1508</v>
      </c>
      <c r="I1614" s="578"/>
      <c r="J1614" s="579"/>
      <c r="K1614" s="591">
        <f>K1600+K1612+K1591</f>
        <v>0</v>
      </c>
      <c r="L1614" s="1005">
        <f>L1600+L1612+L1591</f>
        <v>12.5</v>
      </c>
      <c r="M1614" s="1005">
        <f>M1600+M1612+M1591</f>
        <v>12.5</v>
      </c>
      <c r="N1614" s="840"/>
      <c r="O1614" s="840"/>
      <c r="P1614" s="1260"/>
      <c r="Q1614" s="1152"/>
      <c r="R1614" s="883"/>
      <c r="S1614" s="879"/>
      <c r="T1614" s="879"/>
      <c r="U1614" s="879"/>
      <c r="V1614" s="879"/>
      <c r="W1614" s="879"/>
      <c r="X1614" s="1276">
        <f>SUM(X1588:X1613)</f>
        <v>366778</v>
      </c>
      <c r="Y1614" s="1073"/>
      <c r="Z1614" s="1654">
        <f>SUM(Z1588:Z1613)</f>
        <v>13.046735188261351</v>
      </c>
      <c r="AA1614" s="1827">
        <f>SUM(AA1588:AA1613)</f>
        <v>12.799999999999999</v>
      </c>
      <c r="AB1614" s="1813">
        <f t="shared" ref="AB1614" si="1009">100*AA1614/Z1614</f>
        <v>98.108835776146137</v>
      </c>
      <c r="AC1614" s="1721"/>
      <c r="AD1614" s="1534"/>
      <c r="AE1614" s="1535"/>
      <c r="AF1614" s="1535"/>
      <c r="AG1614" s="1535"/>
      <c r="AH1614" s="1535"/>
      <c r="AI1614" s="1535"/>
      <c r="AJ1614" s="1535"/>
      <c r="AK1614" s="1535"/>
      <c r="AL1614" s="1535"/>
      <c r="AM1614" s="1535"/>
      <c r="AN1614" s="1535"/>
      <c r="AO1614" s="1535"/>
      <c r="AP1614" s="1535"/>
      <c r="AQ1614" s="1535"/>
      <c r="AR1614" s="1535"/>
      <c r="AS1614" s="1535"/>
      <c r="AU1614" s="1525"/>
      <c r="AV1614" s="1534"/>
      <c r="AW1614" s="1535"/>
      <c r="AX1614" s="1535"/>
      <c r="AY1614" s="1535"/>
      <c r="AZ1614" s="1535"/>
      <c r="BA1614" s="1535"/>
      <c r="BB1614" s="1535"/>
      <c r="BC1614" s="1535"/>
      <c r="BD1614" s="1535"/>
      <c r="BE1614" s="1535"/>
      <c r="BF1614" s="1535"/>
      <c r="BG1614" s="1535"/>
      <c r="BH1614" s="1535"/>
      <c r="BI1614" s="1535"/>
      <c r="BJ1614" s="1535"/>
      <c r="BK1614" s="1535"/>
      <c r="BL1614" s="1535"/>
      <c r="BM1614" s="1535"/>
      <c r="BN1614" s="1535"/>
      <c r="BO1614" s="1535"/>
      <c r="BP1614" s="1535"/>
      <c r="BQ1614" s="1535"/>
      <c r="BR1614" s="1535"/>
      <c r="BS1614" s="1535"/>
      <c r="BT1614" s="1675"/>
      <c r="BV1614"/>
      <c r="BW1614" s="839"/>
    </row>
    <row r="1615" spans="1:75" s="388" customFormat="1" ht="12.75" customHeight="1" x14ac:dyDescent="0.15">
      <c r="A1615" s="164"/>
      <c r="B1615"/>
      <c r="C1615" s="536" t="s">
        <v>717</v>
      </c>
      <c r="D1615" s="537"/>
      <c r="E1615" s="1299" t="s">
        <v>760</v>
      </c>
      <c r="F1615" s="538" t="s">
        <v>328</v>
      </c>
      <c r="G1615" s="1007"/>
      <c r="H1615" s="1402" t="s">
        <v>1508</v>
      </c>
      <c r="I1615" s="539"/>
      <c r="J1615" s="525"/>
      <c r="K1615" s="540"/>
      <c r="L1615" s="1006"/>
      <c r="M1615" s="1006"/>
      <c r="N1615" s="956"/>
      <c r="O1615" s="956"/>
      <c r="P1615" s="1261"/>
      <c r="Q1615" s="1170"/>
      <c r="R1615" s="1051"/>
      <c r="S1615" s="1052"/>
      <c r="T1615" s="1052"/>
      <c r="U1615" s="1052"/>
      <c r="V1615" s="1052"/>
      <c r="W1615" s="1052"/>
      <c r="X1615" s="1711">
        <v>102250</v>
      </c>
      <c r="Y1615" s="1052"/>
      <c r="Z1615" s="1052"/>
      <c r="AA1615" s="1775"/>
      <c r="AB1615" s="1830"/>
      <c r="AC1615" s="876"/>
      <c r="AD1615" s="1536"/>
      <c r="AE1615" s="1537"/>
      <c r="AF1615" s="1537"/>
      <c r="AG1615" s="1537"/>
      <c r="AH1615" s="1537"/>
      <c r="AI1615" s="1537"/>
      <c r="AJ1615" s="1537"/>
      <c r="AK1615" s="1537"/>
      <c r="AL1615" s="1537"/>
      <c r="AM1615" s="1537"/>
      <c r="AN1615" s="1537"/>
      <c r="AO1615" s="1537"/>
      <c r="AP1615" s="1537"/>
      <c r="AQ1615" s="1537"/>
      <c r="AR1615" s="1537"/>
      <c r="AS1615" s="1537"/>
      <c r="AT1615" s="1836"/>
      <c r="AU1615" s="1292"/>
      <c r="AV1615" s="1536"/>
      <c r="AW1615" s="1537"/>
      <c r="AX1615" s="1537"/>
      <c r="AY1615" s="1537"/>
      <c r="AZ1615" s="1537"/>
      <c r="BA1615" s="1537"/>
      <c r="BB1615" s="1537"/>
      <c r="BC1615" s="1537"/>
      <c r="BD1615" s="1537"/>
      <c r="BE1615" s="1537"/>
      <c r="BF1615" s="1537"/>
      <c r="BG1615" s="1537"/>
      <c r="BH1615" s="1537"/>
      <c r="BI1615" s="1537"/>
      <c r="BJ1615" s="1537"/>
      <c r="BK1615" s="1537"/>
      <c r="BL1615" s="1537"/>
      <c r="BM1615" s="1537"/>
      <c r="BN1615" s="1537"/>
      <c r="BO1615" s="1537"/>
      <c r="BP1615" s="1537"/>
      <c r="BQ1615" s="1537"/>
      <c r="BR1615" s="1537"/>
      <c r="BS1615" s="1537"/>
      <c r="BT1615" s="1675"/>
      <c r="BV1615"/>
      <c r="BW1615" s="1007"/>
    </row>
    <row r="1616" spans="1:75" s="164" customFormat="1" ht="12.75" customHeight="1" x14ac:dyDescent="0.15">
      <c r="B1616" s="175"/>
      <c r="C1616" s="1440" t="s">
        <v>794</v>
      </c>
      <c r="D1616" s="1485"/>
      <c r="E1616" s="1486" t="s">
        <v>760</v>
      </c>
      <c r="F1616" s="1442" t="s">
        <v>525</v>
      </c>
      <c r="G1616" s="1473"/>
      <c r="H1616" s="1444" t="s">
        <v>1508</v>
      </c>
      <c r="I1616" s="1445"/>
      <c r="J1616" s="1446"/>
      <c r="K1616" s="1446"/>
      <c r="L1616" s="1447"/>
      <c r="M1616" s="1447"/>
      <c r="N1616" s="1448"/>
      <c r="O1616" s="1448"/>
      <c r="P1616" s="1449"/>
      <c r="Q1616" s="1480"/>
      <c r="R1616" s="1481"/>
      <c r="S1616" s="1452"/>
      <c r="T1616" s="1452"/>
      <c r="U1616" s="1452"/>
      <c r="V1616" s="1452"/>
      <c r="W1616" s="1452"/>
      <c r="X1616" s="1706"/>
      <c r="Y1616" s="1508"/>
      <c r="Z1616" s="1508"/>
      <c r="AA1616" s="1775"/>
      <c r="AB1616" s="1814"/>
      <c r="AC1616" s="876"/>
      <c r="AD1616" s="1291"/>
      <c r="AE1616" s="1292"/>
      <c r="AF1616" s="1292"/>
      <c r="AG1616" s="1292"/>
      <c r="AH1616" s="1292"/>
      <c r="AI1616" s="1292"/>
      <c r="AJ1616" s="1292"/>
      <c r="AK1616" s="1292"/>
      <c r="AL1616" s="1292"/>
      <c r="AM1616" s="1292"/>
      <c r="AN1616" s="1292"/>
      <c r="AO1616" s="1292"/>
      <c r="AP1616" s="1292"/>
      <c r="AQ1616" s="1292"/>
      <c r="AR1616" s="1292"/>
      <c r="AS1616" s="1292"/>
      <c r="AT1616" s="210"/>
      <c r="AU1616" s="1292"/>
      <c r="AV1616" s="1291"/>
      <c r="AW1616" s="1292"/>
      <c r="AX1616" s="1292"/>
      <c r="AY1616" s="1292"/>
      <c r="AZ1616" s="1292"/>
      <c r="BA1616" s="1292"/>
      <c r="BB1616" s="1292"/>
      <c r="BC1616" s="1292"/>
      <c r="BD1616" s="1292"/>
      <c r="BE1616" s="1292"/>
      <c r="BF1616" s="1292"/>
      <c r="BG1616" s="1292"/>
      <c r="BH1616" s="1292"/>
      <c r="BI1616" s="1292"/>
      <c r="BJ1616" s="1292"/>
      <c r="BK1616" s="1292"/>
      <c r="BL1616" s="1292"/>
      <c r="BM1616" s="1292"/>
      <c r="BN1616" s="1292"/>
      <c r="BO1616" s="1292"/>
      <c r="BP1616" s="1292"/>
      <c r="BQ1616" s="1292"/>
      <c r="BR1616" s="1292"/>
      <c r="BS1616" s="1292"/>
      <c r="BT1616" s="1670"/>
      <c r="BV1616"/>
      <c r="BW1616" s="1473"/>
    </row>
    <row r="1617" spans="1:75" customFormat="1" ht="12.75" customHeight="1" x14ac:dyDescent="0.15">
      <c r="X1617" s="560"/>
      <c r="Y1617" s="1833"/>
      <c r="Z1617" s="1834"/>
      <c r="AA1617" s="1835"/>
      <c r="AB1617" s="1815"/>
      <c r="AC1617" s="6"/>
      <c r="AD1617" s="434"/>
      <c r="AE1617" s="434"/>
      <c r="AF1617" s="434"/>
      <c r="AG1617" s="434"/>
      <c r="AH1617" s="434"/>
      <c r="AI1617" s="434"/>
      <c r="AJ1617" s="434"/>
      <c r="AK1617" s="434"/>
      <c r="AL1617" s="434"/>
      <c r="AM1617" s="434"/>
      <c r="AN1617" s="434"/>
      <c r="AO1617" s="434"/>
      <c r="AP1617" s="434"/>
      <c r="AQ1617" s="434"/>
      <c r="AR1617" s="434"/>
      <c r="AS1617" s="434"/>
      <c r="AU1617" s="434"/>
      <c r="AV1617" s="434"/>
      <c r="AW1617" s="434"/>
      <c r="AX1617" s="434"/>
      <c r="AY1617" s="434"/>
      <c r="AZ1617" s="434"/>
      <c r="BA1617" s="434"/>
      <c r="BB1617" s="434"/>
      <c r="BC1617" s="434"/>
      <c r="BD1617" s="434"/>
      <c r="BE1617" s="434"/>
      <c r="BF1617" s="434"/>
      <c r="BG1617" s="434"/>
      <c r="BH1617" s="434"/>
      <c r="BI1617" s="434"/>
      <c r="BJ1617" s="434"/>
      <c r="BK1617" s="434"/>
      <c r="BL1617" s="434"/>
      <c r="BM1617" s="434"/>
      <c r="BN1617" s="434"/>
      <c r="BO1617" s="434"/>
      <c r="BP1617" s="434"/>
      <c r="BQ1617" s="434"/>
      <c r="BR1617" s="434"/>
      <c r="BS1617" s="434"/>
      <c r="BT1617" s="1674"/>
    </row>
    <row r="1618" spans="1:75" s="164" customFormat="1" ht="12.75" customHeight="1" x14ac:dyDescent="0.15">
      <c r="B1618" s="175"/>
      <c r="F1618" s="35" t="s">
        <v>327</v>
      </c>
      <c r="G1618" s="821"/>
      <c r="H1618" s="1377" t="s">
        <v>1508</v>
      </c>
      <c r="I1618" s="279"/>
      <c r="J1618" s="310"/>
      <c r="K1618" s="310"/>
      <c r="L1618" s="946"/>
      <c r="M1618" s="946"/>
      <c r="N1618" s="857"/>
      <c r="O1618" s="1200"/>
      <c r="P1618" s="550"/>
      <c r="Q1618" s="1148"/>
      <c r="R1618" s="874"/>
      <c r="S1618" s="875"/>
      <c r="T1618" s="875"/>
      <c r="U1618" s="875"/>
      <c r="V1618" s="875"/>
      <c r="W1618" s="875"/>
      <c r="X1618" s="1026"/>
      <c r="Y1618" s="1757"/>
      <c r="Z1618" s="1756"/>
      <c r="AA1618" s="1775"/>
      <c r="AB1618" s="1814"/>
      <c r="AC1618" s="876"/>
      <c r="AD1618" s="1295"/>
      <c r="AE1618" s="1525"/>
      <c r="AF1618" s="1525"/>
      <c r="AG1618" s="1525"/>
      <c r="AH1618" s="1525"/>
      <c r="AI1618" s="1525"/>
      <c r="AJ1618" s="1525"/>
      <c r="AK1618" s="1525"/>
      <c r="AL1618" s="1525"/>
      <c r="AM1618" s="1525"/>
      <c r="AN1618" s="1525"/>
      <c r="AO1618" s="1525"/>
      <c r="AP1618" s="1525"/>
      <c r="AQ1618" s="1525"/>
      <c r="AR1618" s="1525"/>
      <c r="AS1618" s="1525"/>
      <c r="AU1618" s="1525"/>
      <c r="AV1618" s="1295"/>
      <c r="AW1618" s="1525"/>
      <c r="AX1618" s="1525"/>
      <c r="AY1618" s="1525"/>
      <c r="AZ1618" s="1525"/>
      <c r="BA1618" s="1525"/>
      <c r="BB1618" s="1525"/>
      <c r="BC1618" s="1525"/>
      <c r="BD1618" s="1525"/>
      <c r="BE1618" s="1525"/>
      <c r="BF1618" s="1525"/>
      <c r="BG1618" s="1525"/>
      <c r="BH1618" s="1525"/>
      <c r="BI1618" s="1525"/>
      <c r="BJ1618" s="1525"/>
      <c r="BK1618" s="1525"/>
      <c r="BL1618" s="1525"/>
      <c r="BM1618" s="1525"/>
      <c r="BN1618" s="1525"/>
      <c r="BO1618" s="1525"/>
      <c r="BP1618" s="1525"/>
      <c r="BQ1618" s="1525"/>
      <c r="BR1618" s="1525"/>
      <c r="BS1618" s="1525"/>
      <c r="BT1618" s="1670"/>
      <c r="BV1618"/>
      <c r="BW1618" s="821"/>
    </row>
    <row r="1619" spans="1:75" s="164" customFormat="1" ht="12.75" customHeight="1" x14ac:dyDescent="0.15">
      <c r="B1619" s="213"/>
      <c r="F1619" s="35"/>
      <c r="G1619" s="821"/>
      <c r="H1619" s="1347" t="s">
        <v>1508</v>
      </c>
      <c r="I1619" s="279"/>
      <c r="J1619" s="310"/>
      <c r="K1619" s="310"/>
      <c r="L1619" s="861"/>
      <c r="M1619" s="861"/>
      <c r="N1619" s="857"/>
      <c r="O1619" s="1200"/>
      <c r="P1619" s="550"/>
      <c r="Q1619" s="1148"/>
      <c r="R1619" s="874"/>
      <c r="S1619" s="875"/>
      <c r="T1619" s="875"/>
      <c r="U1619" s="875"/>
      <c r="V1619" s="875"/>
      <c r="W1619" s="875"/>
      <c r="X1619" s="1026"/>
      <c r="Y1619" s="1757"/>
      <c r="Z1619" s="1756"/>
      <c r="AA1619" s="1775"/>
      <c r="AB1619" s="1814"/>
      <c r="AC1619" s="876"/>
      <c r="AD1619" s="1295"/>
      <c r="AE1619" s="1525"/>
      <c r="AF1619" s="1525"/>
      <c r="AG1619" s="1525"/>
      <c r="AH1619" s="1525"/>
      <c r="AI1619" s="1525"/>
      <c r="AJ1619" s="1525"/>
      <c r="AK1619" s="1525"/>
      <c r="AL1619" s="1525"/>
      <c r="AM1619" s="1525"/>
      <c r="AN1619" s="1525"/>
      <c r="AO1619" s="1525"/>
      <c r="AP1619" s="1525"/>
      <c r="AQ1619" s="1525"/>
      <c r="AR1619" s="1525"/>
      <c r="AS1619" s="1525"/>
      <c r="AU1619" s="1525"/>
      <c r="AV1619" s="1295"/>
      <c r="AW1619" s="1525"/>
      <c r="AX1619" s="1525"/>
      <c r="AY1619" s="1525"/>
      <c r="AZ1619" s="1525"/>
      <c r="BA1619" s="1525"/>
      <c r="BB1619" s="1525"/>
      <c r="BC1619" s="1525"/>
      <c r="BD1619" s="1525"/>
      <c r="BE1619" s="1525"/>
      <c r="BF1619" s="1525"/>
      <c r="BG1619" s="1525"/>
      <c r="BH1619" s="1525"/>
      <c r="BI1619" s="1525"/>
      <c r="BJ1619" s="1525"/>
      <c r="BK1619" s="1525"/>
      <c r="BL1619" s="1525"/>
      <c r="BM1619" s="1525"/>
      <c r="BN1619" s="1525"/>
      <c r="BO1619" s="1525"/>
      <c r="BP1619" s="1525"/>
      <c r="BQ1619" s="1525"/>
      <c r="BR1619" s="1525"/>
      <c r="BS1619" s="1525"/>
      <c r="BT1619" s="1670"/>
      <c r="BV1619"/>
      <c r="BW1619" s="821"/>
    </row>
    <row r="1620" spans="1:75" ht="12.75" customHeight="1" x14ac:dyDescent="0.2">
      <c r="B1620" s="175">
        <f>B1619+1</f>
        <v>1</v>
      </c>
      <c r="C1620" s="677">
        <v>5</v>
      </c>
      <c r="D1620" s="678"/>
      <c r="E1620" s="679" t="s">
        <v>761</v>
      </c>
      <c r="F1620" s="4" t="s">
        <v>482</v>
      </c>
      <c r="G1620" s="821" t="s">
        <v>783</v>
      </c>
      <c r="H1620" s="858">
        <v>102045</v>
      </c>
      <c r="I1620" s="200" t="s">
        <v>351</v>
      </c>
      <c r="J1620" s="174"/>
      <c r="K1620" s="174"/>
      <c r="L1620" s="861">
        <v>1</v>
      </c>
      <c r="M1620" s="858">
        <f t="shared" ref="M1620:M1626" si="1010">K1620+L1620</f>
        <v>1</v>
      </c>
      <c r="N1620" s="857" t="s">
        <v>892</v>
      </c>
      <c r="O1620" s="1196">
        <v>25248</v>
      </c>
      <c r="P1620" s="1218">
        <f t="shared" ref="P1620:P1626" ca="1" si="1011">YEARFRAC(TODAY(),O1620)</f>
        <v>48.633333333333333</v>
      </c>
      <c r="Q1620" s="1148">
        <v>46750</v>
      </c>
      <c r="R1620" s="874"/>
      <c r="S1620" s="875">
        <v>3000</v>
      </c>
      <c r="T1620" s="885"/>
      <c r="U1620" s="885"/>
      <c r="V1620" s="885"/>
      <c r="W1620" s="875"/>
      <c r="X1620" s="1026">
        <f t="shared" ref="X1620:X1626" si="1012">(Q1620+R1620+S1620+T1620+U1620+V1620+W1620)*M1620</f>
        <v>49750</v>
      </c>
      <c r="Y1620" s="1512">
        <f t="shared" ref="Y1620:Y1625" si="1013">(T1620+U1620)*M1620/(X1620-M1620*(T1620+U1620))</f>
        <v>0</v>
      </c>
      <c r="Z1620" s="1741">
        <f t="shared" ref="Z1620:Z1626" si="1014">M1620*(1+Y1620)</f>
        <v>1</v>
      </c>
      <c r="AA1620" s="1749">
        <f t="shared" ref="AA1620:AA1626" si="1015">SUM(AD1620:AS1620)</f>
        <v>0.8</v>
      </c>
      <c r="AB1620" s="1810">
        <f t="shared" ref="AB1620:AB1627" si="1016">100*AA1620/Z1620</f>
        <v>80</v>
      </c>
      <c r="AC1620" s="876"/>
      <c r="AD1620" s="1525">
        <f t="shared" ref="AD1620:AS1626" si="1017">SUMIF($AV$6:$BS$6,AD$5,$AV1620:$BS1620)</f>
        <v>0</v>
      </c>
      <c r="AE1620" s="1525">
        <f t="shared" si="1017"/>
        <v>0</v>
      </c>
      <c r="AF1620" s="1525">
        <f t="shared" si="1017"/>
        <v>0</v>
      </c>
      <c r="AG1620" s="1525">
        <f t="shared" si="1017"/>
        <v>0</v>
      </c>
      <c r="AH1620" s="1525">
        <f t="shared" si="1017"/>
        <v>0</v>
      </c>
      <c r="AI1620" s="1525">
        <f t="shared" si="1017"/>
        <v>0</v>
      </c>
      <c r="AJ1620" s="1525">
        <f t="shared" si="1017"/>
        <v>0</v>
      </c>
      <c r="AK1620" s="1525">
        <f t="shared" si="1017"/>
        <v>0</v>
      </c>
      <c r="AL1620" s="1525">
        <f t="shared" si="1017"/>
        <v>0.3</v>
      </c>
      <c r="AM1620" s="1525">
        <f t="shared" si="1017"/>
        <v>0</v>
      </c>
      <c r="AN1620" s="1525">
        <f t="shared" si="1017"/>
        <v>0</v>
      </c>
      <c r="AO1620" s="1525">
        <f t="shared" si="1017"/>
        <v>0.5</v>
      </c>
      <c r="AP1620" s="1525">
        <f t="shared" si="1017"/>
        <v>0</v>
      </c>
      <c r="AQ1620" s="1525">
        <f t="shared" si="1017"/>
        <v>0</v>
      </c>
      <c r="AR1620" s="1525">
        <f t="shared" si="1017"/>
        <v>0</v>
      </c>
      <c r="AS1620" s="1525">
        <f t="shared" si="1017"/>
        <v>0</v>
      </c>
      <c r="AU1620" s="1525"/>
      <c r="AV1620" s="1291"/>
      <c r="AW1620" s="1292"/>
      <c r="AX1620" s="1292"/>
      <c r="AY1620" s="1292"/>
      <c r="AZ1620" s="1292"/>
      <c r="BA1620" s="1292">
        <v>0.3</v>
      </c>
      <c r="BB1620" s="1292"/>
      <c r="BC1620" s="1292"/>
      <c r="BD1620" s="1292">
        <v>0.5</v>
      </c>
      <c r="BE1620" s="1292"/>
      <c r="BF1620" s="1292"/>
      <c r="BG1620" s="1292"/>
      <c r="BH1620" s="1292"/>
      <c r="BI1620" s="1292"/>
      <c r="BJ1620" s="1292"/>
      <c r="BK1620" s="1292"/>
      <c r="BL1620" s="1292"/>
      <c r="BM1620" s="1292"/>
      <c r="BN1620" s="1292"/>
      <c r="BO1620" s="1292"/>
      <c r="BP1620" s="1292"/>
      <c r="BQ1620" s="1292"/>
      <c r="BR1620" s="1292"/>
      <c r="BS1620" s="1292"/>
      <c r="BT1620" s="1670">
        <f t="shared" ref="BT1620:BT1626" si="1018">SUM(AV1620:BS1620)</f>
        <v>0.8</v>
      </c>
      <c r="BW1620" s="821" t="s">
        <v>783</v>
      </c>
    </row>
    <row r="1621" spans="1:75" ht="12.75" customHeight="1" x14ac:dyDescent="0.2">
      <c r="B1621" s="175">
        <f t="shared" ref="B1621:B1626" si="1019">B1620+1</f>
        <v>2</v>
      </c>
      <c r="C1621" s="219">
        <v>7</v>
      </c>
      <c r="E1621" s="12" t="s">
        <v>1150</v>
      </c>
      <c r="F1621" s="30" t="s">
        <v>1334</v>
      </c>
      <c r="G1621" s="821" t="s">
        <v>1255</v>
      </c>
      <c r="H1621" s="858">
        <v>3008</v>
      </c>
      <c r="I1621" s="200" t="s">
        <v>351</v>
      </c>
      <c r="J1621" s="311"/>
      <c r="K1621" s="311"/>
      <c r="L1621" s="861">
        <v>1</v>
      </c>
      <c r="M1621" s="858">
        <f t="shared" si="1010"/>
        <v>1</v>
      </c>
      <c r="N1621" s="832" t="s">
        <v>892</v>
      </c>
      <c r="O1621" s="1196">
        <v>17742</v>
      </c>
      <c r="P1621" s="1218">
        <f t="shared" ca="1" si="1011"/>
        <v>69.177777777777777</v>
      </c>
      <c r="Q1621" s="1148">
        <v>35300</v>
      </c>
      <c r="R1621" s="874"/>
      <c r="S1621" s="875">
        <v>3000</v>
      </c>
      <c r="T1621" s="885"/>
      <c r="U1621" s="885"/>
      <c r="V1621" s="885"/>
      <c r="W1621" s="875"/>
      <c r="X1621" s="1026">
        <f t="shared" si="1012"/>
        <v>38300</v>
      </c>
      <c r="Y1621" s="1512">
        <f t="shared" si="1013"/>
        <v>0</v>
      </c>
      <c r="Z1621" s="1741">
        <f t="shared" si="1014"/>
        <v>1</v>
      </c>
      <c r="AA1621" s="1749">
        <f t="shared" si="1015"/>
        <v>1</v>
      </c>
      <c r="AB1621" s="1810">
        <f t="shared" si="1016"/>
        <v>100</v>
      </c>
      <c r="AC1621" s="876"/>
      <c r="AD1621" s="1525">
        <f t="shared" si="1017"/>
        <v>0</v>
      </c>
      <c r="AE1621" s="1525">
        <f t="shared" si="1017"/>
        <v>0</v>
      </c>
      <c r="AF1621" s="1525">
        <f t="shared" si="1017"/>
        <v>0</v>
      </c>
      <c r="AG1621" s="1525">
        <f t="shared" si="1017"/>
        <v>0</v>
      </c>
      <c r="AH1621" s="1525">
        <f t="shared" si="1017"/>
        <v>0</v>
      </c>
      <c r="AI1621" s="1525">
        <f t="shared" si="1017"/>
        <v>0</v>
      </c>
      <c r="AJ1621" s="1525">
        <f t="shared" si="1017"/>
        <v>0</v>
      </c>
      <c r="AK1621" s="1525">
        <f t="shared" si="1017"/>
        <v>0</v>
      </c>
      <c r="AL1621" s="1525">
        <f t="shared" si="1017"/>
        <v>0</v>
      </c>
      <c r="AM1621" s="1525">
        <f t="shared" si="1017"/>
        <v>0</v>
      </c>
      <c r="AN1621" s="1525">
        <f t="shared" si="1017"/>
        <v>0</v>
      </c>
      <c r="AO1621" s="1525">
        <f t="shared" si="1017"/>
        <v>1</v>
      </c>
      <c r="AP1621" s="1525">
        <f t="shared" si="1017"/>
        <v>0</v>
      </c>
      <c r="AQ1621" s="1525">
        <f t="shared" si="1017"/>
        <v>0</v>
      </c>
      <c r="AR1621" s="1525">
        <f t="shared" si="1017"/>
        <v>0</v>
      </c>
      <c r="AS1621" s="1525">
        <f t="shared" si="1017"/>
        <v>0</v>
      </c>
      <c r="AU1621" s="1525"/>
      <c r="AV1621" s="1291"/>
      <c r="AW1621" s="1292"/>
      <c r="AX1621" s="1292"/>
      <c r="AY1621" s="1292"/>
      <c r="AZ1621" s="1292"/>
      <c r="BA1621" s="1292"/>
      <c r="BB1621" s="1292"/>
      <c r="BC1621" s="1292"/>
      <c r="BD1621" s="1292">
        <v>1</v>
      </c>
      <c r="BE1621" s="1292"/>
      <c r="BF1621" s="1292"/>
      <c r="BG1621" s="1292"/>
      <c r="BH1621" s="1292"/>
      <c r="BI1621" s="1292"/>
      <c r="BJ1621" s="1292"/>
      <c r="BK1621" s="1292"/>
      <c r="BL1621" s="1292"/>
      <c r="BM1621" s="1292"/>
      <c r="BN1621" s="1292"/>
      <c r="BO1621" s="1292"/>
      <c r="BP1621" s="1292"/>
      <c r="BQ1621" s="1292"/>
      <c r="BR1621" s="1292"/>
      <c r="BS1621" s="1292"/>
      <c r="BT1621" s="1670">
        <f t="shared" si="1018"/>
        <v>1</v>
      </c>
      <c r="BW1621" s="821" t="s">
        <v>1255</v>
      </c>
    </row>
    <row r="1622" spans="1:75" ht="12.75" customHeight="1" x14ac:dyDescent="0.2">
      <c r="B1622" s="175">
        <f t="shared" si="1019"/>
        <v>3</v>
      </c>
      <c r="C1622" s="219">
        <v>8</v>
      </c>
      <c r="E1622" s="12" t="s">
        <v>1150</v>
      </c>
      <c r="F1622" s="4" t="s">
        <v>749</v>
      </c>
      <c r="G1622" s="821" t="s">
        <v>97</v>
      </c>
      <c r="H1622" s="858">
        <v>60669</v>
      </c>
      <c r="I1622" s="200" t="s">
        <v>351</v>
      </c>
      <c r="J1622" s="174"/>
      <c r="K1622" s="174"/>
      <c r="L1622" s="861">
        <v>1</v>
      </c>
      <c r="M1622" s="858">
        <f t="shared" si="1010"/>
        <v>1</v>
      </c>
      <c r="N1622" s="857" t="s">
        <v>892</v>
      </c>
      <c r="O1622" s="1196">
        <v>23035</v>
      </c>
      <c r="P1622" s="1218">
        <f t="shared" ca="1" si="1011"/>
        <v>54.68888888888889</v>
      </c>
      <c r="Q1622" s="1148">
        <v>45550</v>
      </c>
      <c r="R1622" s="874"/>
      <c r="S1622" s="875"/>
      <c r="T1622" s="877">
        <v>21000</v>
      </c>
      <c r="U1622" s="877"/>
      <c r="V1622" s="877"/>
      <c r="W1622" s="875"/>
      <c r="X1622" s="1026">
        <f t="shared" si="1012"/>
        <v>66550</v>
      </c>
      <c r="Y1622" s="1512">
        <f t="shared" si="1013"/>
        <v>0.46103183315038421</v>
      </c>
      <c r="Z1622" s="1741">
        <f t="shared" si="1014"/>
        <v>1.4610318331503842</v>
      </c>
      <c r="AA1622" s="1749">
        <f t="shared" si="1015"/>
        <v>1</v>
      </c>
      <c r="AB1622" s="1810">
        <f t="shared" si="1016"/>
        <v>68.444778362133732</v>
      </c>
      <c r="AC1622" s="876"/>
      <c r="AD1622" s="1525">
        <f t="shared" si="1017"/>
        <v>1</v>
      </c>
      <c r="AE1622" s="1525">
        <f t="shared" si="1017"/>
        <v>0</v>
      </c>
      <c r="AF1622" s="1525">
        <f t="shared" si="1017"/>
        <v>0</v>
      </c>
      <c r="AG1622" s="1525">
        <f t="shared" si="1017"/>
        <v>0</v>
      </c>
      <c r="AH1622" s="1525">
        <f t="shared" si="1017"/>
        <v>0</v>
      </c>
      <c r="AI1622" s="1525">
        <f t="shared" si="1017"/>
        <v>0</v>
      </c>
      <c r="AJ1622" s="1525">
        <f t="shared" si="1017"/>
        <v>0</v>
      </c>
      <c r="AK1622" s="1525">
        <f t="shared" si="1017"/>
        <v>0</v>
      </c>
      <c r="AL1622" s="1525">
        <f t="shared" si="1017"/>
        <v>0</v>
      </c>
      <c r="AM1622" s="1525">
        <f t="shared" si="1017"/>
        <v>0</v>
      </c>
      <c r="AN1622" s="1525">
        <f t="shared" si="1017"/>
        <v>0</v>
      </c>
      <c r="AO1622" s="1525">
        <f t="shared" si="1017"/>
        <v>0</v>
      </c>
      <c r="AP1622" s="1525">
        <f t="shared" si="1017"/>
        <v>0</v>
      </c>
      <c r="AQ1622" s="1525">
        <f t="shared" si="1017"/>
        <v>0</v>
      </c>
      <c r="AR1622" s="1525">
        <f t="shared" si="1017"/>
        <v>0</v>
      </c>
      <c r="AS1622" s="1525">
        <f t="shared" si="1017"/>
        <v>0</v>
      </c>
      <c r="AU1622" s="1525"/>
      <c r="AV1622" s="1291"/>
      <c r="AW1622" s="1292"/>
      <c r="AX1622" s="1292"/>
      <c r="AY1622" s="1292"/>
      <c r="AZ1622" s="1292"/>
      <c r="BA1622" s="1292"/>
      <c r="BB1622" s="1292"/>
      <c r="BC1622" s="1292"/>
      <c r="BD1622" s="1292"/>
      <c r="BE1622" s="1292"/>
      <c r="BF1622" s="1292"/>
      <c r="BG1622" s="1292"/>
      <c r="BH1622" s="1292"/>
      <c r="BI1622" s="1292">
        <v>1</v>
      </c>
      <c r="BJ1622" s="1292"/>
      <c r="BK1622" s="1292"/>
      <c r="BL1622" s="1292"/>
      <c r="BM1622" s="1292"/>
      <c r="BN1622" s="1292"/>
      <c r="BO1622" s="1292"/>
      <c r="BP1622" s="1292"/>
      <c r="BQ1622" s="1292"/>
      <c r="BR1622" s="1292"/>
      <c r="BS1622" s="1292"/>
      <c r="BT1622" s="1670">
        <f t="shared" si="1018"/>
        <v>1</v>
      </c>
      <c r="BW1622" s="821" t="s">
        <v>97</v>
      </c>
    </row>
    <row r="1623" spans="1:75" ht="12.75" customHeight="1" x14ac:dyDescent="0.2">
      <c r="B1623" s="175">
        <f t="shared" si="1019"/>
        <v>4</v>
      </c>
      <c r="C1623" s="219">
        <v>14</v>
      </c>
      <c r="E1623" s="12" t="s">
        <v>1150</v>
      </c>
      <c r="F1623" s="4" t="s">
        <v>626</v>
      </c>
      <c r="G1623" s="825" t="s">
        <v>498</v>
      </c>
      <c r="H1623" s="858">
        <v>3014</v>
      </c>
      <c r="I1623" s="197" t="s">
        <v>583</v>
      </c>
      <c r="J1623" s="174"/>
      <c r="K1623" s="174"/>
      <c r="L1623" s="861">
        <v>1</v>
      </c>
      <c r="M1623" s="858">
        <f t="shared" si="1010"/>
        <v>1</v>
      </c>
      <c r="N1623" s="836" t="s">
        <v>1402</v>
      </c>
      <c r="O1623" s="1196">
        <v>17016</v>
      </c>
      <c r="P1623" s="1218">
        <f t="shared" ca="1" si="1011"/>
        <v>71.166666666666671</v>
      </c>
      <c r="Q1623" s="1148">
        <v>14500</v>
      </c>
      <c r="R1623" s="874">
        <f>Q1623*0.1</f>
        <v>1450</v>
      </c>
      <c r="S1623" s="875"/>
      <c r="T1623" s="877"/>
      <c r="U1623" s="877"/>
      <c r="V1623" s="877"/>
      <c r="W1623" s="875"/>
      <c r="X1623" s="1026">
        <f t="shared" si="1012"/>
        <v>15950</v>
      </c>
      <c r="Y1623" s="1512">
        <f t="shared" si="1013"/>
        <v>0</v>
      </c>
      <c r="Z1623" s="1741">
        <f t="shared" si="1014"/>
        <v>1</v>
      </c>
      <c r="AA1623" s="1749">
        <f t="shared" si="1015"/>
        <v>0</v>
      </c>
      <c r="AB1623" s="1810">
        <f t="shared" si="1016"/>
        <v>0</v>
      </c>
      <c r="AC1623" s="876"/>
      <c r="AD1623" s="1525">
        <f t="shared" si="1017"/>
        <v>0</v>
      </c>
      <c r="AE1623" s="1525">
        <f t="shared" si="1017"/>
        <v>0</v>
      </c>
      <c r="AF1623" s="1525">
        <f t="shared" si="1017"/>
        <v>0</v>
      </c>
      <c r="AG1623" s="1525">
        <f t="shared" si="1017"/>
        <v>0</v>
      </c>
      <c r="AH1623" s="1525">
        <f t="shared" si="1017"/>
        <v>0</v>
      </c>
      <c r="AI1623" s="1525">
        <f t="shared" si="1017"/>
        <v>0</v>
      </c>
      <c r="AJ1623" s="1525">
        <f t="shared" si="1017"/>
        <v>0</v>
      </c>
      <c r="AK1623" s="1525">
        <f t="shared" si="1017"/>
        <v>0</v>
      </c>
      <c r="AL1623" s="1525">
        <f t="shared" si="1017"/>
        <v>0</v>
      </c>
      <c r="AM1623" s="1525">
        <f t="shared" si="1017"/>
        <v>0</v>
      </c>
      <c r="AN1623" s="1525">
        <f t="shared" si="1017"/>
        <v>0</v>
      </c>
      <c r="AO1623" s="1525">
        <f t="shared" si="1017"/>
        <v>0</v>
      </c>
      <c r="AP1623" s="1525">
        <f t="shared" si="1017"/>
        <v>0</v>
      </c>
      <c r="AQ1623" s="1525">
        <f t="shared" si="1017"/>
        <v>0</v>
      </c>
      <c r="AR1623" s="1525">
        <f t="shared" si="1017"/>
        <v>0</v>
      </c>
      <c r="AS1623" s="1525">
        <f t="shared" si="1017"/>
        <v>0</v>
      </c>
      <c r="AU1623" s="1525"/>
      <c r="AV1623" s="1291"/>
      <c r="AW1623" s="1292"/>
      <c r="AX1623" s="1292"/>
      <c r="AY1623" s="1292"/>
      <c r="AZ1623" s="1292"/>
      <c r="BA1623" s="1292"/>
      <c r="BB1623" s="1292"/>
      <c r="BC1623" s="1292"/>
      <c r="BD1623" s="1292"/>
      <c r="BE1623" s="1292"/>
      <c r="BF1623" s="1292"/>
      <c r="BG1623" s="1292"/>
      <c r="BH1623" s="1292"/>
      <c r="BI1623" s="1292"/>
      <c r="BJ1623" s="1292"/>
      <c r="BK1623" s="1292"/>
      <c r="BL1623" s="1292"/>
      <c r="BM1623" s="1292"/>
      <c r="BN1623" s="1292"/>
      <c r="BO1623" s="1292"/>
      <c r="BP1623" s="1292"/>
      <c r="BQ1623" s="1292"/>
      <c r="BR1623" s="1292"/>
      <c r="BS1623" s="1292"/>
      <c r="BT1623" s="1670">
        <f t="shared" si="1018"/>
        <v>0</v>
      </c>
      <c r="BW1623" s="825" t="s">
        <v>498</v>
      </c>
    </row>
    <row r="1624" spans="1:75" ht="12.75" customHeight="1" x14ac:dyDescent="0.2">
      <c r="B1624" s="175">
        <f t="shared" si="1019"/>
        <v>5</v>
      </c>
      <c r="C1624" s="219">
        <v>18</v>
      </c>
      <c r="D1624"/>
      <c r="E1624" s="12" t="s">
        <v>1150</v>
      </c>
      <c r="F1624" s="4" t="s">
        <v>1783</v>
      </c>
      <c r="G1624" s="821" t="s">
        <v>1041</v>
      </c>
      <c r="H1624" s="858">
        <v>76712</v>
      </c>
      <c r="I1624" s="197" t="s">
        <v>998</v>
      </c>
      <c r="J1624" s="174"/>
      <c r="K1624" s="174"/>
      <c r="L1624" s="861">
        <v>1</v>
      </c>
      <c r="M1624" s="858">
        <f t="shared" si="1010"/>
        <v>1</v>
      </c>
      <c r="N1624" s="836" t="s">
        <v>1402</v>
      </c>
      <c r="O1624" s="1196">
        <v>23145</v>
      </c>
      <c r="P1624" s="1218">
        <f t="shared" ca="1" si="1011"/>
        <v>54.383333333333333</v>
      </c>
      <c r="Q1624" s="1148">
        <v>23100</v>
      </c>
      <c r="R1624" s="874">
        <f>Q1624*0.1</f>
        <v>2310</v>
      </c>
      <c r="S1624" s="875"/>
      <c r="T1624" s="877"/>
      <c r="U1624" s="877"/>
      <c r="V1624" s="877"/>
      <c r="W1624" s="875"/>
      <c r="X1624" s="1026">
        <f t="shared" si="1012"/>
        <v>25410</v>
      </c>
      <c r="Y1624" s="1512">
        <f t="shared" si="1013"/>
        <v>0</v>
      </c>
      <c r="Z1624" s="1741">
        <f t="shared" si="1014"/>
        <v>1</v>
      </c>
      <c r="AA1624" s="1749">
        <f t="shared" si="1015"/>
        <v>0</v>
      </c>
      <c r="AB1624" s="1810">
        <f t="shared" si="1016"/>
        <v>0</v>
      </c>
      <c r="AC1624" s="876"/>
      <c r="AD1624" s="1525">
        <f t="shared" si="1017"/>
        <v>0</v>
      </c>
      <c r="AE1624" s="1525">
        <f t="shared" si="1017"/>
        <v>0</v>
      </c>
      <c r="AF1624" s="1525">
        <f t="shared" si="1017"/>
        <v>0</v>
      </c>
      <c r="AG1624" s="1525">
        <f t="shared" si="1017"/>
        <v>0</v>
      </c>
      <c r="AH1624" s="1525">
        <f t="shared" si="1017"/>
        <v>0</v>
      </c>
      <c r="AI1624" s="1525">
        <f t="shared" si="1017"/>
        <v>0</v>
      </c>
      <c r="AJ1624" s="1525">
        <f t="shared" si="1017"/>
        <v>0</v>
      </c>
      <c r="AK1624" s="1525">
        <f t="shared" si="1017"/>
        <v>0</v>
      </c>
      <c r="AL1624" s="1525">
        <f t="shared" si="1017"/>
        <v>0</v>
      </c>
      <c r="AM1624" s="1525">
        <f t="shared" si="1017"/>
        <v>0</v>
      </c>
      <c r="AN1624" s="1525">
        <f t="shared" si="1017"/>
        <v>0</v>
      </c>
      <c r="AO1624" s="1525">
        <f t="shared" si="1017"/>
        <v>0</v>
      </c>
      <c r="AP1624" s="1525">
        <f t="shared" si="1017"/>
        <v>0</v>
      </c>
      <c r="AQ1624" s="1525">
        <f t="shared" si="1017"/>
        <v>0</v>
      </c>
      <c r="AR1624" s="1525">
        <f t="shared" si="1017"/>
        <v>0</v>
      </c>
      <c r="AS1624" s="1525">
        <f t="shared" si="1017"/>
        <v>0</v>
      </c>
      <c r="AU1624" s="1525"/>
      <c r="AV1624" s="1291"/>
      <c r="AW1624" s="1292"/>
      <c r="AX1624" s="1292"/>
      <c r="AY1624" s="1292"/>
      <c r="AZ1624" s="1292"/>
      <c r="BA1624" s="1292"/>
      <c r="BB1624" s="1292"/>
      <c r="BC1624" s="1292"/>
      <c r="BD1624" s="1292"/>
      <c r="BE1624" s="1292"/>
      <c r="BF1624" s="1292"/>
      <c r="BG1624" s="1292"/>
      <c r="BH1624" s="1292"/>
      <c r="BI1624" s="1292"/>
      <c r="BJ1624" s="1292"/>
      <c r="BK1624" s="1292"/>
      <c r="BL1624" s="1292"/>
      <c r="BM1624" s="1292"/>
      <c r="BN1624" s="1292"/>
      <c r="BO1624" s="1292"/>
      <c r="BP1624" s="1292"/>
      <c r="BQ1624" s="1292"/>
      <c r="BR1624" s="1292"/>
      <c r="BS1624" s="1292"/>
      <c r="BT1624" s="1670">
        <f t="shared" si="1018"/>
        <v>0</v>
      </c>
      <c r="BW1624" s="821" t="s">
        <v>1041</v>
      </c>
    </row>
    <row r="1625" spans="1:75" ht="12.75" customHeight="1" x14ac:dyDescent="0.2">
      <c r="B1625" s="175">
        <f t="shared" si="1019"/>
        <v>6</v>
      </c>
      <c r="C1625" s="219">
        <v>18</v>
      </c>
      <c r="E1625" s="12" t="s">
        <v>1150</v>
      </c>
      <c r="F1625" s="4" t="s">
        <v>106</v>
      </c>
      <c r="G1625" s="825" t="s">
        <v>1924</v>
      </c>
      <c r="H1625" s="858">
        <v>220604</v>
      </c>
      <c r="I1625" s="197" t="s">
        <v>998</v>
      </c>
      <c r="J1625" s="174"/>
      <c r="K1625" s="174"/>
      <c r="L1625" s="950">
        <v>0.5</v>
      </c>
      <c r="M1625" s="858">
        <f t="shared" si="1010"/>
        <v>0.5</v>
      </c>
      <c r="N1625" s="836" t="s">
        <v>1402</v>
      </c>
      <c r="O1625" s="1196">
        <v>23042</v>
      </c>
      <c r="P1625" s="1218">
        <f t="shared" ca="1" si="1011"/>
        <v>54.672222222222224</v>
      </c>
      <c r="Q1625" s="1148">
        <v>12100</v>
      </c>
      <c r="R1625" s="874">
        <f>Q1625*0.1</f>
        <v>1210</v>
      </c>
      <c r="S1625" s="876"/>
      <c r="T1625" s="884"/>
      <c r="U1625" s="884"/>
      <c r="V1625" s="884"/>
      <c r="W1625" s="876"/>
      <c r="X1625" s="1026">
        <f t="shared" si="1012"/>
        <v>6655</v>
      </c>
      <c r="Y1625" s="1512">
        <f t="shared" si="1013"/>
        <v>0</v>
      </c>
      <c r="Z1625" s="1741">
        <f t="shared" si="1014"/>
        <v>0.5</v>
      </c>
      <c r="AA1625" s="1749">
        <f t="shared" si="1015"/>
        <v>0</v>
      </c>
      <c r="AB1625" s="1810">
        <f t="shared" si="1016"/>
        <v>0</v>
      </c>
      <c r="AC1625" s="876"/>
      <c r="AD1625" s="1525">
        <f t="shared" si="1017"/>
        <v>0</v>
      </c>
      <c r="AE1625" s="1525">
        <f t="shared" si="1017"/>
        <v>0</v>
      </c>
      <c r="AF1625" s="1525">
        <f t="shared" si="1017"/>
        <v>0</v>
      </c>
      <c r="AG1625" s="1525">
        <f t="shared" si="1017"/>
        <v>0</v>
      </c>
      <c r="AH1625" s="1525">
        <f t="shared" si="1017"/>
        <v>0</v>
      </c>
      <c r="AI1625" s="1525">
        <f t="shared" si="1017"/>
        <v>0</v>
      </c>
      <c r="AJ1625" s="1525">
        <f t="shared" si="1017"/>
        <v>0</v>
      </c>
      <c r="AK1625" s="1525">
        <f t="shared" si="1017"/>
        <v>0</v>
      </c>
      <c r="AL1625" s="1525">
        <f t="shared" si="1017"/>
        <v>0</v>
      </c>
      <c r="AM1625" s="1525">
        <f t="shared" si="1017"/>
        <v>0</v>
      </c>
      <c r="AN1625" s="1525">
        <f t="shared" si="1017"/>
        <v>0</v>
      </c>
      <c r="AO1625" s="1525">
        <f t="shared" si="1017"/>
        <v>0</v>
      </c>
      <c r="AP1625" s="1525">
        <f t="shared" si="1017"/>
        <v>0</v>
      </c>
      <c r="AQ1625" s="1525">
        <f t="shared" si="1017"/>
        <v>0</v>
      </c>
      <c r="AR1625" s="1525">
        <f t="shared" si="1017"/>
        <v>0</v>
      </c>
      <c r="AS1625" s="1525">
        <f t="shared" si="1017"/>
        <v>0</v>
      </c>
      <c r="AU1625" s="1525"/>
      <c r="AV1625" s="1291"/>
      <c r="AW1625" s="1292"/>
      <c r="AX1625" s="1292"/>
      <c r="AY1625" s="1292"/>
      <c r="AZ1625" s="1292"/>
      <c r="BA1625" s="1292"/>
      <c r="BB1625" s="1292"/>
      <c r="BC1625" s="1292"/>
      <c r="BD1625" s="1292"/>
      <c r="BE1625" s="1292"/>
      <c r="BF1625" s="1292"/>
      <c r="BG1625" s="1292"/>
      <c r="BH1625" s="1292"/>
      <c r="BI1625" s="1292"/>
      <c r="BJ1625" s="1292"/>
      <c r="BK1625" s="1292"/>
      <c r="BL1625" s="1292"/>
      <c r="BM1625" s="1292"/>
      <c r="BN1625" s="1292"/>
      <c r="BO1625" s="1292"/>
      <c r="BP1625" s="1292"/>
      <c r="BQ1625" s="1292"/>
      <c r="BR1625" s="1292"/>
      <c r="BS1625" s="1292"/>
      <c r="BT1625" s="1670">
        <f t="shared" si="1018"/>
        <v>0</v>
      </c>
      <c r="BW1625" s="825" t="s">
        <v>1924</v>
      </c>
    </row>
    <row r="1626" spans="1:75" ht="12.75" customHeight="1" x14ac:dyDescent="0.2">
      <c r="B1626" s="175">
        <f t="shared" si="1019"/>
        <v>7</v>
      </c>
      <c r="C1626" s="219">
        <v>18</v>
      </c>
      <c r="E1626" s="12" t="s">
        <v>1150</v>
      </c>
      <c r="F1626" s="4" t="s">
        <v>56</v>
      </c>
      <c r="G1626" s="830" t="s">
        <v>57</v>
      </c>
      <c r="H1626" s="873">
        <v>114662</v>
      </c>
      <c r="I1626" s="196"/>
      <c r="J1626" s="195"/>
      <c r="K1626" s="195"/>
      <c r="L1626" s="951">
        <v>0.5</v>
      </c>
      <c r="M1626" s="873">
        <f t="shared" si="1010"/>
        <v>0.5</v>
      </c>
      <c r="N1626" s="872" t="s">
        <v>892</v>
      </c>
      <c r="O1626" s="1212">
        <v>31211</v>
      </c>
      <c r="P1626" s="1218">
        <f t="shared" ca="1" si="1011"/>
        <v>32.302777777777777</v>
      </c>
      <c r="Q1626" s="1148">
        <v>28500</v>
      </c>
      <c r="R1626" s="890"/>
      <c r="S1626" s="891"/>
      <c r="T1626" s="1048"/>
      <c r="U1626" s="1048"/>
      <c r="V1626" s="1048"/>
      <c r="W1626" s="891">
        <f>Q1626*0.3</f>
        <v>8550</v>
      </c>
      <c r="X1626" s="1026">
        <f t="shared" si="1012"/>
        <v>18525</v>
      </c>
      <c r="Y1626" s="1512">
        <f>(T1626+U1626+V1626+W1626)*M1626/(X1626-M1626*(T1626+U1626+V1626+W1626))</f>
        <v>0.3</v>
      </c>
      <c r="Z1626" s="1741">
        <f t="shared" si="1014"/>
        <v>0.65</v>
      </c>
      <c r="AA1626" s="1749">
        <f t="shared" si="1015"/>
        <v>0</v>
      </c>
      <c r="AB1626" s="1810">
        <f t="shared" si="1016"/>
        <v>0</v>
      </c>
      <c r="AC1626" s="876"/>
      <c r="AD1626" s="1525">
        <f t="shared" si="1017"/>
        <v>0</v>
      </c>
      <c r="AE1626" s="1525">
        <f t="shared" si="1017"/>
        <v>0</v>
      </c>
      <c r="AF1626" s="1525">
        <f t="shared" si="1017"/>
        <v>0</v>
      </c>
      <c r="AG1626" s="1525">
        <f t="shared" si="1017"/>
        <v>0</v>
      </c>
      <c r="AH1626" s="1525">
        <f t="shared" si="1017"/>
        <v>0</v>
      </c>
      <c r="AI1626" s="1525">
        <f t="shared" si="1017"/>
        <v>0</v>
      </c>
      <c r="AJ1626" s="1525">
        <f t="shared" si="1017"/>
        <v>0</v>
      </c>
      <c r="AK1626" s="1525">
        <f t="shared" si="1017"/>
        <v>0</v>
      </c>
      <c r="AL1626" s="1525">
        <f t="shared" si="1017"/>
        <v>0</v>
      </c>
      <c r="AM1626" s="1525">
        <f t="shared" si="1017"/>
        <v>0</v>
      </c>
      <c r="AN1626" s="1525">
        <f t="shared" si="1017"/>
        <v>0</v>
      </c>
      <c r="AO1626" s="1525">
        <f t="shared" si="1017"/>
        <v>0</v>
      </c>
      <c r="AP1626" s="1525">
        <f t="shared" si="1017"/>
        <v>0</v>
      </c>
      <c r="AQ1626" s="1525">
        <f t="shared" si="1017"/>
        <v>0</v>
      </c>
      <c r="AR1626" s="1525">
        <f t="shared" si="1017"/>
        <v>0</v>
      </c>
      <c r="AS1626" s="1525">
        <f t="shared" si="1017"/>
        <v>0</v>
      </c>
      <c r="AU1626" s="1525"/>
      <c r="AV1626" s="1291"/>
      <c r="AW1626" s="1292"/>
      <c r="AX1626" s="1292"/>
      <c r="AY1626" s="1292"/>
      <c r="AZ1626" s="1292"/>
      <c r="BA1626" s="1292"/>
      <c r="BB1626" s="1292"/>
      <c r="BC1626" s="1292"/>
      <c r="BD1626" s="1292"/>
      <c r="BE1626" s="1292"/>
      <c r="BF1626" s="1292"/>
      <c r="BG1626" s="1292"/>
      <c r="BH1626" s="1292"/>
      <c r="BI1626" s="1292"/>
      <c r="BJ1626" s="1292"/>
      <c r="BK1626" s="1292"/>
      <c r="BL1626" s="1292"/>
      <c r="BM1626" s="1292"/>
      <c r="BN1626" s="1292"/>
      <c r="BO1626" s="1292"/>
      <c r="BP1626" s="1292"/>
      <c r="BQ1626" s="1292"/>
      <c r="BR1626" s="1292"/>
      <c r="BS1626" s="1292"/>
      <c r="BT1626" s="1670">
        <f t="shared" si="1018"/>
        <v>0</v>
      </c>
      <c r="BW1626" s="830" t="s">
        <v>57</v>
      </c>
    </row>
    <row r="1627" spans="1:75" s="388" customFormat="1" ht="12.75" customHeight="1" x14ac:dyDescent="0.15">
      <c r="A1627" s="164"/>
      <c r="B1627" s="175"/>
      <c r="C1627" s="1878" t="s">
        <v>344</v>
      </c>
      <c r="D1627" s="692"/>
      <c r="E1627" s="693"/>
      <c r="F1627" s="541" t="s">
        <v>1448</v>
      </c>
      <c r="G1627" s="1146">
        <f>COUNTA(G1619:G1626)</f>
        <v>7</v>
      </c>
      <c r="H1627" s="1404" t="s">
        <v>1508</v>
      </c>
      <c r="I1627" s="542"/>
      <c r="J1627" s="543"/>
      <c r="K1627" s="543">
        <v>0</v>
      </c>
      <c r="L1627" s="1008">
        <f>SUM(L1620:L1626)</f>
        <v>6</v>
      </c>
      <c r="M1627" s="1008">
        <f>SUM(M1620:M1626)</f>
        <v>6</v>
      </c>
      <c r="N1627" s="1009"/>
      <c r="O1627" s="1009"/>
      <c r="P1627" s="1263"/>
      <c r="Q1627" s="1185"/>
      <c r="R1627" s="1072"/>
      <c r="S1627" s="1073"/>
      <c r="T1627" s="1073"/>
      <c r="U1627" s="1073"/>
      <c r="V1627" s="1073"/>
      <c r="W1627" s="1073"/>
      <c r="X1627" s="1285">
        <f>SUM(X1620:X1626)</f>
        <v>221140</v>
      </c>
      <c r="Y1627" s="1073"/>
      <c r="Z1627" s="1666">
        <f>SUM(Z1620:Z1626)</f>
        <v>6.6110318331503848</v>
      </c>
      <c r="AA1627" s="1837">
        <f>SUM(AA1620:AA1626)</f>
        <v>2.8</v>
      </c>
      <c r="AB1627" s="1813">
        <f t="shared" si="1016"/>
        <v>42.353449063120053</v>
      </c>
      <c r="AC1627" s="1721"/>
      <c r="AD1627" s="1536"/>
      <c r="AE1627" s="1537"/>
      <c r="AF1627" s="1537"/>
      <c r="AG1627" s="1537"/>
      <c r="AH1627" s="1537"/>
      <c r="AI1627" s="1535"/>
      <c r="AJ1627" s="1535"/>
      <c r="AK1627" s="1535"/>
      <c r="AL1627" s="1535"/>
      <c r="AM1627" s="1535"/>
      <c r="AN1627" s="1535"/>
      <c r="AO1627" s="1535"/>
      <c r="AP1627" s="1535"/>
      <c r="AQ1627" s="1535"/>
      <c r="AR1627" s="1535"/>
      <c r="AS1627" s="1537"/>
      <c r="AU1627" s="1525"/>
      <c r="AV1627" s="1534"/>
      <c r="AW1627" s="1535"/>
      <c r="AX1627" s="1535"/>
      <c r="AY1627" s="1535"/>
      <c r="AZ1627" s="1535"/>
      <c r="BA1627" s="1535"/>
      <c r="BB1627" s="1535"/>
      <c r="BC1627" s="1535"/>
      <c r="BD1627" s="1535"/>
      <c r="BE1627" s="1535"/>
      <c r="BF1627" s="1535"/>
      <c r="BG1627" s="1535"/>
      <c r="BH1627" s="1535"/>
      <c r="BI1627" s="1535"/>
      <c r="BJ1627" s="1535"/>
      <c r="BK1627" s="1535"/>
      <c r="BL1627" s="1535"/>
      <c r="BM1627" s="1535"/>
      <c r="BN1627" s="1535"/>
      <c r="BO1627" s="1535"/>
      <c r="BP1627" s="1535"/>
      <c r="BQ1627" s="1535"/>
      <c r="BR1627" s="1535"/>
      <c r="BS1627" s="1535"/>
      <c r="BT1627" s="1675"/>
      <c r="BV1627"/>
      <c r="BW1627" s="1009"/>
    </row>
    <row r="1628" spans="1:75" s="388" customFormat="1" ht="12.75" customHeight="1" x14ac:dyDescent="0.15">
      <c r="A1628" s="164"/>
      <c r="B1628" s="175"/>
      <c r="C1628" s="546" t="s">
        <v>717</v>
      </c>
      <c r="D1628" s="1488"/>
      <c r="E1628" s="1093"/>
      <c r="F1628" s="781" t="s">
        <v>328</v>
      </c>
      <c r="G1628" s="868"/>
      <c r="H1628" s="1350" t="s">
        <v>1508</v>
      </c>
      <c r="I1628" s="1094"/>
      <c r="J1628" s="1885"/>
      <c r="K1628" s="1095"/>
      <c r="L1628" s="869"/>
      <c r="M1628" s="869"/>
      <c r="N1628" s="868"/>
      <c r="O1628" s="868"/>
      <c r="P1628" s="1232"/>
      <c r="Q1628" s="1186"/>
      <c r="R1628" s="1096"/>
      <c r="S1628" s="1097"/>
      <c r="T1628" s="1097"/>
      <c r="U1628" s="1097"/>
      <c r="V1628" s="1097"/>
      <c r="W1628" s="1097"/>
      <c r="X1628" s="1286"/>
      <c r="Y1628" s="891"/>
      <c r="Z1628" s="891"/>
      <c r="AA1628" s="1775"/>
      <c r="AB1628" s="1830"/>
      <c r="AC1628" s="1721"/>
      <c r="AD1628" s="1536"/>
      <c r="AE1628" s="1537"/>
      <c r="AF1628" s="1537"/>
      <c r="AG1628" s="1537"/>
      <c r="AH1628" s="1537"/>
      <c r="AI1628" s="1537"/>
      <c r="AJ1628" s="1537"/>
      <c r="AK1628" s="1537"/>
      <c r="AL1628" s="1537"/>
      <c r="AM1628" s="1537"/>
      <c r="AN1628" s="1537"/>
      <c r="AO1628" s="1537"/>
      <c r="AP1628" s="1537"/>
      <c r="AQ1628" s="1537"/>
      <c r="AR1628" s="1537"/>
      <c r="AS1628" s="1537"/>
      <c r="AT1628" s="1836"/>
      <c r="AU1628" s="1292"/>
      <c r="AV1628" s="1536"/>
      <c r="AW1628" s="1537"/>
      <c r="AX1628" s="1537"/>
      <c r="AY1628" s="1537"/>
      <c r="AZ1628" s="1537"/>
      <c r="BA1628" s="1537"/>
      <c r="BB1628" s="1537"/>
      <c r="BC1628" s="1537"/>
      <c r="BD1628" s="1537"/>
      <c r="BE1628" s="1537"/>
      <c r="BF1628" s="1537"/>
      <c r="BG1628" s="1537"/>
      <c r="BH1628" s="1537"/>
      <c r="BI1628" s="1537"/>
      <c r="BJ1628" s="1537"/>
      <c r="BK1628" s="1537"/>
      <c r="BL1628" s="1537"/>
      <c r="BM1628" s="1537"/>
      <c r="BN1628" s="1537"/>
      <c r="BO1628" s="1537"/>
      <c r="BP1628" s="1537"/>
      <c r="BQ1628" s="1537"/>
      <c r="BR1628" s="1537"/>
      <c r="BS1628" s="1537"/>
      <c r="BT1628" s="1675"/>
      <c r="BV1628"/>
      <c r="BW1628" s="868"/>
    </row>
    <row r="1629" spans="1:75" s="388" customFormat="1" ht="12.75" customHeight="1" x14ac:dyDescent="0.15">
      <c r="A1629" s="164"/>
      <c r="B1629" s="175"/>
      <c r="C1629" s="1483" t="s">
        <v>794</v>
      </c>
      <c r="D1629" s="1489"/>
      <c r="E1629" s="1490"/>
      <c r="F1629" s="1491" t="s">
        <v>525</v>
      </c>
      <c r="G1629" s="1448"/>
      <c r="H1629" s="1444" t="s">
        <v>1508</v>
      </c>
      <c r="I1629" s="1492"/>
      <c r="J1629" s="1493"/>
      <c r="K1629" s="1493"/>
      <c r="L1629" s="1447"/>
      <c r="M1629" s="1447"/>
      <c r="N1629" s="1448"/>
      <c r="O1629" s="1448"/>
      <c r="P1629" s="1484"/>
      <c r="Q1629" s="1450"/>
      <c r="R1629" s="1451"/>
      <c r="S1629" s="1452"/>
      <c r="T1629" s="1452"/>
      <c r="U1629" s="1452"/>
      <c r="V1629" s="1452"/>
      <c r="W1629" s="1452"/>
      <c r="X1629" s="1494"/>
      <c r="Y1629" s="881"/>
      <c r="Z1629" s="881"/>
      <c r="AA1629" s="1775"/>
      <c r="AB1629" s="1830"/>
      <c r="AC1629" s="1721"/>
      <c r="AD1629" s="1536"/>
      <c r="AE1629" s="1537"/>
      <c r="AF1629" s="1537"/>
      <c r="AG1629" s="1537"/>
      <c r="AH1629" s="1537"/>
      <c r="AI1629" s="1537"/>
      <c r="AJ1629" s="1537"/>
      <c r="AK1629" s="1537"/>
      <c r="AL1629" s="1537"/>
      <c r="AM1629" s="1537"/>
      <c r="AN1629" s="1537"/>
      <c r="AO1629" s="1537"/>
      <c r="AP1629" s="1537"/>
      <c r="AQ1629" s="1537"/>
      <c r="AR1629" s="1537"/>
      <c r="AS1629" s="1537"/>
      <c r="AT1629" s="1836"/>
      <c r="AU1629" s="1292"/>
      <c r="AV1629" s="1536"/>
      <c r="AW1629" s="1537"/>
      <c r="AX1629" s="1537"/>
      <c r="AY1629" s="1537"/>
      <c r="AZ1629" s="1537"/>
      <c r="BA1629" s="1537"/>
      <c r="BB1629" s="1537"/>
      <c r="BC1629" s="1537"/>
      <c r="BD1629" s="1537"/>
      <c r="BE1629" s="1537"/>
      <c r="BF1629" s="1537"/>
      <c r="BG1629" s="1537"/>
      <c r="BH1629" s="1537"/>
      <c r="BI1629" s="1537"/>
      <c r="BJ1629" s="1537"/>
      <c r="BK1629" s="1537"/>
      <c r="BL1629" s="1537"/>
      <c r="BM1629" s="1537"/>
      <c r="BN1629" s="1537"/>
      <c r="BO1629" s="1537"/>
      <c r="BP1629" s="1537"/>
      <c r="BQ1629" s="1537"/>
      <c r="BR1629" s="1537"/>
      <c r="BS1629" s="1537"/>
      <c r="BT1629" s="1675"/>
      <c r="BV1629"/>
      <c r="BW1629" s="1448"/>
    </row>
    <row r="1630" spans="1:75" s="164" customFormat="1" ht="12.75" customHeight="1" x14ac:dyDescent="0.15">
      <c r="B1630" s="175"/>
      <c r="F1630" s="77"/>
      <c r="G1630" s="799"/>
      <c r="H1630" s="1341" t="s">
        <v>1508</v>
      </c>
      <c r="L1630" s="843"/>
      <c r="M1630" s="843"/>
      <c r="N1630" s="799"/>
      <c r="O1630" s="1200"/>
      <c r="P1630" s="550"/>
      <c r="Q1630" s="1148"/>
      <c r="R1630" s="874"/>
      <c r="S1630" s="875"/>
      <c r="T1630" s="875"/>
      <c r="U1630" s="875"/>
      <c r="V1630" s="875"/>
      <c r="W1630" s="875"/>
      <c r="X1630" s="1026"/>
      <c r="Y1630" s="1757"/>
      <c r="Z1630" s="1756"/>
      <c r="AA1630" s="1775"/>
      <c r="AB1630" s="1814"/>
      <c r="AC1630" s="876"/>
      <c r="AD1630" s="1291"/>
      <c r="AE1630" s="1292"/>
      <c r="AF1630" s="1292"/>
      <c r="AG1630" s="1292"/>
      <c r="AH1630" s="1292"/>
      <c r="AI1630" s="1292"/>
      <c r="AJ1630" s="1292"/>
      <c r="AK1630" s="1292"/>
      <c r="AL1630" s="1292"/>
      <c r="AM1630" s="1292"/>
      <c r="AN1630" s="1292"/>
      <c r="AO1630" s="1292"/>
      <c r="AP1630" s="1292"/>
      <c r="AQ1630" s="1292"/>
      <c r="AR1630" s="1292"/>
      <c r="AS1630" s="1292"/>
      <c r="AT1630" s="210"/>
      <c r="AU1630" s="1292"/>
      <c r="AV1630" s="1291"/>
      <c r="AW1630" s="1292"/>
      <c r="AX1630" s="1292"/>
      <c r="AY1630" s="1292"/>
      <c r="AZ1630" s="1292"/>
      <c r="BA1630" s="1292"/>
      <c r="BB1630" s="1292"/>
      <c r="BC1630" s="1292"/>
      <c r="BD1630" s="1292"/>
      <c r="BE1630" s="1292"/>
      <c r="BF1630" s="1292"/>
      <c r="BG1630" s="1292"/>
      <c r="BH1630" s="1292"/>
      <c r="BI1630" s="1292"/>
      <c r="BJ1630" s="1292"/>
      <c r="BK1630" s="1292"/>
      <c r="BL1630" s="1292"/>
      <c r="BM1630" s="1292"/>
      <c r="BN1630" s="1292"/>
      <c r="BO1630" s="1292"/>
      <c r="BP1630" s="1292"/>
      <c r="BQ1630" s="1292"/>
      <c r="BR1630" s="1292"/>
      <c r="BS1630" s="1292"/>
      <c r="BT1630" s="1670"/>
      <c r="BV1630"/>
      <c r="BW1630" s="799"/>
    </row>
    <row r="1631" spans="1:75" s="164" customFormat="1" ht="12.75" customHeight="1" x14ac:dyDescent="0.15">
      <c r="B1631" s="175"/>
      <c r="F1631" s="10" t="s">
        <v>1189</v>
      </c>
      <c r="G1631" s="799"/>
      <c r="H1631" s="1341" t="s">
        <v>1508</v>
      </c>
      <c r="L1631" s="843"/>
      <c r="M1631" s="843"/>
      <c r="N1631" s="799"/>
      <c r="O1631" s="1200"/>
      <c r="P1631" s="550"/>
      <c r="Q1631" s="1148"/>
      <c r="R1631" s="874"/>
      <c r="S1631" s="875"/>
      <c r="T1631" s="875"/>
      <c r="U1631" s="875"/>
      <c r="V1631" s="875"/>
      <c r="W1631" s="875"/>
      <c r="X1631" s="1026"/>
      <c r="Y1631" s="1757"/>
      <c r="Z1631" s="1756"/>
      <c r="AA1631" s="1775"/>
      <c r="AB1631" s="1814"/>
      <c r="AC1631" s="876"/>
      <c r="AD1631" s="1291"/>
      <c r="AE1631" s="1292"/>
      <c r="AF1631" s="1292"/>
      <c r="AG1631" s="1292"/>
      <c r="AH1631" s="1292"/>
      <c r="AI1631" s="1292"/>
      <c r="AJ1631" s="1292"/>
      <c r="AK1631" s="1292"/>
      <c r="AL1631" s="1292"/>
      <c r="AM1631" s="1292"/>
      <c r="AN1631" s="1292"/>
      <c r="AO1631" s="1292"/>
      <c r="AP1631" s="1292"/>
      <c r="AQ1631" s="1292"/>
      <c r="AR1631" s="1292"/>
      <c r="AS1631" s="1292"/>
      <c r="AT1631" s="210"/>
      <c r="AU1631" s="1292"/>
      <c r="AV1631" s="1291"/>
      <c r="AW1631" s="1292"/>
      <c r="AX1631" s="1292"/>
      <c r="AY1631" s="1292"/>
      <c r="AZ1631" s="1292"/>
      <c r="BA1631" s="1292"/>
      <c r="BB1631" s="1292"/>
      <c r="BC1631" s="1292"/>
      <c r="BD1631" s="1292"/>
      <c r="BE1631" s="1292"/>
      <c r="BF1631" s="1292"/>
      <c r="BG1631" s="1292"/>
      <c r="BH1631" s="1292"/>
      <c r="BI1631" s="1292"/>
      <c r="BJ1631" s="1292"/>
      <c r="BK1631" s="1292"/>
      <c r="BL1631" s="1292"/>
      <c r="BM1631" s="1292"/>
      <c r="BN1631" s="1292"/>
      <c r="BO1631" s="1292"/>
      <c r="BP1631" s="1292"/>
      <c r="BQ1631" s="1292"/>
      <c r="BR1631" s="1292"/>
      <c r="BS1631" s="1292"/>
      <c r="BT1631" s="1670"/>
      <c r="BV1631"/>
      <c r="BW1631" s="799"/>
    </row>
    <row r="1632" spans="1:75" s="164" customFormat="1" ht="12.75" customHeight="1" x14ac:dyDescent="0.15">
      <c r="B1632" s="175"/>
      <c r="G1632" s="799"/>
      <c r="H1632" s="1341" t="s">
        <v>1508</v>
      </c>
      <c r="L1632" s="843"/>
      <c r="M1632" s="843"/>
      <c r="N1632" s="799"/>
      <c r="O1632" s="1200"/>
      <c r="P1632" s="550"/>
      <c r="Q1632" s="1148"/>
      <c r="R1632" s="874"/>
      <c r="S1632" s="875"/>
      <c r="T1632" s="875"/>
      <c r="U1632" s="875"/>
      <c r="V1632" s="875"/>
      <c r="W1632" s="875"/>
      <c r="X1632" s="1026"/>
      <c r="Y1632" s="1757"/>
      <c r="Z1632" s="1756"/>
      <c r="AA1632" s="1775"/>
      <c r="AB1632" s="1814"/>
      <c r="AC1632" s="876"/>
      <c r="AD1632" s="1295"/>
      <c r="AE1632" s="1525"/>
      <c r="AF1632" s="1525"/>
      <c r="AG1632" s="1525"/>
      <c r="AH1632" s="1525"/>
      <c r="AI1632" s="1525"/>
      <c r="AJ1632" s="1525"/>
      <c r="AK1632" s="1525"/>
      <c r="AL1632" s="1525"/>
      <c r="AM1632" s="1525"/>
      <c r="AN1632" s="1525"/>
      <c r="AO1632" s="1525"/>
      <c r="AP1632" s="1525"/>
      <c r="AQ1632" s="1525"/>
      <c r="AR1632" s="1525"/>
      <c r="AS1632" s="1525"/>
      <c r="AU1632" s="1525"/>
      <c r="AV1632" s="1295"/>
      <c r="AW1632" s="1525"/>
      <c r="AX1632" s="1525"/>
      <c r="AY1632" s="1525"/>
      <c r="AZ1632" s="1525"/>
      <c r="BA1632" s="1525"/>
      <c r="BB1632" s="1525"/>
      <c r="BC1632" s="1525"/>
      <c r="BD1632" s="1525"/>
      <c r="BE1632" s="1525"/>
      <c r="BF1632" s="1525"/>
      <c r="BG1632" s="1525"/>
      <c r="BH1632" s="1525"/>
      <c r="BI1632" s="1525"/>
      <c r="BJ1632" s="1525"/>
      <c r="BK1632" s="1525"/>
      <c r="BL1632" s="1525"/>
      <c r="BM1632" s="1525"/>
      <c r="BN1632" s="1525"/>
      <c r="BO1632" s="1525"/>
      <c r="BP1632" s="1525"/>
      <c r="BQ1632" s="1525"/>
      <c r="BR1632" s="1525"/>
      <c r="BS1632" s="1525"/>
      <c r="BT1632" s="1670"/>
      <c r="BV1632"/>
      <c r="BW1632" s="799"/>
    </row>
    <row r="1633" spans="1:75" ht="12.75" customHeight="1" x14ac:dyDescent="0.2">
      <c r="B1633" s="175">
        <f>B1632+1</f>
        <v>1</v>
      </c>
      <c r="C1633" s="219">
        <v>5</v>
      </c>
      <c r="E1633" s="12" t="s">
        <v>1487</v>
      </c>
      <c r="F1633" t="s">
        <v>1190</v>
      </c>
      <c r="G1633" s="799" t="s">
        <v>300</v>
      </c>
      <c r="H1633" s="858">
        <v>3153</v>
      </c>
      <c r="I1633" s="200" t="s">
        <v>351</v>
      </c>
      <c r="L1633" s="843">
        <v>1</v>
      </c>
      <c r="M1633" s="858">
        <f>K1633+L1633</f>
        <v>1</v>
      </c>
      <c r="N1633" s="831" t="s">
        <v>1326</v>
      </c>
      <c r="O1633" s="1196">
        <v>20600</v>
      </c>
      <c r="P1633" s="1218">
        <f t="shared" ref="P1633:P1640" ca="1" si="1020">YEARFRAC(TODAY(),O1633)</f>
        <v>61.352777777777774</v>
      </c>
      <c r="Q1633" s="1148">
        <v>46750</v>
      </c>
      <c r="R1633" s="874">
        <f>Q1633*0.1</f>
        <v>4675</v>
      </c>
      <c r="S1633" s="875">
        <v>3000</v>
      </c>
      <c r="T1633" s="875"/>
      <c r="U1633" s="875"/>
      <c r="V1633" s="875"/>
      <c r="W1633" s="875"/>
      <c r="X1633" s="1026">
        <f t="shared" ref="X1633:X1640" si="1021">(Q1633+R1633+S1633+T1633+U1633+V1633+W1633)*M1633</f>
        <v>54425</v>
      </c>
      <c r="Y1633" s="1512">
        <f t="shared" ref="Y1633:Y1640" si="1022">(T1633+U1633)*M1633/(X1633-M1633*(T1633+U1633))</f>
        <v>0</v>
      </c>
      <c r="Z1633" s="1741">
        <f t="shared" ref="Z1633:Z1640" si="1023">M1633*(1+Y1633)</f>
        <v>1</v>
      </c>
      <c r="AA1633" s="1749">
        <f t="shared" ref="AA1633:AA1640" si="1024">SUM(AD1633:AS1633)</f>
        <v>1</v>
      </c>
      <c r="AB1633" s="1810">
        <f t="shared" ref="AB1633:AB1640" si="1025">100*AA1633/Z1633</f>
        <v>100</v>
      </c>
      <c r="AC1633" s="876"/>
      <c r="AD1633" s="1525">
        <f t="shared" ref="AD1633:AS1640" si="1026">SUMIF($AV$6:$BS$6,AD$5,$AV1633:$BS1633)</f>
        <v>0</v>
      </c>
      <c r="AE1633" s="1525">
        <f t="shared" si="1026"/>
        <v>0</v>
      </c>
      <c r="AF1633" s="1525">
        <f t="shared" si="1026"/>
        <v>0</v>
      </c>
      <c r="AG1633" s="1525">
        <f t="shared" si="1026"/>
        <v>0</v>
      </c>
      <c r="AH1633" s="1525">
        <f t="shared" si="1026"/>
        <v>0</v>
      </c>
      <c r="AI1633" s="1525">
        <f t="shared" si="1026"/>
        <v>0</v>
      </c>
      <c r="AJ1633" s="1525">
        <f t="shared" si="1026"/>
        <v>0</v>
      </c>
      <c r="AK1633" s="1525">
        <f t="shared" si="1026"/>
        <v>0</v>
      </c>
      <c r="AL1633" s="1525">
        <f t="shared" si="1026"/>
        <v>0</v>
      </c>
      <c r="AM1633" s="1525">
        <f t="shared" si="1026"/>
        <v>0</v>
      </c>
      <c r="AN1633" s="1525">
        <f t="shared" si="1026"/>
        <v>0</v>
      </c>
      <c r="AO1633" s="1525">
        <f t="shared" si="1026"/>
        <v>1</v>
      </c>
      <c r="AP1633" s="1525">
        <f t="shared" si="1026"/>
        <v>0</v>
      </c>
      <c r="AQ1633" s="1525">
        <f t="shared" si="1026"/>
        <v>0</v>
      </c>
      <c r="AR1633" s="1525">
        <f t="shared" si="1026"/>
        <v>0</v>
      </c>
      <c r="AS1633" s="1525">
        <f t="shared" si="1026"/>
        <v>0</v>
      </c>
      <c r="AU1633" s="1525"/>
      <c r="AV1633" s="1291"/>
      <c r="AW1633" s="1292"/>
      <c r="AX1633" s="1292"/>
      <c r="AY1633" s="1292"/>
      <c r="AZ1633" s="1292"/>
      <c r="BA1633" s="1292"/>
      <c r="BB1633" s="1292"/>
      <c r="BC1633" s="1292"/>
      <c r="BD1633" s="1292">
        <v>1</v>
      </c>
      <c r="BE1633" s="1292"/>
      <c r="BF1633" s="1292"/>
      <c r="BG1633" s="1292"/>
      <c r="BH1633" s="1292"/>
      <c r="BI1633" s="1292"/>
      <c r="BJ1633" s="1292"/>
      <c r="BK1633" s="1292"/>
      <c r="BL1633" s="1292"/>
      <c r="BM1633" s="1292"/>
      <c r="BN1633" s="1292"/>
      <c r="BO1633" s="1292"/>
      <c r="BP1633" s="1292"/>
      <c r="BQ1633" s="1292"/>
      <c r="BR1633" s="1292"/>
      <c r="BS1633" s="1292"/>
      <c r="BT1633" s="1670">
        <f t="shared" ref="BT1633:BT1640" si="1027">SUM(AV1633:BS1633)</f>
        <v>1</v>
      </c>
      <c r="BW1633" s="799" t="s">
        <v>300</v>
      </c>
    </row>
    <row r="1634" spans="1:75" s="164" customFormat="1" ht="12.75" customHeight="1" x14ac:dyDescent="0.2">
      <c r="B1634" s="175">
        <f>B1633+1</f>
        <v>2</v>
      </c>
      <c r="C1634" s="219">
        <v>7</v>
      </c>
      <c r="E1634" s="12" t="s">
        <v>1487</v>
      </c>
      <c r="F1634" s="30" t="s">
        <v>1334</v>
      </c>
      <c r="G1634" s="799" t="s">
        <v>301</v>
      </c>
      <c r="H1634" s="858">
        <v>3047</v>
      </c>
      <c r="I1634" s="200" t="s">
        <v>351</v>
      </c>
      <c r="L1634" s="843">
        <v>1</v>
      </c>
      <c r="M1634" s="858">
        <f>K1634+L1634</f>
        <v>1</v>
      </c>
      <c r="N1634" s="831" t="s">
        <v>1326</v>
      </c>
      <c r="O1634" s="1196">
        <v>15248</v>
      </c>
      <c r="P1634" s="1218">
        <f t="shared" ca="1" si="1020"/>
        <v>76.00833333333334</v>
      </c>
      <c r="Q1634" s="1148">
        <v>22600</v>
      </c>
      <c r="R1634" s="874"/>
      <c r="S1634" s="875">
        <v>7000</v>
      </c>
      <c r="T1634" s="875"/>
      <c r="U1634" s="875"/>
      <c r="V1634" s="875"/>
      <c r="W1634" s="875"/>
      <c r="X1634" s="1026">
        <f t="shared" si="1021"/>
        <v>29600</v>
      </c>
      <c r="Y1634" s="1512">
        <f t="shared" si="1022"/>
        <v>0</v>
      </c>
      <c r="Z1634" s="1741">
        <f t="shared" si="1023"/>
        <v>1</v>
      </c>
      <c r="AA1634" s="1749">
        <f t="shared" si="1024"/>
        <v>0</v>
      </c>
      <c r="AB1634" s="1810">
        <f t="shared" si="1025"/>
        <v>0</v>
      </c>
      <c r="AC1634" s="876"/>
      <c r="AD1634" s="1525">
        <f t="shared" si="1026"/>
        <v>0</v>
      </c>
      <c r="AE1634" s="1525">
        <f t="shared" si="1026"/>
        <v>0</v>
      </c>
      <c r="AF1634" s="1525">
        <f t="shared" si="1026"/>
        <v>0</v>
      </c>
      <c r="AG1634" s="1525">
        <f t="shared" si="1026"/>
        <v>0</v>
      </c>
      <c r="AH1634" s="1525">
        <f t="shared" si="1026"/>
        <v>0</v>
      </c>
      <c r="AI1634" s="1525">
        <f t="shared" si="1026"/>
        <v>0</v>
      </c>
      <c r="AJ1634" s="1525">
        <f t="shared" si="1026"/>
        <v>0</v>
      </c>
      <c r="AK1634" s="1525">
        <f t="shared" si="1026"/>
        <v>0</v>
      </c>
      <c r="AL1634" s="1525">
        <f t="shared" si="1026"/>
        <v>0</v>
      </c>
      <c r="AM1634" s="1525">
        <f t="shared" si="1026"/>
        <v>0</v>
      </c>
      <c r="AN1634" s="1525">
        <f t="shared" si="1026"/>
        <v>0</v>
      </c>
      <c r="AO1634" s="1525">
        <f t="shared" si="1026"/>
        <v>0</v>
      </c>
      <c r="AP1634" s="1525">
        <f t="shared" si="1026"/>
        <v>0</v>
      </c>
      <c r="AQ1634" s="1525">
        <f t="shared" si="1026"/>
        <v>0</v>
      </c>
      <c r="AR1634" s="1525">
        <f t="shared" si="1026"/>
        <v>0</v>
      </c>
      <c r="AS1634" s="1525">
        <f t="shared" si="1026"/>
        <v>0</v>
      </c>
      <c r="AU1634" s="1525"/>
      <c r="AV1634" s="1295"/>
      <c r="AW1634" s="1525"/>
      <c r="AX1634" s="1525"/>
      <c r="AY1634" s="1525"/>
      <c r="AZ1634" s="1525"/>
      <c r="BA1634" s="1525"/>
      <c r="BB1634" s="1525"/>
      <c r="BC1634" s="1525"/>
      <c r="BD1634" s="1525"/>
      <c r="BE1634" s="1525"/>
      <c r="BF1634" s="1525"/>
      <c r="BG1634" s="1525"/>
      <c r="BH1634" s="1525"/>
      <c r="BI1634" s="1525"/>
      <c r="BJ1634" s="1525"/>
      <c r="BK1634" s="1525"/>
      <c r="BL1634" s="1525"/>
      <c r="BM1634" s="1525"/>
      <c r="BN1634" s="1525"/>
      <c r="BO1634" s="1525"/>
      <c r="BP1634" s="1525"/>
      <c r="BQ1634" s="1525"/>
      <c r="BR1634" s="1525"/>
      <c r="BS1634" s="1525"/>
      <c r="BT1634" s="1670">
        <f t="shared" si="1027"/>
        <v>0</v>
      </c>
      <c r="BV1634"/>
      <c r="BW1634" s="799" t="s">
        <v>301</v>
      </c>
    </row>
    <row r="1635" spans="1:75" s="164" customFormat="1" ht="12.75" customHeight="1" x14ac:dyDescent="0.2">
      <c r="B1635" s="175">
        <f t="shared" ref="B1635:B1640" si="1028">B1634+1</f>
        <v>3</v>
      </c>
      <c r="C1635" s="219">
        <v>2</v>
      </c>
      <c r="E1635" s="12" t="s">
        <v>1487</v>
      </c>
      <c r="F1635" s="30" t="s">
        <v>231</v>
      </c>
      <c r="G1635" s="799" t="s">
        <v>1940</v>
      </c>
      <c r="H1635" s="858">
        <v>3368</v>
      </c>
      <c r="I1635" s="200" t="s">
        <v>351</v>
      </c>
      <c r="L1635" s="843">
        <v>0.5</v>
      </c>
      <c r="M1635" s="858">
        <f>K1635+L1635</f>
        <v>0.5</v>
      </c>
      <c r="N1635" s="831" t="s">
        <v>892</v>
      </c>
      <c r="O1635" s="1196">
        <v>10355</v>
      </c>
      <c r="P1635" s="1218">
        <f t="shared" ca="1" si="1020"/>
        <v>89.402777777777771</v>
      </c>
      <c r="Q1635" s="1148">
        <v>26850</v>
      </c>
      <c r="R1635" s="874"/>
      <c r="S1635" s="875">
        <v>3000</v>
      </c>
      <c r="T1635" s="875"/>
      <c r="U1635" s="875"/>
      <c r="V1635" s="875"/>
      <c r="W1635" s="875"/>
      <c r="X1635" s="1026">
        <f t="shared" si="1021"/>
        <v>14925</v>
      </c>
      <c r="Y1635" s="1512">
        <f t="shared" si="1022"/>
        <v>0</v>
      </c>
      <c r="Z1635" s="1741">
        <f t="shared" si="1023"/>
        <v>0.5</v>
      </c>
      <c r="AA1635" s="1749">
        <f t="shared" si="1024"/>
        <v>0</v>
      </c>
      <c r="AB1635" s="1810">
        <f t="shared" si="1025"/>
        <v>0</v>
      </c>
      <c r="AC1635" s="876"/>
      <c r="AD1635" s="1525">
        <f t="shared" si="1026"/>
        <v>0</v>
      </c>
      <c r="AE1635" s="1525">
        <f t="shared" si="1026"/>
        <v>0</v>
      </c>
      <c r="AF1635" s="1525">
        <f t="shared" si="1026"/>
        <v>0</v>
      </c>
      <c r="AG1635" s="1525">
        <f t="shared" si="1026"/>
        <v>0</v>
      </c>
      <c r="AH1635" s="1525">
        <f t="shared" si="1026"/>
        <v>0</v>
      </c>
      <c r="AI1635" s="1525">
        <f t="shared" si="1026"/>
        <v>0</v>
      </c>
      <c r="AJ1635" s="1525">
        <f t="shared" si="1026"/>
        <v>0</v>
      </c>
      <c r="AK1635" s="1525">
        <f t="shared" si="1026"/>
        <v>0</v>
      </c>
      <c r="AL1635" s="1525">
        <f t="shared" si="1026"/>
        <v>0</v>
      </c>
      <c r="AM1635" s="1525">
        <f t="shared" si="1026"/>
        <v>0</v>
      </c>
      <c r="AN1635" s="1525">
        <f t="shared" si="1026"/>
        <v>0</v>
      </c>
      <c r="AO1635" s="1525">
        <f t="shared" si="1026"/>
        <v>0</v>
      </c>
      <c r="AP1635" s="1525">
        <f t="shared" si="1026"/>
        <v>0</v>
      </c>
      <c r="AQ1635" s="1525">
        <f t="shared" si="1026"/>
        <v>0</v>
      </c>
      <c r="AR1635" s="1525">
        <f t="shared" si="1026"/>
        <v>0</v>
      </c>
      <c r="AS1635" s="1525">
        <f t="shared" si="1026"/>
        <v>0</v>
      </c>
      <c r="AU1635" s="1525"/>
      <c r="AV1635" s="1295"/>
      <c r="AW1635" s="1525"/>
      <c r="AX1635" s="1525"/>
      <c r="AY1635" s="1525"/>
      <c r="AZ1635" s="1525"/>
      <c r="BA1635" s="1525"/>
      <c r="BB1635" s="1525"/>
      <c r="BC1635" s="1525"/>
      <c r="BD1635" s="1525"/>
      <c r="BE1635" s="1525"/>
      <c r="BF1635" s="1525"/>
      <c r="BG1635" s="1525"/>
      <c r="BH1635" s="1525"/>
      <c r="BI1635" s="1525"/>
      <c r="BJ1635" s="1525"/>
      <c r="BK1635" s="1525"/>
      <c r="BL1635" s="1525"/>
      <c r="BM1635" s="1525"/>
      <c r="BN1635" s="1525"/>
      <c r="BO1635" s="1525"/>
      <c r="BP1635" s="1525"/>
      <c r="BQ1635" s="1525"/>
      <c r="BR1635" s="1525"/>
      <c r="BS1635" s="1525"/>
      <c r="BT1635" s="1670">
        <f t="shared" si="1027"/>
        <v>0</v>
      </c>
      <c r="BV1635"/>
      <c r="BW1635" s="799" t="s">
        <v>1940</v>
      </c>
    </row>
    <row r="1636" spans="1:75" ht="12.75" customHeight="1" x14ac:dyDescent="0.2">
      <c r="B1636" s="175">
        <f t="shared" si="1028"/>
        <v>4</v>
      </c>
      <c r="C1636" s="219">
        <v>8</v>
      </c>
      <c r="E1636" s="12" t="s">
        <v>1487</v>
      </c>
      <c r="F1636" t="s">
        <v>353</v>
      </c>
      <c r="G1636" s="799" t="s">
        <v>306</v>
      </c>
      <c r="H1636" s="858">
        <v>101313</v>
      </c>
      <c r="I1636" s="200" t="s">
        <v>351</v>
      </c>
      <c r="K1636" s="219"/>
      <c r="L1636" s="843">
        <v>1</v>
      </c>
      <c r="M1636" s="858">
        <f>K1636+L1636</f>
        <v>1</v>
      </c>
      <c r="N1636" s="831" t="s">
        <v>892</v>
      </c>
      <c r="O1636" s="1196">
        <v>27867</v>
      </c>
      <c r="P1636" s="1218">
        <f t="shared" ca="1" si="1020"/>
        <v>41.458333333333336</v>
      </c>
      <c r="Q1636" s="1148">
        <v>33300</v>
      </c>
      <c r="R1636" s="874"/>
      <c r="S1636" s="875">
        <v>3000</v>
      </c>
      <c r="T1636" s="875"/>
      <c r="U1636" s="875"/>
      <c r="V1636" s="875"/>
      <c r="W1636" s="875"/>
      <c r="X1636" s="1026">
        <f t="shared" si="1021"/>
        <v>36300</v>
      </c>
      <c r="Y1636" s="1512">
        <f t="shared" si="1022"/>
        <v>0</v>
      </c>
      <c r="Z1636" s="1741">
        <f t="shared" si="1023"/>
        <v>1</v>
      </c>
      <c r="AA1636" s="1749">
        <f t="shared" si="1024"/>
        <v>1</v>
      </c>
      <c r="AB1636" s="1810">
        <f t="shared" si="1025"/>
        <v>100</v>
      </c>
      <c r="AC1636" s="876"/>
      <c r="AD1636" s="1525">
        <f t="shared" si="1026"/>
        <v>0</v>
      </c>
      <c r="AE1636" s="1525">
        <f t="shared" si="1026"/>
        <v>0</v>
      </c>
      <c r="AF1636" s="1525">
        <f t="shared" si="1026"/>
        <v>0</v>
      </c>
      <c r="AG1636" s="1525">
        <f t="shared" si="1026"/>
        <v>0</v>
      </c>
      <c r="AH1636" s="1525">
        <f t="shared" si="1026"/>
        <v>0</v>
      </c>
      <c r="AI1636" s="1525">
        <f t="shared" si="1026"/>
        <v>0</v>
      </c>
      <c r="AJ1636" s="1525">
        <f t="shared" si="1026"/>
        <v>0</v>
      </c>
      <c r="AK1636" s="1525">
        <f t="shared" si="1026"/>
        <v>0</v>
      </c>
      <c r="AL1636" s="1525">
        <f t="shared" si="1026"/>
        <v>0</v>
      </c>
      <c r="AM1636" s="1525">
        <f t="shared" si="1026"/>
        <v>0</v>
      </c>
      <c r="AN1636" s="1525">
        <f t="shared" si="1026"/>
        <v>0</v>
      </c>
      <c r="AO1636" s="1525">
        <f t="shared" si="1026"/>
        <v>1</v>
      </c>
      <c r="AP1636" s="1525">
        <f t="shared" si="1026"/>
        <v>0</v>
      </c>
      <c r="AQ1636" s="1525">
        <f t="shared" si="1026"/>
        <v>0</v>
      </c>
      <c r="AR1636" s="1525">
        <f t="shared" si="1026"/>
        <v>0</v>
      </c>
      <c r="AS1636" s="1525">
        <f t="shared" si="1026"/>
        <v>0</v>
      </c>
      <c r="AU1636" s="1525"/>
      <c r="AV1636" s="1291"/>
      <c r="AW1636" s="1292"/>
      <c r="AX1636" s="1292"/>
      <c r="AY1636" s="1292"/>
      <c r="AZ1636" s="1292"/>
      <c r="BA1636" s="1292"/>
      <c r="BB1636" s="1292"/>
      <c r="BC1636" s="1292"/>
      <c r="BD1636" s="1292">
        <v>1</v>
      </c>
      <c r="BE1636" s="1292"/>
      <c r="BF1636" s="1292"/>
      <c r="BG1636" s="1292"/>
      <c r="BH1636" s="1292"/>
      <c r="BI1636" s="1292"/>
      <c r="BJ1636" s="1292"/>
      <c r="BK1636" s="1292"/>
      <c r="BL1636" s="1292"/>
      <c r="BM1636" s="1292"/>
      <c r="BN1636" s="1292"/>
      <c r="BO1636" s="1292"/>
      <c r="BP1636" s="1292"/>
      <c r="BQ1636" s="1292"/>
      <c r="BR1636" s="1292"/>
      <c r="BS1636" s="1292"/>
      <c r="BT1636" s="1670">
        <f t="shared" si="1027"/>
        <v>1</v>
      </c>
      <c r="BW1636" s="799" t="s">
        <v>306</v>
      </c>
    </row>
    <row r="1637" spans="1:75" ht="12.75" customHeight="1" x14ac:dyDescent="0.2">
      <c r="B1637" s="175">
        <f t="shared" si="1028"/>
        <v>5</v>
      </c>
      <c r="C1637" s="219">
        <v>9</v>
      </c>
      <c r="E1637" s="12" t="s">
        <v>1487</v>
      </c>
      <c r="F1637" s="4" t="s">
        <v>1396</v>
      </c>
      <c r="G1637" s="825" t="s">
        <v>307</v>
      </c>
      <c r="H1637" s="858">
        <v>101364</v>
      </c>
      <c r="I1637" s="200" t="s">
        <v>351</v>
      </c>
      <c r="J1637" s="174"/>
      <c r="K1637" s="174"/>
      <c r="L1637" s="861">
        <v>1</v>
      </c>
      <c r="M1637" s="858">
        <f>K1637+L1637</f>
        <v>1</v>
      </c>
      <c r="N1637" s="857" t="s">
        <v>892</v>
      </c>
      <c r="O1637" s="1196">
        <v>26581</v>
      </c>
      <c r="P1637" s="1218">
        <f t="shared" ca="1" si="1020"/>
        <v>44.980555555555554</v>
      </c>
      <c r="Q1637" s="1148">
        <v>33800</v>
      </c>
      <c r="R1637" s="874"/>
      <c r="S1637" s="875"/>
      <c r="T1637" s="875"/>
      <c r="U1637" s="875"/>
      <c r="V1637" s="875"/>
      <c r="W1637" s="875"/>
      <c r="X1637" s="1026">
        <f t="shared" si="1021"/>
        <v>33800</v>
      </c>
      <c r="Y1637" s="1512">
        <f t="shared" si="1022"/>
        <v>0</v>
      </c>
      <c r="Z1637" s="1741">
        <f t="shared" si="1023"/>
        <v>1</v>
      </c>
      <c r="AA1637" s="1749">
        <f t="shared" si="1024"/>
        <v>0.2</v>
      </c>
      <c r="AB1637" s="1810">
        <f t="shared" si="1025"/>
        <v>20</v>
      </c>
      <c r="AC1637" s="876"/>
      <c r="AD1637" s="1525">
        <f t="shared" si="1026"/>
        <v>0</v>
      </c>
      <c r="AE1637" s="1525">
        <f t="shared" si="1026"/>
        <v>0</v>
      </c>
      <c r="AF1637" s="1525">
        <f t="shared" si="1026"/>
        <v>0</v>
      </c>
      <c r="AG1637" s="1525">
        <f t="shared" si="1026"/>
        <v>0</v>
      </c>
      <c r="AH1637" s="1525">
        <f t="shared" si="1026"/>
        <v>0</v>
      </c>
      <c r="AI1637" s="1525">
        <f t="shared" si="1026"/>
        <v>0</v>
      </c>
      <c r="AJ1637" s="1525">
        <f t="shared" si="1026"/>
        <v>0</v>
      </c>
      <c r="AK1637" s="1525">
        <f t="shared" si="1026"/>
        <v>0</v>
      </c>
      <c r="AL1637" s="1525">
        <f t="shared" si="1026"/>
        <v>0</v>
      </c>
      <c r="AM1637" s="1525">
        <f t="shared" si="1026"/>
        <v>0</v>
      </c>
      <c r="AN1637" s="1525">
        <f t="shared" si="1026"/>
        <v>0</v>
      </c>
      <c r="AO1637" s="1525">
        <f t="shared" si="1026"/>
        <v>0.2</v>
      </c>
      <c r="AP1637" s="1525">
        <f t="shared" si="1026"/>
        <v>0</v>
      </c>
      <c r="AQ1637" s="1525">
        <f t="shared" si="1026"/>
        <v>0</v>
      </c>
      <c r="AR1637" s="1525">
        <f t="shared" si="1026"/>
        <v>0</v>
      </c>
      <c r="AS1637" s="1525">
        <f t="shared" si="1026"/>
        <v>0</v>
      </c>
      <c r="AU1637" s="1525"/>
      <c r="AV1637" s="1291"/>
      <c r="AW1637" s="1292"/>
      <c r="AX1637" s="1292"/>
      <c r="AY1637" s="1292"/>
      <c r="AZ1637" s="1292"/>
      <c r="BA1637" s="1292"/>
      <c r="BB1637" s="1292"/>
      <c r="BC1637" s="1292"/>
      <c r="BD1637" s="1292">
        <v>0.2</v>
      </c>
      <c r="BE1637" s="1292"/>
      <c r="BF1637" s="1292"/>
      <c r="BG1637" s="1292"/>
      <c r="BH1637" s="1292"/>
      <c r="BI1637" s="1292"/>
      <c r="BJ1637" s="1292"/>
      <c r="BK1637" s="1292"/>
      <c r="BL1637" s="1292"/>
      <c r="BM1637" s="1292"/>
      <c r="BN1637" s="1292"/>
      <c r="BO1637" s="1292"/>
      <c r="BP1637" s="1292"/>
      <c r="BQ1637" s="1292"/>
      <c r="BR1637" s="1292"/>
      <c r="BS1637" s="1292"/>
      <c r="BT1637" s="1670">
        <f t="shared" si="1027"/>
        <v>0.2</v>
      </c>
      <c r="BW1637" s="825" t="s">
        <v>307</v>
      </c>
    </row>
    <row r="1638" spans="1:75" ht="12.75" customHeight="1" x14ac:dyDescent="0.2">
      <c r="B1638" s="175">
        <f t="shared" si="1028"/>
        <v>6</v>
      </c>
      <c r="C1638" s="219">
        <v>9</v>
      </c>
      <c r="E1638" s="12" t="s">
        <v>1487</v>
      </c>
      <c r="F1638" s="4" t="s">
        <v>1396</v>
      </c>
      <c r="G1638" s="825" t="s">
        <v>527</v>
      </c>
      <c r="H1638" s="858">
        <v>103563</v>
      </c>
      <c r="I1638" s="200" t="s">
        <v>351</v>
      </c>
      <c r="J1638" s="174"/>
      <c r="K1638" s="174"/>
      <c r="L1638" s="861">
        <v>1</v>
      </c>
      <c r="M1638" s="858">
        <v>1</v>
      </c>
      <c r="N1638" s="857" t="s">
        <v>892</v>
      </c>
      <c r="O1638" s="1196">
        <v>29425</v>
      </c>
      <c r="P1638" s="1218">
        <f t="shared" ca="1" si="1020"/>
        <v>37.19166666666667</v>
      </c>
      <c r="Q1638" s="1148">
        <v>33800</v>
      </c>
      <c r="R1638" s="874"/>
      <c r="S1638" s="875"/>
      <c r="T1638" s="875"/>
      <c r="U1638" s="875"/>
      <c r="V1638" s="875"/>
      <c r="W1638" s="875"/>
      <c r="X1638" s="1026">
        <f t="shared" si="1021"/>
        <v>33800</v>
      </c>
      <c r="Y1638" s="1512">
        <f t="shared" si="1022"/>
        <v>0</v>
      </c>
      <c r="Z1638" s="1741">
        <f t="shared" si="1023"/>
        <v>1</v>
      </c>
      <c r="AA1638" s="1749">
        <f t="shared" si="1024"/>
        <v>0.5</v>
      </c>
      <c r="AB1638" s="1810">
        <f t="shared" si="1025"/>
        <v>50</v>
      </c>
      <c r="AC1638" s="876"/>
      <c r="AD1638" s="1525">
        <f t="shared" si="1026"/>
        <v>0</v>
      </c>
      <c r="AE1638" s="1525">
        <f t="shared" si="1026"/>
        <v>0</v>
      </c>
      <c r="AF1638" s="1525">
        <f t="shared" si="1026"/>
        <v>0</v>
      </c>
      <c r="AG1638" s="1525">
        <f t="shared" si="1026"/>
        <v>0</v>
      </c>
      <c r="AH1638" s="1525">
        <f t="shared" si="1026"/>
        <v>0</v>
      </c>
      <c r="AI1638" s="1525">
        <f t="shared" si="1026"/>
        <v>0</v>
      </c>
      <c r="AJ1638" s="1525">
        <f t="shared" si="1026"/>
        <v>0</v>
      </c>
      <c r="AK1638" s="1525">
        <f t="shared" si="1026"/>
        <v>0</v>
      </c>
      <c r="AL1638" s="1525">
        <f t="shared" si="1026"/>
        <v>0</v>
      </c>
      <c r="AM1638" s="1525">
        <f t="shared" si="1026"/>
        <v>0</v>
      </c>
      <c r="AN1638" s="1525">
        <f t="shared" si="1026"/>
        <v>0</v>
      </c>
      <c r="AO1638" s="1525">
        <f t="shared" si="1026"/>
        <v>0.5</v>
      </c>
      <c r="AP1638" s="1525">
        <f t="shared" si="1026"/>
        <v>0</v>
      </c>
      <c r="AQ1638" s="1525">
        <f t="shared" si="1026"/>
        <v>0</v>
      </c>
      <c r="AR1638" s="1525">
        <f t="shared" si="1026"/>
        <v>0</v>
      </c>
      <c r="AS1638" s="1525">
        <f t="shared" si="1026"/>
        <v>0</v>
      </c>
      <c r="AU1638" s="1525"/>
      <c r="AV1638" s="1291"/>
      <c r="AW1638" s="1292"/>
      <c r="AX1638" s="1292"/>
      <c r="AY1638" s="1292"/>
      <c r="AZ1638" s="1292"/>
      <c r="BA1638" s="1292"/>
      <c r="BB1638" s="1292"/>
      <c r="BC1638" s="1292"/>
      <c r="BD1638" s="1292">
        <v>0.5</v>
      </c>
      <c r="BE1638" s="1292"/>
      <c r="BF1638" s="1292"/>
      <c r="BG1638" s="1292"/>
      <c r="BH1638" s="1292"/>
      <c r="BI1638" s="1292"/>
      <c r="BJ1638" s="1292"/>
      <c r="BK1638" s="1292"/>
      <c r="BL1638" s="1292"/>
      <c r="BM1638" s="1292"/>
      <c r="BN1638" s="1292"/>
      <c r="BO1638" s="1292"/>
      <c r="BP1638" s="1292"/>
      <c r="BQ1638" s="1292"/>
      <c r="BR1638" s="1292"/>
      <c r="BS1638" s="1292"/>
      <c r="BT1638" s="1670">
        <f t="shared" si="1027"/>
        <v>0.5</v>
      </c>
      <c r="BW1638" s="825" t="s">
        <v>527</v>
      </c>
    </row>
    <row r="1639" spans="1:75" ht="12.75" customHeight="1" x14ac:dyDescent="0.2">
      <c r="B1639" s="175">
        <f t="shared" si="1028"/>
        <v>7</v>
      </c>
      <c r="C1639" s="219">
        <v>10</v>
      </c>
      <c r="E1639" s="12" t="s">
        <v>1487</v>
      </c>
      <c r="F1639" t="s">
        <v>558</v>
      </c>
      <c r="G1639" s="799" t="s">
        <v>302</v>
      </c>
      <c r="H1639" s="858">
        <v>250637</v>
      </c>
      <c r="I1639" s="200" t="s">
        <v>351</v>
      </c>
      <c r="L1639" s="843">
        <v>1</v>
      </c>
      <c r="M1639" s="858">
        <f>K1639+L1639</f>
        <v>1</v>
      </c>
      <c r="N1639" s="831" t="s">
        <v>892</v>
      </c>
      <c r="O1639" s="1196">
        <v>29943</v>
      </c>
      <c r="P1639" s="1218">
        <f t="shared" ca="1" si="1020"/>
        <v>35.774999999999999</v>
      </c>
      <c r="Q1639" s="1148">
        <v>30650</v>
      </c>
      <c r="R1639" s="874"/>
      <c r="S1639" s="875"/>
      <c r="T1639" s="875"/>
      <c r="U1639" s="875"/>
      <c r="V1639" s="875"/>
      <c r="W1639" s="875"/>
      <c r="X1639" s="1026">
        <f t="shared" si="1021"/>
        <v>30650</v>
      </c>
      <c r="Y1639" s="1512">
        <f t="shared" si="1022"/>
        <v>0</v>
      </c>
      <c r="Z1639" s="1741">
        <f t="shared" si="1023"/>
        <v>1</v>
      </c>
      <c r="AA1639" s="1749">
        <f t="shared" si="1024"/>
        <v>1</v>
      </c>
      <c r="AB1639" s="1810">
        <f t="shared" si="1025"/>
        <v>100</v>
      </c>
      <c r="AC1639" s="876"/>
      <c r="AD1639" s="1525">
        <f t="shared" si="1026"/>
        <v>0</v>
      </c>
      <c r="AE1639" s="1525">
        <f t="shared" si="1026"/>
        <v>0</v>
      </c>
      <c r="AF1639" s="1525">
        <f t="shared" si="1026"/>
        <v>0</v>
      </c>
      <c r="AG1639" s="1525">
        <f t="shared" si="1026"/>
        <v>0</v>
      </c>
      <c r="AH1639" s="1525">
        <f t="shared" si="1026"/>
        <v>0</v>
      </c>
      <c r="AI1639" s="1525">
        <f t="shared" si="1026"/>
        <v>0</v>
      </c>
      <c r="AJ1639" s="1525">
        <f t="shared" si="1026"/>
        <v>0</v>
      </c>
      <c r="AK1639" s="1525">
        <f t="shared" si="1026"/>
        <v>0</v>
      </c>
      <c r="AL1639" s="1525">
        <f t="shared" si="1026"/>
        <v>0</v>
      </c>
      <c r="AM1639" s="1525">
        <f t="shared" si="1026"/>
        <v>0</v>
      </c>
      <c r="AN1639" s="1525">
        <f t="shared" si="1026"/>
        <v>0</v>
      </c>
      <c r="AO1639" s="1525">
        <f t="shared" si="1026"/>
        <v>1</v>
      </c>
      <c r="AP1639" s="1525">
        <f t="shared" si="1026"/>
        <v>0</v>
      </c>
      <c r="AQ1639" s="1525">
        <f t="shared" si="1026"/>
        <v>0</v>
      </c>
      <c r="AR1639" s="1525">
        <f t="shared" si="1026"/>
        <v>0</v>
      </c>
      <c r="AS1639" s="1525">
        <f t="shared" si="1026"/>
        <v>0</v>
      </c>
      <c r="AU1639" s="1525"/>
      <c r="AV1639" s="1291"/>
      <c r="AW1639" s="1292"/>
      <c r="AX1639" s="1292"/>
      <c r="AY1639" s="1292"/>
      <c r="AZ1639" s="1292"/>
      <c r="BA1639" s="1292"/>
      <c r="BB1639" s="1292"/>
      <c r="BC1639" s="1292"/>
      <c r="BD1639" s="1292">
        <v>1</v>
      </c>
      <c r="BE1639" s="1292"/>
      <c r="BF1639" s="1292"/>
      <c r="BG1639" s="1292"/>
      <c r="BH1639" s="1292"/>
      <c r="BI1639" s="1292"/>
      <c r="BJ1639" s="1292"/>
      <c r="BK1639" s="1292"/>
      <c r="BL1639" s="1292"/>
      <c r="BM1639" s="1292"/>
      <c r="BN1639" s="1292"/>
      <c r="BO1639" s="1292"/>
      <c r="BP1639" s="1292"/>
      <c r="BQ1639" s="1292"/>
      <c r="BR1639" s="1292"/>
      <c r="BS1639" s="1292"/>
      <c r="BT1639" s="1670">
        <f t="shared" si="1027"/>
        <v>1</v>
      </c>
      <c r="BW1639" s="799" t="s">
        <v>302</v>
      </c>
    </row>
    <row r="1640" spans="1:75" ht="12.75" customHeight="1" x14ac:dyDescent="0.2">
      <c r="B1640" s="175">
        <f t="shared" si="1028"/>
        <v>8</v>
      </c>
      <c r="C1640" s="219">
        <v>14</v>
      </c>
      <c r="E1640" s="12" t="s">
        <v>1487</v>
      </c>
      <c r="F1640" t="s">
        <v>626</v>
      </c>
      <c r="G1640" s="799" t="s">
        <v>303</v>
      </c>
      <c r="H1640" s="858">
        <v>41141</v>
      </c>
      <c r="I1640" s="232" t="s">
        <v>583</v>
      </c>
      <c r="L1640" s="843">
        <v>1</v>
      </c>
      <c r="M1640" s="858">
        <f>K1640+L1640</f>
        <v>1</v>
      </c>
      <c r="N1640" s="831" t="s">
        <v>892</v>
      </c>
      <c r="O1640" s="1196">
        <v>24005</v>
      </c>
      <c r="P1640" s="1218">
        <f t="shared" ca="1" si="1020"/>
        <v>52.033333333333331</v>
      </c>
      <c r="Q1640" s="1148">
        <v>34000</v>
      </c>
      <c r="R1640" s="874"/>
      <c r="S1640" s="875"/>
      <c r="T1640" s="875"/>
      <c r="U1640" s="875"/>
      <c r="V1640" s="875"/>
      <c r="W1640" s="875"/>
      <c r="X1640" s="1026">
        <f t="shared" si="1021"/>
        <v>34000</v>
      </c>
      <c r="Y1640" s="1512">
        <f t="shared" si="1022"/>
        <v>0</v>
      </c>
      <c r="Z1640" s="1741">
        <f t="shared" si="1023"/>
        <v>1</v>
      </c>
      <c r="AA1640" s="1749">
        <f t="shared" si="1024"/>
        <v>0</v>
      </c>
      <c r="AB1640" s="1810">
        <f t="shared" si="1025"/>
        <v>0</v>
      </c>
      <c r="AC1640" s="876"/>
      <c r="AD1640" s="1525">
        <f t="shared" si="1026"/>
        <v>0</v>
      </c>
      <c r="AE1640" s="1525">
        <f t="shared" si="1026"/>
        <v>0</v>
      </c>
      <c r="AF1640" s="1525">
        <f t="shared" si="1026"/>
        <v>0</v>
      </c>
      <c r="AG1640" s="1525">
        <f t="shared" si="1026"/>
        <v>0</v>
      </c>
      <c r="AH1640" s="1525">
        <f t="shared" si="1026"/>
        <v>0</v>
      </c>
      <c r="AI1640" s="1525">
        <f t="shared" si="1026"/>
        <v>0</v>
      </c>
      <c r="AJ1640" s="1525">
        <f t="shared" si="1026"/>
        <v>0</v>
      </c>
      <c r="AK1640" s="1525">
        <f t="shared" si="1026"/>
        <v>0</v>
      </c>
      <c r="AL1640" s="1525">
        <f t="shared" si="1026"/>
        <v>0</v>
      </c>
      <c r="AM1640" s="1525">
        <f t="shared" si="1026"/>
        <v>0</v>
      </c>
      <c r="AN1640" s="1525">
        <f t="shared" si="1026"/>
        <v>0</v>
      </c>
      <c r="AO1640" s="1525">
        <f t="shared" si="1026"/>
        <v>0</v>
      </c>
      <c r="AP1640" s="1525">
        <f t="shared" si="1026"/>
        <v>0</v>
      </c>
      <c r="AQ1640" s="1525">
        <f t="shared" si="1026"/>
        <v>0</v>
      </c>
      <c r="AR1640" s="1525">
        <f t="shared" si="1026"/>
        <v>0</v>
      </c>
      <c r="AS1640" s="1525">
        <f t="shared" si="1026"/>
        <v>0</v>
      </c>
      <c r="AU1640" s="1525"/>
      <c r="AV1640" s="1291"/>
      <c r="AW1640" s="1292"/>
      <c r="AX1640" s="1292"/>
      <c r="AY1640" s="1292"/>
      <c r="AZ1640" s="1292"/>
      <c r="BA1640" s="1292"/>
      <c r="BB1640" s="1292"/>
      <c r="BC1640" s="1292"/>
      <c r="BD1640" s="1292"/>
      <c r="BE1640" s="1292"/>
      <c r="BF1640" s="1292"/>
      <c r="BG1640" s="1292"/>
      <c r="BH1640" s="1292"/>
      <c r="BI1640" s="1292"/>
      <c r="BJ1640" s="1292"/>
      <c r="BK1640" s="1292"/>
      <c r="BL1640" s="1292"/>
      <c r="BM1640" s="1292"/>
      <c r="BN1640" s="1292"/>
      <c r="BO1640" s="1292"/>
      <c r="BP1640" s="1292"/>
      <c r="BQ1640" s="1292"/>
      <c r="BR1640" s="1292"/>
      <c r="BS1640" s="1292"/>
      <c r="BT1640" s="1670">
        <f t="shared" si="1027"/>
        <v>0</v>
      </c>
      <c r="BW1640" s="799" t="s">
        <v>303</v>
      </c>
    </row>
    <row r="1641" spans="1:75" s="388" customFormat="1" ht="12.75" customHeight="1" x14ac:dyDescent="0.2">
      <c r="A1641" s="164"/>
      <c r="B1641" s="175"/>
      <c r="C1641" s="219" t="s">
        <v>1120</v>
      </c>
      <c r="D1641" s="265"/>
      <c r="E1641" s="387"/>
      <c r="F1641" s="60" t="s">
        <v>305</v>
      </c>
      <c r="G1641" s="799"/>
      <c r="H1641" s="1351" t="s">
        <v>1508</v>
      </c>
      <c r="I1641" s="270"/>
      <c r="J1641" s="265"/>
      <c r="K1641" s="446">
        <f>SUM(K1642:K1644)</f>
        <v>0</v>
      </c>
      <c r="L1641" s="892">
        <f>SUM(L1633:L1640)</f>
        <v>7.5</v>
      </c>
      <c r="M1641" s="892">
        <f>SUM(M1633:M1640)+SUM(M1644:M1644)</f>
        <v>7.5</v>
      </c>
      <c r="N1641" s="831"/>
      <c r="O1641" s="1192"/>
      <c r="P1641" s="1253"/>
      <c r="Q1641" s="1153"/>
      <c r="R1641" s="877"/>
      <c r="S1641" s="875"/>
      <c r="T1641" s="875"/>
      <c r="U1641" s="875"/>
      <c r="V1641" s="875"/>
      <c r="W1641" s="875"/>
      <c r="X1641" s="1026"/>
      <c r="Y1641" s="875"/>
      <c r="Z1641" s="875"/>
      <c r="AA1641" s="1749"/>
      <c r="AB1641" s="1820"/>
      <c r="AC1641" s="876"/>
      <c r="AD1641" s="1534"/>
      <c r="AE1641" s="1535"/>
      <c r="AF1641" s="1535"/>
      <c r="AG1641" s="1535"/>
      <c r="AH1641" s="1535"/>
      <c r="AI1641" s="1535"/>
      <c r="AJ1641" s="1535"/>
      <c r="AK1641" s="1535"/>
      <c r="AL1641" s="1535"/>
      <c r="AM1641" s="1535"/>
      <c r="AN1641" s="1535"/>
      <c r="AO1641" s="1535"/>
      <c r="AP1641" s="1535"/>
      <c r="AQ1641" s="1535"/>
      <c r="AR1641" s="1535"/>
      <c r="AS1641" s="1535"/>
      <c r="AU1641" s="1525"/>
      <c r="AV1641" s="1534"/>
      <c r="AW1641" s="1535"/>
      <c r="AX1641" s="1535"/>
      <c r="AY1641" s="1535"/>
      <c r="AZ1641" s="1535"/>
      <c r="BA1641" s="1535"/>
      <c r="BB1641" s="1535"/>
      <c r="BC1641" s="1535"/>
      <c r="BD1641" s="1535"/>
      <c r="BE1641" s="1535"/>
      <c r="BF1641" s="1535"/>
      <c r="BG1641" s="1535"/>
      <c r="BH1641" s="1535"/>
      <c r="BI1641" s="1535"/>
      <c r="BJ1641" s="1535"/>
      <c r="BK1641" s="1535"/>
      <c r="BL1641" s="1535"/>
      <c r="BM1641" s="1535"/>
      <c r="BN1641" s="1535"/>
      <c r="BO1641" s="1535"/>
      <c r="BP1641" s="1535"/>
      <c r="BQ1641" s="1535"/>
      <c r="BR1641" s="1535"/>
      <c r="BS1641" s="1535"/>
      <c r="BT1641" s="1675"/>
      <c r="BV1641"/>
      <c r="BW1641" s="799"/>
    </row>
    <row r="1642" spans="1:75" s="164" customFormat="1" ht="12.75" customHeight="1" x14ac:dyDescent="0.15">
      <c r="B1642" s="175"/>
      <c r="F1642" s="65"/>
      <c r="G1642" s="799"/>
      <c r="H1642" s="1347" t="s">
        <v>1508</v>
      </c>
      <c r="L1642" s="861"/>
      <c r="M1642" s="861"/>
      <c r="N1642" s="799"/>
      <c r="O1642" s="1200"/>
      <c r="P1642" s="550"/>
      <c r="Q1642" s="1148"/>
      <c r="R1642" s="874"/>
      <c r="S1642" s="875"/>
      <c r="T1642" s="875"/>
      <c r="U1642" s="875"/>
      <c r="V1642" s="875"/>
      <c r="W1642" s="875"/>
      <c r="X1642" s="1026"/>
      <c r="Y1642" s="1659"/>
      <c r="Z1642" s="1744"/>
      <c r="AA1642" s="1749"/>
      <c r="AB1642" s="1812"/>
      <c r="AC1642" s="876"/>
      <c r="AD1642" s="1295"/>
      <c r="AE1642" s="1525"/>
      <c r="AF1642" s="1525"/>
      <c r="AG1642" s="1525"/>
      <c r="AH1642" s="1525"/>
      <c r="AI1642" s="1525"/>
      <c r="AJ1642" s="1525"/>
      <c r="AK1642" s="1525"/>
      <c r="AL1642" s="1525"/>
      <c r="AM1642" s="1525"/>
      <c r="AN1642" s="1525"/>
      <c r="AO1642" s="1525"/>
      <c r="AP1642" s="1525"/>
      <c r="AQ1642" s="1525"/>
      <c r="AR1642" s="1525"/>
      <c r="AS1642" s="1525"/>
      <c r="AU1642" s="1525"/>
      <c r="AV1642" s="1295"/>
      <c r="AW1642" s="1525"/>
      <c r="AX1642" s="1525"/>
      <c r="AY1642" s="1525"/>
      <c r="AZ1642" s="1525"/>
      <c r="BA1642" s="1525"/>
      <c r="BB1642" s="1525"/>
      <c r="BC1642" s="1525"/>
      <c r="BD1642" s="1525"/>
      <c r="BE1642" s="1525"/>
      <c r="BF1642" s="1525"/>
      <c r="BG1642" s="1525"/>
      <c r="BH1642" s="1525"/>
      <c r="BI1642" s="1525"/>
      <c r="BJ1642" s="1525"/>
      <c r="BK1642" s="1525"/>
      <c r="BL1642" s="1525"/>
      <c r="BM1642" s="1525"/>
      <c r="BN1642" s="1525"/>
      <c r="BO1642" s="1525"/>
      <c r="BP1642" s="1525"/>
      <c r="BQ1642" s="1525"/>
      <c r="BR1642" s="1525"/>
      <c r="BS1642" s="1525"/>
      <c r="BT1642" s="1670"/>
      <c r="BV1642"/>
      <c r="BW1642" s="799"/>
    </row>
    <row r="1643" spans="1:75" s="164" customFormat="1" ht="12.75" customHeight="1" x14ac:dyDescent="0.15">
      <c r="B1643" s="175"/>
      <c r="F1643" s="1116" t="s">
        <v>436</v>
      </c>
      <c r="G1643" s="799"/>
      <c r="H1643" s="1347" t="s">
        <v>1508</v>
      </c>
      <c r="L1643" s="861"/>
      <c r="M1643" s="861"/>
      <c r="N1643" s="799"/>
      <c r="O1643" s="1200"/>
      <c r="P1643" s="550"/>
      <c r="Q1643" s="1148"/>
      <c r="R1643" s="874"/>
      <c r="S1643" s="875"/>
      <c r="T1643" s="875"/>
      <c r="U1643" s="875"/>
      <c r="V1643" s="875"/>
      <c r="W1643" s="875"/>
      <c r="X1643" s="1026"/>
      <c r="Y1643" s="1659"/>
      <c r="Z1643" s="1744"/>
      <c r="AA1643" s="1749"/>
      <c r="AB1643" s="1812"/>
      <c r="AC1643" s="876"/>
      <c r="AD1643" s="1295"/>
      <c r="AE1643" s="1525"/>
      <c r="AF1643" s="1525"/>
      <c r="AG1643" s="1525"/>
      <c r="AH1643" s="1525"/>
      <c r="AI1643" s="1525"/>
      <c r="AJ1643" s="1525"/>
      <c r="AK1643" s="1525"/>
      <c r="AL1643" s="1525"/>
      <c r="AM1643" s="1525"/>
      <c r="AN1643" s="1525"/>
      <c r="AO1643" s="1525"/>
      <c r="AP1643" s="1525"/>
      <c r="AQ1643" s="1525"/>
      <c r="AR1643" s="1525"/>
      <c r="AS1643" s="1525"/>
      <c r="AU1643" s="1525"/>
      <c r="AV1643" s="1295"/>
      <c r="AW1643" s="1525"/>
      <c r="AX1643" s="1525"/>
      <c r="AY1643" s="1525"/>
      <c r="AZ1643" s="1525"/>
      <c r="BA1643" s="1525"/>
      <c r="BB1643" s="1525"/>
      <c r="BC1643" s="1525"/>
      <c r="BD1643" s="1525"/>
      <c r="BE1643" s="1525"/>
      <c r="BF1643" s="1525"/>
      <c r="BG1643" s="1525"/>
      <c r="BH1643" s="1525"/>
      <c r="BI1643" s="1525"/>
      <c r="BJ1643" s="1525"/>
      <c r="BK1643" s="1525"/>
      <c r="BL1643" s="1525"/>
      <c r="BM1643" s="1525"/>
      <c r="BN1643" s="1525"/>
      <c r="BO1643" s="1525"/>
      <c r="BP1643" s="1525"/>
      <c r="BQ1643" s="1525"/>
      <c r="BR1643" s="1525"/>
      <c r="BS1643" s="1525"/>
      <c r="BT1643" s="1670"/>
      <c r="BV1643"/>
      <c r="BW1643" s="799"/>
    </row>
    <row r="1644" spans="1:75" ht="12.75" customHeight="1" x14ac:dyDescent="0.2">
      <c r="B1644" s="175"/>
      <c r="C1644" s="219"/>
      <c r="E1644" s="12"/>
      <c r="F1644" s="4"/>
      <c r="G1644" s="825"/>
      <c r="H1644" s="1347" t="s">
        <v>1508</v>
      </c>
      <c r="I1644" s="197"/>
      <c r="J1644" s="220"/>
      <c r="K1644" s="219"/>
      <c r="L1644" s="950"/>
      <c r="M1644" s="873"/>
      <c r="N1644" s="857"/>
      <c r="O1644" s="1194"/>
      <c r="P1644" s="1218"/>
      <c r="Q1644" s="1148"/>
      <c r="R1644" s="874"/>
      <c r="S1644" s="875"/>
      <c r="T1644" s="875"/>
      <c r="U1644" s="875"/>
      <c r="V1644" s="875"/>
      <c r="W1644" s="875"/>
      <c r="X1644" s="1026"/>
      <c r="Y1644" s="1659"/>
      <c r="Z1644" s="1744"/>
      <c r="AA1644" s="1749"/>
      <c r="AB1644" s="1814"/>
      <c r="AC1644" s="876"/>
      <c r="AD1644" s="1295"/>
      <c r="AE1644" s="1525"/>
      <c r="AF1644" s="1525"/>
      <c r="AG1644" s="1525"/>
      <c r="AH1644" s="1525"/>
      <c r="AI1644" s="1525"/>
      <c r="AJ1644" s="1525"/>
      <c r="AK1644" s="1525"/>
      <c r="AL1644" s="1525"/>
      <c r="AM1644" s="1525"/>
      <c r="AN1644" s="1525"/>
      <c r="AO1644" s="1525"/>
      <c r="AP1644" s="1525"/>
      <c r="AQ1644" s="1525"/>
      <c r="AR1644" s="1525"/>
      <c r="AS1644" s="1525"/>
      <c r="AU1644" s="1525"/>
      <c r="AV1644" s="1291"/>
      <c r="AW1644" s="1292"/>
      <c r="AX1644" s="1292"/>
      <c r="AY1644" s="1292"/>
      <c r="AZ1644" s="1292"/>
      <c r="BA1644" s="1292"/>
      <c r="BB1644" s="1292"/>
      <c r="BC1644" s="1292"/>
      <c r="BD1644" s="1292"/>
      <c r="BE1644" s="1292"/>
      <c r="BF1644" s="1292"/>
      <c r="BG1644" s="1292"/>
      <c r="BH1644" s="1292"/>
      <c r="BI1644" s="1292"/>
      <c r="BJ1644" s="1292"/>
      <c r="BK1644" s="1292"/>
      <c r="BL1644" s="1292"/>
      <c r="BM1644" s="1292"/>
      <c r="BN1644" s="1292"/>
      <c r="BO1644" s="1292"/>
      <c r="BP1644" s="1292"/>
      <c r="BQ1644" s="1292"/>
      <c r="BR1644" s="1292"/>
      <c r="BS1644" s="1292"/>
      <c r="BT1644" s="1670"/>
      <c r="BW1644" s="825"/>
    </row>
    <row r="1645" spans="1:75" s="164" customFormat="1" ht="12.75" customHeight="1" x14ac:dyDescent="0.15">
      <c r="B1645" s="175"/>
      <c r="C1645" s="694" t="s">
        <v>344</v>
      </c>
      <c r="D1645" s="695" t="s">
        <v>346</v>
      </c>
      <c r="E1645" s="696" t="s">
        <v>1487</v>
      </c>
      <c r="F1645" s="383" t="s">
        <v>305</v>
      </c>
      <c r="G1645" s="1003">
        <f>COUNTA(G1632:G1644)</f>
        <v>8</v>
      </c>
      <c r="H1645" s="1399" t="s">
        <v>1508</v>
      </c>
      <c r="I1645" s="576"/>
      <c r="J1645" s="577"/>
      <c r="K1645" s="382">
        <f>K1641</f>
        <v>0</v>
      </c>
      <c r="L1645" s="1003">
        <f>L1641</f>
        <v>7.5</v>
      </c>
      <c r="M1645" s="1003">
        <f>M1641</f>
        <v>7.5</v>
      </c>
      <c r="N1645" s="1004"/>
      <c r="O1645" s="1004"/>
      <c r="P1645" s="1222"/>
      <c r="Q1645" s="1154"/>
      <c r="R1645" s="887"/>
      <c r="S1645" s="880"/>
      <c r="T1645" s="880"/>
      <c r="U1645" s="880"/>
      <c r="V1645" s="880"/>
      <c r="W1645" s="880"/>
      <c r="X1645" s="1276">
        <f>SUM(X1633:X1644)</f>
        <v>267500</v>
      </c>
      <c r="Y1645" s="1511"/>
      <c r="Z1645" s="1654">
        <f>SUM(Z1633:Z1644)</f>
        <v>7.5</v>
      </c>
      <c r="AA1645" s="1827">
        <f>SUM(AA1633:AA1644)</f>
        <v>3.7</v>
      </c>
      <c r="AB1645" s="1813">
        <f t="shared" ref="AB1645" si="1029">100*AA1645/Z1645</f>
        <v>49.333333333333336</v>
      </c>
      <c r="AC1645" s="1721"/>
      <c r="AD1645" s="1295"/>
      <c r="AE1645" s="1525"/>
      <c r="AF1645" s="1525"/>
      <c r="AG1645" s="1525"/>
      <c r="AH1645" s="1525"/>
      <c r="AI1645" s="1525"/>
      <c r="AJ1645" s="1525"/>
      <c r="AK1645" s="1525"/>
      <c r="AL1645" s="1525"/>
      <c r="AM1645" s="1525"/>
      <c r="AN1645" s="1525"/>
      <c r="AO1645" s="1525"/>
      <c r="AP1645" s="1525"/>
      <c r="AQ1645" s="1525"/>
      <c r="AR1645" s="1525"/>
      <c r="AS1645" s="1525"/>
      <c r="AU1645" s="1525"/>
      <c r="AV1645" s="1295"/>
      <c r="AW1645" s="1525"/>
      <c r="AX1645" s="1525"/>
      <c r="AY1645" s="1525"/>
      <c r="AZ1645" s="1525"/>
      <c r="BA1645" s="1525"/>
      <c r="BB1645" s="1525"/>
      <c r="BC1645" s="1525"/>
      <c r="BD1645" s="1525"/>
      <c r="BE1645" s="1525"/>
      <c r="BF1645" s="1525"/>
      <c r="BG1645" s="1525"/>
      <c r="BH1645" s="1525"/>
      <c r="BI1645" s="1525"/>
      <c r="BJ1645" s="1525"/>
      <c r="BK1645" s="1525"/>
      <c r="BL1645" s="1525"/>
      <c r="BM1645" s="1525"/>
      <c r="BN1645" s="1525"/>
      <c r="BO1645" s="1525"/>
      <c r="BP1645" s="1525"/>
      <c r="BQ1645" s="1525"/>
      <c r="BR1645" s="1525"/>
      <c r="BS1645" s="1525"/>
      <c r="BT1645" s="1670"/>
      <c r="BV1645"/>
      <c r="BW1645" s="879"/>
    </row>
    <row r="1646" spans="1:75" s="164" customFormat="1" ht="12.75" customHeight="1" x14ac:dyDescent="0.15">
      <c r="B1646" s="175"/>
      <c r="C1646" s="423" t="s">
        <v>136</v>
      </c>
      <c r="D1646" s="423"/>
      <c r="E1646" s="424" t="s">
        <v>1487</v>
      </c>
      <c r="F1646" s="424" t="s">
        <v>893</v>
      </c>
      <c r="G1646" s="867"/>
      <c r="H1646" s="1349" t="s">
        <v>1508</v>
      </c>
      <c r="I1646" s="426"/>
      <c r="J1646" s="425"/>
      <c r="K1646" s="425"/>
      <c r="L1646" s="866"/>
      <c r="M1646" s="866"/>
      <c r="N1646" s="926"/>
      <c r="O1646" s="926"/>
      <c r="P1646" s="1223"/>
      <c r="Q1646" s="1158"/>
      <c r="R1646" s="1027"/>
      <c r="S1646" s="1028"/>
      <c r="T1646" s="1028"/>
      <c r="U1646" s="1028"/>
      <c r="V1646" s="1028"/>
      <c r="W1646" s="1028"/>
      <c r="X1646" s="1697">
        <v>52100</v>
      </c>
      <c r="Y1646" s="1052"/>
      <c r="Z1646" s="1052"/>
      <c r="AA1646" s="1775"/>
      <c r="AB1646" s="1812"/>
      <c r="AC1646" s="876"/>
      <c r="AD1646" s="1295"/>
      <c r="AE1646" s="1525"/>
      <c r="AF1646" s="1525"/>
      <c r="AG1646" s="1525"/>
      <c r="AH1646" s="1525"/>
      <c r="AI1646" s="1525"/>
      <c r="AJ1646" s="1525"/>
      <c r="AK1646" s="1525"/>
      <c r="AL1646" s="1525"/>
      <c r="AM1646" s="1525"/>
      <c r="AN1646" s="1525"/>
      <c r="AO1646" s="1525"/>
      <c r="AP1646" s="1525"/>
      <c r="AQ1646" s="1525"/>
      <c r="AR1646" s="1525"/>
      <c r="AS1646" s="1525"/>
      <c r="AU1646" s="1525"/>
      <c r="AV1646" s="1295"/>
      <c r="AW1646" s="1525"/>
      <c r="AX1646" s="1525"/>
      <c r="AY1646" s="1525"/>
      <c r="AZ1646" s="1525"/>
      <c r="BA1646" s="1525"/>
      <c r="BB1646" s="1525"/>
      <c r="BC1646" s="1525"/>
      <c r="BD1646" s="1525"/>
      <c r="BE1646" s="1525"/>
      <c r="BF1646" s="1525"/>
      <c r="BG1646" s="1525"/>
      <c r="BH1646" s="1525"/>
      <c r="BI1646" s="1525"/>
      <c r="BJ1646" s="1525"/>
      <c r="BK1646" s="1525"/>
      <c r="BL1646" s="1525"/>
      <c r="BM1646" s="1525"/>
      <c r="BN1646" s="1525"/>
      <c r="BO1646" s="1525"/>
      <c r="BP1646" s="1525"/>
      <c r="BQ1646" s="1525"/>
      <c r="BR1646" s="1525"/>
      <c r="BS1646" s="1525"/>
      <c r="BT1646" s="1670"/>
      <c r="BV1646"/>
      <c r="BW1646" s="867"/>
    </row>
    <row r="1647" spans="1:75" s="164" customFormat="1" ht="12.75" customHeight="1" x14ac:dyDescent="0.15">
      <c r="B1647" s="175"/>
      <c r="C1647" s="220"/>
      <c r="D1647" s="220"/>
      <c r="F1647" s="76"/>
      <c r="G1647" s="799"/>
      <c r="H1647" s="1341" t="s">
        <v>1508</v>
      </c>
      <c r="L1647" s="843"/>
      <c r="M1647" s="843"/>
      <c r="N1647" s="799"/>
      <c r="O1647" s="1200"/>
      <c r="P1647" s="550"/>
      <c r="Q1647" s="1148"/>
      <c r="R1647" s="874"/>
      <c r="S1647" s="875"/>
      <c r="T1647" s="875"/>
      <c r="U1647" s="875"/>
      <c r="V1647" s="875"/>
      <c r="W1647" s="875"/>
      <c r="X1647" s="1026"/>
      <c r="Y1647" s="1659"/>
      <c r="Z1647" s="1744"/>
      <c r="AA1647" s="1775"/>
      <c r="AB1647" s="1812"/>
      <c r="AC1647" s="1026"/>
      <c r="AD1647" s="1295"/>
      <c r="AE1647" s="1525"/>
      <c r="AF1647" s="1525"/>
      <c r="AG1647" s="1525"/>
      <c r="AH1647" s="1525"/>
      <c r="AI1647" s="1525"/>
      <c r="AJ1647" s="1525"/>
      <c r="AK1647" s="1525"/>
      <c r="AL1647" s="1525"/>
      <c r="AM1647" s="1525"/>
      <c r="AN1647" s="1525"/>
      <c r="AO1647" s="1525"/>
      <c r="AP1647" s="1525"/>
      <c r="AQ1647" s="1525"/>
      <c r="AR1647" s="1525"/>
      <c r="AS1647" s="1525"/>
      <c r="AU1647" s="1525"/>
      <c r="AV1647" s="1295"/>
      <c r="AW1647" s="1525"/>
      <c r="AX1647" s="1525"/>
      <c r="AY1647" s="1525"/>
      <c r="AZ1647" s="1525"/>
      <c r="BA1647" s="1525"/>
      <c r="BB1647" s="1525"/>
      <c r="BC1647" s="1525"/>
      <c r="BD1647" s="1525"/>
      <c r="BE1647" s="1525"/>
      <c r="BF1647" s="1525"/>
      <c r="BG1647" s="1525"/>
      <c r="BH1647" s="1525"/>
      <c r="BI1647" s="1525"/>
      <c r="BJ1647" s="1525"/>
      <c r="BK1647" s="1525"/>
      <c r="BL1647" s="1525"/>
      <c r="BM1647" s="1525"/>
      <c r="BN1647" s="1525"/>
      <c r="BO1647" s="1525"/>
      <c r="BP1647" s="1525"/>
      <c r="BQ1647" s="1525"/>
      <c r="BR1647" s="1525"/>
      <c r="BS1647" s="1525"/>
      <c r="BT1647" s="1670"/>
      <c r="BV1647"/>
      <c r="BW1647" s="799"/>
    </row>
    <row r="1648" spans="1:75" s="164" customFormat="1" ht="12.75" customHeight="1" x14ac:dyDescent="0.15">
      <c r="B1648" s="175"/>
      <c r="F1648" s="10" t="s">
        <v>3</v>
      </c>
      <c r="G1648" s="799"/>
      <c r="H1648" s="1341" t="s">
        <v>1508</v>
      </c>
      <c r="L1648" s="843"/>
      <c r="M1648" s="843"/>
      <c r="N1648" s="799"/>
      <c r="O1648" s="1200"/>
      <c r="P1648" s="550"/>
      <c r="Q1648" s="1148"/>
      <c r="R1648" s="874"/>
      <c r="S1648" s="875"/>
      <c r="T1648" s="875"/>
      <c r="U1648" s="875"/>
      <c r="V1648" s="875"/>
      <c r="W1648" s="875"/>
      <c r="X1648" s="1026"/>
      <c r="Y1648" s="1659"/>
      <c r="Z1648" s="1744"/>
      <c r="AA1648" s="1775"/>
      <c r="AB1648" s="1812"/>
      <c r="AC1648" s="876"/>
      <c r="AD1648" s="1295"/>
      <c r="AE1648" s="1525"/>
      <c r="AF1648" s="1525"/>
      <c r="AG1648" s="1525"/>
      <c r="AH1648" s="1525"/>
      <c r="AI1648" s="1525"/>
      <c r="AJ1648" s="1525"/>
      <c r="AK1648" s="1525"/>
      <c r="AL1648" s="1525"/>
      <c r="AM1648" s="1525"/>
      <c r="AN1648" s="1525"/>
      <c r="AO1648" s="1525"/>
      <c r="AP1648" s="1525"/>
      <c r="AQ1648" s="1525"/>
      <c r="AR1648" s="1525"/>
      <c r="AS1648" s="1525"/>
      <c r="AU1648" s="1525"/>
      <c r="AV1648" s="1295"/>
      <c r="AW1648" s="1525"/>
      <c r="AX1648" s="1525"/>
      <c r="AY1648" s="1525"/>
      <c r="AZ1648" s="1525"/>
      <c r="BA1648" s="1525"/>
      <c r="BB1648" s="1525"/>
      <c r="BC1648" s="1525"/>
      <c r="BD1648" s="1525"/>
      <c r="BE1648" s="1525"/>
      <c r="BF1648" s="1525"/>
      <c r="BG1648" s="1525"/>
      <c r="BH1648" s="1525"/>
      <c r="BI1648" s="1525"/>
      <c r="BJ1648" s="1525"/>
      <c r="BK1648" s="1525"/>
      <c r="BL1648" s="1525"/>
      <c r="BM1648" s="1525"/>
      <c r="BN1648" s="1525"/>
      <c r="BO1648" s="1525"/>
      <c r="BP1648" s="1525"/>
      <c r="BQ1648" s="1525"/>
      <c r="BR1648" s="1525"/>
      <c r="BS1648" s="1525"/>
      <c r="BT1648" s="1670"/>
      <c r="BV1648"/>
      <c r="BW1648" s="799"/>
    </row>
    <row r="1649" spans="2:75" s="164" customFormat="1" ht="12.75" customHeight="1" x14ac:dyDescent="0.15">
      <c r="B1649" s="175"/>
      <c r="F1649"/>
      <c r="G1649" s="799"/>
      <c r="H1649" s="1341" t="s">
        <v>1508</v>
      </c>
      <c r="L1649" s="843"/>
      <c r="M1649" s="843"/>
      <c r="N1649" s="799"/>
      <c r="O1649" s="1200"/>
      <c r="P1649" s="550"/>
      <c r="Q1649" s="1148"/>
      <c r="R1649" s="874"/>
      <c r="S1649" s="875"/>
      <c r="T1649" s="875"/>
      <c r="U1649" s="875"/>
      <c r="V1649" s="875"/>
      <c r="W1649" s="875"/>
      <c r="X1649" s="1026"/>
      <c r="Y1649" s="1659"/>
      <c r="Z1649" s="1744"/>
      <c r="AA1649" s="1775"/>
      <c r="AB1649" s="1812"/>
      <c r="AC1649" s="876"/>
      <c r="AD1649" s="1295"/>
      <c r="AE1649" s="1525"/>
      <c r="AF1649" s="1525"/>
      <c r="AG1649" s="1525"/>
      <c r="AH1649" s="1525"/>
      <c r="AI1649" s="1525"/>
      <c r="AJ1649" s="1525"/>
      <c r="AK1649" s="1525"/>
      <c r="AL1649" s="1525"/>
      <c r="AM1649" s="1525"/>
      <c r="AN1649" s="1525"/>
      <c r="AO1649" s="1525"/>
      <c r="AP1649" s="1525"/>
      <c r="AQ1649" s="1525"/>
      <c r="AR1649" s="1525"/>
      <c r="AS1649" s="1525"/>
      <c r="AU1649" s="1525"/>
      <c r="AV1649" s="1295"/>
      <c r="AW1649" s="1525"/>
      <c r="AX1649" s="1525"/>
      <c r="AY1649" s="1525"/>
      <c r="AZ1649" s="1525"/>
      <c r="BA1649" s="1525"/>
      <c r="BB1649" s="1525"/>
      <c r="BC1649" s="1525"/>
      <c r="BD1649" s="1525"/>
      <c r="BE1649" s="1525"/>
      <c r="BF1649" s="1525"/>
      <c r="BG1649" s="1525"/>
      <c r="BH1649" s="1525"/>
      <c r="BI1649" s="1525"/>
      <c r="BJ1649" s="1525"/>
      <c r="BK1649" s="1525"/>
      <c r="BL1649" s="1525"/>
      <c r="BM1649" s="1525"/>
      <c r="BN1649" s="1525"/>
      <c r="BO1649" s="1525"/>
      <c r="BP1649" s="1525"/>
      <c r="BQ1649" s="1525"/>
      <c r="BR1649" s="1525"/>
      <c r="BS1649" s="1525"/>
      <c r="BT1649" s="1670"/>
      <c r="BV1649"/>
      <c r="BW1649" s="799"/>
    </row>
    <row r="1650" spans="2:75" ht="12.75" customHeight="1" x14ac:dyDescent="0.2">
      <c r="B1650" s="175">
        <f t="shared" ref="B1650:B1661" si="1030">B1649+1</f>
        <v>1</v>
      </c>
      <c r="C1650" s="219">
        <v>5</v>
      </c>
      <c r="E1650" s="12" t="s">
        <v>1488</v>
      </c>
      <c r="F1650" t="s">
        <v>166</v>
      </c>
      <c r="G1650" s="799" t="s">
        <v>1423</v>
      </c>
      <c r="H1650" s="858">
        <v>3406</v>
      </c>
      <c r="I1650" s="200" t="s">
        <v>351</v>
      </c>
      <c r="L1650" s="843">
        <v>1</v>
      </c>
      <c r="M1650" s="858">
        <f>K1650+L1650</f>
        <v>1</v>
      </c>
      <c r="N1650" s="831" t="s">
        <v>892</v>
      </c>
      <c r="O1650" s="1196">
        <v>17791</v>
      </c>
      <c r="P1650" s="1218">
        <f ca="1">YEARFRAC(TODAY(),O1650)</f>
        <v>69.047222222222217</v>
      </c>
      <c r="Q1650" s="1148">
        <v>46750</v>
      </c>
      <c r="R1650" s="874"/>
      <c r="S1650" s="875">
        <v>7000</v>
      </c>
      <c r="T1650" s="875"/>
      <c r="U1650" s="875"/>
      <c r="V1650" s="875"/>
      <c r="W1650" s="875"/>
      <c r="X1650" s="1026">
        <f>(Q1650+R1650+S1650+T1650+U1650+V1650+W1650)*M1650</f>
        <v>53750</v>
      </c>
      <c r="Y1650" s="1512">
        <f>(T1650+U1650)*M1650/(X1650-M1650*(T1650+U1650))</f>
        <v>0</v>
      </c>
      <c r="Z1650" s="1741">
        <f>M1650*(1+Y1650)</f>
        <v>1</v>
      </c>
      <c r="AA1650" s="1749">
        <f>SUM(AD1650:AS1650)</f>
        <v>0.5</v>
      </c>
      <c r="AB1650" s="1810">
        <f t="shared" ref="AB1650:AB1653" si="1031">100*AA1650/Z1650</f>
        <v>50</v>
      </c>
      <c r="AC1650" s="876"/>
      <c r="AD1650" s="1525">
        <f t="shared" ref="AD1650:AS1653" si="1032">SUMIF($AV$6:$BS$6,AD$5,$AV1650:$BS1650)</f>
        <v>0</v>
      </c>
      <c r="AE1650" s="1525">
        <f t="shared" si="1032"/>
        <v>0</v>
      </c>
      <c r="AF1650" s="1525">
        <f t="shared" si="1032"/>
        <v>0</v>
      </c>
      <c r="AG1650" s="1525">
        <f t="shared" si="1032"/>
        <v>0</v>
      </c>
      <c r="AH1650" s="1525">
        <f t="shared" si="1032"/>
        <v>0</v>
      </c>
      <c r="AI1650" s="1525">
        <f t="shared" si="1032"/>
        <v>0</v>
      </c>
      <c r="AJ1650" s="1525">
        <f t="shared" si="1032"/>
        <v>0</v>
      </c>
      <c r="AK1650" s="1525">
        <f t="shared" si="1032"/>
        <v>0</v>
      </c>
      <c r="AL1650" s="1525">
        <f t="shared" si="1032"/>
        <v>0</v>
      </c>
      <c r="AM1650" s="1525">
        <f t="shared" si="1032"/>
        <v>0</v>
      </c>
      <c r="AN1650" s="1525">
        <f t="shared" si="1032"/>
        <v>0</v>
      </c>
      <c r="AO1650" s="1525">
        <f t="shared" si="1032"/>
        <v>0.5</v>
      </c>
      <c r="AP1650" s="1525">
        <f t="shared" si="1032"/>
        <v>0</v>
      </c>
      <c r="AQ1650" s="1525">
        <f t="shared" si="1032"/>
        <v>0</v>
      </c>
      <c r="AR1650" s="1525">
        <f t="shared" si="1032"/>
        <v>0</v>
      </c>
      <c r="AS1650" s="1525">
        <f t="shared" si="1032"/>
        <v>0</v>
      </c>
      <c r="AU1650" s="1525"/>
      <c r="AV1650" s="1291"/>
      <c r="AW1650" s="1292"/>
      <c r="AX1650" s="1292"/>
      <c r="AY1650" s="1292"/>
      <c r="AZ1650" s="1292"/>
      <c r="BA1650" s="1292"/>
      <c r="BB1650" s="1292"/>
      <c r="BC1650" s="1292"/>
      <c r="BD1650" s="1292">
        <v>0.5</v>
      </c>
      <c r="BE1650" s="1292"/>
      <c r="BF1650" s="1292"/>
      <c r="BG1650" s="1292"/>
      <c r="BH1650" s="1292"/>
      <c r="BI1650" s="1292"/>
      <c r="BJ1650" s="1292"/>
      <c r="BK1650" s="1292"/>
      <c r="BL1650" s="1292"/>
      <c r="BM1650" s="1292"/>
      <c r="BN1650" s="1292"/>
      <c r="BO1650" s="1292"/>
      <c r="BP1650" s="1292"/>
      <c r="BQ1650" s="1292"/>
      <c r="BR1650" s="1292"/>
      <c r="BS1650" s="1292"/>
      <c r="BT1650" s="1670">
        <f t="shared" ref="BT1650:BT1653" si="1033">SUM(AV1650:BS1650)</f>
        <v>0.5</v>
      </c>
      <c r="BW1650" s="799" t="s">
        <v>1423</v>
      </c>
    </row>
    <row r="1651" spans="2:75" ht="12.75" customHeight="1" x14ac:dyDescent="0.2">
      <c r="B1651" s="175">
        <f t="shared" si="1030"/>
        <v>2</v>
      </c>
      <c r="C1651" s="219">
        <v>11</v>
      </c>
      <c r="E1651" s="12" t="s">
        <v>1488</v>
      </c>
      <c r="F1651" s="4" t="s">
        <v>1396</v>
      </c>
      <c r="G1651" s="799" t="s">
        <v>756</v>
      </c>
      <c r="H1651" s="858">
        <v>290425</v>
      </c>
      <c r="I1651" s="200" t="s">
        <v>351</v>
      </c>
      <c r="L1651" s="843">
        <v>1</v>
      </c>
      <c r="M1651" s="858">
        <v>1</v>
      </c>
      <c r="N1651" s="857" t="s">
        <v>892</v>
      </c>
      <c r="O1651" s="1196">
        <v>29657</v>
      </c>
      <c r="P1651" s="1218">
        <f ca="1">YEARFRAC(TODAY(),O1651)</f>
        <v>36.555555555555557</v>
      </c>
      <c r="Q1651" s="1148">
        <v>37650</v>
      </c>
      <c r="R1651" s="874"/>
      <c r="S1651" s="875"/>
      <c r="T1651" s="875"/>
      <c r="U1651" s="875"/>
      <c r="V1651" s="875"/>
      <c r="W1651" s="875"/>
      <c r="X1651" s="1026">
        <f>(Q1651+R1651+S1651+T1651+U1651+V1651+W1651)*M1651</f>
        <v>37650</v>
      </c>
      <c r="Y1651" s="1512">
        <f>(T1651+U1651)*M1651/(X1651-M1651*(T1651+U1651))</f>
        <v>0</v>
      </c>
      <c r="Z1651" s="1741">
        <f>M1651*(1+Y1651)</f>
        <v>1</v>
      </c>
      <c r="AA1651" s="1749">
        <f>SUM(AD1651:AS1651)</f>
        <v>0.5</v>
      </c>
      <c r="AB1651" s="1810">
        <f t="shared" si="1031"/>
        <v>50</v>
      </c>
      <c r="AC1651" s="876"/>
      <c r="AD1651" s="1525">
        <f t="shared" si="1032"/>
        <v>0</v>
      </c>
      <c r="AE1651" s="1525">
        <f t="shared" si="1032"/>
        <v>0</v>
      </c>
      <c r="AF1651" s="1525">
        <f t="shared" si="1032"/>
        <v>0</v>
      </c>
      <c r="AG1651" s="1525">
        <f t="shared" si="1032"/>
        <v>0</v>
      </c>
      <c r="AH1651" s="1525">
        <f t="shared" si="1032"/>
        <v>0</v>
      </c>
      <c r="AI1651" s="1525">
        <f t="shared" si="1032"/>
        <v>0</v>
      </c>
      <c r="AJ1651" s="1525">
        <f t="shared" si="1032"/>
        <v>0</v>
      </c>
      <c r="AK1651" s="1525">
        <f t="shared" si="1032"/>
        <v>0</v>
      </c>
      <c r="AL1651" s="1525">
        <f t="shared" si="1032"/>
        <v>0</v>
      </c>
      <c r="AM1651" s="1525">
        <f t="shared" si="1032"/>
        <v>0</v>
      </c>
      <c r="AN1651" s="1525">
        <f t="shared" si="1032"/>
        <v>0</v>
      </c>
      <c r="AO1651" s="1525">
        <f t="shared" si="1032"/>
        <v>0.5</v>
      </c>
      <c r="AP1651" s="1525">
        <f t="shared" si="1032"/>
        <v>0</v>
      </c>
      <c r="AQ1651" s="1525">
        <f t="shared" si="1032"/>
        <v>0</v>
      </c>
      <c r="AR1651" s="1525">
        <f t="shared" si="1032"/>
        <v>0</v>
      </c>
      <c r="AS1651" s="1525">
        <f t="shared" si="1032"/>
        <v>0</v>
      </c>
      <c r="AU1651" s="1525"/>
      <c r="AV1651" s="1291"/>
      <c r="AW1651" s="1292"/>
      <c r="AX1651" s="1292"/>
      <c r="AY1651" s="1292"/>
      <c r="AZ1651" s="1292"/>
      <c r="BA1651" s="1292"/>
      <c r="BB1651" s="1292"/>
      <c r="BC1651" s="1292"/>
      <c r="BD1651" s="1292">
        <v>0.5</v>
      </c>
      <c r="BE1651" s="1292"/>
      <c r="BF1651" s="1292"/>
      <c r="BG1651" s="1292"/>
      <c r="BH1651" s="1292"/>
      <c r="BI1651" s="1292"/>
      <c r="BJ1651" s="1292"/>
      <c r="BK1651" s="1292"/>
      <c r="BL1651" s="1292"/>
      <c r="BM1651" s="1292"/>
      <c r="BN1651" s="1292"/>
      <c r="BO1651" s="1292"/>
      <c r="BP1651" s="1292"/>
      <c r="BQ1651" s="1292"/>
      <c r="BR1651" s="1292"/>
      <c r="BS1651" s="1292"/>
      <c r="BT1651" s="1670">
        <f t="shared" si="1033"/>
        <v>0.5</v>
      </c>
      <c r="BW1651" s="799" t="s">
        <v>756</v>
      </c>
    </row>
    <row r="1652" spans="2:75" ht="12.75" customHeight="1" x14ac:dyDescent="0.2">
      <c r="B1652" s="175">
        <f t="shared" si="1030"/>
        <v>3</v>
      </c>
      <c r="C1652" s="219">
        <v>12</v>
      </c>
      <c r="E1652" s="12" t="s">
        <v>1488</v>
      </c>
      <c r="F1652" t="s">
        <v>1235</v>
      </c>
      <c r="G1652" s="799" t="s">
        <v>1424</v>
      </c>
      <c r="H1652" s="858">
        <v>6470</v>
      </c>
      <c r="I1652" s="232" t="s">
        <v>583</v>
      </c>
      <c r="L1652" s="843">
        <v>1</v>
      </c>
      <c r="M1652" s="858">
        <f>K1652+L1652</f>
        <v>1</v>
      </c>
      <c r="N1652" s="831" t="s">
        <v>892</v>
      </c>
      <c r="O1652" s="1196">
        <v>15934</v>
      </c>
      <c r="P1652" s="1218">
        <f ca="1">YEARFRAC(TODAY(),O1652)</f>
        <v>74.12777777777778</v>
      </c>
      <c r="Q1652" s="1148">
        <v>30000</v>
      </c>
      <c r="R1652" s="876"/>
      <c r="S1652" s="876"/>
      <c r="T1652" s="876"/>
      <c r="U1652" s="876"/>
      <c r="V1652" s="876"/>
      <c r="W1652" s="876"/>
      <c r="X1652" s="1026">
        <f>(Q1652+R1652+S1652+T1652+U1652+V1652+W1652)*M1652</f>
        <v>30000</v>
      </c>
      <c r="Y1652" s="1512">
        <f>(T1652+U1652)*M1652/(X1652-M1652*(T1652+U1652))</f>
        <v>0</v>
      </c>
      <c r="Z1652" s="1741">
        <f>M1652*(1+Y1652)</f>
        <v>1</v>
      </c>
      <c r="AA1652" s="1749">
        <f>SUM(AD1652:AS1652)</f>
        <v>0</v>
      </c>
      <c r="AB1652" s="1810">
        <f t="shared" si="1031"/>
        <v>0</v>
      </c>
      <c r="AC1652" s="876"/>
      <c r="AD1652" s="1525">
        <f t="shared" si="1032"/>
        <v>0</v>
      </c>
      <c r="AE1652" s="1525">
        <f t="shared" si="1032"/>
        <v>0</v>
      </c>
      <c r="AF1652" s="1525">
        <f t="shared" si="1032"/>
        <v>0</v>
      </c>
      <c r="AG1652" s="1525">
        <f t="shared" si="1032"/>
        <v>0</v>
      </c>
      <c r="AH1652" s="1525">
        <f t="shared" si="1032"/>
        <v>0</v>
      </c>
      <c r="AI1652" s="1525">
        <f t="shared" si="1032"/>
        <v>0</v>
      </c>
      <c r="AJ1652" s="1525">
        <f t="shared" si="1032"/>
        <v>0</v>
      </c>
      <c r="AK1652" s="1525">
        <f t="shared" si="1032"/>
        <v>0</v>
      </c>
      <c r="AL1652" s="1525">
        <f t="shared" si="1032"/>
        <v>0</v>
      </c>
      <c r="AM1652" s="1525">
        <f t="shared" si="1032"/>
        <v>0</v>
      </c>
      <c r="AN1652" s="1525">
        <f t="shared" si="1032"/>
        <v>0</v>
      </c>
      <c r="AO1652" s="1525">
        <f t="shared" si="1032"/>
        <v>0</v>
      </c>
      <c r="AP1652" s="1525">
        <f t="shared" si="1032"/>
        <v>0</v>
      </c>
      <c r="AQ1652" s="1525">
        <f t="shared" si="1032"/>
        <v>0</v>
      </c>
      <c r="AR1652" s="1525">
        <f t="shared" si="1032"/>
        <v>0</v>
      </c>
      <c r="AS1652" s="1525">
        <f t="shared" si="1032"/>
        <v>0</v>
      </c>
      <c r="AU1652" s="1525"/>
      <c r="AV1652" s="1291"/>
      <c r="AW1652" s="1292"/>
      <c r="AX1652" s="1292"/>
      <c r="AY1652" s="1292"/>
      <c r="AZ1652" s="1292"/>
      <c r="BA1652" s="1292"/>
      <c r="BB1652" s="1292"/>
      <c r="BC1652" s="1292"/>
      <c r="BD1652" s="1292"/>
      <c r="BE1652" s="1292"/>
      <c r="BF1652" s="1292"/>
      <c r="BG1652" s="1292"/>
      <c r="BH1652" s="1292"/>
      <c r="BI1652" s="1292"/>
      <c r="BJ1652" s="1292"/>
      <c r="BK1652" s="1292"/>
      <c r="BL1652" s="1292"/>
      <c r="BM1652" s="1292"/>
      <c r="BN1652" s="1292"/>
      <c r="BO1652" s="1292"/>
      <c r="BP1652" s="1292"/>
      <c r="BQ1652" s="1292"/>
      <c r="BR1652" s="1292"/>
      <c r="BS1652" s="1292"/>
      <c r="BT1652" s="1670">
        <f t="shared" si="1033"/>
        <v>0</v>
      </c>
      <c r="BW1652" s="799" t="s">
        <v>1424</v>
      </c>
    </row>
    <row r="1653" spans="2:75" ht="12.75" customHeight="1" x14ac:dyDescent="0.2">
      <c r="B1653" s="175">
        <f t="shared" si="1030"/>
        <v>4</v>
      </c>
      <c r="C1653" s="219">
        <v>12</v>
      </c>
      <c r="E1653" s="12" t="s">
        <v>1488</v>
      </c>
      <c r="F1653" s="20" t="s">
        <v>1235</v>
      </c>
      <c r="G1653" s="894" t="s">
        <v>1925</v>
      </c>
      <c r="H1653" s="873">
        <v>242518</v>
      </c>
      <c r="I1653" s="271" t="s">
        <v>583</v>
      </c>
      <c r="J1653" s="185">
        <v>2</v>
      </c>
      <c r="K1653" s="185"/>
      <c r="L1653" s="951">
        <v>0.4</v>
      </c>
      <c r="M1653" s="873">
        <v>0.4</v>
      </c>
      <c r="N1653" s="958" t="s">
        <v>892</v>
      </c>
      <c r="O1653" s="1211">
        <v>21687</v>
      </c>
      <c r="P1653" s="1218">
        <f ca="1">YEARFRAC(TODAY(),O1653)</f>
        <v>58.375</v>
      </c>
      <c r="Q1653" s="1071">
        <v>23750</v>
      </c>
      <c r="R1653" s="891"/>
      <c r="S1653" s="891"/>
      <c r="T1653" s="891"/>
      <c r="U1653" s="891"/>
      <c r="V1653" s="891"/>
      <c r="W1653" s="891"/>
      <c r="X1653" s="1026">
        <f>(Q1653+R1653+S1653+T1653+U1653+V1653+W1653)*M1653</f>
        <v>9500</v>
      </c>
      <c r="Y1653" s="1512">
        <f>(T1653+U1653)*M1653/(X1653-M1653*(T1653+U1653))</f>
        <v>0</v>
      </c>
      <c r="Z1653" s="1741">
        <f>M1653*(1+Y1653)</f>
        <v>0.4</v>
      </c>
      <c r="AA1653" s="1749">
        <f>SUM(AD1653:AS1653)</f>
        <v>0</v>
      </c>
      <c r="AB1653" s="1810">
        <f t="shared" si="1031"/>
        <v>0</v>
      </c>
      <c r="AC1653" s="876"/>
      <c r="AD1653" s="1525">
        <f t="shared" si="1032"/>
        <v>0</v>
      </c>
      <c r="AE1653" s="1525">
        <f t="shared" si="1032"/>
        <v>0</v>
      </c>
      <c r="AF1653" s="1525">
        <f t="shared" si="1032"/>
        <v>0</v>
      </c>
      <c r="AG1653" s="1525">
        <f t="shared" si="1032"/>
        <v>0</v>
      </c>
      <c r="AH1653" s="1525">
        <f t="shared" si="1032"/>
        <v>0</v>
      </c>
      <c r="AI1653" s="1525">
        <f t="shared" si="1032"/>
        <v>0</v>
      </c>
      <c r="AJ1653" s="1525">
        <f t="shared" si="1032"/>
        <v>0</v>
      </c>
      <c r="AK1653" s="1525">
        <f t="shared" si="1032"/>
        <v>0</v>
      </c>
      <c r="AL1653" s="1525">
        <f t="shared" si="1032"/>
        <v>0</v>
      </c>
      <c r="AM1653" s="1525">
        <f t="shared" si="1032"/>
        <v>0</v>
      </c>
      <c r="AN1653" s="1525">
        <f t="shared" si="1032"/>
        <v>0</v>
      </c>
      <c r="AO1653" s="1525">
        <f t="shared" si="1032"/>
        <v>0</v>
      </c>
      <c r="AP1653" s="1525">
        <f t="shared" si="1032"/>
        <v>0</v>
      </c>
      <c r="AQ1653" s="1525">
        <f t="shared" si="1032"/>
        <v>0</v>
      </c>
      <c r="AR1653" s="1525">
        <f t="shared" si="1032"/>
        <v>0</v>
      </c>
      <c r="AS1653" s="1525">
        <f t="shared" si="1032"/>
        <v>0</v>
      </c>
      <c r="AU1653" s="1525"/>
      <c r="AV1653" s="1291"/>
      <c r="AW1653" s="1292"/>
      <c r="AX1653" s="1292"/>
      <c r="AY1653" s="1292"/>
      <c r="AZ1653" s="1292"/>
      <c r="BA1653" s="1292"/>
      <c r="BB1653" s="1292"/>
      <c r="BC1653" s="1292"/>
      <c r="BD1653" s="1292"/>
      <c r="BE1653" s="1292"/>
      <c r="BF1653" s="1292"/>
      <c r="BG1653" s="1292"/>
      <c r="BH1653" s="1292"/>
      <c r="BI1653" s="1292"/>
      <c r="BJ1653" s="1292"/>
      <c r="BK1653" s="1292"/>
      <c r="BL1653" s="1292"/>
      <c r="BM1653" s="1292"/>
      <c r="BN1653" s="1292"/>
      <c r="BO1653" s="1292"/>
      <c r="BP1653" s="1292"/>
      <c r="BQ1653" s="1292"/>
      <c r="BR1653" s="1292"/>
      <c r="BS1653" s="1292"/>
      <c r="BT1653" s="1670">
        <f t="shared" si="1033"/>
        <v>0</v>
      </c>
      <c r="BW1653" s="894" t="s">
        <v>1925</v>
      </c>
    </row>
    <row r="1654" spans="2:75" s="164" customFormat="1" ht="12.75" customHeight="1" x14ac:dyDescent="0.15">
      <c r="B1654" s="175"/>
      <c r="C1654" s="219" t="s">
        <v>1120</v>
      </c>
      <c r="F1654" s="65" t="s">
        <v>1459</v>
      </c>
      <c r="G1654" s="799"/>
      <c r="H1654" s="1351" t="s">
        <v>1508</v>
      </c>
      <c r="K1654" s="446">
        <f>SUM(K1650:K1653)</f>
        <v>0</v>
      </c>
      <c r="L1654" s="892">
        <f>SUM(L1650:L1653)</f>
        <v>3.4</v>
      </c>
      <c r="M1654" s="892">
        <f>SUM(M1650:M1653)</f>
        <v>3.4</v>
      </c>
      <c r="N1654" s="799"/>
      <c r="O1654" s="1200"/>
      <c r="P1654" s="550"/>
      <c r="Q1654" s="1151"/>
      <c r="R1654" s="876"/>
      <c r="S1654" s="876"/>
      <c r="T1654" s="876"/>
      <c r="U1654" s="876"/>
      <c r="V1654" s="876"/>
      <c r="W1654" s="876"/>
      <c r="X1654" s="1026"/>
      <c r="Y1654" s="1335"/>
      <c r="Z1654" s="1335"/>
      <c r="AA1654" s="1749"/>
      <c r="AB1654" s="1812"/>
      <c r="AC1654" s="876"/>
      <c r="AD1654" s="1295"/>
      <c r="AE1654" s="1525"/>
      <c r="AF1654" s="1525"/>
      <c r="AG1654" s="1525"/>
      <c r="AH1654" s="1525"/>
      <c r="AI1654" s="1525"/>
      <c r="AJ1654" s="1525"/>
      <c r="AK1654" s="1525"/>
      <c r="AL1654" s="1525"/>
      <c r="AM1654" s="1525"/>
      <c r="AN1654" s="1525"/>
      <c r="AO1654" s="1525"/>
      <c r="AP1654" s="1525"/>
      <c r="AQ1654" s="1525"/>
      <c r="AR1654" s="1525"/>
      <c r="AS1654" s="1525"/>
      <c r="AU1654" s="1525"/>
      <c r="AV1654" s="1295"/>
      <c r="AW1654" s="1525"/>
      <c r="AX1654" s="1525"/>
      <c r="AY1654" s="1525"/>
      <c r="AZ1654" s="1525"/>
      <c r="BA1654" s="1525"/>
      <c r="BB1654" s="1525"/>
      <c r="BC1654" s="1525"/>
      <c r="BD1654" s="1525"/>
      <c r="BE1654" s="1525"/>
      <c r="BF1654" s="1525"/>
      <c r="BG1654" s="1525"/>
      <c r="BH1654" s="1525"/>
      <c r="BI1654" s="1525"/>
      <c r="BJ1654" s="1525"/>
      <c r="BK1654" s="1525"/>
      <c r="BL1654" s="1525"/>
      <c r="BM1654" s="1525"/>
      <c r="BN1654" s="1525"/>
      <c r="BO1654" s="1525"/>
      <c r="BP1654" s="1525"/>
      <c r="BQ1654" s="1525"/>
      <c r="BR1654" s="1525"/>
      <c r="BS1654" s="1525"/>
      <c r="BT1654" s="1670"/>
      <c r="BV1654"/>
      <c r="BW1654" s="799"/>
    </row>
    <row r="1655" spans="2:75" s="164" customFormat="1" ht="12.75" customHeight="1" x14ac:dyDescent="0.15">
      <c r="B1655" s="175"/>
      <c r="G1655" s="799"/>
      <c r="H1655" s="1341" t="s">
        <v>1508</v>
      </c>
      <c r="L1655" s="843"/>
      <c r="M1655" s="843"/>
      <c r="N1655" s="799"/>
      <c r="O1655" s="1200"/>
      <c r="P1655" s="550"/>
      <c r="Q1655" s="1151"/>
      <c r="R1655" s="876"/>
      <c r="S1655" s="876"/>
      <c r="T1655" s="876"/>
      <c r="U1655" s="876"/>
      <c r="V1655" s="876"/>
      <c r="W1655" s="876"/>
      <c r="X1655" s="1026"/>
      <c r="Y1655" s="1512"/>
      <c r="Z1655" s="1741"/>
      <c r="AA1655" s="1749"/>
      <c r="AB1655" s="1812"/>
      <c r="AC1655" s="876"/>
      <c r="AD1655" s="1295"/>
      <c r="AE1655" s="1525"/>
      <c r="AF1655" s="1525"/>
      <c r="AG1655" s="1525"/>
      <c r="AH1655" s="1525"/>
      <c r="AI1655" s="1525"/>
      <c r="AJ1655" s="1525"/>
      <c r="AK1655" s="1525"/>
      <c r="AL1655" s="1525"/>
      <c r="AM1655" s="1525"/>
      <c r="AN1655" s="1525"/>
      <c r="AO1655" s="1525"/>
      <c r="AP1655" s="1525"/>
      <c r="AQ1655" s="1525"/>
      <c r="AR1655" s="1525"/>
      <c r="AS1655" s="1525"/>
      <c r="AU1655" s="1525"/>
      <c r="AV1655" s="1295"/>
      <c r="AW1655" s="1525"/>
      <c r="AX1655" s="1525"/>
      <c r="AY1655" s="1525"/>
      <c r="AZ1655" s="1525"/>
      <c r="BA1655" s="1525"/>
      <c r="BB1655" s="1525"/>
      <c r="BC1655" s="1525"/>
      <c r="BD1655" s="1525"/>
      <c r="BE1655" s="1525"/>
      <c r="BF1655" s="1525"/>
      <c r="BG1655" s="1525"/>
      <c r="BH1655" s="1525"/>
      <c r="BI1655" s="1525"/>
      <c r="BJ1655" s="1525"/>
      <c r="BK1655" s="1525"/>
      <c r="BL1655" s="1525"/>
      <c r="BM1655" s="1525"/>
      <c r="BN1655" s="1525"/>
      <c r="BO1655" s="1525"/>
      <c r="BP1655" s="1525"/>
      <c r="BQ1655" s="1525"/>
      <c r="BR1655" s="1525"/>
      <c r="BS1655" s="1525"/>
      <c r="BT1655" s="1670"/>
      <c r="BV1655"/>
      <c r="BW1655" s="799"/>
    </row>
    <row r="1656" spans="2:75" s="164" customFormat="1" ht="12.75" customHeight="1" x14ac:dyDescent="0.15">
      <c r="B1656" s="175"/>
      <c r="F1656" t="s">
        <v>1425</v>
      </c>
      <c r="G1656" s="799"/>
      <c r="H1656" s="1341" t="s">
        <v>1508</v>
      </c>
      <c r="L1656" s="843"/>
      <c r="M1656" s="843"/>
      <c r="N1656" s="799"/>
      <c r="O1656" s="1200"/>
      <c r="P1656" s="550"/>
      <c r="Q1656" s="1151"/>
      <c r="R1656" s="876"/>
      <c r="S1656" s="876"/>
      <c r="T1656" s="876"/>
      <c r="U1656" s="876"/>
      <c r="V1656" s="876"/>
      <c r="W1656" s="876"/>
      <c r="X1656" s="1026"/>
      <c r="Y1656" s="1512"/>
      <c r="Z1656" s="1741"/>
      <c r="AA1656" s="1749"/>
      <c r="AB1656" s="1812"/>
      <c r="AC1656" s="876"/>
      <c r="AD1656" s="1295"/>
      <c r="AE1656" s="1525"/>
      <c r="AF1656" s="1525"/>
      <c r="AG1656" s="1525"/>
      <c r="AH1656" s="1525"/>
      <c r="AI1656" s="1525"/>
      <c r="AJ1656" s="1525"/>
      <c r="AK1656" s="1525"/>
      <c r="AL1656" s="1525"/>
      <c r="AM1656" s="1525"/>
      <c r="AN1656" s="1525"/>
      <c r="AO1656" s="1525"/>
      <c r="AP1656" s="1525"/>
      <c r="AQ1656" s="1525"/>
      <c r="AR1656" s="1525"/>
      <c r="AS1656" s="1525"/>
      <c r="AU1656" s="1525"/>
      <c r="AV1656" s="1295"/>
      <c r="AW1656" s="1525"/>
      <c r="AX1656" s="1525"/>
      <c r="AY1656" s="1525"/>
      <c r="AZ1656" s="1525"/>
      <c r="BA1656" s="1525"/>
      <c r="BB1656" s="1525"/>
      <c r="BC1656" s="1525"/>
      <c r="BD1656" s="1525"/>
      <c r="BE1656" s="1525"/>
      <c r="BF1656" s="1525"/>
      <c r="BG1656" s="1525"/>
      <c r="BH1656" s="1525"/>
      <c r="BI1656" s="1525"/>
      <c r="BJ1656" s="1525"/>
      <c r="BK1656" s="1525"/>
      <c r="BL1656" s="1525"/>
      <c r="BM1656" s="1525"/>
      <c r="BN1656" s="1525"/>
      <c r="BO1656" s="1525"/>
      <c r="BP1656" s="1525"/>
      <c r="BQ1656" s="1525"/>
      <c r="BR1656" s="1525"/>
      <c r="BS1656" s="1525"/>
      <c r="BT1656" s="1670"/>
      <c r="BV1656"/>
      <c r="BW1656" s="799"/>
    </row>
    <row r="1657" spans="2:75" s="164" customFormat="1" ht="12.75" customHeight="1" x14ac:dyDescent="0.15">
      <c r="B1657" s="175"/>
      <c r="G1657" s="799"/>
      <c r="H1657" s="1341" t="s">
        <v>1508</v>
      </c>
      <c r="L1657" s="843"/>
      <c r="M1657" s="843"/>
      <c r="N1657" s="799"/>
      <c r="O1657" s="1200"/>
      <c r="P1657" s="550"/>
      <c r="Q1657" s="1151"/>
      <c r="R1657" s="876"/>
      <c r="S1657" s="876"/>
      <c r="T1657" s="876"/>
      <c r="U1657" s="876"/>
      <c r="V1657" s="876"/>
      <c r="W1657" s="876"/>
      <c r="X1657" s="1026"/>
      <c r="Y1657" s="1512"/>
      <c r="Z1657" s="1741"/>
      <c r="AA1657" s="1749"/>
      <c r="AB1657" s="1812"/>
      <c r="AC1657" s="876"/>
      <c r="AD1657" s="1295"/>
      <c r="AE1657" s="1525"/>
      <c r="AF1657" s="1525"/>
      <c r="AG1657" s="1525"/>
      <c r="AH1657" s="1525"/>
      <c r="AI1657" s="1525"/>
      <c r="AJ1657" s="1525"/>
      <c r="AK1657" s="1525"/>
      <c r="AL1657" s="1525"/>
      <c r="AM1657" s="1525"/>
      <c r="AN1657" s="1525"/>
      <c r="AO1657" s="1525"/>
      <c r="AP1657" s="1525"/>
      <c r="AQ1657" s="1525"/>
      <c r="AR1657" s="1525"/>
      <c r="AS1657" s="1525"/>
      <c r="AU1657" s="1525"/>
      <c r="AV1657" s="1295"/>
      <c r="AW1657" s="1525"/>
      <c r="AX1657" s="1525"/>
      <c r="AY1657" s="1525"/>
      <c r="AZ1657" s="1525"/>
      <c r="BA1657" s="1525"/>
      <c r="BB1657" s="1525"/>
      <c r="BC1657" s="1525"/>
      <c r="BD1657" s="1525"/>
      <c r="BE1657" s="1525"/>
      <c r="BF1657" s="1525"/>
      <c r="BG1657" s="1525"/>
      <c r="BH1657" s="1525"/>
      <c r="BI1657" s="1525"/>
      <c r="BJ1657" s="1525"/>
      <c r="BK1657" s="1525"/>
      <c r="BL1657" s="1525"/>
      <c r="BM1657" s="1525"/>
      <c r="BN1657" s="1525"/>
      <c r="BO1657" s="1525"/>
      <c r="BP1657" s="1525"/>
      <c r="BQ1657" s="1525"/>
      <c r="BR1657" s="1525"/>
      <c r="BS1657" s="1525"/>
      <c r="BT1657" s="1670"/>
      <c r="BV1657"/>
      <c r="BW1657" s="799"/>
    </row>
    <row r="1658" spans="2:75" ht="12.75" customHeight="1" x14ac:dyDescent="0.2">
      <c r="B1658" s="175">
        <f t="shared" si="1030"/>
        <v>1</v>
      </c>
      <c r="C1658" s="220">
        <v>11</v>
      </c>
      <c r="D1658" s="170"/>
      <c r="E1658" s="447" t="s">
        <v>1488</v>
      </c>
      <c r="F1658" s="23" t="s">
        <v>1065</v>
      </c>
      <c r="G1658" s="844" t="s">
        <v>1426</v>
      </c>
      <c r="H1658" s="861">
        <v>3404</v>
      </c>
      <c r="I1658" s="272" t="s">
        <v>161</v>
      </c>
      <c r="J1658" s="170"/>
      <c r="K1658" s="170"/>
      <c r="L1658" s="950">
        <v>1</v>
      </c>
      <c r="M1658" s="861">
        <f>K1658+L1658</f>
        <v>1</v>
      </c>
      <c r="N1658" s="833" t="s">
        <v>892</v>
      </c>
      <c r="O1658" s="1196">
        <v>18639</v>
      </c>
      <c r="P1658" s="1262">
        <f ca="1">YEARFRAC(TODAY(),O1658)</f>
        <v>66.724999999999994</v>
      </c>
      <c r="Q1658" s="1148">
        <v>32000</v>
      </c>
      <c r="R1658" s="874"/>
      <c r="S1658" s="876"/>
      <c r="T1658" s="876"/>
      <c r="U1658" s="876"/>
      <c r="V1658" s="876"/>
      <c r="W1658" s="876"/>
      <c r="X1658" s="1026">
        <f>(Q1658+R1658+S1658+T1658+U1658+V1658+W1658)*M1658</f>
        <v>32000</v>
      </c>
      <c r="Y1658" s="1512">
        <f>(T1658+U1658)*M1658/(X1658-M1658*(T1658+U1658))</f>
        <v>0</v>
      </c>
      <c r="Z1658" s="1741">
        <f>M1658*(1+Y1658)</f>
        <v>1</v>
      </c>
      <c r="AA1658" s="1749">
        <f>SUM(AD1658:AS1658)</f>
        <v>0</v>
      </c>
      <c r="AB1658" s="1810">
        <f t="shared" ref="AB1658:AB1661" si="1034">100*AA1658/Z1658</f>
        <v>0</v>
      </c>
      <c r="AC1658" s="876"/>
      <c r="AD1658" s="1525">
        <f t="shared" ref="AD1658:AS1661" si="1035">SUMIF($AV$6:$BS$6,AD$5,$AV1658:$BS1658)</f>
        <v>0</v>
      </c>
      <c r="AE1658" s="1525">
        <f t="shared" si="1035"/>
        <v>0</v>
      </c>
      <c r="AF1658" s="1525">
        <f t="shared" si="1035"/>
        <v>0</v>
      </c>
      <c r="AG1658" s="1525">
        <f t="shared" si="1035"/>
        <v>0</v>
      </c>
      <c r="AH1658" s="1525">
        <f t="shared" si="1035"/>
        <v>0</v>
      </c>
      <c r="AI1658" s="1525">
        <f t="shared" si="1035"/>
        <v>0</v>
      </c>
      <c r="AJ1658" s="1525">
        <f t="shared" si="1035"/>
        <v>0</v>
      </c>
      <c r="AK1658" s="1525">
        <f t="shared" si="1035"/>
        <v>0</v>
      </c>
      <c r="AL1658" s="1525">
        <f t="shared" si="1035"/>
        <v>0</v>
      </c>
      <c r="AM1658" s="1525">
        <f t="shared" si="1035"/>
        <v>0</v>
      </c>
      <c r="AN1658" s="1525">
        <f t="shared" si="1035"/>
        <v>0</v>
      </c>
      <c r="AO1658" s="1525">
        <f t="shared" si="1035"/>
        <v>0</v>
      </c>
      <c r="AP1658" s="1525">
        <f t="shared" si="1035"/>
        <v>0</v>
      </c>
      <c r="AQ1658" s="1525">
        <f t="shared" si="1035"/>
        <v>0</v>
      </c>
      <c r="AR1658" s="1525">
        <f t="shared" si="1035"/>
        <v>0</v>
      </c>
      <c r="AS1658" s="1525">
        <f t="shared" si="1035"/>
        <v>0</v>
      </c>
      <c r="AU1658" s="1525"/>
      <c r="AV1658" s="1291"/>
      <c r="AW1658" s="1292"/>
      <c r="AX1658" s="1292"/>
      <c r="AY1658" s="1292"/>
      <c r="AZ1658" s="1292"/>
      <c r="BA1658" s="1292"/>
      <c r="BB1658" s="1292"/>
      <c r="BC1658" s="1292"/>
      <c r="BD1658" s="1292"/>
      <c r="BE1658" s="1292"/>
      <c r="BF1658" s="1292"/>
      <c r="BG1658" s="1292"/>
      <c r="BH1658" s="1292"/>
      <c r="BI1658" s="1292"/>
      <c r="BJ1658" s="1292"/>
      <c r="BK1658" s="1292"/>
      <c r="BL1658" s="1292"/>
      <c r="BM1658" s="1292"/>
      <c r="BN1658" s="1292"/>
      <c r="BO1658" s="1292"/>
      <c r="BP1658" s="1292"/>
      <c r="BQ1658" s="1292"/>
      <c r="BR1658" s="1292"/>
      <c r="BS1658" s="1292"/>
      <c r="BT1658" s="1670">
        <f t="shared" ref="BT1658:BT1661" si="1036">SUM(AV1658:BS1658)</f>
        <v>0</v>
      </c>
      <c r="BW1658" s="844" t="s">
        <v>1426</v>
      </c>
    </row>
    <row r="1659" spans="2:75" ht="12.75" customHeight="1" x14ac:dyDescent="0.2">
      <c r="B1659" s="175">
        <f t="shared" si="1030"/>
        <v>2</v>
      </c>
      <c r="C1659" s="219">
        <v>18</v>
      </c>
      <c r="E1659" s="12" t="s">
        <v>1488</v>
      </c>
      <c r="F1659" t="s">
        <v>1427</v>
      </c>
      <c r="G1659" s="799" t="s">
        <v>1428</v>
      </c>
      <c r="H1659" s="858">
        <v>20250</v>
      </c>
      <c r="I1659" s="232" t="s">
        <v>1442</v>
      </c>
      <c r="L1659" s="843">
        <v>1</v>
      </c>
      <c r="M1659" s="858">
        <f>K1659+L1659</f>
        <v>1</v>
      </c>
      <c r="N1659" s="831" t="s">
        <v>892</v>
      </c>
      <c r="O1659" s="1196">
        <v>21205</v>
      </c>
      <c r="P1659" s="1218">
        <f ca="1">YEARFRAC(TODAY(),O1659)</f>
        <v>59.7</v>
      </c>
      <c r="Q1659" s="1148">
        <v>24800</v>
      </c>
      <c r="R1659" s="874"/>
      <c r="S1659" s="875"/>
      <c r="T1659" s="875"/>
      <c r="U1659" s="875"/>
      <c r="V1659" s="875"/>
      <c r="W1659" s="875"/>
      <c r="X1659" s="1026">
        <f>(Q1659+R1659+S1659+T1659+U1659+V1659+W1659)*M1659</f>
        <v>24800</v>
      </c>
      <c r="Y1659" s="1512">
        <f>(T1659+U1659)*M1659/(X1659-M1659*(T1659+U1659))</f>
        <v>0</v>
      </c>
      <c r="Z1659" s="1741">
        <f>M1659*(1+Y1659)</f>
        <v>1</v>
      </c>
      <c r="AA1659" s="1749">
        <f>SUM(AD1659:AS1659)</f>
        <v>0</v>
      </c>
      <c r="AB1659" s="1810">
        <f t="shared" si="1034"/>
        <v>0</v>
      </c>
      <c r="AC1659" s="876"/>
      <c r="AD1659" s="1525">
        <f t="shared" si="1035"/>
        <v>0</v>
      </c>
      <c r="AE1659" s="1525">
        <f t="shared" si="1035"/>
        <v>0</v>
      </c>
      <c r="AF1659" s="1525">
        <f t="shared" si="1035"/>
        <v>0</v>
      </c>
      <c r="AG1659" s="1525">
        <f t="shared" si="1035"/>
        <v>0</v>
      </c>
      <c r="AH1659" s="1525">
        <f t="shared" si="1035"/>
        <v>0</v>
      </c>
      <c r="AI1659" s="1525">
        <f t="shared" si="1035"/>
        <v>0</v>
      </c>
      <c r="AJ1659" s="1525">
        <f t="shared" si="1035"/>
        <v>0</v>
      </c>
      <c r="AK1659" s="1525">
        <f t="shared" si="1035"/>
        <v>0</v>
      </c>
      <c r="AL1659" s="1525">
        <f t="shared" si="1035"/>
        <v>0</v>
      </c>
      <c r="AM1659" s="1525">
        <f t="shared" si="1035"/>
        <v>0</v>
      </c>
      <c r="AN1659" s="1525">
        <f t="shared" si="1035"/>
        <v>0</v>
      </c>
      <c r="AO1659" s="1525">
        <f t="shared" si="1035"/>
        <v>0</v>
      </c>
      <c r="AP1659" s="1525">
        <f t="shared" si="1035"/>
        <v>0</v>
      </c>
      <c r="AQ1659" s="1525">
        <f t="shared" si="1035"/>
        <v>0</v>
      </c>
      <c r="AR1659" s="1525">
        <f t="shared" si="1035"/>
        <v>0</v>
      </c>
      <c r="AS1659" s="1525">
        <f t="shared" si="1035"/>
        <v>0</v>
      </c>
      <c r="AU1659" s="1525"/>
      <c r="AV1659" s="1291"/>
      <c r="AW1659" s="1292"/>
      <c r="AX1659" s="1292"/>
      <c r="AY1659" s="1292"/>
      <c r="AZ1659" s="1292"/>
      <c r="BA1659" s="1292"/>
      <c r="BB1659" s="1292"/>
      <c r="BC1659" s="1292"/>
      <c r="BD1659" s="1292"/>
      <c r="BE1659" s="1292"/>
      <c r="BF1659" s="1292"/>
      <c r="BG1659" s="1292"/>
      <c r="BH1659" s="1292"/>
      <c r="BI1659" s="1292"/>
      <c r="BJ1659" s="1292"/>
      <c r="BK1659" s="1292"/>
      <c r="BL1659" s="1292"/>
      <c r="BM1659" s="1292"/>
      <c r="BN1659" s="1292"/>
      <c r="BO1659" s="1292"/>
      <c r="BP1659" s="1292"/>
      <c r="BQ1659" s="1292"/>
      <c r="BR1659" s="1292"/>
      <c r="BS1659" s="1292"/>
      <c r="BT1659" s="1670">
        <f t="shared" si="1036"/>
        <v>0</v>
      </c>
      <c r="BW1659" s="799" t="s">
        <v>1428</v>
      </c>
    </row>
    <row r="1660" spans="2:75" ht="12.75" customHeight="1" x14ac:dyDescent="0.2">
      <c r="B1660" s="175">
        <f t="shared" si="1030"/>
        <v>3</v>
      </c>
      <c r="C1660" s="219">
        <v>18</v>
      </c>
      <c r="E1660" s="12" t="s">
        <v>1488</v>
      </c>
      <c r="F1660" t="s">
        <v>1429</v>
      </c>
      <c r="G1660" s="799" t="s">
        <v>1430</v>
      </c>
      <c r="H1660" s="858">
        <v>3395</v>
      </c>
      <c r="I1660" s="232" t="s">
        <v>1442</v>
      </c>
      <c r="L1660" s="843">
        <v>1</v>
      </c>
      <c r="M1660" s="858">
        <f>K1660+L1660</f>
        <v>1</v>
      </c>
      <c r="N1660" s="831" t="s">
        <v>892</v>
      </c>
      <c r="O1660" s="1196">
        <v>19532</v>
      </c>
      <c r="P1660" s="1218">
        <f ca="1">YEARFRAC(TODAY(),O1660)</f>
        <v>64.277777777777771</v>
      </c>
      <c r="Q1660" s="1148">
        <v>27200</v>
      </c>
      <c r="R1660" s="874"/>
      <c r="S1660" s="875"/>
      <c r="T1660" s="875"/>
      <c r="U1660" s="875"/>
      <c r="V1660" s="875"/>
      <c r="W1660" s="875"/>
      <c r="X1660" s="1026">
        <f>(Q1660+R1660+S1660+T1660+U1660+V1660+W1660)*M1660</f>
        <v>27200</v>
      </c>
      <c r="Y1660" s="1512">
        <f>(T1660+U1660)*M1660/(X1660-M1660*(T1660+U1660))</f>
        <v>0</v>
      </c>
      <c r="Z1660" s="1741">
        <f>M1660*(1+Y1660)</f>
        <v>1</v>
      </c>
      <c r="AA1660" s="1749">
        <f>SUM(AD1660:AS1660)</f>
        <v>0</v>
      </c>
      <c r="AB1660" s="1810">
        <f t="shared" si="1034"/>
        <v>0</v>
      </c>
      <c r="AC1660" s="876"/>
      <c r="AD1660" s="1525">
        <f t="shared" si="1035"/>
        <v>0</v>
      </c>
      <c r="AE1660" s="1525">
        <f t="shared" si="1035"/>
        <v>0</v>
      </c>
      <c r="AF1660" s="1525">
        <f t="shared" si="1035"/>
        <v>0</v>
      </c>
      <c r="AG1660" s="1525">
        <f t="shared" si="1035"/>
        <v>0</v>
      </c>
      <c r="AH1660" s="1525">
        <f t="shared" si="1035"/>
        <v>0</v>
      </c>
      <c r="AI1660" s="1525">
        <f t="shared" si="1035"/>
        <v>0</v>
      </c>
      <c r="AJ1660" s="1525">
        <f t="shared" si="1035"/>
        <v>0</v>
      </c>
      <c r="AK1660" s="1525">
        <f t="shared" si="1035"/>
        <v>0</v>
      </c>
      <c r="AL1660" s="1525">
        <f t="shared" si="1035"/>
        <v>0</v>
      </c>
      <c r="AM1660" s="1525">
        <f t="shared" si="1035"/>
        <v>0</v>
      </c>
      <c r="AN1660" s="1525">
        <f t="shared" si="1035"/>
        <v>0</v>
      </c>
      <c r="AO1660" s="1525">
        <f t="shared" si="1035"/>
        <v>0</v>
      </c>
      <c r="AP1660" s="1525">
        <f t="shared" si="1035"/>
        <v>0</v>
      </c>
      <c r="AQ1660" s="1525">
        <f t="shared" si="1035"/>
        <v>0</v>
      </c>
      <c r="AR1660" s="1525">
        <f t="shared" si="1035"/>
        <v>0</v>
      </c>
      <c r="AS1660" s="1525">
        <f t="shared" si="1035"/>
        <v>0</v>
      </c>
      <c r="AU1660" s="1525"/>
      <c r="AV1660" s="1291"/>
      <c r="AW1660" s="1292"/>
      <c r="AX1660" s="1292"/>
      <c r="AY1660" s="1292"/>
      <c r="AZ1660" s="1292"/>
      <c r="BA1660" s="1292"/>
      <c r="BB1660" s="1292"/>
      <c r="BC1660" s="1292"/>
      <c r="BD1660" s="1292"/>
      <c r="BE1660" s="1292"/>
      <c r="BF1660" s="1292"/>
      <c r="BG1660" s="1292"/>
      <c r="BH1660" s="1292"/>
      <c r="BI1660" s="1292"/>
      <c r="BJ1660" s="1292"/>
      <c r="BK1660" s="1292"/>
      <c r="BL1660" s="1292"/>
      <c r="BM1660" s="1292"/>
      <c r="BN1660" s="1292"/>
      <c r="BO1660" s="1292"/>
      <c r="BP1660" s="1292"/>
      <c r="BQ1660" s="1292"/>
      <c r="BR1660" s="1292"/>
      <c r="BS1660" s="1292"/>
      <c r="BT1660" s="1670">
        <f t="shared" si="1036"/>
        <v>0</v>
      </c>
      <c r="BW1660" s="799" t="s">
        <v>1430</v>
      </c>
    </row>
    <row r="1661" spans="2:75" ht="12.75" customHeight="1" x14ac:dyDescent="0.2">
      <c r="B1661" s="175">
        <f t="shared" si="1030"/>
        <v>4</v>
      </c>
      <c r="C1661" s="219">
        <v>18</v>
      </c>
      <c r="E1661" s="12" t="s">
        <v>1488</v>
      </c>
      <c r="F1661" t="s">
        <v>623</v>
      </c>
      <c r="G1661" s="799" t="s">
        <v>624</v>
      </c>
      <c r="H1661" s="858">
        <v>3385</v>
      </c>
      <c r="I1661" s="232" t="s">
        <v>1442</v>
      </c>
      <c r="L1661" s="843">
        <v>1</v>
      </c>
      <c r="M1661" s="858">
        <f>K1661+L1661</f>
        <v>1</v>
      </c>
      <c r="N1661" s="831" t="s">
        <v>892</v>
      </c>
      <c r="O1661" s="1196">
        <v>19399</v>
      </c>
      <c r="P1661" s="1218">
        <f ca="1">YEARFRAC(TODAY(),O1661)</f>
        <v>64.647222222222226</v>
      </c>
      <c r="Q1661" s="1148">
        <v>25400</v>
      </c>
      <c r="R1661" s="874"/>
      <c r="S1661" s="875"/>
      <c r="T1661" s="875"/>
      <c r="U1661" s="875"/>
      <c r="V1661" s="875"/>
      <c r="W1661" s="875"/>
      <c r="X1661" s="1026">
        <f>(Q1661+R1661+S1661+T1661+U1661+V1661+W1661)*M1661</f>
        <v>25400</v>
      </c>
      <c r="Y1661" s="1512">
        <f>(T1661+U1661)*M1661/(X1661-M1661*(T1661+U1661))</f>
        <v>0</v>
      </c>
      <c r="Z1661" s="1741">
        <f>M1661*(1+Y1661)</f>
        <v>1</v>
      </c>
      <c r="AA1661" s="1749">
        <f>SUM(AD1661:AS1661)</f>
        <v>0</v>
      </c>
      <c r="AB1661" s="1810">
        <f t="shared" si="1034"/>
        <v>0</v>
      </c>
      <c r="AC1661" s="876"/>
      <c r="AD1661" s="1525">
        <f t="shared" si="1035"/>
        <v>0</v>
      </c>
      <c r="AE1661" s="1525">
        <f t="shared" si="1035"/>
        <v>0</v>
      </c>
      <c r="AF1661" s="1525">
        <f t="shared" si="1035"/>
        <v>0</v>
      </c>
      <c r="AG1661" s="1525">
        <f t="shared" si="1035"/>
        <v>0</v>
      </c>
      <c r="AH1661" s="1525">
        <f t="shared" si="1035"/>
        <v>0</v>
      </c>
      <c r="AI1661" s="1525">
        <f t="shared" si="1035"/>
        <v>0</v>
      </c>
      <c r="AJ1661" s="1525">
        <f t="shared" si="1035"/>
        <v>0</v>
      </c>
      <c r="AK1661" s="1525">
        <f t="shared" si="1035"/>
        <v>0</v>
      </c>
      <c r="AL1661" s="1525">
        <f t="shared" si="1035"/>
        <v>0</v>
      </c>
      <c r="AM1661" s="1525">
        <f t="shared" si="1035"/>
        <v>0</v>
      </c>
      <c r="AN1661" s="1525">
        <f t="shared" si="1035"/>
        <v>0</v>
      </c>
      <c r="AO1661" s="1525">
        <f t="shared" si="1035"/>
        <v>0</v>
      </c>
      <c r="AP1661" s="1525">
        <f t="shared" si="1035"/>
        <v>0</v>
      </c>
      <c r="AQ1661" s="1525">
        <f t="shared" si="1035"/>
        <v>0</v>
      </c>
      <c r="AR1661" s="1525">
        <f t="shared" si="1035"/>
        <v>0</v>
      </c>
      <c r="AS1661" s="1525">
        <f t="shared" si="1035"/>
        <v>0</v>
      </c>
      <c r="AU1661" s="1525"/>
      <c r="AV1661" s="1291"/>
      <c r="AW1661" s="1292"/>
      <c r="AX1661" s="1292"/>
      <c r="AY1661" s="1292"/>
      <c r="AZ1661" s="1292"/>
      <c r="BA1661" s="1292"/>
      <c r="BB1661" s="1292"/>
      <c r="BC1661" s="1292"/>
      <c r="BD1661" s="1292"/>
      <c r="BE1661" s="1292"/>
      <c r="BF1661" s="1292"/>
      <c r="BG1661" s="1292"/>
      <c r="BH1661" s="1292"/>
      <c r="BI1661" s="1292"/>
      <c r="BJ1661" s="1292"/>
      <c r="BK1661" s="1292"/>
      <c r="BL1661" s="1292"/>
      <c r="BM1661" s="1292"/>
      <c r="BN1661" s="1292"/>
      <c r="BO1661" s="1292"/>
      <c r="BP1661" s="1292"/>
      <c r="BQ1661" s="1292"/>
      <c r="BR1661" s="1292"/>
      <c r="BS1661" s="1292"/>
      <c r="BT1661" s="1670">
        <f t="shared" si="1036"/>
        <v>0</v>
      </c>
      <c r="BW1661" s="799" t="s">
        <v>624</v>
      </c>
    </row>
    <row r="1662" spans="2:75" s="164" customFormat="1" ht="12.75" customHeight="1" x14ac:dyDescent="0.2">
      <c r="B1662" s="175"/>
      <c r="C1662" s="219"/>
      <c r="E1662" s="12"/>
      <c r="F1662" s="20"/>
      <c r="G1662" s="894"/>
      <c r="H1662" s="1354" t="s">
        <v>1508</v>
      </c>
      <c r="I1662" s="232"/>
      <c r="K1662" s="185"/>
      <c r="L1662" s="951"/>
      <c r="M1662" s="873"/>
      <c r="N1662" s="958"/>
      <c r="O1662" s="1210"/>
      <c r="P1662" s="1226"/>
      <c r="Q1662" s="1071"/>
      <c r="R1662" s="890"/>
      <c r="S1662" s="891"/>
      <c r="T1662" s="891"/>
      <c r="U1662" s="891"/>
      <c r="V1662" s="891"/>
      <c r="W1662" s="891"/>
      <c r="X1662" s="1043"/>
      <c r="Y1662" s="1513"/>
      <c r="Z1662" s="1743"/>
      <c r="AA1662" s="1749"/>
      <c r="AB1662" s="1812"/>
      <c r="AC1662" s="876"/>
      <c r="AD1662" s="1295"/>
      <c r="AE1662" s="1525"/>
      <c r="AF1662" s="1525"/>
      <c r="AG1662" s="1525"/>
      <c r="AH1662" s="1525"/>
      <c r="AI1662" s="1525"/>
      <c r="AJ1662" s="1525"/>
      <c r="AK1662" s="1525"/>
      <c r="AL1662" s="1525"/>
      <c r="AM1662" s="1525"/>
      <c r="AN1662" s="1525"/>
      <c r="AO1662" s="1525"/>
      <c r="AP1662" s="1525"/>
      <c r="AQ1662" s="1525"/>
      <c r="AR1662" s="1525"/>
      <c r="AS1662" s="1525"/>
      <c r="AU1662" s="1525"/>
      <c r="AV1662" s="1295"/>
      <c r="AW1662" s="1525"/>
      <c r="AX1662" s="1525"/>
      <c r="AY1662" s="1525"/>
      <c r="AZ1662" s="1525"/>
      <c r="BA1662" s="1525"/>
      <c r="BB1662" s="1525"/>
      <c r="BC1662" s="1525"/>
      <c r="BD1662" s="1525"/>
      <c r="BE1662" s="1525"/>
      <c r="BF1662" s="1525"/>
      <c r="BG1662" s="1525"/>
      <c r="BH1662" s="1525"/>
      <c r="BI1662" s="1525"/>
      <c r="BJ1662" s="1525"/>
      <c r="BK1662" s="1525"/>
      <c r="BL1662" s="1525"/>
      <c r="BM1662" s="1525"/>
      <c r="BN1662" s="1525"/>
      <c r="BO1662" s="1525"/>
      <c r="BP1662" s="1525"/>
      <c r="BQ1662" s="1525"/>
      <c r="BR1662" s="1525"/>
      <c r="BS1662" s="1525"/>
      <c r="BT1662" s="1670"/>
      <c r="BV1662"/>
      <c r="BW1662" s="894"/>
    </row>
    <row r="1663" spans="2:75" s="164" customFormat="1" ht="12.75" customHeight="1" x14ac:dyDescent="0.15">
      <c r="B1663" s="175"/>
      <c r="C1663" s="219" t="s">
        <v>1120</v>
      </c>
      <c r="F1663" s="333" t="s">
        <v>1289</v>
      </c>
      <c r="G1663" s="844"/>
      <c r="H1663" s="1351" t="s">
        <v>1508</v>
      </c>
      <c r="I1663" s="334"/>
      <c r="J1663" s="332"/>
      <c r="K1663" s="449">
        <f>SUM(K1658:K1662)</f>
        <v>0</v>
      </c>
      <c r="L1663" s="903">
        <f>SUM(L1658:L1662)</f>
        <v>4</v>
      </c>
      <c r="M1663" s="903">
        <f>SUM(M1658:M1662)</f>
        <v>4</v>
      </c>
      <c r="N1663" s="833"/>
      <c r="O1663" s="1200"/>
      <c r="P1663" s="550"/>
      <c r="Q1663" s="1153"/>
      <c r="R1663" s="877"/>
      <c r="S1663" s="875"/>
      <c r="T1663" s="875"/>
      <c r="U1663" s="875"/>
      <c r="V1663" s="875"/>
      <c r="W1663" s="875"/>
      <c r="X1663" s="1026"/>
      <c r="Y1663" s="875"/>
      <c r="Z1663" s="875"/>
      <c r="AA1663" s="1749"/>
      <c r="AB1663" s="1812"/>
      <c r="AC1663" s="876"/>
      <c r="AD1663" s="1295"/>
      <c r="AE1663" s="1525"/>
      <c r="AF1663" s="1525"/>
      <c r="AG1663" s="1525"/>
      <c r="AH1663" s="1525"/>
      <c r="AI1663" s="1525"/>
      <c r="AJ1663" s="1525"/>
      <c r="AK1663" s="1525"/>
      <c r="AL1663" s="1525"/>
      <c r="AM1663" s="1525"/>
      <c r="AN1663" s="1525"/>
      <c r="AO1663" s="1525"/>
      <c r="AP1663" s="1525"/>
      <c r="AQ1663" s="1525"/>
      <c r="AR1663" s="1525"/>
      <c r="AS1663" s="1525"/>
      <c r="AU1663" s="1525"/>
      <c r="AV1663" s="1295"/>
      <c r="AW1663" s="1525"/>
      <c r="AX1663" s="1525"/>
      <c r="AY1663" s="1525"/>
      <c r="AZ1663" s="1525"/>
      <c r="BA1663" s="1525"/>
      <c r="BB1663" s="1525"/>
      <c r="BC1663" s="1525"/>
      <c r="BD1663" s="1525"/>
      <c r="BE1663" s="1525"/>
      <c r="BF1663" s="1525"/>
      <c r="BG1663" s="1525"/>
      <c r="BH1663" s="1525"/>
      <c r="BI1663" s="1525"/>
      <c r="BJ1663" s="1525"/>
      <c r="BK1663" s="1525"/>
      <c r="BL1663" s="1525"/>
      <c r="BM1663" s="1525"/>
      <c r="BN1663" s="1525"/>
      <c r="BO1663" s="1525"/>
      <c r="BP1663" s="1525"/>
      <c r="BQ1663" s="1525"/>
      <c r="BR1663" s="1525"/>
      <c r="BS1663" s="1525"/>
      <c r="BT1663" s="1670"/>
      <c r="BV1663"/>
      <c r="BW1663" s="844"/>
    </row>
    <row r="1664" spans="2:75" s="164" customFormat="1" ht="12.75" customHeight="1" x14ac:dyDescent="0.15">
      <c r="B1664" s="175"/>
      <c r="C1664" s="671" t="s">
        <v>344</v>
      </c>
      <c r="D1664" s="672" t="s">
        <v>346</v>
      </c>
      <c r="E1664" s="673" t="s">
        <v>1488</v>
      </c>
      <c r="F1664" s="1667" t="s">
        <v>2099</v>
      </c>
      <c r="G1664" s="1000">
        <f>COUNTA(G1649:G1663)</f>
        <v>8</v>
      </c>
      <c r="H1664" s="1398" t="s">
        <v>1508</v>
      </c>
      <c r="I1664" s="697"/>
      <c r="J1664" s="672"/>
      <c r="K1664" s="698">
        <f>K1654+K1663</f>
        <v>0</v>
      </c>
      <c r="L1664" s="1000">
        <f>L1654+L1663</f>
        <v>7.4</v>
      </c>
      <c r="M1664" s="1000">
        <f>M1654+M1663</f>
        <v>7.4</v>
      </c>
      <c r="N1664" s="1004"/>
      <c r="O1664" s="1004"/>
      <c r="P1664" s="1258"/>
      <c r="Q1664" s="1154"/>
      <c r="R1664" s="887"/>
      <c r="S1664" s="880"/>
      <c r="T1664" s="880"/>
      <c r="U1664" s="880"/>
      <c r="V1664" s="880"/>
      <c r="W1664" s="880"/>
      <c r="X1664" s="1276">
        <f>SUM(X1650:X1663)</f>
        <v>240300</v>
      </c>
      <c r="Y1664" s="880"/>
      <c r="Z1664" s="1777">
        <f>SUM(Z1650:Z1663)</f>
        <v>7.4</v>
      </c>
      <c r="AA1664" s="1777">
        <f>SUM(AA1650:AA1663)</f>
        <v>1</v>
      </c>
      <c r="AB1664" s="1813">
        <f t="shared" ref="AB1664" si="1037">100*AA1664/Z1664</f>
        <v>13.513513513513512</v>
      </c>
      <c r="AC1664" s="1721"/>
      <c r="AD1664" s="1295"/>
      <c r="AE1664" s="1525"/>
      <c r="AF1664" s="1525"/>
      <c r="AG1664" s="1525"/>
      <c r="AH1664" s="1525"/>
      <c r="AI1664" s="1525"/>
      <c r="AJ1664" s="1525"/>
      <c r="AK1664" s="1525"/>
      <c r="AL1664" s="1525"/>
      <c r="AM1664" s="1525"/>
      <c r="AN1664" s="1525"/>
      <c r="AO1664" s="1525"/>
      <c r="AP1664" s="1525"/>
      <c r="AQ1664" s="1525"/>
      <c r="AR1664" s="1525"/>
      <c r="AS1664" s="1525"/>
      <c r="AU1664" s="1525"/>
      <c r="AV1664" s="1295"/>
      <c r="AW1664" s="1525"/>
      <c r="AX1664" s="1525"/>
      <c r="AY1664" s="1525"/>
      <c r="AZ1664" s="1525"/>
      <c r="BA1664" s="1525"/>
      <c r="BB1664" s="1525"/>
      <c r="BC1664" s="1525"/>
      <c r="BD1664" s="1525"/>
      <c r="BE1664" s="1525"/>
      <c r="BF1664" s="1525"/>
      <c r="BG1664" s="1525"/>
      <c r="BH1664" s="1525"/>
      <c r="BI1664" s="1525"/>
      <c r="BJ1664" s="1525"/>
      <c r="BK1664" s="1525"/>
      <c r="BL1664" s="1525"/>
      <c r="BM1664" s="1525"/>
      <c r="BN1664" s="1525"/>
      <c r="BO1664" s="1525"/>
      <c r="BP1664" s="1525"/>
      <c r="BQ1664" s="1525"/>
      <c r="BR1664" s="1525"/>
      <c r="BS1664" s="1525"/>
      <c r="BT1664" s="1670"/>
      <c r="BV1664"/>
      <c r="BW1664" s="1012"/>
    </row>
    <row r="1665" spans="1:75" s="164" customFormat="1" ht="12.75" customHeight="1" x14ac:dyDescent="0.15">
      <c r="B1665" s="175"/>
      <c r="C1665" s="423" t="s">
        <v>136</v>
      </c>
      <c r="D1665" s="423"/>
      <c r="E1665" s="424" t="s">
        <v>1488</v>
      </c>
      <c r="F1665" s="424" t="s">
        <v>893</v>
      </c>
      <c r="G1665" s="867"/>
      <c r="H1665" s="1349" t="s">
        <v>1508</v>
      </c>
      <c r="I1665" s="426"/>
      <c r="J1665" s="425"/>
      <c r="K1665" s="425"/>
      <c r="L1665" s="866"/>
      <c r="M1665" s="866"/>
      <c r="N1665" s="926"/>
      <c r="O1665" s="926"/>
      <c r="P1665" s="1247"/>
      <c r="Q1665" s="1158"/>
      <c r="R1665" s="1027"/>
      <c r="S1665" s="1028"/>
      <c r="T1665" s="1028"/>
      <c r="U1665" s="1028"/>
      <c r="V1665" s="1028"/>
      <c r="W1665" s="1028"/>
      <c r="X1665" s="1697">
        <v>23000</v>
      </c>
      <c r="Y1665" s="1052"/>
      <c r="Z1665" s="1052"/>
      <c r="AA1665" s="1749"/>
      <c r="AB1665" s="1812"/>
      <c r="AC1665" s="876"/>
      <c r="AD1665" s="1295"/>
      <c r="AE1665" s="1525"/>
      <c r="AF1665" s="1525"/>
      <c r="AG1665" s="1525"/>
      <c r="AH1665" s="1525"/>
      <c r="AI1665" s="1525"/>
      <c r="AJ1665" s="1525"/>
      <c r="AK1665" s="1525"/>
      <c r="AL1665" s="1525"/>
      <c r="AM1665" s="1525"/>
      <c r="AN1665" s="1525"/>
      <c r="AO1665" s="1525"/>
      <c r="AP1665" s="1525"/>
      <c r="AQ1665" s="1525"/>
      <c r="AR1665" s="1525"/>
      <c r="AS1665" s="1525"/>
      <c r="AU1665" s="1525"/>
      <c r="AV1665" s="1295"/>
      <c r="AW1665" s="1525"/>
      <c r="AX1665" s="1525"/>
      <c r="AY1665" s="1525"/>
      <c r="AZ1665" s="1525"/>
      <c r="BA1665" s="1525"/>
      <c r="BB1665" s="1525"/>
      <c r="BC1665" s="1525"/>
      <c r="BD1665" s="1525"/>
      <c r="BE1665" s="1525"/>
      <c r="BF1665" s="1525"/>
      <c r="BG1665" s="1525"/>
      <c r="BH1665" s="1525"/>
      <c r="BI1665" s="1525"/>
      <c r="BJ1665" s="1525"/>
      <c r="BK1665" s="1525"/>
      <c r="BL1665" s="1525"/>
      <c r="BM1665" s="1525"/>
      <c r="BN1665" s="1525"/>
      <c r="BO1665" s="1525"/>
      <c r="BP1665" s="1525"/>
      <c r="BQ1665" s="1525"/>
      <c r="BR1665" s="1525"/>
      <c r="BS1665" s="1525"/>
      <c r="BT1665" s="1670"/>
      <c r="BV1665"/>
      <c r="BW1665" s="867"/>
    </row>
    <row r="1666" spans="1:75" s="6" customFormat="1" ht="12.75" customHeight="1" thickBot="1" x14ac:dyDescent="0.2">
      <c r="A1666" s="164"/>
      <c r="B1666" s="175"/>
      <c r="C1666" s="227"/>
      <c r="D1666" s="227"/>
      <c r="E1666" s="431"/>
      <c r="F1666" s="65"/>
      <c r="G1666" s="876"/>
      <c r="H1666" s="1389" t="s">
        <v>1508</v>
      </c>
      <c r="I1666" s="433"/>
      <c r="J1666" s="227"/>
      <c r="K1666" s="432"/>
      <c r="L1666" s="988"/>
      <c r="M1666" s="988"/>
      <c r="N1666" s="999"/>
      <c r="O1666" s="999"/>
      <c r="P1666" s="1264"/>
      <c r="Q1666" s="1148"/>
      <c r="R1666" s="874"/>
      <c r="S1666" s="1055"/>
      <c r="T1666" s="1055"/>
      <c r="U1666" s="1055"/>
      <c r="V1666" s="1055"/>
      <c r="W1666" s="1055"/>
      <c r="X1666" s="1026"/>
      <c r="Y1666" s="1514"/>
      <c r="Z1666" s="1745"/>
      <c r="AA1666" s="1749"/>
      <c r="AB1666" s="1815"/>
      <c r="AC1666" s="876"/>
      <c r="AD1666" s="1529"/>
      <c r="AE1666" s="1530"/>
      <c r="AF1666" s="1530"/>
      <c r="AG1666" s="1530"/>
      <c r="AH1666" s="1530"/>
      <c r="AI1666" s="1530"/>
      <c r="AJ1666" s="1530"/>
      <c r="AK1666" s="1530"/>
      <c r="AL1666" s="1530"/>
      <c r="AM1666" s="1530"/>
      <c r="AN1666" s="1530"/>
      <c r="AO1666" s="1530"/>
      <c r="AP1666" s="1530"/>
      <c r="AQ1666" s="1530"/>
      <c r="AR1666" s="1530"/>
      <c r="AS1666" s="1530"/>
      <c r="AU1666" s="1525"/>
      <c r="AV1666" s="1529"/>
      <c r="AW1666" s="1530"/>
      <c r="AX1666" s="1530"/>
      <c r="AY1666" s="1530"/>
      <c r="AZ1666" s="1530"/>
      <c r="BA1666" s="1530"/>
      <c r="BB1666" s="1530"/>
      <c r="BC1666" s="1530"/>
      <c r="BD1666" s="1530"/>
      <c r="BE1666" s="1530"/>
      <c r="BF1666" s="1530"/>
      <c r="BG1666" s="1530"/>
      <c r="BH1666" s="1530"/>
      <c r="BI1666" s="1530"/>
      <c r="BJ1666" s="1530"/>
      <c r="BK1666" s="1530"/>
      <c r="BL1666" s="1530"/>
      <c r="BM1666" s="1530"/>
      <c r="BN1666" s="1530"/>
      <c r="BO1666" s="1530"/>
      <c r="BP1666" s="1530"/>
      <c r="BQ1666" s="1530"/>
      <c r="BR1666" s="1530"/>
      <c r="BS1666" s="1530"/>
      <c r="BT1666" s="1674"/>
      <c r="BV1666"/>
      <c r="BW1666" s="876"/>
    </row>
    <row r="1667" spans="1:75" s="164" customFormat="1" ht="13.5" customHeight="1" thickBot="1" x14ac:dyDescent="0.2">
      <c r="B1667" s="175"/>
      <c r="C1667" s="662" t="s">
        <v>139</v>
      </c>
      <c r="D1667" s="663" t="s">
        <v>346</v>
      </c>
      <c r="E1667" s="337" t="s">
        <v>968</v>
      </c>
      <c r="F1667" s="699" t="s">
        <v>1369</v>
      </c>
      <c r="G1667" s="989">
        <f>SUMIF(C1464:C1666,"S",G1464:G1666)+COUNTA(G1461:G1461)</f>
        <v>114</v>
      </c>
      <c r="H1667" s="1405" t="s">
        <v>1508</v>
      </c>
      <c r="I1667" s="700"/>
      <c r="J1667" s="701"/>
      <c r="K1667" s="702">
        <f>K1510+K1582+K1645</f>
        <v>8</v>
      </c>
      <c r="L1667" s="702">
        <f>L1510+L1582+L1614+L1627+L1645+L1664</f>
        <v>92.25</v>
      </c>
      <c r="M1667" s="702">
        <f>M1510+M1582+M1614+M1627+M1645+M1664</f>
        <v>100.25</v>
      </c>
      <c r="N1667" s="1013"/>
      <c r="O1667" s="1013"/>
      <c r="P1667" s="1265"/>
      <c r="Q1667" s="1173"/>
      <c r="R1667" s="1059"/>
      <c r="S1667" s="990"/>
      <c r="T1667" s="990"/>
      <c r="U1667" s="990"/>
      <c r="V1667" s="990"/>
      <c r="W1667" s="990"/>
      <c r="X1667" s="1136">
        <f>X1461+1464+XX1510+X1582+X1614+X1627+X1645+X1664</f>
        <v>2761147</v>
      </c>
      <c r="Y1667" s="1136"/>
      <c r="Z1667" s="1838">
        <f>Z1461+Z1465+Z1510+Z1582+Z1614+Z1627+Z1645+Z1664</f>
        <v>110.32775699228628</v>
      </c>
      <c r="AA1667" s="1405">
        <f>AA1461+AA1510+AA1582+AA1614+AA1627+AA1645+AA1664</f>
        <v>64.079999999999984</v>
      </c>
      <c r="AB1667" s="1813">
        <f t="shared" ref="AB1667" si="1038">100*AA1667/Z1667</f>
        <v>58.081485336895071</v>
      </c>
      <c r="AC1667" s="1786"/>
      <c r="AD1667" s="1291"/>
      <c r="AE1667" s="1292"/>
      <c r="AF1667" s="1525"/>
      <c r="AG1667" s="1525"/>
      <c r="AH1667" s="1525"/>
      <c r="AI1667" s="1525"/>
      <c r="AJ1667" s="1525"/>
      <c r="AK1667" s="1525"/>
      <c r="AL1667" s="1525"/>
      <c r="AM1667" s="1525"/>
      <c r="AN1667" s="1525"/>
      <c r="AO1667" s="1525"/>
      <c r="AP1667" s="1525"/>
      <c r="AQ1667" s="1525"/>
      <c r="AR1667" s="1525"/>
      <c r="AS1667" s="1525"/>
      <c r="AU1667" s="1525"/>
      <c r="AV1667" s="1295"/>
      <c r="AW1667" s="1525"/>
      <c r="AX1667" s="1525"/>
      <c r="AY1667" s="1525"/>
      <c r="AZ1667" s="1525"/>
      <c r="BA1667" s="1525"/>
      <c r="BB1667" s="1525"/>
      <c r="BC1667" s="1525"/>
      <c r="BD1667" s="1525"/>
      <c r="BE1667" s="1525"/>
      <c r="BF1667" s="1525"/>
      <c r="BG1667" s="1525"/>
      <c r="BH1667" s="1525"/>
      <c r="BI1667" s="1525"/>
      <c r="BJ1667" s="1525"/>
      <c r="BK1667" s="1525"/>
      <c r="BL1667" s="1525"/>
      <c r="BM1667" s="1525"/>
      <c r="BN1667" s="1525"/>
      <c r="BO1667" s="1525"/>
      <c r="BP1667" s="1525"/>
      <c r="BQ1667" s="1525"/>
      <c r="BR1667" s="1525"/>
      <c r="BS1667" s="1525"/>
      <c r="BT1667" s="1670"/>
      <c r="BV1667"/>
      <c r="BW1667" s="990"/>
    </row>
    <row r="1668" spans="1:75" s="164" customFormat="1" ht="12.75" customHeight="1" thickBot="1" x14ac:dyDescent="0.2">
      <c r="B1668" s="175"/>
      <c r="C1668" s="703" t="s">
        <v>1132</v>
      </c>
      <c r="D1668" s="703"/>
      <c r="E1668" s="704" t="s">
        <v>441</v>
      </c>
      <c r="F1668" s="509" t="s">
        <v>893</v>
      </c>
      <c r="G1668" s="971"/>
      <c r="H1668" s="1351" t="s">
        <v>1508</v>
      </c>
      <c r="I1668" s="510"/>
      <c r="J1668" s="511"/>
      <c r="K1668" s="511"/>
      <c r="L1668" s="903"/>
      <c r="M1668" s="903"/>
      <c r="N1668" s="931"/>
      <c r="O1668" s="931"/>
      <c r="P1668" s="1266"/>
      <c r="Q1668" s="1156"/>
      <c r="R1668" s="1039"/>
      <c r="S1668" s="1040"/>
      <c r="T1668" s="1040"/>
      <c r="U1668" s="1040"/>
      <c r="V1668" s="1040"/>
      <c r="W1668" s="1040"/>
      <c r="X1668" s="1839">
        <f>X1462+X1511+X1583+X1615+X1628+X1646+X1665</f>
        <v>197550</v>
      </c>
      <c r="Y1668" s="876"/>
      <c r="Z1668" s="876"/>
      <c r="AA1668" s="1775"/>
      <c r="AB1668" s="1814"/>
      <c r="AC1668" s="1786"/>
      <c r="AD1668" s="1295"/>
      <c r="AE1668" s="1525"/>
      <c r="AF1668" s="1525"/>
      <c r="AG1668" s="1525"/>
      <c r="AH1668" s="1525"/>
      <c r="AI1668" s="1525"/>
      <c r="AJ1668" s="1525"/>
      <c r="AK1668" s="1525"/>
      <c r="AL1668" s="1525"/>
      <c r="AM1668" s="1525"/>
      <c r="AN1668" s="1525"/>
      <c r="AO1668" s="1525"/>
      <c r="AP1668" s="1525"/>
      <c r="AQ1668" s="1525"/>
      <c r="AR1668" s="1525"/>
      <c r="AS1668" s="1525"/>
      <c r="AU1668" s="1525"/>
      <c r="AV1668" s="1295"/>
      <c r="AW1668" s="1525"/>
      <c r="AX1668" s="1525"/>
      <c r="AY1668" s="1525"/>
      <c r="AZ1668" s="1525"/>
      <c r="BA1668" s="1525"/>
      <c r="BB1668" s="1525"/>
      <c r="BC1668" s="1525"/>
      <c r="BD1668" s="1525"/>
      <c r="BE1668" s="1525"/>
      <c r="BF1668" s="1525"/>
      <c r="BG1668" s="1525"/>
      <c r="BH1668" s="1525"/>
      <c r="BI1668" s="1525"/>
      <c r="BJ1668" s="1525"/>
      <c r="BK1668" s="1525"/>
      <c r="BL1668" s="1525"/>
      <c r="BM1668" s="1525"/>
      <c r="BN1668" s="1525"/>
      <c r="BO1668" s="1525"/>
      <c r="BP1668" s="1525"/>
      <c r="BQ1668" s="1525"/>
      <c r="BR1668" s="1525"/>
      <c r="BS1668" s="1525"/>
      <c r="BT1668" s="1670"/>
      <c r="BV1668"/>
      <c r="BW1668" s="971"/>
    </row>
    <row r="1669" spans="1:75" s="164" customFormat="1" ht="12.75" customHeight="1" x14ac:dyDescent="0.15">
      <c r="B1669" s="175"/>
      <c r="C1669" s="520" t="s">
        <v>793</v>
      </c>
      <c r="D1669" s="520"/>
      <c r="E1669" s="522" t="s">
        <v>441</v>
      </c>
      <c r="F1669" s="517" t="s">
        <v>884</v>
      </c>
      <c r="G1669" s="1014"/>
      <c r="H1669" s="1403" t="s">
        <v>1508</v>
      </c>
      <c r="I1669" s="518"/>
      <c r="J1669" s="519"/>
      <c r="K1669" s="519"/>
      <c r="L1669" s="851"/>
      <c r="M1669" s="851"/>
      <c r="N1669" s="850"/>
      <c r="O1669" s="850"/>
      <c r="P1669" s="1267"/>
      <c r="Q1669" s="1187"/>
      <c r="R1669" s="1074"/>
      <c r="S1669" s="1021"/>
      <c r="T1669" s="1021"/>
      <c r="U1669" s="1021"/>
      <c r="V1669" s="1021"/>
      <c r="W1669" s="1021"/>
      <c r="X1669" s="1287"/>
      <c r="Y1669" s="881"/>
      <c r="Z1669" s="881"/>
      <c r="AA1669" s="1775"/>
      <c r="AB1669" s="1814"/>
      <c r="AC1669" s="1721"/>
      <c r="AD1669" s="1295"/>
      <c r="AE1669" s="1525"/>
      <c r="AF1669" s="1525"/>
      <c r="AG1669" s="1525"/>
      <c r="AH1669" s="1525"/>
      <c r="AI1669" s="1525"/>
      <c r="AJ1669" s="1525"/>
      <c r="AK1669" s="1525"/>
      <c r="AL1669" s="1525"/>
      <c r="AM1669" s="1525"/>
      <c r="AN1669" s="1525"/>
      <c r="AO1669" s="1525"/>
      <c r="AP1669" s="1525"/>
      <c r="AQ1669" s="1525"/>
      <c r="AR1669" s="1525"/>
      <c r="AS1669" s="1525"/>
      <c r="AU1669" s="1525"/>
      <c r="AV1669" s="1295"/>
      <c r="AW1669" s="1525"/>
      <c r="AX1669" s="1525"/>
      <c r="AY1669" s="1525"/>
      <c r="AZ1669" s="1525"/>
      <c r="BA1669" s="1525"/>
      <c r="BB1669" s="1525"/>
      <c r="BC1669" s="1525"/>
      <c r="BD1669" s="1525"/>
      <c r="BE1669" s="1525"/>
      <c r="BF1669" s="1525"/>
      <c r="BG1669" s="1525"/>
      <c r="BH1669" s="1525"/>
      <c r="BI1669" s="1525"/>
      <c r="BJ1669" s="1525"/>
      <c r="BK1669" s="1525"/>
      <c r="BL1669" s="1525"/>
      <c r="BM1669" s="1525"/>
      <c r="BN1669" s="1525"/>
      <c r="BO1669" s="1525"/>
      <c r="BP1669" s="1525"/>
      <c r="BQ1669" s="1525"/>
      <c r="BR1669" s="1525"/>
      <c r="BS1669" s="1525"/>
      <c r="BT1669" s="1670"/>
      <c r="BV1669"/>
      <c r="BW1669" s="1014"/>
    </row>
    <row r="1670" spans="1:75" s="164" customFormat="1" ht="12.75" customHeight="1" x14ac:dyDescent="0.2">
      <c r="B1670" s="175"/>
      <c r="C1670" s="227"/>
      <c r="D1670" s="227"/>
      <c r="E1670" s="431"/>
      <c r="F1670" s="4"/>
      <c r="G1670" s="862"/>
      <c r="H1670" s="1347" t="s">
        <v>1508</v>
      </c>
      <c r="I1670" s="197"/>
      <c r="J1670" s="174"/>
      <c r="K1670" s="174"/>
      <c r="L1670" s="861"/>
      <c r="M1670" s="861"/>
      <c r="N1670" s="836"/>
      <c r="O1670" s="1206"/>
      <c r="P1670" s="1268"/>
      <c r="Q1670" s="1153"/>
      <c r="R1670" s="884"/>
      <c r="S1670" s="876"/>
      <c r="T1670" s="876"/>
      <c r="U1670" s="876"/>
      <c r="V1670" s="876"/>
      <c r="W1670" s="876"/>
      <c r="X1670" s="1721"/>
      <c r="Y1670" s="1757"/>
      <c r="Z1670" s="1756"/>
      <c r="AA1670" s="1775"/>
      <c r="AB1670" s="1814"/>
      <c r="AC1670" s="1055"/>
      <c r="AD1670" s="1295"/>
      <c r="AE1670" s="1525"/>
      <c r="AF1670" s="1525"/>
      <c r="AG1670" s="1525"/>
      <c r="AH1670" s="1525"/>
      <c r="AI1670" s="1525"/>
      <c r="AJ1670" s="1525"/>
      <c r="AK1670" s="1525"/>
      <c r="AL1670" s="1525"/>
      <c r="AM1670" s="1525"/>
      <c r="AN1670" s="1525"/>
      <c r="AO1670" s="1525"/>
      <c r="AP1670" s="1525"/>
      <c r="AQ1670" s="1525"/>
      <c r="AR1670" s="1525"/>
      <c r="AS1670" s="1525"/>
      <c r="AU1670" s="1525"/>
      <c r="AV1670" s="1295"/>
      <c r="AW1670" s="1525"/>
      <c r="AX1670" s="1525"/>
      <c r="AY1670" s="1525"/>
      <c r="AZ1670" s="1525"/>
      <c r="BA1670" s="1525"/>
      <c r="BB1670" s="1525"/>
      <c r="BC1670" s="1525"/>
      <c r="BD1670" s="1525"/>
      <c r="BE1670" s="1525"/>
      <c r="BF1670" s="1525"/>
      <c r="BG1670" s="1525"/>
      <c r="BH1670" s="1525"/>
      <c r="BI1670" s="1525"/>
      <c r="BJ1670" s="1525"/>
      <c r="BK1670" s="1525"/>
      <c r="BL1670" s="1525"/>
      <c r="BM1670" s="1525"/>
      <c r="BN1670" s="1525"/>
      <c r="BO1670" s="1525"/>
      <c r="BP1670" s="1525"/>
      <c r="BQ1670" s="1525"/>
      <c r="BR1670" s="1525"/>
      <c r="BS1670" s="1525"/>
      <c r="BT1670" s="1670"/>
      <c r="BV1670"/>
      <c r="BW1670" s="862"/>
    </row>
    <row r="1671" spans="1:75" s="164" customFormat="1" ht="12.75" customHeight="1" x14ac:dyDescent="0.15">
      <c r="B1671" s="175"/>
      <c r="F1671" s="78"/>
      <c r="G1671" s="833"/>
      <c r="H1671" s="1397" t="s">
        <v>1508</v>
      </c>
      <c r="I1671" s="272"/>
      <c r="J1671" s="220"/>
      <c r="K1671" s="220"/>
      <c r="L1671" s="950"/>
      <c r="M1671" s="950"/>
      <c r="N1671" s="833"/>
      <c r="O1671" s="1200"/>
      <c r="P1671" s="550"/>
      <c r="Q1671" s="1148"/>
      <c r="R1671" s="874"/>
      <c r="S1671" s="875"/>
      <c r="T1671" s="875"/>
      <c r="U1671" s="875"/>
      <c r="V1671" s="875"/>
      <c r="W1671" s="875"/>
      <c r="X1671" s="1026"/>
      <c r="Y1671" s="1757"/>
      <c r="Z1671" s="1756"/>
      <c r="AA1671" s="1775"/>
      <c r="AB1671" s="1814"/>
      <c r="AC1671" s="876"/>
      <c r="AD1671" s="1295"/>
      <c r="AE1671" s="1525"/>
      <c r="AF1671" s="1525"/>
      <c r="AG1671" s="1525"/>
      <c r="AH1671" s="1525"/>
      <c r="AI1671" s="1525"/>
      <c r="AJ1671" s="1525"/>
      <c r="AK1671" s="1525"/>
      <c r="AL1671" s="1525"/>
      <c r="AM1671" s="1525"/>
      <c r="AN1671" s="1525"/>
      <c r="AO1671" s="1525"/>
      <c r="AP1671" s="1525"/>
      <c r="AQ1671" s="1525"/>
      <c r="AR1671" s="1525"/>
      <c r="AS1671" s="1525"/>
      <c r="AU1671" s="1525"/>
      <c r="AV1671" s="1295"/>
      <c r="AW1671" s="1525"/>
      <c r="AX1671" s="1525"/>
      <c r="AY1671" s="1525"/>
      <c r="AZ1671" s="1525"/>
      <c r="BA1671" s="1525"/>
      <c r="BB1671" s="1525"/>
      <c r="BC1671" s="1525"/>
      <c r="BD1671" s="1525"/>
      <c r="BE1671" s="1525"/>
      <c r="BF1671" s="1525"/>
      <c r="BG1671" s="1525"/>
      <c r="BH1671" s="1525"/>
      <c r="BI1671" s="1525"/>
      <c r="BJ1671" s="1525"/>
      <c r="BK1671" s="1525"/>
      <c r="BL1671" s="1525"/>
      <c r="BM1671" s="1525"/>
      <c r="BN1671" s="1525"/>
      <c r="BO1671" s="1525"/>
      <c r="BP1671" s="1525"/>
      <c r="BQ1671" s="1525"/>
      <c r="BR1671" s="1525"/>
      <c r="BS1671" s="1525"/>
      <c r="BT1671" s="1670"/>
      <c r="BV1671"/>
      <c r="BW1671" s="833"/>
    </row>
    <row r="1672" spans="1:75" s="164" customFormat="1" ht="12.75" customHeight="1" x14ac:dyDescent="0.15">
      <c r="B1672" s="175"/>
      <c r="F1672" s="92" t="s">
        <v>105</v>
      </c>
      <c r="G1672" s="799"/>
      <c r="H1672" s="1336" t="s">
        <v>1508</v>
      </c>
      <c r="I1672" s="281"/>
      <c r="J1672" s="1209"/>
      <c r="K1672" s="1209"/>
      <c r="L1672" s="1015"/>
      <c r="M1672" s="1015"/>
      <c r="N1672" s="799"/>
      <c r="O1672" s="1200"/>
      <c r="P1672" s="550"/>
      <c r="Q1672" s="1148"/>
      <c r="R1672" s="874"/>
      <c r="S1672" s="875"/>
      <c r="T1672" s="875"/>
      <c r="U1672" s="875"/>
      <c r="V1672" s="875"/>
      <c r="W1672" s="875"/>
      <c r="X1672" s="1026"/>
      <c r="Y1672" s="1757"/>
      <c r="Z1672" s="1756"/>
      <c r="AA1672" s="1775"/>
      <c r="AB1672" s="1814"/>
      <c r="AC1672" s="876"/>
      <c r="AD1672" s="1295"/>
      <c r="AE1672" s="1525"/>
      <c r="AF1672" s="1525"/>
      <c r="AG1672" s="1525"/>
      <c r="AH1672" s="1525"/>
      <c r="AI1672" s="1525"/>
      <c r="AJ1672" s="1525"/>
      <c r="AK1672" s="1525"/>
      <c r="AL1672" s="1525"/>
      <c r="AM1672" s="1525"/>
      <c r="AN1672" s="1525"/>
      <c r="AO1672" s="1525"/>
      <c r="AP1672" s="1525"/>
      <c r="AQ1672" s="1525"/>
      <c r="AR1672" s="1525"/>
      <c r="AS1672" s="1525"/>
      <c r="AU1672" s="1525"/>
      <c r="AV1672" s="1295"/>
      <c r="AW1672" s="1525"/>
      <c r="AX1672" s="1525"/>
      <c r="AY1672" s="1525"/>
      <c r="AZ1672" s="1525"/>
      <c r="BA1672" s="1525"/>
      <c r="BB1672" s="1525"/>
      <c r="BC1672" s="1525"/>
      <c r="BD1672" s="1525"/>
      <c r="BE1672" s="1525"/>
      <c r="BF1672" s="1525"/>
      <c r="BG1672" s="1525"/>
      <c r="BH1672" s="1525"/>
      <c r="BI1672" s="1525"/>
      <c r="BJ1672" s="1525"/>
      <c r="BK1672" s="1525"/>
      <c r="BL1672" s="1525"/>
      <c r="BM1672" s="1525"/>
      <c r="BN1672" s="1525"/>
      <c r="BO1672" s="1525"/>
      <c r="BP1672" s="1525"/>
      <c r="BQ1672" s="1525"/>
      <c r="BR1672" s="1525"/>
      <c r="BS1672" s="1525"/>
      <c r="BT1672" s="1670"/>
      <c r="BV1672"/>
      <c r="BW1672" s="799"/>
    </row>
    <row r="1673" spans="1:75" s="164" customFormat="1" ht="12.75" customHeight="1" x14ac:dyDescent="0.15">
      <c r="B1673" s="175"/>
      <c r="F1673" s="23"/>
      <c r="G1673" s="844"/>
      <c r="H1673" s="1397" t="s">
        <v>1508</v>
      </c>
      <c r="I1673" s="170"/>
      <c r="J1673" s="170"/>
      <c r="K1673" s="170"/>
      <c r="L1673" s="950"/>
      <c r="M1673" s="950"/>
      <c r="N1673" s="844"/>
      <c r="O1673" s="1200"/>
      <c r="P1673" s="1294"/>
      <c r="Q1673" s="1148"/>
      <c r="R1673" s="874"/>
      <c r="S1673" s="876"/>
      <c r="T1673" s="876"/>
      <c r="U1673" s="876"/>
      <c r="V1673" s="876"/>
      <c r="W1673" s="876"/>
      <c r="X1673" s="1026"/>
      <c r="Y1673" s="1757"/>
      <c r="Z1673" s="1756"/>
      <c r="AA1673" s="1775"/>
      <c r="AB1673" s="1814"/>
      <c r="AC1673" s="876"/>
      <c r="AD1673" s="1295"/>
      <c r="AE1673" s="1525"/>
      <c r="AF1673" s="1525"/>
      <c r="AG1673" s="1525"/>
      <c r="AH1673" s="1525"/>
      <c r="AI1673" s="1525"/>
      <c r="AJ1673" s="1525"/>
      <c r="AK1673" s="1525"/>
      <c r="AL1673" s="1525"/>
      <c r="AM1673" s="1525"/>
      <c r="AN1673" s="1525"/>
      <c r="AO1673" s="1525"/>
      <c r="AP1673" s="1525"/>
      <c r="AQ1673" s="1525"/>
      <c r="AR1673" s="1525"/>
      <c r="AS1673" s="1525"/>
      <c r="AU1673" s="1525"/>
      <c r="AV1673" s="1295"/>
      <c r="AW1673" s="1525"/>
      <c r="AX1673" s="1525"/>
      <c r="AY1673" s="1525"/>
      <c r="AZ1673" s="1525"/>
      <c r="BA1673" s="1525"/>
      <c r="BB1673" s="1525"/>
      <c r="BC1673" s="1525"/>
      <c r="BD1673" s="1525"/>
      <c r="BE1673" s="1525"/>
      <c r="BF1673" s="1525"/>
      <c r="BG1673" s="1525"/>
      <c r="BH1673" s="1525"/>
      <c r="BI1673" s="1525"/>
      <c r="BJ1673" s="1525"/>
      <c r="BK1673" s="1525"/>
      <c r="BL1673" s="1525"/>
      <c r="BM1673" s="1525"/>
      <c r="BN1673" s="1525"/>
      <c r="BO1673" s="1525"/>
      <c r="BP1673" s="1525"/>
      <c r="BQ1673" s="1525"/>
      <c r="BR1673" s="1525"/>
      <c r="BS1673" s="1525"/>
      <c r="BT1673" s="1670"/>
      <c r="BV1673"/>
      <c r="BW1673" s="844"/>
    </row>
    <row r="1674" spans="1:75" ht="12.75" customHeight="1" x14ac:dyDescent="0.2">
      <c r="B1674" s="175">
        <f t="shared" ref="B1674:B1677" si="1039">B1673+1</f>
        <v>1</v>
      </c>
      <c r="C1674" s="677">
        <v>3</v>
      </c>
      <c r="D1674" s="678"/>
      <c r="E1674" s="12" t="s">
        <v>1308</v>
      </c>
      <c r="F1674" s="705" t="s">
        <v>476</v>
      </c>
      <c r="G1674" s="799" t="s">
        <v>111</v>
      </c>
      <c r="H1674" s="858">
        <v>3128</v>
      </c>
      <c r="I1674" s="706" t="s">
        <v>161</v>
      </c>
      <c r="J1674" s="678"/>
      <c r="K1674" s="678"/>
      <c r="L1674" s="843">
        <v>1</v>
      </c>
      <c r="M1674" s="858">
        <f>K1674+L1674</f>
        <v>1</v>
      </c>
      <c r="N1674" s="831" t="s">
        <v>892</v>
      </c>
      <c r="O1674" s="1196">
        <v>18592</v>
      </c>
      <c r="P1674" s="1218">
        <f ca="1">YEARFRAC(TODAY(),O1674)</f>
        <v>66.852777777777774</v>
      </c>
      <c r="Q1674" s="1148">
        <v>83000</v>
      </c>
      <c r="R1674" s="874"/>
      <c r="S1674" s="875">
        <v>3000</v>
      </c>
      <c r="T1674" s="877">
        <v>9000</v>
      </c>
      <c r="U1674" s="877">
        <v>10000</v>
      </c>
      <c r="V1674" s="877"/>
      <c r="W1674" s="875"/>
      <c r="X1674" s="1026">
        <f>(Q1674+R1674+S1674+T1674+U1674+V1674+W1674)*M1674</f>
        <v>105000</v>
      </c>
      <c r="Y1674" s="1512">
        <f>(T1674+U1674)*M1674/(X1674-M1674*(T1674+U1674))</f>
        <v>0.22093023255813954</v>
      </c>
      <c r="Z1674" s="1741">
        <f>M1674*(1+Y1674)</f>
        <v>1.2209302325581395</v>
      </c>
      <c r="AA1674" s="1749">
        <f>SUM(AD1674:AS1674)</f>
        <v>0</v>
      </c>
      <c r="AB1674" s="1810">
        <f t="shared" ref="AB1674:AB1678" si="1040">100*AA1674/Z1674</f>
        <v>0</v>
      </c>
      <c r="AC1674" s="876"/>
      <c r="AD1674" s="1525">
        <f t="shared" ref="AD1674:AS1677" si="1041">SUMIF($AV$6:$BS$6,AD$5,$AV1674:$BS1674)</f>
        <v>0</v>
      </c>
      <c r="AE1674" s="1525">
        <f t="shared" si="1041"/>
        <v>0</v>
      </c>
      <c r="AF1674" s="1525">
        <f t="shared" si="1041"/>
        <v>0</v>
      </c>
      <c r="AG1674" s="1525">
        <f t="shared" si="1041"/>
        <v>0</v>
      </c>
      <c r="AH1674" s="1525">
        <f t="shared" si="1041"/>
        <v>0</v>
      </c>
      <c r="AI1674" s="1525">
        <f t="shared" si="1041"/>
        <v>0</v>
      </c>
      <c r="AJ1674" s="1525">
        <f t="shared" si="1041"/>
        <v>0</v>
      </c>
      <c r="AK1674" s="1525">
        <f t="shared" si="1041"/>
        <v>0</v>
      </c>
      <c r="AL1674" s="1525">
        <f t="shared" si="1041"/>
        <v>0</v>
      </c>
      <c r="AM1674" s="1525">
        <f t="shared" si="1041"/>
        <v>0</v>
      </c>
      <c r="AN1674" s="1525">
        <f t="shared" si="1041"/>
        <v>0</v>
      </c>
      <c r="AO1674" s="1525">
        <f t="shared" si="1041"/>
        <v>0</v>
      </c>
      <c r="AP1674" s="1525">
        <f t="shared" si="1041"/>
        <v>0</v>
      </c>
      <c r="AQ1674" s="1525">
        <f t="shared" si="1041"/>
        <v>0</v>
      </c>
      <c r="AR1674" s="1525">
        <f t="shared" si="1041"/>
        <v>0</v>
      </c>
      <c r="AS1674" s="1525">
        <f t="shared" si="1041"/>
        <v>0</v>
      </c>
      <c r="AU1674" s="1525"/>
      <c r="AV1674" s="1291"/>
      <c r="AW1674" s="1292"/>
      <c r="AX1674" s="1292"/>
      <c r="AY1674" s="1292"/>
      <c r="AZ1674" s="1292"/>
      <c r="BA1674" s="1292"/>
      <c r="BB1674" s="1292"/>
      <c r="BC1674" s="1292"/>
      <c r="BD1674" s="1292"/>
      <c r="BE1674" s="1292"/>
      <c r="BF1674" s="1292"/>
      <c r="BG1674" s="1292"/>
      <c r="BH1674" s="1292"/>
      <c r="BI1674" s="1292"/>
      <c r="BJ1674" s="1292"/>
      <c r="BK1674" s="1292"/>
      <c r="BL1674" s="1292"/>
      <c r="BM1674" s="1292"/>
      <c r="BN1674" s="1292"/>
      <c r="BO1674" s="1292"/>
      <c r="BP1674" s="1292"/>
      <c r="BQ1674" s="1292"/>
      <c r="BR1674" s="1292"/>
      <c r="BS1674" s="1292"/>
      <c r="BT1674" s="1670">
        <f t="shared" ref="BT1674:BT1677" si="1042">SUM(AV1674:BS1674)</f>
        <v>0</v>
      </c>
      <c r="BW1674" s="799" t="s">
        <v>111</v>
      </c>
    </row>
    <row r="1675" spans="1:75" ht="12.75" customHeight="1" x14ac:dyDescent="0.2">
      <c r="B1675" s="175">
        <f t="shared" si="1039"/>
        <v>2</v>
      </c>
      <c r="C1675" s="236">
        <v>12</v>
      </c>
      <c r="D1675" s="218"/>
      <c r="E1675" s="166" t="s">
        <v>1566</v>
      </c>
      <c r="F1675" s="652" t="s">
        <v>193</v>
      </c>
      <c r="G1675" s="799" t="s">
        <v>194</v>
      </c>
      <c r="H1675" s="858">
        <v>7644</v>
      </c>
      <c r="I1675" s="242" t="s">
        <v>583</v>
      </c>
      <c r="J1675" s="218"/>
      <c r="K1675" s="218"/>
      <c r="L1675" s="843">
        <v>1</v>
      </c>
      <c r="M1675" s="858">
        <f>K1675+L1675</f>
        <v>1</v>
      </c>
      <c r="N1675" s="999" t="s">
        <v>1326</v>
      </c>
      <c r="O1675" s="1196">
        <v>16353</v>
      </c>
      <c r="P1675" s="1218">
        <f ca="1">YEARFRAC(TODAY(),O1675)</f>
        <v>72.983333333333334</v>
      </c>
      <c r="Q1675" s="1148">
        <v>45500</v>
      </c>
      <c r="R1675" s="874">
        <f>Q1675*0.1</f>
        <v>4550</v>
      </c>
      <c r="S1675" s="875"/>
      <c r="T1675" s="875">
        <v>6500</v>
      </c>
      <c r="U1675" s="875">
        <v>5700</v>
      </c>
      <c r="V1675" s="875"/>
      <c r="W1675" s="875"/>
      <c r="X1675" s="1026">
        <f>(Q1675+R1675+S1675+T1675+U1675+V1675+W1675)*M1675</f>
        <v>62250</v>
      </c>
      <c r="Y1675" s="1512">
        <f>(T1675+U1675)*M1675/(X1675-M1675*(T1675+U1675))</f>
        <v>0.24375624375624375</v>
      </c>
      <c r="Z1675" s="1741">
        <f>M1675*(1+Y1675)</f>
        <v>1.2437562437562437</v>
      </c>
      <c r="AA1675" s="1749">
        <f>SUM(AD1675:AS1675)</f>
        <v>0</v>
      </c>
      <c r="AB1675" s="1810">
        <f t="shared" si="1040"/>
        <v>0</v>
      </c>
      <c r="AC1675" s="876"/>
      <c r="AD1675" s="1525">
        <f t="shared" si="1041"/>
        <v>0</v>
      </c>
      <c r="AE1675" s="1525">
        <f t="shared" si="1041"/>
        <v>0</v>
      </c>
      <c r="AF1675" s="1525">
        <f t="shared" si="1041"/>
        <v>0</v>
      </c>
      <c r="AG1675" s="1525">
        <f t="shared" si="1041"/>
        <v>0</v>
      </c>
      <c r="AH1675" s="1525">
        <f t="shared" si="1041"/>
        <v>0</v>
      </c>
      <c r="AI1675" s="1525">
        <f t="shared" si="1041"/>
        <v>0</v>
      </c>
      <c r="AJ1675" s="1525">
        <f t="shared" si="1041"/>
        <v>0</v>
      </c>
      <c r="AK1675" s="1525">
        <f t="shared" si="1041"/>
        <v>0</v>
      </c>
      <c r="AL1675" s="1525">
        <f t="shared" si="1041"/>
        <v>0</v>
      </c>
      <c r="AM1675" s="1525">
        <f t="shared" si="1041"/>
        <v>0</v>
      </c>
      <c r="AN1675" s="1525">
        <f t="shared" si="1041"/>
        <v>0</v>
      </c>
      <c r="AO1675" s="1525">
        <f t="shared" si="1041"/>
        <v>0</v>
      </c>
      <c r="AP1675" s="1525">
        <f t="shared" si="1041"/>
        <v>0</v>
      </c>
      <c r="AQ1675" s="1525">
        <f t="shared" si="1041"/>
        <v>0</v>
      </c>
      <c r="AR1675" s="1525">
        <f t="shared" si="1041"/>
        <v>0</v>
      </c>
      <c r="AS1675" s="1525">
        <f t="shared" si="1041"/>
        <v>0</v>
      </c>
      <c r="AU1675" s="1525"/>
      <c r="AV1675" s="1291"/>
      <c r="AW1675" s="1292"/>
      <c r="AX1675" s="1292"/>
      <c r="AY1675" s="1292"/>
      <c r="AZ1675" s="1292"/>
      <c r="BA1675" s="1292"/>
      <c r="BB1675" s="1292"/>
      <c r="BC1675" s="1292"/>
      <c r="BD1675" s="1292"/>
      <c r="BE1675" s="1292"/>
      <c r="BF1675" s="1292"/>
      <c r="BG1675" s="1292"/>
      <c r="BH1675" s="1292"/>
      <c r="BI1675" s="1292"/>
      <c r="BJ1675" s="1292"/>
      <c r="BK1675" s="1292"/>
      <c r="BL1675" s="1292"/>
      <c r="BM1675" s="1292"/>
      <c r="BN1675" s="1292"/>
      <c r="BO1675" s="1292"/>
      <c r="BP1675" s="1292"/>
      <c r="BQ1675" s="1292"/>
      <c r="BR1675" s="1292"/>
      <c r="BS1675" s="1292"/>
      <c r="BT1675" s="1670">
        <f t="shared" si="1042"/>
        <v>0</v>
      </c>
      <c r="BW1675" s="799" t="s">
        <v>194</v>
      </c>
    </row>
    <row r="1676" spans="1:75" ht="12.75" customHeight="1" x14ac:dyDescent="0.2">
      <c r="B1676" s="175">
        <f t="shared" si="1039"/>
        <v>3</v>
      </c>
      <c r="C1676" s="260">
        <v>12</v>
      </c>
      <c r="D1676" s="1303"/>
      <c r="E1676" s="1305" t="s">
        <v>1566</v>
      </c>
      <c r="F1676" s="17" t="s">
        <v>193</v>
      </c>
      <c r="G1676" s="844" t="s">
        <v>1809</v>
      </c>
      <c r="H1676" s="861">
        <v>162314</v>
      </c>
      <c r="I1676" s="747" t="s">
        <v>583</v>
      </c>
      <c r="J1676" s="1303"/>
      <c r="K1676" s="1303"/>
      <c r="L1676" s="950">
        <v>1</v>
      </c>
      <c r="M1676" s="861">
        <v>1</v>
      </c>
      <c r="N1676" s="999" t="s">
        <v>892</v>
      </c>
      <c r="O1676" s="1196">
        <v>20247</v>
      </c>
      <c r="P1676" s="1218">
        <f ca="1">YEARFRAC(TODAY(),O1676)</f>
        <v>62.319444444444443</v>
      </c>
      <c r="Q1676" s="1148">
        <v>36000</v>
      </c>
      <c r="R1676" s="874"/>
      <c r="S1676" s="876"/>
      <c r="T1676" s="876"/>
      <c r="U1676" s="876"/>
      <c r="V1676" s="876"/>
      <c r="W1676" s="876"/>
      <c r="X1676" s="1026">
        <f>(Q1676+R1676+S1676+T1676+U1676+V1676+W1676)*M1676</f>
        <v>36000</v>
      </c>
      <c r="Y1676" s="1512">
        <f>(T1676+U1676)*M1676/(X1676-M1676*(T1676+U1676))</f>
        <v>0</v>
      </c>
      <c r="Z1676" s="1741">
        <f>M1676*(1+Y1676)</f>
        <v>1</v>
      </c>
      <c r="AA1676" s="1749">
        <f>SUM(AD1676:AS1676)</f>
        <v>0</v>
      </c>
      <c r="AB1676" s="1810">
        <f t="shared" si="1040"/>
        <v>0</v>
      </c>
      <c r="AC1676" s="876"/>
      <c r="AD1676" s="1525">
        <f t="shared" si="1041"/>
        <v>0</v>
      </c>
      <c r="AE1676" s="1525">
        <f t="shared" si="1041"/>
        <v>0</v>
      </c>
      <c r="AF1676" s="1525">
        <f t="shared" si="1041"/>
        <v>0</v>
      </c>
      <c r="AG1676" s="1525">
        <f t="shared" si="1041"/>
        <v>0</v>
      </c>
      <c r="AH1676" s="1525">
        <f t="shared" si="1041"/>
        <v>0</v>
      </c>
      <c r="AI1676" s="1525">
        <f t="shared" si="1041"/>
        <v>0</v>
      </c>
      <c r="AJ1676" s="1525">
        <f t="shared" si="1041"/>
        <v>0</v>
      </c>
      <c r="AK1676" s="1525">
        <f t="shared" si="1041"/>
        <v>0</v>
      </c>
      <c r="AL1676" s="1525">
        <f t="shared" si="1041"/>
        <v>0</v>
      </c>
      <c r="AM1676" s="1525">
        <f t="shared" si="1041"/>
        <v>0</v>
      </c>
      <c r="AN1676" s="1525">
        <f t="shared" si="1041"/>
        <v>0</v>
      </c>
      <c r="AO1676" s="1525">
        <f t="shared" si="1041"/>
        <v>0</v>
      </c>
      <c r="AP1676" s="1525">
        <f t="shared" si="1041"/>
        <v>0</v>
      </c>
      <c r="AQ1676" s="1525">
        <f t="shared" si="1041"/>
        <v>0</v>
      </c>
      <c r="AR1676" s="1525">
        <f t="shared" si="1041"/>
        <v>0</v>
      </c>
      <c r="AS1676" s="1525">
        <f t="shared" si="1041"/>
        <v>0</v>
      </c>
      <c r="AU1676" s="1525"/>
      <c r="AV1676" s="1291"/>
      <c r="AW1676" s="1292"/>
      <c r="AX1676" s="1292"/>
      <c r="AY1676" s="1292"/>
      <c r="AZ1676" s="1292"/>
      <c r="BA1676" s="1292"/>
      <c r="BB1676" s="1292"/>
      <c r="BC1676" s="1292"/>
      <c r="BD1676" s="1292"/>
      <c r="BE1676" s="1292"/>
      <c r="BF1676" s="1292"/>
      <c r="BG1676" s="1292"/>
      <c r="BH1676" s="1292"/>
      <c r="BI1676" s="1292"/>
      <c r="BJ1676" s="1292"/>
      <c r="BK1676" s="1292"/>
      <c r="BL1676" s="1292"/>
      <c r="BM1676" s="1292"/>
      <c r="BN1676" s="1292"/>
      <c r="BO1676" s="1292"/>
      <c r="BP1676" s="1292"/>
      <c r="BQ1676" s="1292"/>
      <c r="BR1676" s="1292"/>
      <c r="BS1676" s="1292"/>
      <c r="BT1676" s="1670">
        <f t="shared" si="1042"/>
        <v>0</v>
      </c>
      <c r="BW1676" s="844" t="s">
        <v>1809</v>
      </c>
    </row>
    <row r="1677" spans="1:75" ht="12.75" customHeight="1" x14ac:dyDescent="0.2">
      <c r="B1677" s="175">
        <f t="shared" si="1039"/>
        <v>4</v>
      </c>
      <c r="C1677" s="219">
        <v>13</v>
      </c>
      <c r="E1677" s="12" t="s">
        <v>1566</v>
      </c>
      <c r="F1677" s="17" t="s">
        <v>1272</v>
      </c>
      <c r="G1677" s="876" t="s">
        <v>1833</v>
      </c>
      <c r="H1677" s="861">
        <v>114497</v>
      </c>
      <c r="I1677" s="272" t="s">
        <v>583</v>
      </c>
      <c r="J1677" s="220"/>
      <c r="K1677" s="220"/>
      <c r="L1677" s="950">
        <v>1</v>
      </c>
      <c r="M1677" s="873">
        <f>K1677+L1677</f>
        <v>1</v>
      </c>
      <c r="N1677" s="833" t="s">
        <v>892</v>
      </c>
      <c r="O1677" s="1196">
        <v>15709</v>
      </c>
      <c r="P1677" s="1218">
        <f ca="1">YEARFRAC(TODAY(),O1677)</f>
        <v>74.74722222222222</v>
      </c>
      <c r="Q1677" s="1148">
        <v>36000</v>
      </c>
      <c r="R1677" s="874"/>
      <c r="S1677" s="875"/>
      <c r="T1677" s="875"/>
      <c r="U1677" s="875"/>
      <c r="V1677" s="875"/>
      <c r="W1677" s="875"/>
      <c r="X1677" s="1026">
        <f>(Q1677+R1677+S1677+T1677+U1677+V1677+W1677)*M1677</f>
        <v>36000</v>
      </c>
      <c r="Y1677" s="1512">
        <f>(T1677+U1677)*M1677/(X1677-M1677*(T1677+U1677))</f>
        <v>0</v>
      </c>
      <c r="Z1677" s="1741">
        <f>M1677*(1+Y1677)</f>
        <v>1</v>
      </c>
      <c r="AA1677" s="1749">
        <f>SUM(AD1677:AS1677)</f>
        <v>1</v>
      </c>
      <c r="AB1677" s="1810">
        <f t="shared" si="1040"/>
        <v>100</v>
      </c>
      <c r="AC1677" s="876"/>
      <c r="AD1677" s="1525">
        <f t="shared" si="1041"/>
        <v>1</v>
      </c>
      <c r="AE1677" s="1525">
        <f t="shared" si="1041"/>
        <v>0</v>
      </c>
      <c r="AF1677" s="1525">
        <f t="shared" si="1041"/>
        <v>0</v>
      </c>
      <c r="AG1677" s="1525">
        <f t="shared" si="1041"/>
        <v>0</v>
      </c>
      <c r="AH1677" s="1525">
        <f t="shared" si="1041"/>
        <v>0</v>
      </c>
      <c r="AI1677" s="1525">
        <f t="shared" si="1041"/>
        <v>0</v>
      </c>
      <c r="AJ1677" s="1525">
        <f t="shared" si="1041"/>
        <v>0</v>
      </c>
      <c r="AK1677" s="1525">
        <f t="shared" si="1041"/>
        <v>0</v>
      </c>
      <c r="AL1677" s="1525">
        <f t="shared" si="1041"/>
        <v>0</v>
      </c>
      <c r="AM1677" s="1525">
        <f t="shared" si="1041"/>
        <v>0</v>
      </c>
      <c r="AN1677" s="1525">
        <f t="shared" si="1041"/>
        <v>0</v>
      </c>
      <c r="AO1677" s="1525">
        <f t="shared" si="1041"/>
        <v>0</v>
      </c>
      <c r="AP1677" s="1525">
        <f t="shared" si="1041"/>
        <v>0</v>
      </c>
      <c r="AQ1677" s="1525">
        <f t="shared" si="1041"/>
        <v>0</v>
      </c>
      <c r="AR1677" s="1525">
        <f t="shared" si="1041"/>
        <v>0</v>
      </c>
      <c r="AS1677" s="1525">
        <f t="shared" si="1041"/>
        <v>0</v>
      </c>
      <c r="AU1677" s="1525"/>
      <c r="AV1677" s="1291"/>
      <c r="AW1677" s="1292"/>
      <c r="AX1677" s="1292"/>
      <c r="AY1677" s="1292"/>
      <c r="AZ1677" s="1292"/>
      <c r="BA1677" s="1292"/>
      <c r="BB1677" s="1292"/>
      <c r="BC1677" s="1292"/>
      <c r="BD1677" s="1292"/>
      <c r="BE1677" s="1292"/>
      <c r="BF1677" s="1292"/>
      <c r="BG1677" s="1292"/>
      <c r="BH1677" s="1292"/>
      <c r="BI1677" s="1292">
        <v>1</v>
      </c>
      <c r="BJ1677" s="1292"/>
      <c r="BK1677" s="1292"/>
      <c r="BL1677" s="1292"/>
      <c r="BM1677" s="1292"/>
      <c r="BN1677" s="1292"/>
      <c r="BO1677" s="1292"/>
      <c r="BP1677" s="1292"/>
      <c r="BQ1677" s="1292"/>
      <c r="BR1677" s="1292"/>
      <c r="BS1677" s="1292"/>
      <c r="BT1677" s="1670">
        <f t="shared" si="1042"/>
        <v>1</v>
      </c>
      <c r="BW1677" s="876" t="s">
        <v>1833</v>
      </c>
    </row>
    <row r="1678" spans="1:75" s="164" customFormat="1" ht="12.75" customHeight="1" x14ac:dyDescent="0.15">
      <c r="B1678" s="175"/>
      <c r="C1678" s="707" t="s">
        <v>344</v>
      </c>
      <c r="D1678" s="590" t="s">
        <v>346</v>
      </c>
      <c r="E1678" s="691" t="s">
        <v>1566</v>
      </c>
      <c r="F1678" s="708" t="s">
        <v>379</v>
      </c>
      <c r="G1678" s="1003">
        <f>COUNTA(G1673:G1677)</f>
        <v>4</v>
      </c>
      <c r="H1678" s="1406" t="s">
        <v>1508</v>
      </c>
      <c r="I1678" s="589"/>
      <c r="J1678" s="590"/>
      <c r="K1678" s="709">
        <f>SUM(K1674:K1677)</f>
        <v>0</v>
      </c>
      <c r="L1678" s="1016">
        <f>SUM(L1674:L1677)</f>
        <v>4</v>
      </c>
      <c r="M1678" s="1016">
        <f>SUM(M1674:M1677)</f>
        <v>4</v>
      </c>
      <c r="N1678" s="1004"/>
      <c r="O1678" s="1004"/>
      <c r="P1678" s="1222"/>
      <c r="Q1678" s="1154"/>
      <c r="R1678" s="887"/>
      <c r="S1678" s="880"/>
      <c r="T1678" s="880"/>
      <c r="U1678" s="880"/>
      <c r="V1678" s="880"/>
      <c r="W1678" s="880"/>
      <c r="X1678" s="1276">
        <f>SUM(X1674:X1677)</f>
        <v>239250</v>
      </c>
      <c r="Y1678" s="1276"/>
      <c r="Z1678" s="1665">
        <f t="shared" ref="Z1678:AA1678" si="1043">SUM(Z1674:Z1677)</f>
        <v>4.464686476314383</v>
      </c>
      <c r="AA1678" s="1777">
        <f t="shared" si="1043"/>
        <v>1</v>
      </c>
      <c r="AB1678" s="1813">
        <f t="shared" si="1040"/>
        <v>22.397989316945367</v>
      </c>
      <c r="AC1678" s="1721"/>
      <c r="AD1678" s="1295"/>
      <c r="AE1678" s="1525"/>
      <c r="AF1678" s="1525"/>
      <c r="AG1678" s="1525"/>
      <c r="AH1678" s="1525"/>
      <c r="AI1678" s="1525"/>
      <c r="AJ1678" s="1525"/>
      <c r="AK1678" s="1525"/>
      <c r="AL1678" s="1525"/>
      <c r="AM1678" s="1525"/>
      <c r="AN1678" s="1525"/>
      <c r="AO1678" s="1525"/>
      <c r="AP1678" s="1525"/>
      <c r="AQ1678" s="1525"/>
      <c r="AR1678" s="1525"/>
      <c r="AS1678" s="1525"/>
      <c r="AU1678" s="1525"/>
      <c r="AV1678" s="1295"/>
      <c r="AW1678" s="1525"/>
      <c r="AX1678" s="1525"/>
      <c r="AY1678" s="1525"/>
      <c r="AZ1678" s="1525"/>
      <c r="BA1678" s="1525"/>
      <c r="BB1678" s="1525"/>
      <c r="BC1678" s="1525"/>
      <c r="BD1678" s="1525"/>
      <c r="BE1678" s="1525"/>
      <c r="BF1678" s="1525"/>
      <c r="BG1678" s="1525"/>
      <c r="BH1678" s="1525"/>
      <c r="BI1678" s="1525"/>
      <c r="BJ1678" s="1525"/>
      <c r="BK1678" s="1525"/>
      <c r="BL1678" s="1525"/>
      <c r="BM1678" s="1525"/>
      <c r="BN1678" s="1525"/>
      <c r="BO1678" s="1525"/>
      <c r="BP1678" s="1525"/>
      <c r="BQ1678" s="1525"/>
      <c r="BR1678" s="1525"/>
      <c r="BS1678" s="1525"/>
      <c r="BT1678" s="1670"/>
      <c r="BV1678"/>
      <c r="BW1678" s="879"/>
    </row>
    <row r="1679" spans="1:75" s="164" customFormat="1" ht="12.75" customHeight="1" x14ac:dyDescent="0.15">
      <c r="B1679" s="175"/>
      <c r="C1679" s="423" t="s">
        <v>136</v>
      </c>
      <c r="D1679" s="423"/>
      <c r="E1679" s="424" t="s">
        <v>1566</v>
      </c>
      <c r="F1679" s="424" t="s">
        <v>893</v>
      </c>
      <c r="G1679" s="867"/>
      <c r="H1679" s="1349" t="s">
        <v>1508</v>
      </c>
      <c r="I1679" s="426"/>
      <c r="J1679" s="425"/>
      <c r="K1679" s="425"/>
      <c r="L1679" s="866"/>
      <c r="M1679" s="866"/>
      <c r="N1679" s="926"/>
      <c r="O1679" s="926"/>
      <c r="P1679" s="1223"/>
      <c r="Q1679" s="1158"/>
      <c r="R1679" s="1027"/>
      <c r="S1679" s="1028"/>
      <c r="T1679" s="1028"/>
      <c r="U1679" s="1028"/>
      <c r="V1679" s="1028"/>
      <c r="W1679" s="1028"/>
      <c r="X1679" s="1697">
        <v>37000</v>
      </c>
      <c r="Y1679" s="881"/>
      <c r="Z1679" s="881"/>
      <c r="AA1679" s="1775"/>
      <c r="AB1679" s="1814"/>
      <c r="AC1679" s="876"/>
      <c r="AD1679" s="1295"/>
      <c r="AE1679" s="1525"/>
      <c r="AF1679" s="1525"/>
      <c r="AG1679" s="1525"/>
      <c r="AH1679" s="1525"/>
      <c r="AI1679" s="1525"/>
      <c r="AJ1679" s="1525"/>
      <c r="AK1679" s="1525"/>
      <c r="AL1679" s="1525"/>
      <c r="AM1679" s="1525"/>
      <c r="AN1679" s="1525"/>
      <c r="AO1679" s="1525"/>
      <c r="AP1679" s="1525"/>
      <c r="AQ1679" s="1525"/>
      <c r="AR1679" s="1525"/>
      <c r="AS1679" s="1525"/>
      <c r="AU1679" s="1525"/>
      <c r="AV1679" s="1295"/>
      <c r="AW1679" s="1525"/>
      <c r="AX1679" s="1525"/>
      <c r="AY1679" s="1525"/>
      <c r="AZ1679" s="1525"/>
      <c r="BA1679" s="1525"/>
      <c r="BB1679" s="1525"/>
      <c r="BC1679" s="1525"/>
      <c r="BD1679" s="1525"/>
      <c r="BE1679" s="1525"/>
      <c r="BF1679" s="1525"/>
      <c r="BG1679" s="1525"/>
      <c r="BH1679" s="1525"/>
      <c r="BI1679" s="1525"/>
      <c r="BJ1679" s="1525"/>
      <c r="BK1679" s="1525"/>
      <c r="BL1679" s="1525"/>
      <c r="BM1679" s="1525"/>
      <c r="BN1679" s="1525"/>
      <c r="BO1679" s="1525"/>
      <c r="BP1679" s="1525"/>
      <c r="BQ1679" s="1525"/>
      <c r="BR1679" s="1525"/>
      <c r="BS1679" s="1525"/>
      <c r="BT1679" s="1670"/>
      <c r="BV1679"/>
      <c r="BW1679" s="867"/>
    </row>
    <row r="1680" spans="1:75" s="164" customFormat="1" ht="12.75" customHeight="1" x14ac:dyDescent="0.15">
      <c r="B1680" s="175"/>
      <c r="F1680" s="76"/>
      <c r="G1680" s="844"/>
      <c r="H1680" s="1397" t="s">
        <v>1508</v>
      </c>
      <c r="I1680" s="272"/>
      <c r="J1680" s="220"/>
      <c r="K1680" s="220"/>
      <c r="L1680" s="950"/>
      <c r="M1680" s="950"/>
      <c r="N1680" s="833"/>
      <c r="O1680" s="1200"/>
      <c r="P1680" s="550"/>
      <c r="Q1680" s="1148"/>
      <c r="R1680" s="874"/>
      <c r="S1680" s="875"/>
      <c r="T1680" s="875"/>
      <c r="U1680" s="875"/>
      <c r="V1680" s="875"/>
      <c r="W1680" s="875"/>
      <c r="X1680" s="1026"/>
      <c r="Y1680" s="1757"/>
      <c r="Z1680" s="1756"/>
      <c r="AA1680" s="1775"/>
      <c r="AB1680" s="1814"/>
      <c r="AC1680" s="876"/>
      <c r="AD1680" s="1295"/>
      <c r="AE1680" s="1525"/>
      <c r="AF1680" s="1525"/>
      <c r="AG1680" s="1525"/>
      <c r="AH1680" s="1525"/>
      <c r="AI1680" s="1525"/>
      <c r="AJ1680" s="1525"/>
      <c r="AK1680" s="1525"/>
      <c r="AL1680" s="1525"/>
      <c r="AM1680" s="1525"/>
      <c r="AN1680" s="1525"/>
      <c r="AO1680" s="1525"/>
      <c r="AP1680" s="1525"/>
      <c r="AQ1680" s="1525"/>
      <c r="AR1680" s="1525"/>
      <c r="AS1680" s="1525"/>
      <c r="AU1680" s="1525"/>
      <c r="AV1680" s="1295"/>
      <c r="AW1680" s="1525"/>
      <c r="AX1680" s="1525"/>
      <c r="AY1680" s="1525"/>
      <c r="AZ1680" s="1525"/>
      <c r="BA1680" s="1525"/>
      <c r="BB1680" s="1525"/>
      <c r="BC1680" s="1525"/>
      <c r="BD1680" s="1525"/>
      <c r="BE1680" s="1525"/>
      <c r="BF1680" s="1525"/>
      <c r="BG1680" s="1525"/>
      <c r="BH1680" s="1525"/>
      <c r="BI1680" s="1525"/>
      <c r="BJ1680" s="1525"/>
      <c r="BK1680" s="1525"/>
      <c r="BL1680" s="1525"/>
      <c r="BM1680" s="1525"/>
      <c r="BN1680" s="1525"/>
      <c r="BO1680" s="1525"/>
      <c r="BP1680" s="1525"/>
      <c r="BQ1680" s="1525"/>
      <c r="BR1680" s="1525"/>
      <c r="BS1680" s="1525"/>
      <c r="BT1680" s="1670"/>
      <c r="BV1680"/>
      <c r="BW1680" s="844"/>
    </row>
    <row r="1681" spans="2:75" s="164" customFormat="1" ht="12.75" customHeight="1" x14ac:dyDescent="0.15">
      <c r="B1681" s="175"/>
      <c r="F1681" s="79" t="s">
        <v>784</v>
      </c>
      <c r="G1681" s="799"/>
      <c r="H1681" s="1341" t="s">
        <v>1508</v>
      </c>
      <c r="L1681" s="843"/>
      <c r="M1681" s="843"/>
      <c r="N1681" s="799"/>
      <c r="O1681" s="1200"/>
      <c r="P1681" s="550"/>
      <c r="Q1681" s="1148"/>
      <c r="R1681" s="874"/>
      <c r="S1681" s="875"/>
      <c r="T1681" s="875"/>
      <c r="U1681" s="875"/>
      <c r="V1681" s="875"/>
      <c r="W1681" s="875"/>
      <c r="X1681" s="1026"/>
      <c r="Y1681" s="1757"/>
      <c r="Z1681" s="1756"/>
      <c r="AA1681" s="1775"/>
      <c r="AB1681" s="1814"/>
      <c r="AC1681" s="876"/>
      <c r="AD1681" s="1295"/>
      <c r="AE1681" s="1525"/>
      <c r="AF1681" s="1525"/>
      <c r="AG1681" s="1525"/>
      <c r="AH1681" s="1525"/>
      <c r="AI1681" s="1525"/>
      <c r="AJ1681" s="1525"/>
      <c r="AK1681" s="1525"/>
      <c r="AL1681" s="1525"/>
      <c r="AM1681" s="1525"/>
      <c r="AN1681" s="1525"/>
      <c r="AO1681" s="1525"/>
      <c r="AP1681" s="1525"/>
      <c r="AQ1681" s="1525"/>
      <c r="AR1681" s="1525"/>
      <c r="AS1681" s="1525"/>
      <c r="AU1681" s="1525"/>
      <c r="AV1681" s="1295"/>
      <c r="AW1681" s="1525"/>
      <c r="AX1681" s="1525"/>
      <c r="AY1681" s="1525"/>
      <c r="AZ1681" s="1525"/>
      <c r="BA1681" s="1525"/>
      <c r="BB1681" s="1525"/>
      <c r="BC1681" s="1525"/>
      <c r="BD1681" s="1525"/>
      <c r="BE1681" s="1525"/>
      <c r="BF1681" s="1525"/>
      <c r="BG1681" s="1525"/>
      <c r="BH1681" s="1525"/>
      <c r="BI1681" s="1525"/>
      <c r="BJ1681" s="1525"/>
      <c r="BK1681" s="1525"/>
      <c r="BL1681" s="1525"/>
      <c r="BM1681" s="1525"/>
      <c r="BN1681" s="1525"/>
      <c r="BO1681" s="1525"/>
      <c r="BP1681" s="1525"/>
      <c r="BQ1681" s="1525"/>
      <c r="BR1681" s="1525"/>
      <c r="BS1681" s="1525"/>
      <c r="BT1681" s="1670"/>
      <c r="BV1681"/>
      <c r="BW1681" s="799"/>
    </row>
    <row r="1682" spans="2:75" s="164" customFormat="1" ht="12.75" customHeight="1" x14ac:dyDescent="0.15">
      <c r="B1682" s="175"/>
      <c r="G1682" s="831"/>
      <c r="H1682" s="1341" t="s">
        <v>1508</v>
      </c>
      <c r="L1682" s="843"/>
      <c r="M1682" s="843"/>
      <c r="N1682" s="799"/>
      <c r="O1682" s="1200"/>
      <c r="P1682" s="550"/>
      <c r="Q1682" s="1148"/>
      <c r="R1682" s="874"/>
      <c r="S1682" s="875"/>
      <c r="T1682" s="875"/>
      <c r="U1682" s="875"/>
      <c r="V1682" s="875"/>
      <c r="W1682" s="875"/>
      <c r="X1682" s="1026"/>
      <c r="Y1682" s="1757"/>
      <c r="Z1682" s="1756"/>
      <c r="AA1682" s="1775"/>
      <c r="AB1682" s="1814"/>
      <c r="AC1682" s="876"/>
      <c r="AD1682" s="1295"/>
      <c r="AE1682" s="1525"/>
      <c r="AF1682" s="1525"/>
      <c r="AG1682" s="1525"/>
      <c r="AH1682" s="1525"/>
      <c r="AI1682" s="1525"/>
      <c r="AJ1682" s="1525"/>
      <c r="AK1682" s="1525"/>
      <c r="AL1682" s="1525"/>
      <c r="AM1682" s="1525"/>
      <c r="AN1682" s="1525"/>
      <c r="AO1682" s="1525"/>
      <c r="AP1682" s="1525"/>
      <c r="AQ1682" s="1525"/>
      <c r="AR1682" s="1525"/>
      <c r="AS1682" s="1525"/>
      <c r="AU1682" s="1525"/>
      <c r="AV1682" s="1295"/>
      <c r="AW1682" s="1525"/>
      <c r="AX1682" s="1525"/>
      <c r="AY1682" s="1525"/>
      <c r="AZ1682" s="1525"/>
      <c r="BA1682" s="1525"/>
      <c r="BB1682" s="1525"/>
      <c r="BC1682" s="1525"/>
      <c r="BD1682" s="1525"/>
      <c r="BE1682" s="1525"/>
      <c r="BF1682" s="1525"/>
      <c r="BG1682" s="1525"/>
      <c r="BH1682" s="1525"/>
      <c r="BI1682" s="1525"/>
      <c r="BJ1682" s="1525"/>
      <c r="BK1682" s="1525"/>
      <c r="BL1682" s="1525"/>
      <c r="BM1682" s="1525"/>
      <c r="BN1682" s="1525"/>
      <c r="BO1682" s="1525"/>
      <c r="BP1682" s="1525"/>
      <c r="BQ1682" s="1525"/>
      <c r="BR1682" s="1525"/>
      <c r="BS1682" s="1525"/>
      <c r="BT1682" s="1670"/>
      <c r="BV1682"/>
      <c r="BW1682" s="799"/>
    </row>
    <row r="1683" spans="2:75" s="164" customFormat="1" ht="12.75" customHeight="1" x14ac:dyDescent="0.15">
      <c r="B1683" s="175"/>
      <c r="F1683" s="80" t="s">
        <v>785</v>
      </c>
      <c r="G1683" s="831"/>
      <c r="H1683" s="1341" t="s">
        <v>1508</v>
      </c>
      <c r="I1683" s="270"/>
      <c r="J1683" s="265"/>
      <c r="K1683" s="265"/>
      <c r="L1683" s="843"/>
      <c r="M1683" s="843"/>
      <c r="N1683" s="831"/>
      <c r="O1683" s="1200"/>
      <c r="P1683" s="550"/>
      <c r="Q1683" s="1148"/>
      <c r="R1683" s="874"/>
      <c r="S1683" s="875"/>
      <c r="T1683" s="875"/>
      <c r="U1683" s="875"/>
      <c r="V1683" s="875"/>
      <c r="W1683" s="875"/>
      <c r="X1683" s="1026"/>
      <c r="Y1683" s="1757"/>
      <c r="Z1683" s="1756"/>
      <c r="AA1683" s="1775"/>
      <c r="AB1683" s="1814"/>
      <c r="AC1683" s="876"/>
      <c r="AD1683" s="1295"/>
      <c r="AE1683" s="1525"/>
      <c r="AF1683" s="1525"/>
      <c r="AG1683" s="1525"/>
      <c r="AH1683" s="1525"/>
      <c r="AI1683" s="1525"/>
      <c r="AJ1683" s="1525"/>
      <c r="AK1683" s="1525"/>
      <c r="AL1683" s="1525"/>
      <c r="AM1683" s="1525"/>
      <c r="AN1683" s="1525"/>
      <c r="AO1683" s="1525"/>
      <c r="AP1683" s="1525"/>
      <c r="AQ1683" s="1525"/>
      <c r="AR1683" s="1525"/>
      <c r="AS1683" s="1525"/>
      <c r="AU1683" s="1525"/>
      <c r="AV1683" s="1295"/>
      <c r="AW1683" s="1525"/>
      <c r="AX1683" s="1525"/>
      <c r="AY1683" s="1525"/>
      <c r="AZ1683" s="1525"/>
      <c r="BA1683" s="1525"/>
      <c r="BB1683" s="1525"/>
      <c r="BC1683" s="1525"/>
      <c r="BD1683" s="1525"/>
      <c r="BE1683" s="1525"/>
      <c r="BF1683" s="1525"/>
      <c r="BG1683" s="1525"/>
      <c r="BH1683" s="1525"/>
      <c r="BI1683" s="1525"/>
      <c r="BJ1683" s="1525"/>
      <c r="BK1683" s="1525"/>
      <c r="BL1683" s="1525"/>
      <c r="BM1683" s="1525"/>
      <c r="BN1683" s="1525"/>
      <c r="BO1683" s="1525"/>
      <c r="BP1683" s="1525"/>
      <c r="BQ1683" s="1525"/>
      <c r="BR1683" s="1525"/>
      <c r="BS1683" s="1525"/>
      <c r="BT1683" s="1670"/>
      <c r="BV1683"/>
      <c r="BW1683" s="799"/>
    </row>
    <row r="1684" spans="2:75" s="164" customFormat="1" ht="12.75" customHeight="1" x14ac:dyDescent="0.15">
      <c r="B1684" s="175"/>
      <c r="F1684" s="80"/>
      <c r="G1684" s="831"/>
      <c r="H1684" s="1341"/>
      <c r="I1684" s="270"/>
      <c r="J1684" s="265"/>
      <c r="K1684" s="265"/>
      <c r="L1684" s="843"/>
      <c r="M1684" s="843"/>
      <c r="N1684" s="831"/>
      <c r="O1684" s="1200"/>
      <c r="P1684" s="550"/>
      <c r="Q1684" s="1148"/>
      <c r="R1684" s="874"/>
      <c r="S1684" s="875"/>
      <c r="T1684" s="875"/>
      <c r="U1684" s="875"/>
      <c r="V1684" s="875"/>
      <c r="W1684" s="875"/>
      <c r="X1684" s="1026"/>
      <c r="Y1684" s="1757"/>
      <c r="Z1684" s="1756"/>
      <c r="AA1684" s="1775"/>
      <c r="AB1684" s="1814"/>
      <c r="AC1684" s="876"/>
      <c r="AD1684" s="1295"/>
      <c r="AE1684" s="1525"/>
      <c r="AF1684" s="1525"/>
      <c r="AG1684" s="1525"/>
      <c r="AH1684" s="1525"/>
      <c r="AI1684" s="1525"/>
      <c r="AJ1684" s="1525"/>
      <c r="AK1684" s="1525"/>
      <c r="AL1684" s="1525"/>
      <c r="AM1684" s="1525"/>
      <c r="AN1684" s="1525"/>
      <c r="AO1684" s="1525"/>
      <c r="AP1684" s="1525"/>
      <c r="AQ1684" s="1525"/>
      <c r="AR1684" s="1525"/>
      <c r="AS1684" s="1525"/>
      <c r="AU1684" s="1525"/>
      <c r="AV1684" s="1295"/>
      <c r="AW1684" s="1525"/>
      <c r="AX1684" s="1525"/>
      <c r="AY1684" s="1525"/>
      <c r="AZ1684" s="1525"/>
      <c r="BA1684" s="1525"/>
      <c r="BB1684" s="1525"/>
      <c r="BC1684" s="1525"/>
      <c r="BD1684" s="1525"/>
      <c r="BE1684" s="1525"/>
      <c r="BF1684" s="1525"/>
      <c r="BG1684" s="1525"/>
      <c r="BH1684" s="1525"/>
      <c r="BI1684" s="1525"/>
      <c r="BJ1684" s="1525"/>
      <c r="BK1684" s="1525"/>
      <c r="BL1684" s="1525"/>
      <c r="BM1684" s="1525"/>
      <c r="BN1684" s="1525"/>
      <c r="BO1684" s="1525"/>
      <c r="BP1684" s="1525"/>
      <c r="BQ1684" s="1525"/>
      <c r="BR1684" s="1525"/>
      <c r="BS1684" s="1525"/>
      <c r="BT1684" s="1670"/>
      <c r="BV1684"/>
      <c r="BW1684" s="799"/>
    </row>
    <row r="1685" spans="2:75" ht="12.75" customHeight="1" x14ac:dyDescent="0.2">
      <c r="B1685" s="175">
        <f>B1683+1</f>
        <v>1</v>
      </c>
      <c r="C1685" s="569">
        <v>11</v>
      </c>
      <c r="D1685" s="570"/>
      <c r="E1685" s="570" t="s">
        <v>1275</v>
      </c>
      <c r="F1685" s="670" t="s">
        <v>196</v>
      </c>
      <c r="G1685" s="831" t="s">
        <v>1846</v>
      </c>
      <c r="H1685" s="858">
        <v>13275</v>
      </c>
      <c r="I1685" s="568" t="s">
        <v>161</v>
      </c>
      <c r="J1685" s="569"/>
      <c r="K1685" s="569"/>
      <c r="L1685" s="1015">
        <v>1</v>
      </c>
      <c r="M1685" s="858">
        <f t="shared" ref="M1685:M1703" si="1044">K1685+L1685</f>
        <v>1</v>
      </c>
      <c r="N1685" s="833" t="s">
        <v>892</v>
      </c>
      <c r="O1685" s="1196">
        <v>21558</v>
      </c>
      <c r="P1685" s="1218">
        <f t="shared" ref="P1685:P1703" ca="1" si="1045">YEARFRAC(TODAY(),O1685)</f>
        <v>58.733333333333334</v>
      </c>
      <c r="Q1685" s="1148">
        <v>50000</v>
      </c>
      <c r="R1685" s="874"/>
      <c r="S1685" s="875"/>
      <c r="T1685" s="875"/>
      <c r="U1685" s="875"/>
      <c r="V1685" s="875"/>
      <c r="W1685" s="875"/>
      <c r="X1685" s="1026">
        <f t="shared" ref="X1685:X1690" si="1046">(Q1685+R1685+S1685+T1685+U1685+V1685+W1685)*M1685</f>
        <v>50000</v>
      </c>
      <c r="Y1685" s="1512">
        <f t="shared" ref="Y1685:Y1690" si="1047">(T1685+U1685)*M1685/(X1685-M1685*(T1685+U1685))</f>
        <v>0</v>
      </c>
      <c r="Z1685" s="1741">
        <f t="shared" ref="Z1685:Z1690" si="1048">M1685*(1+Y1685)</f>
        <v>1</v>
      </c>
      <c r="AA1685" s="1749">
        <f t="shared" ref="AA1685:AA1690" si="1049">SUM(AD1685:AS1685)</f>
        <v>0.5</v>
      </c>
      <c r="AB1685" s="1810">
        <f t="shared" ref="AB1685:AB1690" si="1050">100*AA1685/Z1685</f>
        <v>50</v>
      </c>
      <c r="AC1685" s="876"/>
      <c r="AD1685" s="1525">
        <f t="shared" ref="AD1685:AS1690" si="1051">SUMIF($AV$6:$BS$6,AD$5,$AV1685:$BS1685)</f>
        <v>0.5</v>
      </c>
      <c r="AE1685" s="1525">
        <f t="shared" si="1051"/>
        <v>0</v>
      </c>
      <c r="AF1685" s="1525">
        <f t="shared" si="1051"/>
        <v>0</v>
      </c>
      <c r="AG1685" s="1525">
        <f t="shared" si="1051"/>
        <v>0</v>
      </c>
      <c r="AH1685" s="1525">
        <f t="shared" si="1051"/>
        <v>0</v>
      </c>
      <c r="AI1685" s="1525">
        <f t="shared" si="1051"/>
        <v>0</v>
      </c>
      <c r="AJ1685" s="1525">
        <f t="shared" si="1051"/>
        <v>0</v>
      </c>
      <c r="AK1685" s="1525">
        <f t="shared" si="1051"/>
        <v>0</v>
      </c>
      <c r="AL1685" s="1525">
        <f t="shared" si="1051"/>
        <v>0</v>
      </c>
      <c r="AM1685" s="1525">
        <f t="shared" si="1051"/>
        <v>0</v>
      </c>
      <c r="AN1685" s="1525">
        <f t="shared" si="1051"/>
        <v>0</v>
      </c>
      <c r="AO1685" s="1525">
        <f t="shared" si="1051"/>
        <v>0</v>
      </c>
      <c r="AP1685" s="1525">
        <f t="shared" si="1051"/>
        <v>0</v>
      </c>
      <c r="AQ1685" s="1525">
        <f t="shared" si="1051"/>
        <v>0</v>
      </c>
      <c r="AR1685" s="1525">
        <f t="shared" si="1051"/>
        <v>0</v>
      </c>
      <c r="AS1685" s="1525">
        <f t="shared" si="1051"/>
        <v>0</v>
      </c>
      <c r="AU1685" s="1525"/>
      <c r="AV1685" s="1291"/>
      <c r="AW1685" s="1292"/>
      <c r="AX1685" s="1292"/>
      <c r="AY1685" s="1292"/>
      <c r="AZ1685" s="1292"/>
      <c r="BA1685" s="1292"/>
      <c r="BB1685" s="1292"/>
      <c r="BC1685" s="1292"/>
      <c r="BD1685" s="1292"/>
      <c r="BE1685" s="1292"/>
      <c r="BF1685" s="1292"/>
      <c r="BG1685" s="1292"/>
      <c r="BH1685" s="1292"/>
      <c r="BI1685" s="1292"/>
      <c r="BJ1685" s="1292"/>
      <c r="BK1685" s="1292">
        <v>0.5</v>
      </c>
      <c r="BL1685" s="1292"/>
      <c r="BM1685" s="1292"/>
      <c r="BN1685" s="1292"/>
      <c r="BO1685" s="1292"/>
      <c r="BP1685" s="1292"/>
      <c r="BQ1685" s="1292"/>
      <c r="BR1685" s="1292"/>
      <c r="BS1685" s="1292"/>
      <c r="BT1685" s="1670">
        <f t="shared" ref="BT1685:BT1703" si="1052">SUM(AV1685:BS1685)</f>
        <v>0.5</v>
      </c>
      <c r="BW1685" s="799" t="s">
        <v>1846</v>
      </c>
    </row>
    <row r="1686" spans="2:75" ht="12.75" customHeight="1" x14ac:dyDescent="0.2">
      <c r="B1686" s="175">
        <f t="shared" ref="B1686:B1690" si="1053">B1685+1</f>
        <v>2</v>
      </c>
      <c r="C1686" s="569">
        <v>25</v>
      </c>
      <c r="D1686" s="570"/>
      <c r="E1686" s="570" t="s">
        <v>1275</v>
      </c>
      <c r="F1686" s="670" t="s">
        <v>786</v>
      </c>
      <c r="G1686" s="831" t="s">
        <v>198</v>
      </c>
      <c r="H1686" s="857">
        <v>68055</v>
      </c>
      <c r="I1686" s="568" t="s">
        <v>583</v>
      </c>
      <c r="J1686" s="569"/>
      <c r="K1686" s="569"/>
      <c r="L1686" s="837">
        <v>1</v>
      </c>
      <c r="M1686" s="857">
        <f t="shared" ref="M1686:M1689" si="1054">K1686+L1686</f>
        <v>1</v>
      </c>
      <c r="N1686" s="833" t="s">
        <v>892</v>
      </c>
      <c r="O1686" s="1196">
        <v>21024</v>
      </c>
      <c r="P1686" s="1218">
        <f t="shared" ref="P1686:P1690" ca="1" si="1055">YEARFRAC(TODAY(),O1686)</f>
        <v>60.19166666666667</v>
      </c>
      <c r="Q1686" s="1148">
        <v>23000</v>
      </c>
      <c r="R1686" s="874"/>
      <c r="S1686" s="875"/>
      <c r="T1686" s="875"/>
      <c r="U1686" s="875"/>
      <c r="V1686" s="875"/>
      <c r="W1686" s="875"/>
      <c r="X1686" s="1026">
        <f t="shared" si="1046"/>
        <v>23000</v>
      </c>
      <c r="Y1686" s="1512">
        <f t="shared" si="1047"/>
        <v>0</v>
      </c>
      <c r="Z1686" s="1741">
        <f t="shared" si="1048"/>
        <v>1</v>
      </c>
      <c r="AA1686" s="1749">
        <f t="shared" si="1049"/>
        <v>1</v>
      </c>
      <c r="AB1686" s="1810">
        <f t="shared" si="1050"/>
        <v>100</v>
      </c>
      <c r="AC1686" s="876"/>
      <c r="AD1686" s="1525">
        <f t="shared" si="1051"/>
        <v>1</v>
      </c>
      <c r="AE1686" s="1525">
        <f t="shared" si="1051"/>
        <v>0</v>
      </c>
      <c r="AF1686" s="1525">
        <f t="shared" si="1051"/>
        <v>0</v>
      </c>
      <c r="AG1686" s="1525">
        <f t="shared" si="1051"/>
        <v>0</v>
      </c>
      <c r="AH1686" s="1525">
        <f t="shared" si="1051"/>
        <v>0</v>
      </c>
      <c r="AI1686" s="1525">
        <f t="shared" si="1051"/>
        <v>0</v>
      </c>
      <c r="AJ1686" s="1525">
        <f t="shared" si="1051"/>
        <v>0</v>
      </c>
      <c r="AK1686" s="1525">
        <f t="shared" si="1051"/>
        <v>0</v>
      </c>
      <c r="AL1686" s="1525">
        <f t="shared" si="1051"/>
        <v>0</v>
      </c>
      <c r="AM1686" s="1525">
        <f t="shared" si="1051"/>
        <v>0</v>
      </c>
      <c r="AN1686" s="1525">
        <f t="shared" si="1051"/>
        <v>0</v>
      </c>
      <c r="AO1686" s="1525">
        <f t="shared" si="1051"/>
        <v>0</v>
      </c>
      <c r="AP1686" s="1525">
        <f t="shared" si="1051"/>
        <v>0</v>
      </c>
      <c r="AQ1686" s="1525">
        <f t="shared" si="1051"/>
        <v>0</v>
      </c>
      <c r="AR1686" s="1525">
        <f t="shared" si="1051"/>
        <v>0</v>
      </c>
      <c r="AS1686" s="1525">
        <f t="shared" si="1051"/>
        <v>0</v>
      </c>
      <c r="AU1686" s="1525"/>
      <c r="AV1686" s="1291"/>
      <c r="AW1686" s="1292"/>
      <c r="AX1686" s="1292"/>
      <c r="AY1686" s="1292"/>
      <c r="AZ1686" s="1292"/>
      <c r="BA1686" s="1292"/>
      <c r="BB1686" s="1292"/>
      <c r="BC1686" s="1292"/>
      <c r="BD1686" s="1292"/>
      <c r="BE1686" s="1292"/>
      <c r="BF1686" s="1292"/>
      <c r="BG1686" s="1292"/>
      <c r="BH1686" s="1292"/>
      <c r="BI1686" s="1292"/>
      <c r="BJ1686" s="1292"/>
      <c r="BK1686" s="1292">
        <v>1</v>
      </c>
      <c r="BL1686" s="1292"/>
      <c r="BM1686" s="1292"/>
      <c r="BN1686" s="1292"/>
      <c r="BO1686" s="1292"/>
      <c r="BP1686" s="1292"/>
      <c r="BQ1686" s="1292"/>
      <c r="BR1686" s="1292"/>
      <c r="BS1686" s="1292"/>
      <c r="BT1686" s="1670">
        <f t="shared" ref="BT1686:BT1690" si="1056">SUM(AV1686:BS1686)</f>
        <v>1</v>
      </c>
      <c r="BW1686" s="799" t="s">
        <v>198</v>
      </c>
    </row>
    <row r="1687" spans="2:75" ht="12.75" customHeight="1" x14ac:dyDescent="0.2">
      <c r="B1687" s="175">
        <f t="shared" si="1053"/>
        <v>3</v>
      </c>
      <c r="C1687" s="569">
        <v>25</v>
      </c>
      <c r="D1687" s="570"/>
      <c r="E1687" s="570" t="s">
        <v>1275</v>
      </c>
      <c r="F1687" s="670" t="s">
        <v>197</v>
      </c>
      <c r="G1687" s="831" t="s">
        <v>1843</v>
      </c>
      <c r="H1687" s="857">
        <v>6450</v>
      </c>
      <c r="I1687" s="568" t="s">
        <v>583</v>
      </c>
      <c r="J1687" s="569"/>
      <c r="K1687" s="569"/>
      <c r="L1687" s="837">
        <v>0.5</v>
      </c>
      <c r="M1687" s="857">
        <f t="shared" si="1054"/>
        <v>0.5</v>
      </c>
      <c r="N1687" s="833" t="s">
        <v>892</v>
      </c>
      <c r="O1687" s="1196">
        <v>14575</v>
      </c>
      <c r="P1687" s="1218">
        <f t="shared" ca="1" si="1055"/>
        <v>77.849999999999994</v>
      </c>
      <c r="Q1687" s="1148">
        <v>23000</v>
      </c>
      <c r="R1687" s="874"/>
      <c r="S1687" s="875"/>
      <c r="T1687" s="875"/>
      <c r="U1687" s="875"/>
      <c r="V1687" s="875"/>
      <c r="W1687" s="875"/>
      <c r="X1687" s="1026">
        <f t="shared" si="1046"/>
        <v>11500</v>
      </c>
      <c r="Y1687" s="1512">
        <f t="shared" si="1047"/>
        <v>0</v>
      </c>
      <c r="Z1687" s="1741">
        <f t="shared" si="1048"/>
        <v>0.5</v>
      </c>
      <c r="AA1687" s="1749">
        <f t="shared" si="1049"/>
        <v>0.5</v>
      </c>
      <c r="AB1687" s="1810">
        <f t="shared" si="1050"/>
        <v>100</v>
      </c>
      <c r="AC1687" s="876"/>
      <c r="AD1687" s="1525">
        <f t="shared" si="1051"/>
        <v>0.5</v>
      </c>
      <c r="AE1687" s="1525">
        <f t="shared" si="1051"/>
        <v>0</v>
      </c>
      <c r="AF1687" s="1525">
        <f t="shared" si="1051"/>
        <v>0</v>
      </c>
      <c r="AG1687" s="1525">
        <f t="shared" si="1051"/>
        <v>0</v>
      </c>
      <c r="AH1687" s="1525">
        <f t="shared" si="1051"/>
        <v>0</v>
      </c>
      <c r="AI1687" s="1525">
        <f t="shared" si="1051"/>
        <v>0</v>
      </c>
      <c r="AJ1687" s="1525">
        <f t="shared" si="1051"/>
        <v>0</v>
      </c>
      <c r="AK1687" s="1525">
        <f t="shared" si="1051"/>
        <v>0</v>
      </c>
      <c r="AL1687" s="1525">
        <f t="shared" si="1051"/>
        <v>0</v>
      </c>
      <c r="AM1687" s="1525">
        <f t="shared" si="1051"/>
        <v>0</v>
      </c>
      <c r="AN1687" s="1525">
        <f t="shared" si="1051"/>
        <v>0</v>
      </c>
      <c r="AO1687" s="1525">
        <f t="shared" si="1051"/>
        <v>0</v>
      </c>
      <c r="AP1687" s="1525">
        <f t="shared" si="1051"/>
        <v>0</v>
      </c>
      <c r="AQ1687" s="1525">
        <f t="shared" si="1051"/>
        <v>0</v>
      </c>
      <c r="AR1687" s="1525">
        <f t="shared" si="1051"/>
        <v>0</v>
      </c>
      <c r="AS1687" s="1525">
        <f t="shared" si="1051"/>
        <v>0</v>
      </c>
      <c r="AU1687" s="1525"/>
      <c r="AV1687" s="1291"/>
      <c r="AW1687" s="1292"/>
      <c r="AX1687" s="1292"/>
      <c r="AY1687" s="1292"/>
      <c r="AZ1687" s="1292"/>
      <c r="BA1687" s="1292"/>
      <c r="BB1687" s="1292"/>
      <c r="BC1687" s="1292"/>
      <c r="BD1687" s="1292"/>
      <c r="BE1687" s="1292"/>
      <c r="BF1687" s="1292"/>
      <c r="BG1687" s="1292"/>
      <c r="BH1687" s="1292"/>
      <c r="BI1687" s="1292"/>
      <c r="BJ1687" s="1292">
        <v>0.5</v>
      </c>
      <c r="BK1687" s="1292"/>
      <c r="BL1687" s="1292"/>
      <c r="BM1687" s="1292"/>
      <c r="BN1687" s="1292"/>
      <c r="BO1687" s="1292"/>
      <c r="BP1687" s="1292"/>
      <c r="BQ1687" s="1292"/>
      <c r="BR1687" s="1292"/>
      <c r="BS1687" s="1292"/>
      <c r="BT1687" s="1670">
        <f t="shared" si="1056"/>
        <v>0.5</v>
      </c>
      <c r="BW1687" s="799" t="s">
        <v>1843</v>
      </c>
    </row>
    <row r="1688" spans="2:75" ht="12.75" customHeight="1" x14ac:dyDescent="0.2">
      <c r="B1688" s="175">
        <f t="shared" si="1053"/>
        <v>4</v>
      </c>
      <c r="C1688" s="569">
        <v>25</v>
      </c>
      <c r="D1688" s="570"/>
      <c r="E1688" s="570" t="s">
        <v>1275</v>
      </c>
      <c r="F1688" s="670" t="s">
        <v>197</v>
      </c>
      <c r="G1688" s="831" t="s">
        <v>200</v>
      </c>
      <c r="H1688" s="857">
        <v>6451</v>
      </c>
      <c r="I1688" s="568" t="s">
        <v>583</v>
      </c>
      <c r="J1688" s="569"/>
      <c r="K1688" s="569"/>
      <c r="L1688" s="837">
        <v>0.5</v>
      </c>
      <c r="M1688" s="857">
        <f t="shared" si="1054"/>
        <v>0.5</v>
      </c>
      <c r="N1688" s="833" t="s">
        <v>892</v>
      </c>
      <c r="O1688" s="1196">
        <v>15093</v>
      </c>
      <c r="P1688" s="1218">
        <f t="shared" ca="1" si="1055"/>
        <v>76.430555555555557</v>
      </c>
      <c r="Q1688" s="1148">
        <v>25300</v>
      </c>
      <c r="R1688" s="874"/>
      <c r="S1688" s="875"/>
      <c r="T1688" s="875"/>
      <c r="U1688" s="875"/>
      <c r="V1688" s="875"/>
      <c r="W1688" s="875"/>
      <c r="X1688" s="1026">
        <f t="shared" si="1046"/>
        <v>12650</v>
      </c>
      <c r="Y1688" s="1512">
        <f t="shared" si="1047"/>
        <v>0</v>
      </c>
      <c r="Z1688" s="1741">
        <f t="shared" si="1048"/>
        <v>0.5</v>
      </c>
      <c r="AA1688" s="1749">
        <f t="shared" si="1049"/>
        <v>0.5</v>
      </c>
      <c r="AB1688" s="1810">
        <f t="shared" si="1050"/>
        <v>100</v>
      </c>
      <c r="AC1688" s="876"/>
      <c r="AD1688" s="1525">
        <f t="shared" si="1051"/>
        <v>0.5</v>
      </c>
      <c r="AE1688" s="1525">
        <f t="shared" si="1051"/>
        <v>0</v>
      </c>
      <c r="AF1688" s="1525">
        <f t="shared" si="1051"/>
        <v>0</v>
      </c>
      <c r="AG1688" s="1525">
        <f t="shared" si="1051"/>
        <v>0</v>
      </c>
      <c r="AH1688" s="1525">
        <f t="shared" si="1051"/>
        <v>0</v>
      </c>
      <c r="AI1688" s="1525">
        <f t="shared" si="1051"/>
        <v>0</v>
      </c>
      <c r="AJ1688" s="1525">
        <f t="shared" si="1051"/>
        <v>0</v>
      </c>
      <c r="AK1688" s="1525">
        <f t="shared" si="1051"/>
        <v>0</v>
      </c>
      <c r="AL1688" s="1525">
        <f t="shared" si="1051"/>
        <v>0</v>
      </c>
      <c r="AM1688" s="1525">
        <f t="shared" si="1051"/>
        <v>0</v>
      </c>
      <c r="AN1688" s="1525">
        <f t="shared" si="1051"/>
        <v>0</v>
      </c>
      <c r="AO1688" s="1525">
        <f t="shared" si="1051"/>
        <v>0</v>
      </c>
      <c r="AP1688" s="1525">
        <f t="shared" si="1051"/>
        <v>0</v>
      </c>
      <c r="AQ1688" s="1525">
        <f t="shared" si="1051"/>
        <v>0</v>
      </c>
      <c r="AR1688" s="1525">
        <f t="shared" si="1051"/>
        <v>0</v>
      </c>
      <c r="AS1688" s="1525">
        <f t="shared" si="1051"/>
        <v>0</v>
      </c>
      <c r="AU1688" s="1525"/>
      <c r="AV1688" s="1291"/>
      <c r="AW1688" s="1292"/>
      <c r="AX1688" s="1292"/>
      <c r="AY1688" s="1292"/>
      <c r="AZ1688" s="1292"/>
      <c r="BA1688" s="1292"/>
      <c r="BB1688" s="1292"/>
      <c r="BC1688" s="1292"/>
      <c r="BD1688" s="1292"/>
      <c r="BE1688" s="1292"/>
      <c r="BF1688" s="1292"/>
      <c r="BG1688" s="1292"/>
      <c r="BH1688" s="1292"/>
      <c r="BI1688" s="1292"/>
      <c r="BJ1688" s="1292"/>
      <c r="BK1688" s="1292">
        <v>0.5</v>
      </c>
      <c r="BL1688" s="1292"/>
      <c r="BM1688" s="1292"/>
      <c r="BN1688" s="1292"/>
      <c r="BO1688" s="1292"/>
      <c r="BP1688" s="1292"/>
      <c r="BQ1688" s="1292"/>
      <c r="BR1688" s="1292"/>
      <c r="BS1688" s="1292"/>
      <c r="BT1688" s="1670">
        <f t="shared" si="1056"/>
        <v>0.5</v>
      </c>
      <c r="BW1688" s="799" t="s">
        <v>200</v>
      </c>
    </row>
    <row r="1689" spans="2:75" ht="12.75" customHeight="1" x14ac:dyDescent="0.2">
      <c r="B1689" s="175">
        <f t="shared" si="1053"/>
        <v>5</v>
      </c>
      <c r="C1689" s="569">
        <v>25</v>
      </c>
      <c r="D1689" s="570"/>
      <c r="E1689" s="570" t="s">
        <v>1275</v>
      </c>
      <c r="F1689" s="670" t="s">
        <v>868</v>
      </c>
      <c r="G1689" s="831" t="s">
        <v>64</v>
      </c>
      <c r="H1689" s="857">
        <v>125833</v>
      </c>
      <c r="I1689" s="568" t="s">
        <v>583</v>
      </c>
      <c r="J1689" s="569"/>
      <c r="K1689" s="569"/>
      <c r="L1689" s="837">
        <v>1</v>
      </c>
      <c r="M1689" s="857">
        <f t="shared" si="1054"/>
        <v>1</v>
      </c>
      <c r="N1689" s="833" t="s">
        <v>892</v>
      </c>
      <c r="O1689" s="1196">
        <v>24678</v>
      </c>
      <c r="P1689" s="1218">
        <f t="shared" ca="1" si="1055"/>
        <v>50.18611111111111</v>
      </c>
      <c r="Q1689" s="1148">
        <v>24000</v>
      </c>
      <c r="R1689" s="874"/>
      <c r="S1689" s="875"/>
      <c r="T1689" s="875"/>
      <c r="U1689" s="875"/>
      <c r="V1689" s="875"/>
      <c r="W1689" s="875"/>
      <c r="X1689" s="1026">
        <f t="shared" si="1046"/>
        <v>24000</v>
      </c>
      <c r="Y1689" s="1512">
        <f t="shared" si="1047"/>
        <v>0</v>
      </c>
      <c r="Z1689" s="1741">
        <f t="shared" si="1048"/>
        <v>1</v>
      </c>
      <c r="AA1689" s="1749">
        <f t="shared" si="1049"/>
        <v>1</v>
      </c>
      <c r="AB1689" s="1810">
        <f t="shared" si="1050"/>
        <v>100</v>
      </c>
      <c r="AC1689" s="876"/>
      <c r="AD1689" s="1525">
        <f t="shared" si="1051"/>
        <v>1</v>
      </c>
      <c r="AE1689" s="1525">
        <f t="shared" si="1051"/>
        <v>0</v>
      </c>
      <c r="AF1689" s="1525">
        <f t="shared" si="1051"/>
        <v>0</v>
      </c>
      <c r="AG1689" s="1525">
        <f t="shared" si="1051"/>
        <v>0</v>
      </c>
      <c r="AH1689" s="1525">
        <f t="shared" si="1051"/>
        <v>0</v>
      </c>
      <c r="AI1689" s="1525">
        <f t="shared" si="1051"/>
        <v>0</v>
      </c>
      <c r="AJ1689" s="1525">
        <f t="shared" si="1051"/>
        <v>0</v>
      </c>
      <c r="AK1689" s="1525">
        <f t="shared" si="1051"/>
        <v>0</v>
      </c>
      <c r="AL1689" s="1525">
        <f t="shared" si="1051"/>
        <v>0</v>
      </c>
      <c r="AM1689" s="1525">
        <f t="shared" si="1051"/>
        <v>0</v>
      </c>
      <c r="AN1689" s="1525">
        <f t="shared" si="1051"/>
        <v>0</v>
      </c>
      <c r="AO1689" s="1525">
        <f t="shared" si="1051"/>
        <v>0</v>
      </c>
      <c r="AP1689" s="1525">
        <f t="shared" si="1051"/>
        <v>0</v>
      </c>
      <c r="AQ1689" s="1525">
        <f t="shared" si="1051"/>
        <v>0</v>
      </c>
      <c r="AR1689" s="1525">
        <f t="shared" si="1051"/>
        <v>0</v>
      </c>
      <c r="AS1689" s="1525">
        <f t="shared" si="1051"/>
        <v>0</v>
      </c>
      <c r="AU1689" s="1525"/>
      <c r="AV1689" s="1291"/>
      <c r="AW1689" s="1292"/>
      <c r="AX1689" s="1292"/>
      <c r="AY1689" s="1292"/>
      <c r="AZ1689" s="1292"/>
      <c r="BA1689" s="1292"/>
      <c r="BB1689" s="1292"/>
      <c r="BC1689" s="1292"/>
      <c r="BD1689" s="1292"/>
      <c r="BE1689" s="1292"/>
      <c r="BF1689" s="1292"/>
      <c r="BG1689" s="1292"/>
      <c r="BH1689" s="1292"/>
      <c r="BI1689" s="1292"/>
      <c r="BJ1689" s="1292"/>
      <c r="BK1689" s="1292">
        <v>1</v>
      </c>
      <c r="BL1689" s="1292"/>
      <c r="BM1689" s="1292"/>
      <c r="BN1689" s="1292"/>
      <c r="BO1689" s="1292"/>
      <c r="BP1689" s="1292"/>
      <c r="BQ1689" s="1292"/>
      <c r="BR1689" s="1292"/>
      <c r="BS1689" s="1292"/>
      <c r="BT1689" s="1670">
        <f t="shared" si="1056"/>
        <v>1</v>
      </c>
      <c r="BW1689" s="799" t="s">
        <v>64</v>
      </c>
    </row>
    <row r="1690" spans="2:75" ht="12.75" customHeight="1" x14ac:dyDescent="0.2">
      <c r="B1690" s="175">
        <f t="shared" si="1053"/>
        <v>6</v>
      </c>
      <c r="C1690" s="569">
        <v>21</v>
      </c>
      <c r="D1690" s="570"/>
      <c r="E1690" s="570" t="s">
        <v>1275</v>
      </c>
      <c r="F1690" s="670" t="s">
        <v>912</v>
      </c>
      <c r="G1690" s="831" t="s">
        <v>913</v>
      </c>
      <c r="H1690" s="857">
        <v>3975</v>
      </c>
      <c r="I1690" s="568" t="s">
        <v>583</v>
      </c>
      <c r="J1690" s="569"/>
      <c r="K1690" s="569"/>
      <c r="L1690" s="837">
        <v>0.5</v>
      </c>
      <c r="M1690" s="857">
        <v>0.5</v>
      </c>
      <c r="N1690" s="833" t="s">
        <v>892</v>
      </c>
      <c r="O1690" s="1196">
        <v>16528</v>
      </c>
      <c r="P1690" s="1218">
        <f t="shared" ca="1" si="1055"/>
        <v>72.50277777777778</v>
      </c>
      <c r="Q1690" s="1148">
        <v>14100</v>
      </c>
      <c r="R1690" s="874"/>
      <c r="S1690" s="875"/>
      <c r="T1690" s="875"/>
      <c r="U1690" s="875"/>
      <c r="V1690" s="875"/>
      <c r="W1690" s="875"/>
      <c r="X1690" s="1026">
        <f t="shared" si="1046"/>
        <v>7050</v>
      </c>
      <c r="Y1690" s="1512">
        <f t="shared" si="1047"/>
        <v>0</v>
      </c>
      <c r="Z1690" s="1741">
        <f t="shared" si="1048"/>
        <v>0.5</v>
      </c>
      <c r="AA1690" s="1749">
        <f t="shared" si="1049"/>
        <v>0.5</v>
      </c>
      <c r="AB1690" s="1810">
        <f t="shared" si="1050"/>
        <v>100</v>
      </c>
      <c r="AC1690" s="876"/>
      <c r="AD1690" s="1525">
        <f t="shared" si="1051"/>
        <v>0.5</v>
      </c>
      <c r="AE1690" s="1525">
        <f t="shared" si="1051"/>
        <v>0</v>
      </c>
      <c r="AF1690" s="1525">
        <f t="shared" si="1051"/>
        <v>0</v>
      </c>
      <c r="AG1690" s="1525">
        <f t="shared" si="1051"/>
        <v>0</v>
      </c>
      <c r="AH1690" s="1525">
        <f t="shared" si="1051"/>
        <v>0</v>
      </c>
      <c r="AI1690" s="1525">
        <f t="shared" si="1051"/>
        <v>0</v>
      </c>
      <c r="AJ1690" s="1525">
        <f t="shared" si="1051"/>
        <v>0</v>
      </c>
      <c r="AK1690" s="1525">
        <f t="shared" si="1051"/>
        <v>0</v>
      </c>
      <c r="AL1690" s="1525">
        <f t="shared" si="1051"/>
        <v>0</v>
      </c>
      <c r="AM1690" s="1525">
        <f t="shared" si="1051"/>
        <v>0</v>
      </c>
      <c r="AN1690" s="1525">
        <f t="shared" si="1051"/>
        <v>0</v>
      </c>
      <c r="AO1690" s="1525">
        <f t="shared" si="1051"/>
        <v>0</v>
      </c>
      <c r="AP1690" s="1525">
        <f t="shared" si="1051"/>
        <v>0</v>
      </c>
      <c r="AQ1690" s="1525">
        <f t="shared" si="1051"/>
        <v>0</v>
      </c>
      <c r="AR1690" s="1525">
        <f t="shared" si="1051"/>
        <v>0</v>
      </c>
      <c r="AS1690" s="1525">
        <f t="shared" si="1051"/>
        <v>0</v>
      </c>
      <c r="AU1690" s="1525"/>
      <c r="AV1690" s="1291"/>
      <c r="AW1690" s="1292"/>
      <c r="AX1690" s="1292"/>
      <c r="AY1690" s="1292"/>
      <c r="AZ1690" s="1292"/>
      <c r="BA1690" s="1292"/>
      <c r="BB1690" s="1292"/>
      <c r="BC1690" s="1292"/>
      <c r="BD1690" s="1292"/>
      <c r="BE1690" s="1292"/>
      <c r="BF1690" s="1292"/>
      <c r="BG1690" s="1292"/>
      <c r="BH1690" s="1292"/>
      <c r="BI1690" s="1292"/>
      <c r="BJ1690" s="1292"/>
      <c r="BK1690" s="1292">
        <v>0.5</v>
      </c>
      <c r="BL1690" s="1292"/>
      <c r="BM1690" s="1292"/>
      <c r="BN1690" s="1292"/>
      <c r="BO1690" s="1292"/>
      <c r="BP1690" s="1292"/>
      <c r="BQ1690" s="1292"/>
      <c r="BR1690" s="1292"/>
      <c r="BS1690" s="1292"/>
      <c r="BT1690" s="1670">
        <f t="shared" si="1056"/>
        <v>0.5</v>
      </c>
      <c r="BW1690" s="799" t="s">
        <v>913</v>
      </c>
    </row>
    <row r="1691" spans="2:75" ht="12.75" customHeight="1" x14ac:dyDescent="0.2">
      <c r="B1691" s="175"/>
      <c r="C1691" s="569"/>
      <c r="D1691" s="570"/>
      <c r="E1691" s="570"/>
      <c r="F1691" s="670"/>
      <c r="G1691" s="831"/>
      <c r="H1691" s="858"/>
      <c r="I1691" s="568"/>
      <c r="J1691" s="569"/>
      <c r="K1691" s="569"/>
      <c r="L1691" s="1015"/>
      <c r="M1691" s="858"/>
      <c r="N1691" s="833"/>
      <c r="O1691" s="1196"/>
      <c r="P1691" s="1218"/>
      <c r="Q1691" s="1148"/>
      <c r="R1691" s="874"/>
      <c r="S1691" s="875"/>
      <c r="T1691" s="875"/>
      <c r="U1691" s="875"/>
      <c r="V1691" s="875"/>
      <c r="W1691" s="875"/>
      <c r="X1691" s="1026"/>
      <c r="Y1691" s="1562"/>
      <c r="Z1691" s="1742"/>
      <c r="AA1691" s="1775"/>
      <c r="AB1691" s="1811"/>
      <c r="AC1691" s="876"/>
      <c r="AD1691" s="1295"/>
      <c r="AE1691" s="1525"/>
      <c r="AF1691" s="1525"/>
      <c r="AG1691" s="1525"/>
      <c r="AH1691" s="1525"/>
      <c r="AI1691" s="1525"/>
      <c r="AJ1691" s="1525"/>
      <c r="AK1691" s="1525"/>
      <c r="AL1691" s="1525"/>
      <c r="AM1691" s="1525"/>
      <c r="AN1691" s="1525"/>
      <c r="AO1691" s="1525"/>
      <c r="AP1691" s="1525"/>
      <c r="AQ1691" s="1525"/>
      <c r="AR1691" s="1525"/>
      <c r="AS1691" s="1525"/>
      <c r="AU1691" s="1525"/>
      <c r="AV1691" s="1291"/>
      <c r="AW1691" s="1292"/>
      <c r="AX1691" s="1292"/>
      <c r="AY1691" s="1292"/>
      <c r="AZ1691" s="1292"/>
      <c r="BA1691" s="1292"/>
      <c r="BB1691" s="1292"/>
      <c r="BC1691" s="1292"/>
      <c r="BD1691" s="1292"/>
      <c r="BE1691" s="1292"/>
      <c r="BF1691" s="1292"/>
      <c r="BG1691" s="1292"/>
      <c r="BH1691" s="1292"/>
      <c r="BI1691" s="1292"/>
      <c r="BJ1691" s="1292"/>
      <c r="BK1691" s="1292"/>
      <c r="BL1691" s="1292"/>
      <c r="BM1691" s="1292"/>
      <c r="BN1691" s="1292"/>
      <c r="BO1691" s="1292"/>
      <c r="BP1691" s="1292"/>
      <c r="BQ1691" s="1292"/>
      <c r="BR1691" s="1292"/>
      <c r="BS1691" s="1292"/>
      <c r="BT1691" s="1670"/>
      <c r="BW1691" s="799"/>
    </row>
    <row r="1692" spans="2:75" ht="12.75" customHeight="1" x14ac:dyDescent="0.2">
      <c r="B1692" s="175"/>
      <c r="C1692" s="569"/>
      <c r="D1692" s="570"/>
      <c r="E1692" s="570"/>
      <c r="F1692" s="670"/>
      <c r="G1692" s="831"/>
      <c r="H1692" s="858"/>
      <c r="I1692" s="568"/>
      <c r="J1692" s="569"/>
      <c r="K1692" s="569"/>
      <c r="L1692" s="1015"/>
      <c r="M1692" s="858"/>
      <c r="N1692" s="833"/>
      <c r="O1692" s="1196"/>
      <c r="P1692" s="1218"/>
      <c r="Q1692" s="1148"/>
      <c r="R1692" s="874"/>
      <c r="S1692" s="875"/>
      <c r="T1692" s="875"/>
      <c r="U1692" s="875"/>
      <c r="V1692" s="875"/>
      <c r="W1692" s="875"/>
      <c r="X1692" s="1026"/>
      <c r="Y1692" s="1562"/>
      <c r="Z1692" s="1742"/>
      <c r="AA1692" s="1775"/>
      <c r="AB1692" s="1811"/>
      <c r="AC1692" s="876"/>
      <c r="AD1692" s="1295"/>
      <c r="AE1692" s="1525"/>
      <c r="AF1692" s="1525"/>
      <c r="AG1692" s="1525"/>
      <c r="AH1692" s="1525"/>
      <c r="AI1692" s="1525"/>
      <c r="AJ1692" s="1525"/>
      <c r="AK1692" s="1525"/>
      <c r="AL1692" s="1525"/>
      <c r="AM1692" s="1525"/>
      <c r="AN1692" s="1525"/>
      <c r="AO1692" s="1525"/>
      <c r="AP1692" s="1525"/>
      <c r="AQ1692" s="1525"/>
      <c r="AR1692" s="1525"/>
      <c r="AS1692" s="1525"/>
      <c r="AU1692" s="1525"/>
      <c r="AV1692" s="1291"/>
      <c r="AW1692" s="1292"/>
      <c r="AX1692" s="1292"/>
      <c r="AY1692" s="1292"/>
      <c r="AZ1692" s="1292"/>
      <c r="BA1692" s="1292"/>
      <c r="BB1692" s="1292"/>
      <c r="BC1692" s="1292"/>
      <c r="BD1692" s="1292"/>
      <c r="BE1692" s="1292"/>
      <c r="BF1692" s="1292"/>
      <c r="BG1692" s="1292"/>
      <c r="BH1692" s="1292"/>
      <c r="BI1692" s="1292"/>
      <c r="BJ1692" s="1292"/>
      <c r="BK1692" s="1292"/>
      <c r="BL1692" s="1292"/>
      <c r="BM1692" s="1292"/>
      <c r="BN1692" s="1292"/>
      <c r="BO1692" s="1292"/>
      <c r="BP1692" s="1292"/>
      <c r="BQ1692" s="1292"/>
      <c r="BR1692" s="1292"/>
      <c r="BS1692" s="1292"/>
      <c r="BT1692" s="1670"/>
      <c r="BW1692" s="799"/>
    </row>
    <row r="1693" spans="2:75" ht="12.75" customHeight="1" x14ac:dyDescent="0.2">
      <c r="B1693" s="175"/>
      <c r="C1693" s="569"/>
      <c r="D1693" s="570"/>
      <c r="E1693" s="570"/>
      <c r="F1693" s="1519" t="s">
        <v>2013</v>
      </c>
      <c r="G1693" s="1882"/>
      <c r="H1693" s="858"/>
      <c r="I1693" s="568"/>
      <c r="J1693" s="569"/>
      <c r="K1693" s="569"/>
      <c r="L1693" s="1015"/>
      <c r="M1693" s="858"/>
      <c r="N1693" s="833"/>
      <c r="O1693" s="1196"/>
      <c r="P1693" s="1218"/>
      <c r="Q1693" s="1148"/>
      <c r="R1693" s="874"/>
      <c r="S1693" s="875"/>
      <c r="T1693" s="875"/>
      <c r="U1693" s="875"/>
      <c r="V1693" s="875"/>
      <c r="W1693" s="875"/>
      <c r="X1693" s="1026"/>
      <c r="Y1693" s="1562"/>
      <c r="Z1693" s="1742"/>
      <c r="AA1693" s="1775"/>
      <c r="AB1693" s="1811"/>
      <c r="AC1693" s="876"/>
      <c r="AD1693" s="1295"/>
      <c r="AE1693" s="1525"/>
      <c r="AF1693" s="1525"/>
      <c r="AG1693" s="1525"/>
      <c r="AH1693" s="1525"/>
      <c r="AI1693" s="1525"/>
      <c r="AJ1693" s="1525"/>
      <c r="AK1693" s="1525"/>
      <c r="AL1693" s="1525"/>
      <c r="AM1693" s="1525"/>
      <c r="AN1693" s="1525"/>
      <c r="AO1693" s="1525"/>
      <c r="AP1693" s="1525"/>
      <c r="AQ1693" s="1525"/>
      <c r="AR1693" s="1525"/>
      <c r="AS1693" s="1525"/>
      <c r="AU1693" s="1525"/>
      <c r="AV1693" s="1291"/>
      <c r="AW1693" s="1292"/>
      <c r="AX1693" s="1292"/>
      <c r="AY1693" s="1292"/>
      <c r="AZ1693" s="1292"/>
      <c r="BA1693" s="1292"/>
      <c r="BB1693" s="1292"/>
      <c r="BC1693" s="1292"/>
      <c r="BD1693" s="1292"/>
      <c r="BE1693" s="1292"/>
      <c r="BF1693" s="1292"/>
      <c r="BG1693" s="1292"/>
      <c r="BH1693" s="1292"/>
      <c r="BI1693" s="1292"/>
      <c r="BJ1693" s="1292"/>
      <c r="BK1693" s="1292"/>
      <c r="BL1693" s="1292"/>
      <c r="BM1693" s="1292"/>
      <c r="BN1693" s="1292"/>
      <c r="BO1693" s="1292"/>
      <c r="BP1693" s="1292"/>
      <c r="BQ1693" s="1292"/>
      <c r="BR1693" s="1292"/>
      <c r="BS1693" s="1292"/>
      <c r="BT1693" s="1670"/>
      <c r="BW1693" s="799"/>
    </row>
    <row r="1694" spans="2:75" ht="12.75" customHeight="1" x14ac:dyDescent="0.2">
      <c r="B1694" s="175"/>
      <c r="C1694" s="569"/>
      <c r="D1694" s="570"/>
      <c r="E1694" s="570"/>
      <c r="F1694" s="1519"/>
      <c r="G1694" s="1882"/>
      <c r="H1694" s="858"/>
      <c r="I1694" s="568"/>
      <c r="J1694" s="569"/>
      <c r="K1694" s="569"/>
      <c r="L1694" s="1015"/>
      <c r="M1694" s="858"/>
      <c r="N1694" s="833"/>
      <c r="O1694" s="1196"/>
      <c r="P1694" s="1218"/>
      <c r="Q1694" s="1148"/>
      <c r="R1694" s="874"/>
      <c r="S1694" s="875"/>
      <c r="T1694" s="875"/>
      <c r="U1694" s="875"/>
      <c r="V1694" s="875"/>
      <c r="W1694" s="875"/>
      <c r="X1694" s="1026"/>
      <c r="Y1694" s="1562"/>
      <c r="Z1694" s="1742"/>
      <c r="AA1694" s="1775"/>
      <c r="AB1694" s="1811"/>
      <c r="AC1694" s="876"/>
      <c r="AD1694" s="1295"/>
      <c r="AE1694" s="1525"/>
      <c r="AF1694" s="1525"/>
      <c r="AG1694" s="1525"/>
      <c r="AH1694" s="1525"/>
      <c r="AI1694" s="1525"/>
      <c r="AJ1694" s="1525"/>
      <c r="AK1694" s="1525"/>
      <c r="AL1694" s="1525"/>
      <c r="AM1694" s="1525"/>
      <c r="AN1694" s="1525"/>
      <c r="AO1694" s="1525"/>
      <c r="AP1694" s="1525"/>
      <c r="AQ1694" s="1525"/>
      <c r="AR1694" s="1525"/>
      <c r="AS1694" s="1525"/>
      <c r="AU1694" s="1525"/>
      <c r="AV1694" s="1291"/>
      <c r="AW1694" s="1292"/>
      <c r="AX1694" s="1292"/>
      <c r="AY1694" s="1292"/>
      <c r="AZ1694" s="1292"/>
      <c r="BA1694" s="1292"/>
      <c r="BB1694" s="1292"/>
      <c r="BC1694" s="1292"/>
      <c r="BD1694" s="1292"/>
      <c r="BE1694" s="1292"/>
      <c r="BF1694" s="1292"/>
      <c r="BG1694" s="1292"/>
      <c r="BH1694" s="1292"/>
      <c r="BI1694" s="1292"/>
      <c r="BJ1694" s="1292"/>
      <c r="BK1694" s="1292"/>
      <c r="BL1694" s="1292"/>
      <c r="BM1694" s="1292"/>
      <c r="BN1694" s="1292"/>
      <c r="BO1694" s="1292"/>
      <c r="BP1694" s="1292"/>
      <c r="BQ1694" s="1292"/>
      <c r="BR1694" s="1292"/>
      <c r="BS1694" s="1292"/>
      <c r="BT1694" s="1670"/>
      <c r="BW1694" s="799"/>
    </row>
    <row r="1695" spans="2:75" ht="12.75" customHeight="1" x14ac:dyDescent="0.2">
      <c r="B1695" s="175">
        <f>B1693+1</f>
        <v>1</v>
      </c>
      <c r="C1695" s="219">
        <v>32</v>
      </c>
      <c r="E1695" s="12" t="s">
        <v>1275</v>
      </c>
      <c r="F1695" t="s">
        <v>824</v>
      </c>
      <c r="G1695" s="831" t="s">
        <v>1844</v>
      </c>
      <c r="H1695" s="858">
        <v>6461</v>
      </c>
      <c r="I1695" s="232" t="s">
        <v>583</v>
      </c>
      <c r="J1695" s="170"/>
      <c r="L1695" s="843">
        <v>1</v>
      </c>
      <c r="M1695" s="858">
        <f>K1695+L1695</f>
        <v>1</v>
      </c>
      <c r="N1695" s="831" t="s">
        <v>892</v>
      </c>
      <c r="O1695" s="1196">
        <v>20492</v>
      </c>
      <c r="P1695" s="1218">
        <f ca="1">YEARFRAC(TODAY(),O1695)</f>
        <v>61.652777777777779</v>
      </c>
      <c r="Q1695" s="1148">
        <v>33000</v>
      </c>
      <c r="R1695" s="874"/>
      <c r="S1695" s="875"/>
      <c r="T1695" s="877"/>
      <c r="U1695" s="877"/>
      <c r="V1695" s="877"/>
      <c r="W1695" s="875"/>
      <c r="X1695" s="1026">
        <f t="shared" ref="X1695:X1703" si="1057">(Q1695+R1695+S1695+T1695+U1695+V1695+W1695)*M1695</f>
        <v>33000</v>
      </c>
      <c r="Y1695" s="1512">
        <f t="shared" ref="Y1695:Y1703" si="1058">(T1695+U1695)*M1695/(X1695-M1695*(T1695+U1695))</f>
        <v>0</v>
      </c>
      <c r="Z1695" s="1741">
        <f t="shared" ref="Z1695:Z1703" si="1059">M1695*(1+Y1695)</f>
        <v>1</v>
      </c>
      <c r="AA1695" s="1749">
        <f t="shared" ref="AA1695:AA1703" si="1060">SUM(AD1695:AS1695)</f>
        <v>0.6</v>
      </c>
      <c r="AB1695" s="1810">
        <f>100*AA1695/Z1695</f>
        <v>60</v>
      </c>
      <c r="AC1695" s="876"/>
      <c r="AD1695" s="1525">
        <f t="shared" ref="AD1695:AS1703" si="1061">SUMIF($AV$6:$BS$6,AD$5,$AV1695:$BS1695)</f>
        <v>0.5</v>
      </c>
      <c r="AE1695" s="1525">
        <f t="shared" si="1061"/>
        <v>0</v>
      </c>
      <c r="AF1695" s="1525">
        <f t="shared" si="1061"/>
        <v>0</v>
      </c>
      <c r="AG1695" s="1525">
        <f t="shared" si="1061"/>
        <v>0</v>
      </c>
      <c r="AH1695" s="1525">
        <f t="shared" si="1061"/>
        <v>0</v>
      </c>
      <c r="AI1695" s="1525">
        <f t="shared" si="1061"/>
        <v>0</v>
      </c>
      <c r="AJ1695" s="1525">
        <f t="shared" si="1061"/>
        <v>0</v>
      </c>
      <c r="AK1695" s="1525">
        <f t="shared" si="1061"/>
        <v>0</v>
      </c>
      <c r="AL1695" s="1525">
        <f t="shared" si="1061"/>
        <v>0</v>
      </c>
      <c r="AM1695" s="1525">
        <f t="shared" si="1061"/>
        <v>0</v>
      </c>
      <c r="AN1695" s="1525">
        <f t="shared" si="1061"/>
        <v>0.1</v>
      </c>
      <c r="AO1695" s="1525">
        <f t="shared" si="1061"/>
        <v>0</v>
      </c>
      <c r="AP1695" s="1525">
        <f t="shared" si="1061"/>
        <v>0</v>
      </c>
      <c r="AQ1695" s="1525">
        <f t="shared" si="1061"/>
        <v>0</v>
      </c>
      <c r="AR1695" s="1525">
        <f t="shared" si="1061"/>
        <v>0</v>
      </c>
      <c r="AS1695" s="1525">
        <f t="shared" si="1061"/>
        <v>0</v>
      </c>
      <c r="AU1695" s="1525"/>
      <c r="AV1695" s="1291"/>
      <c r="AW1695" s="1292"/>
      <c r="AX1695" s="1292"/>
      <c r="AY1695" s="1292"/>
      <c r="AZ1695" s="1292"/>
      <c r="BA1695" s="1292"/>
      <c r="BB1695" s="1292"/>
      <c r="BC1695" s="1292"/>
      <c r="BD1695" s="1292"/>
      <c r="BE1695" s="1292">
        <v>0.1</v>
      </c>
      <c r="BF1695" s="1292"/>
      <c r="BG1695" s="1292"/>
      <c r="BH1695" s="1292"/>
      <c r="BI1695" s="1292"/>
      <c r="BJ1695" s="1292"/>
      <c r="BK1695" s="1292">
        <v>0.5</v>
      </c>
      <c r="BL1695" s="1292"/>
      <c r="BM1695" s="1292"/>
      <c r="BN1695" s="1292"/>
      <c r="BO1695" s="1292"/>
      <c r="BP1695" s="1292"/>
      <c r="BQ1695" s="1292"/>
      <c r="BR1695" s="1292"/>
      <c r="BS1695" s="1292"/>
      <c r="BT1695" s="1670">
        <f>SUM(AV1695:BS1695)</f>
        <v>0.6</v>
      </c>
      <c r="BW1695" s="1439" t="s">
        <v>2012</v>
      </c>
    </row>
    <row r="1696" spans="2:75" ht="12.75" customHeight="1" x14ac:dyDescent="0.2">
      <c r="B1696" s="175">
        <f t="shared" ref="B1696:B1703" si="1062">B1695+1</f>
        <v>2</v>
      </c>
      <c r="C1696" s="219">
        <v>32</v>
      </c>
      <c r="E1696" s="570" t="s">
        <v>1275</v>
      </c>
      <c r="F1696" s="80" t="s">
        <v>1229</v>
      </c>
      <c r="G1696" s="831" t="s">
        <v>199</v>
      </c>
      <c r="H1696" s="858">
        <v>30785</v>
      </c>
      <c r="I1696" s="232" t="s">
        <v>583</v>
      </c>
      <c r="L1696" s="843">
        <v>1</v>
      </c>
      <c r="M1696" s="858">
        <f t="shared" si="1044"/>
        <v>1</v>
      </c>
      <c r="N1696" s="833" t="s">
        <v>1326</v>
      </c>
      <c r="O1696" s="1196">
        <v>22139</v>
      </c>
      <c r="P1696" s="1218">
        <f t="shared" ca="1" si="1045"/>
        <v>57.141666666666666</v>
      </c>
      <c r="Q1696" s="1148">
        <v>36000</v>
      </c>
      <c r="R1696" s="874">
        <f>Q1696*0.1</f>
        <v>3600</v>
      </c>
      <c r="S1696" s="875"/>
      <c r="T1696" s="875"/>
      <c r="U1696" s="875"/>
      <c r="V1696" s="875"/>
      <c r="W1696" s="875"/>
      <c r="X1696" s="1026">
        <f t="shared" si="1057"/>
        <v>39600</v>
      </c>
      <c r="Y1696" s="1512">
        <f t="shared" si="1058"/>
        <v>0</v>
      </c>
      <c r="Z1696" s="1741">
        <f t="shared" si="1059"/>
        <v>1</v>
      </c>
      <c r="AA1696" s="1749">
        <f t="shared" si="1060"/>
        <v>1</v>
      </c>
      <c r="AB1696" s="1810">
        <f t="shared" ref="AB1696:AB1703" si="1063">100*AA1696/Z1696</f>
        <v>100</v>
      </c>
      <c r="AC1696" s="876"/>
      <c r="AD1696" s="1525">
        <f t="shared" si="1061"/>
        <v>0.9</v>
      </c>
      <c r="AE1696" s="1525">
        <f t="shared" si="1061"/>
        <v>0</v>
      </c>
      <c r="AF1696" s="1525">
        <f t="shared" si="1061"/>
        <v>0</v>
      </c>
      <c r="AG1696" s="1525">
        <f t="shared" si="1061"/>
        <v>0</v>
      </c>
      <c r="AH1696" s="1525">
        <f t="shared" si="1061"/>
        <v>0</v>
      </c>
      <c r="AI1696" s="1525">
        <f t="shared" si="1061"/>
        <v>0</v>
      </c>
      <c r="AJ1696" s="1525">
        <f t="shared" si="1061"/>
        <v>0</v>
      </c>
      <c r="AK1696" s="1525">
        <f t="shared" si="1061"/>
        <v>0</v>
      </c>
      <c r="AL1696" s="1525">
        <f t="shared" si="1061"/>
        <v>0</v>
      </c>
      <c r="AM1696" s="1525">
        <f t="shared" si="1061"/>
        <v>0</v>
      </c>
      <c r="AN1696" s="1525">
        <f t="shared" si="1061"/>
        <v>0.1</v>
      </c>
      <c r="AO1696" s="1525">
        <f t="shared" si="1061"/>
        <v>0</v>
      </c>
      <c r="AP1696" s="1525">
        <f t="shared" si="1061"/>
        <v>0</v>
      </c>
      <c r="AQ1696" s="1525">
        <f t="shared" si="1061"/>
        <v>0</v>
      </c>
      <c r="AR1696" s="1525">
        <f t="shared" si="1061"/>
        <v>0</v>
      </c>
      <c r="AS1696" s="1525">
        <f t="shared" si="1061"/>
        <v>0</v>
      </c>
      <c r="AU1696" s="1525"/>
      <c r="AV1696" s="1291"/>
      <c r="AW1696" s="1292"/>
      <c r="AX1696" s="1292"/>
      <c r="AY1696" s="1292"/>
      <c r="AZ1696" s="1292"/>
      <c r="BA1696" s="1292"/>
      <c r="BB1696" s="1292"/>
      <c r="BC1696" s="1292"/>
      <c r="BD1696" s="1292"/>
      <c r="BE1696" s="1292">
        <v>0.1</v>
      </c>
      <c r="BF1696" s="1292"/>
      <c r="BG1696" s="1292"/>
      <c r="BH1696" s="1292"/>
      <c r="BI1696" s="1292"/>
      <c r="BJ1696" s="1292"/>
      <c r="BK1696" s="1292">
        <v>0.9</v>
      </c>
      <c r="BL1696" s="1292"/>
      <c r="BM1696" s="1292"/>
      <c r="BN1696" s="1292"/>
      <c r="BO1696" s="1292"/>
      <c r="BP1696" s="1292"/>
      <c r="BQ1696" s="1292"/>
      <c r="BR1696" s="1292"/>
      <c r="BS1696" s="1292"/>
      <c r="BT1696" s="1670">
        <f t="shared" si="1052"/>
        <v>1</v>
      </c>
      <c r="BW1696" s="799" t="s">
        <v>199</v>
      </c>
    </row>
    <row r="1697" spans="2:75" ht="12.75" customHeight="1" x14ac:dyDescent="0.2">
      <c r="B1697" s="175">
        <f t="shared" si="1062"/>
        <v>3</v>
      </c>
      <c r="C1697" s="219">
        <v>25</v>
      </c>
      <c r="E1697" s="570" t="s">
        <v>1275</v>
      </c>
      <c r="F1697" t="s">
        <v>786</v>
      </c>
      <c r="G1697" s="831" t="s">
        <v>201</v>
      </c>
      <c r="H1697" s="858">
        <v>51015</v>
      </c>
      <c r="I1697" s="232" t="s">
        <v>583</v>
      </c>
      <c r="L1697" s="843">
        <v>1</v>
      </c>
      <c r="M1697" s="858">
        <f t="shared" si="1044"/>
        <v>1</v>
      </c>
      <c r="N1697" s="833" t="s">
        <v>892</v>
      </c>
      <c r="O1697" s="1196">
        <v>22639</v>
      </c>
      <c r="P1697" s="1218">
        <f t="shared" ca="1" si="1045"/>
        <v>55.772222222222226</v>
      </c>
      <c r="Q1697" s="1148">
        <v>33000</v>
      </c>
      <c r="R1697" s="874"/>
      <c r="S1697" s="875"/>
      <c r="T1697" s="875"/>
      <c r="U1697" s="875"/>
      <c r="V1697" s="875"/>
      <c r="W1697" s="875"/>
      <c r="X1697" s="1026">
        <f t="shared" si="1057"/>
        <v>33000</v>
      </c>
      <c r="Y1697" s="1512">
        <f t="shared" si="1058"/>
        <v>0</v>
      </c>
      <c r="Z1697" s="1741">
        <f t="shared" si="1059"/>
        <v>1</v>
      </c>
      <c r="AA1697" s="1749">
        <f t="shared" si="1060"/>
        <v>1</v>
      </c>
      <c r="AB1697" s="1810">
        <f t="shared" si="1063"/>
        <v>100</v>
      </c>
      <c r="AC1697" s="876"/>
      <c r="AD1697" s="1525">
        <f t="shared" si="1061"/>
        <v>1</v>
      </c>
      <c r="AE1697" s="1525">
        <f t="shared" si="1061"/>
        <v>0</v>
      </c>
      <c r="AF1697" s="1525">
        <f t="shared" si="1061"/>
        <v>0</v>
      </c>
      <c r="AG1697" s="1525">
        <f t="shared" si="1061"/>
        <v>0</v>
      </c>
      <c r="AH1697" s="1525">
        <f t="shared" si="1061"/>
        <v>0</v>
      </c>
      <c r="AI1697" s="1525">
        <f t="shared" si="1061"/>
        <v>0</v>
      </c>
      <c r="AJ1697" s="1525">
        <f t="shared" si="1061"/>
        <v>0</v>
      </c>
      <c r="AK1697" s="1525">
        <f t="shared" si="1061"/>
        <v>0</v>
      </c>
      <c r="AL1697" s="1525">
        <f t="shared" si="1061"/>
        <v>0</v>
      </c>
      <c r="AM1697" s="1525">
        <f t="shared" si="1061"/>
        <v>0</v>
      </c>
      <c r="AN1697" s="1525">
        <f t="shared" si="1061"/>
        <v>0</v>
      </c>
      <c r="AO1697" s="1525">
        <f t="shared" si="1061"/>
        <v>0</v>
      </c>
      <c r="AP1697" s="1525">
        <f t="shared" si="1061"/>
        <v>0</v>
      </c>
      <c r="AQ1697" s="1525">
        <f t="shared" si="1061"/>
        <v>0</v>
      </c>
      <c r="AR1697" s="1525">
        <f t="shared" si="1061"/>
        <v>0</v>
      </c>
      <c r="AS1697" s="1525">
        <f t="shared" si="1061"/>
        <v>0</v>
      </c>
      <c r="AU1697" s="1525"/>
      <c r="AV1697" s="1291"/>
      <c r="AW1697" s="1292"/>
      <c r="AX1697" s="1292"/>
      <c r="AY1697" s="1292"/>
      <c r="AZ1697" s="1292"/>
      <c r="BA1697" s="1292"/>
      <c r="BB1697" s="1292"/>
      <c r="BC1697" s="1292"/>
      <c r="BD1697" s="1292"/>
      <c r="BE1697" s="1292"/>
      <c r="BF1697" s="1292"/>
      <c r="BG1697" s="1292"/>
      <c r="BH1697" s="1292"/>
      <c r="BI1697" s="1292"/>
      <c r="BJ1697" s="1292">
        <v>0.5</v>
      </c>
      <c r="BK1697" s="1292">
        <v>0.5</v>
      </c>
      <c r="BL1697" s="1292"/>
      <c r="BM1697" s="1292"/>
      <c r="BN1697" s="1292"/>
      <c r="BO1697" s="1292"/>
      <c r="BP1697" s="1292"/>
      <c r="BQ1697" s="1292"/>
      <c r="BR1697" s="1292"/>
      <c r="BS1697" s="1292"/>
      <c r="BT1697" s="1670">
        <f t="shared" si="1052"/>
        <v>1</v>
      </c>
      <c r="BW1697" s="799" t="s">
        <v>201</v>
      </c>
    </row>
    <row r="1698" spans="2:75" ht="12.75" customHeight="1" x14ac:dyDescent="0.2">
      <c r="B1698" s="175">
        <f t="shared" si="1062"/>
        <v>4</v>
      </c>
      <c r="C1698" s="219">
        <v>25</v>
      </c>
      <c r="E1698" s="570" t="s">
        <v>1275</v>
      </c>
      <c r="F1698" t="s">
        <v>786</v>
      </c>
      <c r="G1698" s="831" t="s">
        <v>867</v>
      </c>
      <c r="H1698" s="858">
        <v>103374</v>
      </c>
      <c r="I1698" s="232" t="s">
        <v>583</v>
      </c>
      <c r="L1698" s="843">
        <v>1</v>
      </c>
      <c r="M1698" s="858">
        <f t="shared" si="1044"/>
        <v>1</v>
      </c>
      <c r="N1698" s="833" t="s">
        <v>892</v>
      </c>
      <c r="O1698" s="1196">
        <v>24411</v>
      </c>
      <c r="P1698" s="1218">
        <f t="shared" ca="1" si="1045"/>
        <v>50.922222222222224</v>
      </c>
      <c r="Q1698" s="1148">
        <v>30000</v>
      </c>
      <c r="R1698" s="874"/>
      <c r="S1698" s="875"/>
      <c r="T1698" s="875"/>
      <c r="U1698" s="875"/>
      <c r="V1698" s="875"/>
      <c r="W1698" s="875"/>
      <c r="X1698" s="1026">
        <f t="shared" si="1057"/>
        <v>30000</v>
      </c>
      <c r="Y1698" s="1512">
        <f t="shared" si="1058"/>
        <v>0</v>
      </c>
      <c r="Z1698" s="1741">
        <f t="shared" si="1059"/>
        <v>1</v>
      </c>
      <c r="AA1698" s="1749">
        <f t="shared" si="1060"/>
        <v>1</v>
      </c>
      <c r="AB1698" s="1810">
        <f t="shared" si="1063"/>
        <v>100</v>
      </c>
      <c r="AC1698" s="876"/>
      <c r="AD1698" s="1525">
        <f t="shared" si="1061"/>
        <v>1</v>
      </c>
      <c r="AE1698" s="1525">
        <f t="shared" si="1061"/>
        <v>0</v>
      </c>
      <c r="AF1698" s="1525">
        <f t="shared" si="1061"/>
        <v>0</v>
      </c>
      <c r="AG1698" s="1525">
        <f t="shared" si="1061"/>
        <v>0</v>
      </c>
      <c r="AH1698" s="1525">
        <f t="shared" si="1061"/>
        <v>0</v>
      </c>
      <c r="AI1698" s="1525">
        <f t="shared" si="1061"/>
        <v>0</v>
      </c>
      <c r="AJ1698" s="1525">
        <f t="shared" si="1061"/>
        <v>0</v>
      </c>
      <c r="AK1698" s="1525">
        <f t="shared" si="1061"/>
        <v>0</v>
      </c>
      <c r="AL1698" s="1525">
        <f t="shared" si="1061"/>
        <v>0</v>
      </c>
      <c r="AM1698" s="1525">
        <f t="shared" si="1061"/>
        <v>0</v>
      </c>
      <c r="AN1698" s="1525">
        <f t="shared" si="1061"/>
        <v>0</v>
      </c>
      <c r="AO1698" s="1525">
        <f t="shared" si="1061"/>
        <v>0</v>
      </c>
      <c r="AP1698" s="1525">
        <f t="shared" si="1061"/>
        <v>0</v>
      </c>
      <c r="AQ1698" s="1525">
        <f t="shared" si="1061"/>
        <v>0</v>
      </c>
      <c r="AR1698" s="1525">
        <f t="shared" si="1061"/>
        <v>0</v>
      </c>
      <c r="AS1698" s="1525">
        <f t="shared" si="1061"/>
        <v>0</v>
      </c>
      <c r="AU1698" s="1525"/>
      <c r="AV1698" s="1291"/>
      <c r="AW1698" s="1292"/>
      <c r="AX1698" s="1292"/>
      <c r="AY1698" s="1292"/>
      <c r="AZ1698" s="1292"/>
      <c r="BA1698" s="1292"/>
      <c r="BB1698" s="1292"/>
      <c r="BC1698" s="1292"/>
      <c r="BD1698" s="1292"/>
      <c r="BE1698" s="1292"/>
      <c r="BF1698" s="1292"/>
      <c r="BG1698" s="1292"/>
      <c r="BH1698" s="1292"/>
      <c r="BI1698" s="1292"/>
      <c r="BJ1698" s="1292"/>
      <c r="BK1698" s="1292">
        <v>1</v>
      </c>
      <c r="BL1698" s="1292"/>
      <c r="BM1698" s="1292"/>
      <c r="BN1698" s="1292"/>
      <c r="BO1698" s="1292"/>
      <c r="BP1698" s="1292"/>
      <c r="BQ1698" s="1292"/>
      <c r="BR1698" s="1292"/>
      <c r="BS1698" s="1292"/>
      <c r="BT1698" s="1670">
        <f t="shared" si="1052"/>
        <v>1</v>
      </c>
      <c r="BW1698" s="799" t="s">
        <v>867</v>
      </c>
    </row>
    <row r="1699" spans="2:75" ht="12.75" customHeight="1" x14ac:dyDescent="0.2">
      <c r="B1699" s="175">
        <f t="shared" si="1062"/>
        <v>5</v>
      </c>
      <c r="C1699" s="219">
        <v>25</v>
      </c>
      <c r="E1699" s="570" t="s">
        <v>1275</v>
      </c>
      <c r="F1699" t="s">
        <v>197</v>
      </c>
      <c r="G1699" s="831" t="s">
        <v>203</v>
      </c>
      <c r="H1699" s="858">
        <v>71782</v>
      </c>
      <c r="I1699" s="232" t="s">
        <v>583</v>
      </c>
      <c r="L1699" s="843">
        <v>1</v>
      </c>
      <c r="M1699" s="858">
        <f t="shared" si="1044"/>
        <v>1</v>
      </c>
      <c r="N1699" s="831" t="s">
        <v>892</v>
      </c>
      <c r="O1699" s="1196">
        <v>23803</v>
      </c>
      <c r="P1699" s="1218">
        <f t="shared" ca="1" si="1045"/>
        <v>52.583333333333336</v>
      </c>
      <c r="Q1699" s="1148">
        <v>27000</v>
      </c>
      <c r="R1699" s="874"/>
      <c r="S1699" s="875"/>
      <c r="T1699" s="875"/>
      <c r="U1699" s="875"/>
      <c r="V1699" s="875"/>
      <c r="W1699" s="875"/>
      <c r="X1699" s="1026">
        <f t="shared" si="1057"/>
        <v>27000</v>
      </c>
      <c r="Y1699" s="1512">
        <f t="shared" si="1058"/>
        <v>0</v>
      </c>
      <c r="Z1699" s="1741">
        <f t="shared" si="1059"/>
        <v>1</v>
      </c>
      <c r="AA1699" s="1749">
        <f t="shared" si="1060"/>
        <v>1</v>
      </c>
      <c r="AB1699" s="1810">
        <f t="shared" si="1063"/>
        <v>100</v>
      </c>
      <c r="AC1699" s="876"/>
      <c r="AD1699" s="1525">
        <f t="shared" si="1061"/>
        <v>1</v>
      </c>
      <c r="AE1699" s="1525">
        <f t="shared" si="1061"/>
        <v>0</v>
      </c>
      <c r="AF1699" s="1525">
        <f t="shared" si="1061"/>
        <v>0</v>
      </c>
      <c r="AG1699" s="1525">
        <f t="shared" si="1061"/>
        <v>0</v>
      </c>
      <c r="AH1699" s="1525">
        <f t="shared" si="1061"/>
        <v>0</v>
      </c>
      <c r="AI1699" s="1525">
        <f t="shared" si="1061"/>
        <v>0</v>
      </c>
      <c r="AJ1699" s="1525">
        <f t="shared" si="1061"/>
        <v>0</v>
      </c>
      <c r="AK1699" s="1525">
        <f t="shared" si="1061"/>
        <v>0</v>
      </c>
      <c r="AL1699" s="1525">
        <f t="shared" si="1061"/>
        <v>0</v>
      </c>
      <c r="AM1699" s="1525">
        <f t="shared" si="1061"/>
        <v>0</v>
      </c>
      <c r="AN1699" s="1525">
        <f t="shared" si="1061"/>
        <v>0</v>
      </c>
      <c r="AO1699" s="1525">
        <f t="shared" si="1061"/>
        <v>0</v>
      </c>
      <c r="AP1699" s="1525">
        <f t="shared" si="1061"/>
        <v>0</v>
      </c>
      <c r="AQ1699" s="1525">
        <f t="shared" si="1061"/>
        <v>0</v>
      </c>
      <c r="AR1699" s="1525">
        <f t="shared" si="1061"/>
        <v>0</v>
      </c>
      <c r="AS1699" s="1525">
        <f t="shared" si="1061"/>
        <v>0</v>
      </c>
      <c r="AU1699" s="1525"/>
      <c r="AV1699" s="1291"/>
      <c r="AW1699" s="1292"/>
      <c r="AX1699" s="1292"/>
      <c r="AY1699" s="1292"/>
      <c r="AZ1699" s="1292"/>
      <c r="BA1699" s="1292"/>
      <c r="BB1699" s="1292"/>
      <c r="BC1699" s="1292"/>
      <c r="BD1699" s="1292"/>
      <c r="BE1699" s="1292"/>
      <c r="BF1699" s="1292"/>
      <c r="BG1699" s="1292"/>
      <c r="BH1699" s="1292"/>
      <c r="BI1699" s="1292"/>
      <c r="BJ1699" s="1292"/>
      <c r="BK1699" s="1292">
        <v>1</v>
      </c>
      <c r="BL1699" s="1292"/>
      <c r="BM1699" s="1292"/>
      <c r="BN1699" s="1292"/>
      <c r="BO1699" s="1292"/>
      <c r="BP1699" s="1292"/>
      <c r="BQ1699" s="1292"/>
      <c r="BR1699" s="1292"/>
      <c r="BS1699" s="1292"/>
      <c r="BT1699" s="1670">
        <f t="shared" si="1052"/>
        <v>1</v>
      </c>
      <c r="BW1699" s="799" t="s">
        <v>203</v>
      </c>
    </row>
    <row r="1700" spans="2:75" ht="12.75" customHeight="1" x14ac:dyDescent="0.2">
      <c r="B1700" s="175">
        <f t="shared" si="1062"/>
        <v>6</v>
      </c>
      <c r="C1700" s="219">
        <v>25</v>
      </c>
      <c r="E1700" s="12" t="s">
        <v>1275</v>
      </c>
      <c r="F1700" t="s">
        <v>197</v>
      </c>
      <c r="G1700" s="831" t="s">
        <v>1786</v>
      </c>
      <c r="H1700" s="858">
        <v>154956</v>
      </c>
      <c r="I1700" s="232" t="s">
        <v>583</v>
      </c>
      <c r="L1700" s="843">
        <v>1</v>
      </c>
      <c r="M1700" s="858">
        <f>K1700+L1700</f>
        <v>1</v>
      </c>
      <c r="N1700" s="831" t="s">
        <v>892</v>
      </c>
      <c r="O1700" s="1196">
        <v>22178</v>
      </c>
      <c r="P1700" s="1218">
        <f ca="1">YEARFRAC(TODAY(),O1700)</f>
        <v>57.036111111111111</v>
      </c>
      <c r="Q1700" s="1148">
        <v>22000</v>
      </c>
      <c r="R1700" s="874"/>
      <c r="S1700" s="875"/>
      <c r="T1700" s="877"/>
      <c r="U1700" s="877"/>
      <c r="V1700" s="877"/>
      <c r="W1700" s="875"/>
      <c r="X1700" s="1026">
        <f t="shared" si="1057"/>
        <v>22000</v>
      </c>
      <c r="Y1700" s="1512">
        <f t="shared" si="1058"/>
        <v>0</v>
      </c>
      <c r="Z1700" s="1741">
        <f t="shared" si="1059"/>
        <v>1</v>
      </c>
      <c r="AA1700" s="1749">
        <f t="shared" si="1060"/>
        <v>1</v>
      </c>
      <c r="AB1700" s="1810">
        <f t="shared" si="1063"/>
        <v>100</v>
      </c>
      <c r="AC1700" s="876"/>
      <c r="AD1700" s="1525">
        <f t="shared" si="1061"/>
        <v>1</v>
      </c>
      <c r="AE1700" s="1525">
        <f t="shared" si="1061"/>
        <v>0</v>
      </c>
      <c r="AF1700" s="1525">
        <f t="shared" si="1061"/>
        <v>0</v>
      </c>
      <c r="AG1700" s="1525">
        <f t="shared" si="1061"/>
        <v>0</v>
      </c>
      <c r="AH1700" s="1525">
        <f t="shared" si="1061"/>
        <v>0</v>
      </c>
      <c r="AI1700" s="1525">
        <f t="shared" si="1061"/>
        <v>0</v>
      </c>
      <c r="AJ1700" s="1525">
        <f t="shared" si="1061"/>
        <v>0</v>
      </c>
      <c r="AK1700" s="1525">
        <f t="shared" si="1061"/>
        <v>0</v>
      </c>
      <c r="AL1700" s="1525">
        <f t="shared" si="1061"/>
        <v>0</v>
      </c>
      <c r="AM1700" s="1525">
        <f t="shared" si="1061"/>
        <v>0</v>
      </c>
      <c r="AN1700" s="1525">
        <f t="shared" si="1061"/>
        <v>0</v>
      </c>
      <c r="AO1700" s="1525">
        <f t="shared" si="1061"/>
        <v>0</v>
      </c>
      <c r="AP1700" s="1525">
        <f t="shared" si="1061"/>
        <v>0</v>
      </c>
      <c r="AQ1700" s="1525">
        <f t="shared" si="1061"/>
        <v>0</v>
      </c>
      <c r="AR1700" s="1525">
        <f t="shared" si="1061"/>
        <v>0</v>
      </c>
      <c r="AS1700" s="1525">
        <f t="shared" si="1061"/>
        <v>0</v>
      </c>
      <c r="AU1700" s="1525"/>
      <c r="AV1700" s="1291"/>
      <c r="AW1700" s="1292"/>
      <c r="AX1700" s="1292"/>
      <c r="AY1700" s="1292"/>
      <c r="AZ1700" s="1292"/>
      <c r="BA1700" s="1292"/>
      <c r="BB1700" s="1292"/>
      <c r="BC1700" s="1292"/>
      <c r="BD1700" s="1292"/>
      <c r="BE1700" s="1292"/>
      <c r="BF1700" s="1292"/>
      <c r="BG1700" s="1292"/>
      <c r="BH1700" s="1292"/>
      <c r="BI1700" s="1292"/>
      <c r="BJ1700" s="1292">
        <v>0.8</v>
      </c>
      <c r="BK1700" s="1292">
        <v>0.2</v>
      </c>
      <c r="BL1700" s="1292"/>
      <c r="BM1700" s="1292"/>
      <c r="BN1700" s="1292"/>
      <c r="BO1700" s="1292"/>
      <c r="BP1700" s="1292"/>
      <c r="BQ1700" s="1292"/>
      <c r="BR1700" s="1292"/>
      <c r="BS1700" s="1292"/>
      <c r="BT1700" s="1670">
        <f>SUM(AV1700:BS1700)</f>
        <v>1</v>
      </c>
      <c r="BW1700" s="799" t="s">
        <v>1786</v>
      </c>
    </row>
    <row r="1701" spans="2:75" ht="12.75" customHeight="1" x14ac:dyDescent="0.2">
      <c r="B1701" s="175">
        <f t="shared" si="1062"/>
        <v>7</v>
      </c>
      <c r="C1701" s="219">
        <v>25</v>
      </c>
      <c r="E1701" s="570" t="s">
        <v>1275</v>
      </c>
      <c r="F1701" t="s">
        <v>868</v>
      </c>
      <c r="G1701" s="831" t="s">
        <v>202</v>
      </c>
      <c r="H1701" s="858">
        <v>40165</v>
      </c>
      <c r="I1701" s="232" t="s">
        <v>583</v>
      </c>
      <c r="L1701" s="843">
        <v>1</v>
      </c>
      <c r="M1701" s="858">
        <f t="shared" si="1044"/>
        <v>1</v>
      </c>
      <c r="N1701" s="831" t="s">
        <v>892</v>
      </c>
      <c r="O1701" s="1196">
        <v>23552</v>
      </c>
      <c r="P1701" s="1218">
        <f t="shared" ca="1" si="1045"/>
        <v>53.272222222222226</v>
      </c>
      <c r="Q1701" s="1148">
        <v>24000</v>
      </c>
      <c r="R1701" s="874"/>
      <c r="S1701" s="875"/>
      <c r="T1701" s="875"/>
      <c r="U1701" s="875"/>
      <c r="V1701" s="875"/>
      <c r="W1701" s="875"/>
      <c r="X1701" s="1026">
        <f t="shared" si="1057"/>
        <v>24000</v>
      </c>
      <c r="Y1701" s="1512">
        <f t="shared" si="1058"/>
        <v>0</v>
      </c>
      <c r="Z1701" s="1741">
        <f t="shared" si="1059"/>
        <v>1</v>
      </c>
      <c r="AA1701" s="1749">
        <f t="shared" si="1060"/>
        <v>1</v>
      </c>
      <c r="AB1701" s="1810">
        <f t="shared" si="1063"/>
        <v>100</v>
      </c>
      <c r="AC1701" s="876"/>
      <c r="AD1701" s="1525">
        <f t="shared" si="1061"/>
        <v>1</v>
      </c>
      <c r="AE1701" s="1525">
        <f t="shared" si="1061"/>
        <v>0</v>
      </c>
      <c r="AF1701" s="1525">
        <f t="shared" si="1061"/>
        <v>0</v>
      </c>
      <c r="AG1701" s="1525">
        <f t="shared" si="1061"/>
        <v>0</v>
      </c>
      <c r="AH1701" s="1525">
        <f t="shared" si="1061"/>
        <v>0</v>
      </c>
      <c r="AI1701" s="1525">
        <f t="shared" si="1061"/>
        <v>0</v>
      </c>
      <c r="AJ1701" s="1525">
        <f t="shared" si="1061"/>
        <v>0</v>
      </c>
      <c r="AK1701" s="1525">
        <f t="shared" si="1061"/>
        <v>0</v>
      </c>
      <c r="AL1701" s="1525">
        <f t="shared" si="1061"/>
        <v>0</v>
      </c>
      <c r="AM1701" s="1525">
        <f t="shared" si="1061"/>
        <v>0</v>
      </c>
      <c r="AN1701" s="1525">
        <f t="shared" si="1061"/>
        <v>0</v>
      </c>
      <c r="AO1701" s="1525">
        <f t="shared" si="1061"/>
        <v>0</v>
      </c>
      <c r="AP1701" s="1525">
        <f t="shared" si="1061"/>
        <v>0</v>
      </c>
      <c r="AQ1701" s="1525">
        <f t="shared" si="1061"/>
        <v>0</v>
      </c>
      <c r="AR1701" s="1525">
        <f t="shared" si="1061"/>
        <v>0</v>
      </c>
      <c r="AS1701" s="1525">
        <f t="shared" si="1061"/>
        <v>0</v>
      </c>
      <c r="AU1701" s="1525"/>
      <c r="AV1701" s="1291"/>
      <c r="AW1701" s="1292"/>
      <c r="AX1701" s="1292"/>
      <c r="AY1701" s="1292"/>
      <c r="AZ1701" s="1292"/>
      <c r="BA1701" s="1292"/>
      <c r="BB1701" s="1292"/>
      <c r="BC1701" s="1292"/>
      <c r="BD1701" s="1292"/>
      <c r="BE1701" s="1292"/>
      <c r="BF1701" s="1292"/>
      <c r="BG1701" s="1292"/>
      <c r="BH1701" s="1292"/>
      <c r="BI1701" s="1292"/>
      <c r="BJ1701" s="1292"/>
      <c r="BK1701" s="1292">
        <v>1</v>
      </c>
      <c r="BL1701" s="1292"/>
      <c r="BM1701" s="1292"/>
      <c r="BN1701" s="1292"/>
      <c r="BO1701" s="1292"/>
      <c r="BP1701" s="1292"/>
      <c r="BQ1701" s="1292"/>
      <c r="BR1701" s="1292"/>
      <c r="BS1701" s="1292"/>
      <c r="BT1701" s="1670">
        <f t="shared" si="1052"/>
        <v>1</v>
      </c>
      <c r="BW1701" s="799" t="s">
        <v>202</v>
      </c>
    </row>
    <row r="1702" spans="2:75" ht="12.75" customHeight="1" x14ac:dyDescent="0.2">
      <c r="B1702" s="175">
        <f t="shared" si="1062"/>
        <v>8</v>
      </c>
      <c r="C1702" s="219">
        <v>14</v>
      </c>
      <c r="E1702" s="570" t="s">
        <v>1275</v>
      </c>
      <c r="F1702" t="s">
        <v>368</v>
      </c>
      <c r="G1702" s="831" t="s">
        <v>367</v>
      </c>
      <c r="H1702" s="858">
        <v>134434</v>
      </c>
      <c r="I1702" s="232" t="s">
        <v>583</v>
      </c>
      <c r="L1702" s="843">
        <v>1</v>
      </c>
      <c r="M1702" s="858">
        <f t="shared" si="1044"/>
        <v>1</v>
      </c>
      <c r="N1702" s="831" t="s">
        <v>892</v>
      </c>
      <c r="O1702" s="1196">
        <v>32394</v>
      </c>
      <c r="P1702" s="1218">
        <f t="shared" ca="1" si="1045"/>
        <v>29.066666666666666</v>
      </c>
      <c r="Q1702" s="1148">
        <v>21200</v>
      </c>
      <c r="R1702" s="874"/>
      <c r="S1702" s="875"/>
      <c r="T1702" s="875"/>
      <c r="U1702" s="875"/>
      <c r="V1702" s="875"/>
      <c r="W1702" s="875"/>
      <c r="X1702" s="1026">
        <f t="shared" si="1057"/>
        <v>21200</v>
      </c>
      <c r="Y1702" s="1512">
        <f t="shared" si="1058"/>
        <v>0</v>
      </c>
      <c r="Z1702" s="1741">
        <f t="shared" si="1059"/>
        <v>1</v>
      </c>
      <c r="AA1702" s="1749">
        <f t="shared" si="1060"/>
        <v>0</v>
      </c>
      <c r="AB1702" s="1810">
        <f t="shared" si="1063"/>
        <v>0</v>
      </c>
      <c r="AC1702" s="876"/>
      <c r="AD1702" s="1525">
        <f t="shared" si="1061"/>
        <v>0</v>
      </c>
      <c r="AE1702" s="1525">
        <f t="shared" si="1061"/>
        <v>0</v>
      </c>
      <c r="AF1702" s="1525">
        <f t="shared" si="1061"/>
        <v>0</v>
      </c>
      <c r="AG1702" s="1525">
        <f t="shared" si="1061"/>
        <v>0</v>
      </c>
      <c r="AH1702" s="1525">
        <f t="shared" si="1061"/>
        <v>0</v>
      </c>
      <c r="AI1702" s="1525">
        <f t="shared" si="1061"/>
        <v>0</v>
      </c>
      <c r="AJ1702" s="1525">
        <f t="shared" si="1061"/>
        <v>0</v>
      </c>
      <c r="AK1702" s="1525">
        <f t="shared" si="1061"/>
        <v>0</v>
      </c>
      <c r="AL1702" s="1525">
        <f t="shared" si="1061"/>
        <v>0</v>
      </c>
      <c r="AM1702" s="1525">
        <f t="shared" si="1061"/>
        <v>0</v>
      </c>
      <c r="AN1702" s="1525">
        <f t="shared" si="1061"/>
        <v>0</v>
      </c>
      <c r="AO1702" s="1525">
        <f t="shared" si="1061"/>
        <v>0</v>
      </c>
      <c r="AP1702" s="1525">
        <f t="shared" si="1061"/>
        <v>0</v>
      </c>
      <c r="AQ1702" s="1525">
        <f t="shared" si="1061"/>
        <v>0</v>
      </c>
      <c r="AR1702" s="1525">
        <f t="shared" si="1061"/>
        <v>0</v>
      </c>
      <c r="AS1702" s="1525">
        <f t="shared" si="1061"/>
        <v>0</v>
      </c>
      <c r="AU1702" s="1525"/>
      <c r="AV1702" s="1291"/>
      <c r="AW1702" s="1292"/>
      <c r="AX1702" s="1292"/>
      <c r="AY1702" s="1292"/>
      <c r="AZ1702" s="1292"/>
      <c r="BA1702" s="1292"/>
      <c r="BB1702" s="1292"/>
      <c r="BC1702" s="1292"/>
      <c r="BD1702" s="1292"/>
      <c r="BE1702" s="1292"/>
      <c r="BF1702" s="1292"/>
      <c r="BG1702" s="1292"/>
      <c r="BH1702" s="1292"/>
      <c r="BI1702" s="1292"/>
      <c r="BJ1702" s="1292"/>
      <c r="BK1702" s="1292"/>
      <c r="BL1702" s="1292"/>
      <c r="BM1702" s="1292"/>
      <c r="BN1702" s="1292"/>
      <c r="BO1702" s="1292"/>
      <c r="BP1702" s="1292"/>
      <c r="BQ1702" s="1292"/>
      <c r="BR1702" s="1292"/>
      <c r="BS1702" s="1292"/>
      <c r="BT1702" s="1670">
        <f t="shared" si="1052"/>
        <v>0</v>
      </c>
      <c r="BW1702" s="799" t="s">
        <v>367</v>
      </c>
    </row>
    <row r="1703" spans="2:75" ht="12.75" customHeight="1" x14ac:dyDescent="0.2">
      <c r="B1703" s="175">
        <f t="shared" si="1062"/>
        <v>9</v>
      </c>
      <c r="C1703" s="219">
        <v>14</v>
      </c>
      <c r="E1703" s="570" t="s">
        <v>1275</v>
      </c>
      <c r="F1703" t="s">
        <v>368</v>
      </c>
      <c r="G1703" s="831" t="s">
        <v>1296</v>
      </c>
      <c r="H1703" s="858">
        <v>131340</v>
      </c>
      <c r="I1703" s="232" t="s">
        <v>583</v>
      </c>
      <c r="L1703" s="843">
        <v>1</v>
      </c>
      <c r="M1703" s="858">
        <f t="shared" si="1044"/>
        <v>1</v>
      </c>
      <c r="N1703" s="831" t="s">
        <v>892</v>
      </c>
      <c r="O1703" s="1196">
        <v>32065</v>
      </c>
      <c r="P1703" s="1218">
        <f t="shared" ca="1" si="1045"/>
        <v>29.963888888888889</v>
      </c>
      <c r="Q1703" s="1148">
        <v>25000</v>
      </c>
      <c r="R1703" s="874"/>
      <c r="S1703" s="875"/>
      <c r="T1703" s="875"/>
      <c r="U1703" s="875"/>
      <c r="V1703" s="875"/>
      <c r="W1703" s="875"/>
      <c r="X1703" s="1026">
        <f t="shared" si="1057"/>
        <v>25000</v>
      </c>
      <c r="Y1703" s="1512">
        <f t="shared" si="1058"/>
        <v>0</v>
      </c>
      <c r="Z1703" s="1741">
        <f t="shared" si="1059"/>
        <v>1</v>
      </c>
      <c r="AA1703" s="1749">
        <f t="shared" si="1060"/>
        <v>1</v>
      </c>
      <c r="AB1703" s="1810">
        <f t="shared" si="1063"/>
        <v>100</v>
      </c>
      <c r="AC1703" s="876"/>
      <c r="AD1703" s="1525">
        <f t="shared" si="1061"/>
        <v>1</v>
      </c>
      <c r="AE1703" s="1525">
        <f t="shared" si="1061"/>
        <v>0</v>
      </c>
      <c r="AF1703" s="1525">
        <f t="shared" si="1061"/>
        <v>0</v>
      </c>
      <c r="AG1703" s="1525">
        <f t="shared" si="1061"/>
        <v>0</v>
      </c>
      <c r="AH1703" s="1525">
        <f t="shared" si="1061"/>
        <v>0</v>
      </c>
      <c r="AI1703" s="1525">
        <f t="shared" si="1061"/>
        <v>0</v>
      </c>
      <c r="AJ1703" s="1525">
        <f t="shared" si="1061"/>
        <v>0</v>
      </c>
      <c r="AK1703" s="1525">
        <f t="shared" si="1061"/>
        <v>0</v>
      </c>
      <c r="AL1703" s="1525">
        <f t="shared" si="1061"/>
        <v>0</v>
      </c>
      <c r="AM1703" s="1525">
        <f t="shared" si="1061"/>
        <v>0</v>
      </c>
      <c r="AN1703" s="1525">
        <f t="shared" si="1061"/>
        <v>0</v>
      </c>
      <c r="AO1703" s="1525">
        <f t="shared" si="1061"/>
        <v>0</v>
      </c>
      <c r="AP1703" s="1525">
        <f t="shared" si="1061"/>
        <v>0</v>
      </c>
      <c r="AQ1703" s="1525">
        <f t="shared" si="1061"/>
        <v>0</v>
      </c>
      <c r="AR1703" s="1525">
        <f t="shared" si="1061"/>
        <v>0</v>
      </c>
      <c r="AS1703" s="1525">
        <f t="shared" si="1061"/>
        <v>0</v>
      </c>
      <c r="AU1703" s="1525"/>
      <c r="AV1703" s="1291"/>
      <c r="AW1703" s="1292"/>
      <c r="AX1703" s="1292"/>
      <c r="AY1703" s="1292"/>
      <c r="AZ1703" s="1292"/>
      <c r="BA1703" s="1292"/>
      <c r="BB1703" s="1292"/>
      <c r="BC1703" s="1292"/>
      <c r="BD1703" s="1292"/>
      <c r="BE1703" s="1292"/>
      <c r="BF1703" s="1292"/>
      <c r="BG1703" s="1292"/>
      <c r="BH1703" s="1292"/>
      <c r="BI1703" s="1292"/>
      <c r="BJ1703" s="1292"/>
      <c r="BK1703" s="1292">
        <v>1</v>
      </c>
      <c r="BL1703" s="1292"/>
      <c r="BM1703" s="1292"/>
      <c r="BN1703" s="1292"/>
      <c r="BO1703" s="1292"/>
      <c r="BP1703" s="1292"/>
      <c r="BQ1703" s="1292"/>
      <c r="BR1703" s="1292"/>
      <c r="BS1703" s="1292"/>
      <c r="BT1703" s="1670">
        <f t="shared" si="1052"/>
        <v>1</v>
      </c>
      <c r="BW1703" s="799" t="s">
        <v>1296</v>
      </c>
    </row>
    <row r="1704" spans="2:75" ht="12.75" customHeight="1" x14ac:dyDescent="0.2">
      <c r="B1704" s="175"/>
      <c r="C1704" s="219"/>
      <c r="E1704" s="570"/>
      <c r="F1704"/>
      <c r="G1704" s="831"/>
      <c r="H1704" s="858"/>
      <c r="I1704" s="232"/>
      <c r="L1704" s="843"/>
      <c r="M1704" s="858"/>
      <c r="N1704" s="831"/>
      <c r="O1704" s="1196"/>
      <c r="P1704" s="1218"/>
      <c r="Q1704" s="1148"/>
      <c r="R1704" s="874"/>
      <c r="S1704" s="875"/>
      <c r="T1704" s="875"/>
      <c r="U1704" s="875"/>
      <c r="V1704" s="875"/>
      <c r="W1704" s="875"/>
      <c r="X1704" s="1026"/>
      <c r="Y1704" s="1636"/>
      <c r="Z1704" s="1636"/>
      <c r="AA1704" s="1775"/>
      <c r="AB1704" s="1811"/>
      <c r="AC1704" s="876"/>
      <c r="AD1704" s="1295"/>
      <c r="AE1704" s="1525"/>
      <c r="AF1704" s="1525"/>
      <c r="AG1704" s="1525"/>
      <c r="AH1704" s="1525"/>
      <c r="AI1704" s="1525"/>
      <c r="AJ1704" s="1525"/>
      <c r="AK1704" s="1525"/>
      <c r="AL1704" s="1525"/>
      <c r="AM1704" s="1525"/>
      <c r="AN1704" s="1525"/>
      <c r="AO1704" s="1525"/>
      <c r="AP1704" s="1525"/>
      <c r="AQ1704" s="1525"/>
      <c r="AR1704" s="1525"/>
      <c r="AS1704" s="1525"/>
      <c r="AU1704" s="1525"/>
      <c r="AV1704" s="1291"/>
      <c r="AW1704" s="1292"/>
      <c r="AX1704" s="1292"/>
      <c r="AY1704" s="1292"/>
      <c r="AZ1704" s="1292"/>
      <c r="BA1704" s="1292"/>
      <c r="BB1704" s="1292"/>
      <c r="BC1704" s="1292"/>
      <c r="BD1704" s="1292"/>
      <c r="BE1704" s="1292"/>
      <c r="BF1704" s="1292"/>
      <c r="BG1704" s="1292"/>
      <c r="BH1704" s="1292"/>
      <c r="BI1704" s="1292"/>
      <c r="BJ1704" s="1292"/>
      <c r="BK1704" s="1292"/>
      <c r="BL1704" s="1292"/>
      <c r="BM1704" s="1292"/>
      <c r="BN1704" s="1292"/>
      <c r="BO1704" s="1292"/>
      <c r="BP1704" s="1292"/>
      <c r="BQ1704" s="1292"/>
      <c r="BR1704" s="1292"/>
      <c r="BS1704" s="1292"/>
      <c r="BT1704" s="1670"/>
      <c r="BW1704" s="799"/>
    </row>
    <row r="1705" spans="2:75" s="164" customFormat="1" ht="12.75" customHeight="1" x14ac:dyDescent="0.15">
      <c r="B1705" s="175"/>
      <c r="C1705" s="219" t="s">
        <v>1120</v>
      </c>
      <c r="F1705" s="80" t="s">
        <v>342</v>
      </c>
      <c r="G1705" s="831"/>
      <c r="H1705" s="1407" t="s">
        <v>1508</v>
      </c>
      <c r="I1705" s="270"/>
      <c r="J1705" s="265"/>
      <c r="K1705" s="454">
        <f>SUM(K1695:K1703)</f>
        <v>0</v>
      </c>
      <c r="L1705" s="979">
        <f>SUM(L1695:L1703)</f>
        <v>9</v>
      </c>
      <c r="M1705" s="979">
        <f>SUM(M1695:M1703)</f>
        <v>9</v>
      </c>
      <c r="N1705" s="831"/>
      <c r="O1705" s="1200"/>
      <c r="P1705" s="550"/>
      <c r="Q1705" s="1153"/>
      <c r="R1705" s="877"/>
      <c r="S1705" s="875"/>
      <c r="T1705" s="875"/>
      <c r="U1705" s="875"/>
      <c r="V1705" s="875"/>
      <c r="W1705" s="875"/>
      <c r="X1705" s="1026"/>
      <c r="Y1705" s="1335"/>
      <c r="Z1705" s="1335"/>
      <c r="AA1705" s="1775"/>
      <c r="AB1705" s="1812"/>
      <c r="AC1705" s="876"/>
      <c r="AD1705" s="1295"/>
      <c r="AE1705" s="1525"/>
      <c r="AF1705" s="1525"/>
      <c r="AG1705" s="1525"/>
      <c r="AH1705" s="1525"/>
      <c r="AI1705" s="1525"/>
      <c r="AJ1705" s="1525"/>
      <c r="AK1705" s="1525"/>
      <c r="AL1705" s="1525"/>
      <c r="AM1705" s="1525"/>
      <c r="AN1705" s="1525"/>
      <c r="AO1705" s="1525"/>
      <c r="AP1705" s="1525"/>
      <c r="AQ1705" s="1525"/>
      <c r="AR1705" s="1525"/>
      <c r="AS1705" s="1525"/>
      <c r="AU1705" s="1525"/>
      <c r="AV1705" s="1295"/>
      <c r="AW1705" s="1525"/>
      <c r="AX1705" s="1525"/>
      <c r="AY1705" s="1525"/>
      <c r="AZ1705" s="1525"/>
      <c r="BA1705" s="1525"/>
      <c r="BB1705" s="1525"/>
      <c r="BC1705" s="1525"/>
      <c r="BD1705" s="1525"/>
      <c r="BE1705" s="1525"/>
      <c r="BF1705" s="1525"/>
      <c r="BG1705" s="1525"/>
      <c r="BH1705" s="1525"/>
      <c r="BI1705" s="1525"/>
      <c r="BJ1705" s="1525"/>
      <c r="BK1705" s="1525"/>
      <c r="BL1705" s="553"/>
      <c r="BM1705" s="1525"/>
      <c r="BN1705" s="1525"/>
      <c r="BO1705" s="1525"/>
      <c r="BP1705" s="1525"/>
      <c r="BQ1705" s="1525"/>
      <c r="BR1705" s="1525"/>
      <c r="BS1705" s="1525"/>
      <c r="BT1705" s="1670"/>
      <c r="BV1705"/>
      <c r="BW1705" s="799"/>
    </row>
    <row r="1706" spans="2:75" s="164" customFormat="1" ht="12.75" customHeight="1" x14ac:dyDescent="0.15">
      <c r="B1706" s="175"/>
      <c r="C1706" s="219" t="s">
        <v>1120</v>
      </c>
      <c r="F1706" s="1521" t="s">
        <v>2014</v>
      </c>
      <c r="G1706" s="831"/>
      <c r="H1706" s="1407" t="s">
        <v>1508</v>
      </c>
      <c r="I1706" s="270"/>
      <c r="J1706" s="265"/>
      <c r="K1706" s="454">
        <f>SUM(K1685:K1703)</f>
        <v>0</v>
      </c>
      <c r="L1706" s="454">
        <f t="shared" ref="L1706:M1706" si="1064">SUM(L1685:L1703)</f>
        <v>13.5</v>
      </c>
      <c r="M1706" s="454">
        <f t="shared" si="1064"/>
        <v>13.5</v>
      </c>
      <c r="N1706" s="831"/>
      <c r="O1706" s="1200"/>
      <c r="P1706" s="550"/>
      <c r="Q1706" s="1153"/>
      <c r="R1706" s="877"/>
      <c r="S1706" s="875"/>
      <c r="T1706" s="875"/>
      <c r="U1706" s="875"/>
      <c r="V1706" s="875"/>
      <c r="W1706" s="875"/>
      <c r="X1706" s="1026"/>
      <c r="Y1706" s="1335"/>
      <c r="Z1706" s="1335"/>
      <c r="AA1706" s="1775"/>
      <c r="AB1706" s="1812"/>
      <c r="AC1706" s="876"/>
      <c r="AD1706" s="1295"/>
      <c r="AE1706" s="1525"/>
      <c r="AF1706" s="1525"/>
      <c r="AG1706" s="1525"/>
      <c r="AH1706" s="1525"/>
      <c r="AI1706" s="1525"/>
      <c r="AJ1706" s="1525"/>
      <c r="AK1706" s="1525"/>
      <c r="AL1706" s="1525"/>
      <c r="AM1706" s="1525"/>
      <c r="AN1706" s="1525"/>
      <c r="AO1706" s="1525"/>
      <c r="AP1706" s="1525"/>
      <c r="AQ1706" s="1525"/>
      <c r="AR1706" s="1525"/>
      <c r="AS1706" s="1525"/>
      <c r="AU1706" s="1525"/>
      <c r="AV1706" s="1295"/>
      <c r="AW1706" s="1525"/>
      <c r="AX1706" s="1525"/>
      <c r="AY1706" s="1525"/>
      <c r="AZ1706" s="1525"/>
      <c r="BA1706" s="1525"/>
      <c r="BB1706" s="1525"/>
      <c r="BC1706" s="1525"/>
      <c r="BD1706" s="1525"/>
      <c r="BE1706" s="1525"/>
      <c r="BF1706" s="1525"/>
      <c r="BG1706" s="1525"/>
      <c r="BH1706" s="1525"/>
      <c r="BI1706" s="1525"/>
      <c r="BJ1706" s="1525"/>
      <c r="BK1706" s="1525"/>
      <c r="BL1706" s="553"/>
      <c r="BM1706" s="1525"/>
      <c r="BN1706" s="1525"/>
      <c r="BO1706" s="1525"/>
      <c r="BP1706" s="1525"/>
      <c r="BQ1706" s="1525"/>
      <c r="BR1706" s="1525"/>
      <c r="BS1706" s="1525"/>
      <c r="BT1706" s="1670"/>
      <c r="BV1706"/>
      <c r="BW1706" s="799"/>
    </row>
    <row r="1707" spans="2:75" s="164" customFormat="1" ht="12.75" customHeight="1" x14ac:dyDescent="0.15">
      <c r="B1707" s="175"/>
      <c r="G1707" s="831"/>
      <c r="H1707" s="1341" t="s">
        <v>1508</v>
      </c>
      <c r="L1707" s="843"/>
      <c r="M1707" s="843"/>
      <c r="N1707" s="799"/>
      <c r="O1707" s="1200"/>
      <c r="P1707" s="550"/>
      <c r="Q1707" s="1148"/>
      <c r="R1707" s="874"/>
      <c r="S1707" s="875"/>
      <c r="T1707" s="875"/>
      <c r="U1707" s="875"/>
      <c r="V1707" s="875"/>
      <c r="W1707" s="875"/>
      <c r="X1707" s="1026"/>
      <c r="Y1707" s="1562"/>
      <c r="Z1707" s="1742"/>
      <c r="AA1707" s="1775"/>
      <c r="AB1707" s="1812"/>
      <c r="AC1707" s="876"/>
      <c r="AD1707" s="1295"/>
      <c r="AE1707" s="1525"/>
      <c r="AF1707" s="1525"/>
      <c r="AG1707" s="1525"/>
      <c r="AH1707" s="1525"/>
      <c r="AI1707" s="1525"/>
      <c r="AJ1707" s="1525"/>
      <c r="AK1707" s="1525"/>
      <c r="AL1707" s="1525"/>
      <c r="AM1707" s="1525"/>
      <c r="AN1707" s="1525"/>
      <c r="AO1707" s="1525"/>
      <c r="AP1707" s="1525"/>
      <c r="AQ1707" s="1525"/>
      <c r="AR1707" s="1525"/>
      <c r="AS1707" s="1525"/>
      <c r="AU1707" s="1525"/>
      <c r="AV1707" s="1295"/>
      <c r="AW1707" s="1525"/>
      <c r="AX1707" s="1525"/>
      <c r="AY1707" s="1525"/>
      <c r="AZ1707" s="1525"/>
      <c r="BA1707" s="1525"/>
      <c r="BB1707" s="1525"/>
      <c r="BC1707" s="1525"/>
      <c r="BD1707" s="1525"/>
      <c r="BE1707" s="1525"/>
      <c r="BF1707" s="1525"/>
      <c r="BG1707" s="1525"/>
      <c r="BH1707" s="1525"/>
      <c r="BI1707" s="1525"/>
      <c r="BJ1707" s="1525"/>
      <c r="BK1707" s="1525"/>
      <c r="BL1707" s="553"/>
      <c r="BM1707" s="1525"/>
      <c r="BN1707" s="1525"/>
      <c r="BO1707" s="1525"/>
      <c r="BP1707" s="1525"/>
      <c r="BQ1707" s="1525"/>
      <c r="BR1707" s="1525"/>
      <c r="BS1707" s="1525"/>
      <c r="BT1707" s="1670"/>
      <c r="BV1707"/>
      <c r="BW1707" s="799"/>
    </row>
    <row r="1708" spans="2:75" s="164" customFormat="1" ht="12.75" customHeight="1" x14ac:dyDescent="0.15">
      <c r="B1708" s="175"/>
      <c r="F1708" s="335" t="s">
        <v>787</v>
      </c>
      <c r="G1708" s="833"/>
      <c r="H1708" s="1397" t="s">
        <v>1508</v>
      </c>
      <c r="I1708" s="231"/>
      <c r="J1708" s="268"/>
      <c r="K1708" s="268"/>
      <c r="L1708" s="950"/>
      <c r="M1708" s="950"/>
      <c r="N1708" s="833"/>
      <c r="O1708" s="1200"/>
      <c r="P1708" s="550"/>
      <c r="Q1708" s="1148"/>
      <c r="R1708" s="874"/>
      <c r="S1708" s="875"/>
      <c r="T1708" s="875"/>
      <c r="U1708" s="875"/>
      <c r="V1708" s="875"/>
      <c r="W1708" s="875"/>
      <c r="X1708" s="1026"/>
      <c r="Y1708" s="1562"/>
      <c r="Z1708" s="1742"/>
      <c r="AA1708" s="1775"/>
      <c r="AB1708" s="1812"/>
      <c r="AC1708" s="876"/>
      <c r="AD1708" s="1295"/>
      <c r="AE1708" s="1525"/>
      <c r="AF1708" s="1525"/>
      <c r="AG1708" s="1525"/>
      <c r="AH1708" s="1525"/>
      <c r="AI1708" s="1525"/>
      <c r="AJ1708" s="1525"/>
      <c r="AK1708" s="1525"/>
      <c r="AL1708" s="1525"/>
      <c r="AM1708" s="1525"/>
      <c r="AN1708" s="1525"/>
      <c r="AO1708" s="1525"/>
      <c r="AP1708" s="1525"/>
      <c r="AQ1708" s="1525"/>
      <c r="AR1708" s="1525"/>
      <c r="AS1708" s="1525"/>
      <c r="AU1708" s="1525"/>
      <c r="AV1708" s="1295"/>
      <c r="AW1708" s="1525"/>
      <c r="AX1708" s="1525"/>
      <c r="AY1708" s="1525"/>
      <c r="AZ1708" s="1525"/>
      <c r="BA1708" s="1525"/>
      <c r="BB1708" s="1525"/>
      <c r="BC1708" s="1525"/>
      <c r="BD1708" s="1525"/>
      <c r="BE1708" s="1525"/>
      <c r="BF1708" s="1525"/>
      <c r="BG1708" s="1525"/>
      <c r="BH1708" s="1525"/>
      <c r="BI1708" s="1525"/>
      <c r="BJ1708" s="1525"/>
      <c r="BK1708" s="1525"/>
      <c r="BL1708" s="553"/>
      <c r="BM1708" s="1525"/>
      <c r="BN1708" s="1525"/>
      <c r="BO1708" s="1525"/>
      <c r="BP1708" s="1525"/>
      <c r="BQ1708" s="1525"/>
      <c r="BR1708" s="1525"/>
      <c r="BS1708" s="1525"/>
      <c r="BT1708" s="1670"/>
      <c r="BV1708"/>
      <c r="BW1708" s="844"/>
    </row>
    <row r="1709" spans="2:75" s="164" customFormat="1" ht="12.75" customHeight="1" x14ac:dyDescent="0.15">
      <c r="B1709" s="175"/>
      <c r="F1709" s="335"/>
      <c r="G1709" s="833"/>
      <c r="H1709" s="1397"/>
      <c r="I1709" s="231"/>
      <c r="J1709" s="268"/>
      <c r="K1709" s="268"/>
      <c r="L1709" s="950"/>
      <c r="M1709" s="950"/>
      <c r="N1709" s="833"/>
      <c r="O1709" s="1200"/>
      <c r="P1709" s="550"/>
      <c r="Q1709" s="1148"/>
      <c r="R1709" s="874"/>
      <c r="S1709" s="875"/>
      <c r="T1709" s="875"/>
      <c r="U1709" s="875"/>
      <c r="V1709" s="875"/>
      <c r="W1709" s="875"/>
      <c r="X1709" s="1026"/>
      <c r="Y1709" s="1562"/>
      <c r="Z1709" s="1742"/>
      <c r="AA1709" s="1775"/>
      <c r="AB1709" s="1812"/>
      <c r="AC1709" s="876"/>
      <c r="AD1709" s="1295"/>
      <c r="AE1709" s="1525"/>
      <c r="AF1709" s="1525"/>
      <c r="AG1709" s="1525"/>
      <c r="AH1709" s="1525"/>
      <c r="AI1709" s="1525"/>
      <c r="AJ1709" s="1525"/>
      <c r="AK1709" s="1525"/>
      <c r="AL1709" s="1525"/>
      <c r="AM1709" s="1525"/>
      <c r="AN1709" s="1525"/>
      <c r="AO1709" s="1525"/>
      <c r="AP1709" s="1525"/>
      <c r="AQ1709" s="1525"/>
      <c r="AR1709" s="1525"/>
      <c r="AS1709" s="1525"/>
      <c r="AU1709" s="1525"/>
      <c r="AV1709" s="1295"/>
      <c r="AW1709" s="1525"/>
      <c r="AX1709" s="1525"/>
      <c r="AY1709" s="1525"/>
      <c r="AZ1709" s="1525"/>
      <c r="BA1709" s="1525"/>
      <c r="BB1709" s="1525"/>
      <c r="BC1709" s="1525"/>
      <c r="BD1709" s="1525"/>
      <c r="BE1709" s="1525"/>
      <c r="BF1709" s="1525"/>
      <c r="BG1709" s="1525"/>
      <c r="BH1709" s="1525"/>
      <c r="BI1709" s="1525"/>
      <c r="BJ1709" s="1525"/>
      <c r="BK1709" s="1525"/>
      <c r="BL1709" s="553"/>
      <c r="BM1709" s="1525"/>
      <c r="BN1709" s="1525"/>
      <c r="BO1709" s="1525"/>
      <c r="BP1709" s="1525"/>
      <c r="BQ1709" s="1525"/>
      <c r="BR1709" s="1525"/>
      <c r="BS1709" s="1525"/>
      <c r="BT1709" s="1670"/>
      <c r="BV1709"/>
      <c r="BW1709" s="844"/>
    </row>
    <row r="1710" spans="2:75" ht="12.75" customHeight="1" x14ac:dyDescent="0.2">
      <c r="B1710" s="175">
        <f>B1708+1</f>
        <v>1</v>
      </c>
      <c r="C1710" s="220">
        <v>11</v>
      </c>
      <c r="D1710" s="170"/>
      <c r="E1710" s="447" t="s">
        <v>1275</v>
      </c>
      <c r="F1710" s="335" t="s">
        <v>196</v>
      </c>
      <c r="G1710" s="833" t="s">
        <v>1845</v>
      </c>
      <c r="H1710" s="861">
        <v>2547</v>
      </c>
      <c r="I1710" s="272" t="s">
        <v>161</v>
      </c>
      <c r="J1710" s="170"/>
      <c r="K1710" s="170"/>
      <c r="L1710" s="950">
        <v>1</v>
      </c>
      <c r="M1710" s="861">
        <f>K1710+L1710</f>
        <v>1</v>
      </c>
      <c r="N1710" s="833" t="s">
        <v>892</v>
      </c>
      <c r="O1710" s="1196">
        <v>18833</v>
      </c>
      <c r="P1710" s="1262">
        <f t="shared" ref="P1710:P1721" ca="1" si="1065">YEARFRAC(TODAY(),O1710)</f>
        <v>66.188888888888883</v>
      </c>
      <c r="Q1710" s="1148">
        <v>50000</v>
      </c>
      <c r="R1710" s="874"/>
      <c r="S1710" s="876"/>
      <c r="T1710" s="884"/>
      <c r="U1710" s="884"/>
      <c r="V1710" s="884"/>
      <c r="W1710" s="876"/>
      <c r="X1710" s="1026">
        <f t="shared" ref="X1710:X1721" si="1066">(Q1710+R1710+S1710+T1710+U1710+V1710+W1710)*M1710</f>
        <v>50000</v>
      </c>
      <c r="Y1710" s="1512">
        <f t="shared" ref="Y1710:Y1721" si="1067">(T1710+U1710)*M1710/(X1710-M1710*(T1710+U1710))</f>
        <v>0</v>
      </c>
      <c r="Z1710" s="1741">
        <f t="shared" ref="Z1710:Z1721" si="1068">M1710*(1+Y1710)</f>
        <v>1</v>
      </c>
      <c r="AA1710" s="1749">
        <f>SUM(AD1710:AS1710)</f>
        <v>1</v>
      </c>
      <c r="AB1710" s="1810">
        <f t="shared" ref="AB1710:AB1721" si="1069">100*AA1710/Z1710</f>
        <v>100</v>
      </c>
      <c r="AC1710" s="876"/>
      <c r="AD1710" s="1525">
        <f t="shared" ref="AD1710:AS1721" si="1070">SUMIF($AV$6:$BS$6,AD$5,$AV1710:$BS1710)</f>
        <v>1</v>
      </c>
      <c r="AE1710" s="1525">
        <f t="shared" si="1070"/>
        <v>0</v>
      </c>
      <c r="AF1710" s="1525">
        <f t="shared" si="1070"/>
        <v>0</v>
      </c>
      <c r="AG1710" s="1525">
        <f t="shared" si="1070"/>
        <v>0</v>
      </c>
      <c r="AH1710" s="1525">
        <f t="shared" si="1070"/>
        <v>0</v>
      </c>
      <c r="AI1710" s="1525">
        <f t="shared" si="1070"/>
        <v>0</v>
      </c>
      <c r="AJ1710" s="1525">
        <f t="shared" si="1070"/>
        <v>0</v>
      </c>
      <c r="AK1710" s="1525">
        <f t="shared" si="1070"/>
        <v>0</v>
      </c>
      <c r="AL1710" s="1525">
        <f t="shared" si="1070"/>
        <v>0</v>
      </c>
      <c r="AM1710" s="1525">
        <f t="shared" si="1070"/>
        <v>0</v>
      </c>
      <c r="AN1710" s="1525">
        <f t="shared" si="1070"/>
        <v>0</v>
      </c>
      <c r="AO1710" s="1525">
        <f t="shared" si="1070"/>
        <v>0</v>
      </c>
      <c r="AP1710" s="1525">
        <f t="shared" si="1070"/>
        <v>0</v>
      </c>
      <c r="AQ1710" s="1525">
        <f t="shared" si="1070"/>
        <v>0</v>
      </c>
      <c r="AR1710" s="1525">
        <f t="shared" si="1070"/>
        <v>0</v>
      </c>
      <c r="AS1710" s="1525">
        <f t="shared" si="1070"/>
        <v>0</v>
      </c>
      <c r="AU1710" s="1525"/>
      <c r="AV1710" s="1291"/>
      <c r="AW1710" s="1292"/>
      <c r="AX1710" s="1292"/>
      <c r="AY1710" s="1292"/>
      <c r="AZ1710" s="1292"/>
      <c r="BA1710" s="1292"/>
      <c r="BB1710" s="1292"/>
      <c r="BC1710" s="1292"/>
      <c r="BD1710" s="1292"/>
      <c r="BE1710" s="1292"/>
      <c r="BF1710" s="1292"/>
      <c r="BG1710" s="1292"/>
      <c r="BH1710" s="1292"/>
      <c r="BI1710" s="1292"/>
      <c r="BJ1710" s="1292"/>
      <c r="BK1710" s="1292">
        <v>1</v>
      </c>
      <c r="BL1710" s="1292"/>
      <c r="BM1710" s="1292"/>
      <c r="BN1710" s="1292"/>
      <c r="BO1710" s="1292"/>
      <c r="BP1710" s="1292"/>
      <c r="BQ1710" s="1292"/>
      <c r="BR1710" s="1292"/>
      <c r="BS1710" s="1292"/>
      <c r="BT1710" s="1670">
        <f t="shared" ref="BT1710:BT1721" si="1071">SUM(AV1710:BS1710)</f>
        <v>1</v>
      </c>
      <c r="BW1710" s="844" t="s">
        <v>1845</v>
      </c>
    </row>
    <row r="1711" spans="2:75" ht="12.75" customHeight="1" x14ac:dyDescent="0.2">
      <c r="B1711" s="175">
        <f t="shared" ref="B1711:B1721" si="1072">B1710+1</f>
        <v>2</v>
      </c>
      <c r="C1711" s="219">
        <v>32</v>
      </c>
      <c r="E1711" s="12" t="s">
        <v>1275</v>
      </c>
      <c r="F1711" t="s">
        <v>1229</v>
      </c>
      <c r="G1711" s="831" t="s">
        <v>549</v>
      </c>
      <c r="H1711" s="858">
        <v>3236</v>
      </c>
      <c r="I1711" s="232" t="s">
        <v>583</v>
      </c>
      <c r="L1711" s="843">
        <v>1</v>
      </c>
      <c r="M1711" s="858">
        <f>K1711+L1711</f>
        <v>1</v>
      </c>
      <c r="N1711" s="831" t="s">
        <v>892</v>
      </c>
      <c r="O1711" s="1196">
        <v>17339</v>
      </c>
      <c r="P1711" s="1218">
        <f t="shared" ca="1" si="1065"/>
        <v>70.280555555555551</v>
      </c>
      <c r="Q1711" s="1148">
        <v>28500</v>
      </c>
      <c r="R1711" s="874"/>
      <c r="S1711" s="875"/>
      <c r="T1711" s="877"/>
      <c r="U1711" s="877"/>
      <c r="V1711" s="877"/>
      <c r="W1711" s="875"/>
      <c r="X1711" s="1026">
        <f t="shared" si="1066"/>
        <v>28500</v>
      </c>
      <c r="Y1711" s="1512">
        <f t="shared" si="1067"/>
        <v>0</v>
      </c>
      <c r="Z1711" s="1741">
        <f t="shared" si="1068"/>
        <v>1</v>
      </c>
      <c r="AA1711" s="1749">
        <f t="shared" ref="AA1711:AA1721" si="1073">SUM(AD1711:AS1711)</f>
        <v>0.5</v>
      </c>
      <c r="AB1711" s="1810">
        <f t="shared" si="1069"/>
        <v>50</v>
      </c>
      <c r="AC1711" s="876"/>
      <c r="AD1711" s="1525">
        <f t="shared" si="1070"/>
        <v>0.5</v>
      </c>
      <c r="AE1711" s="1525">
        <f t="shared" si="1070"/>
        <v>0</v>
      </c>
      <c r="AF1711" s="1525">
        <f t="shared" si="1070"/>
        <v>0</v>
      </c>
      <c r="AG1711" s="1525">
        <f t="shared" si="1070"/>
        <v>0</v>
      </c>
      <c r="AH1711" s="1525">
        <f t="shared" si="1070"/>
        <v>0</v>
      </c>
      <c r="AI1711" s="1525">
        <f t="shared" si="1070"/>
        <v>0</v>
      </c>
      <c r="AJ1711" s="1525">
        <f t="shared" si="1070"/>
        <v>0</v>
      </c>
      <c r="AK1711" s="1525">
        <f t="shared" si="1070"/>
        <v>0</v>
      </c>
      <c r="AL1711" s="1525">
        <f t="shared" si="1070"/>
        <v>0</v>
      </c>
      <c r="AM1711" s="1525">
        <f t="shared" si="1070"/>
        <v>0</v>
      </c>
      <c r="AN1711" s="1525">
        <f t="shared" si="1070"/>
        <v>0</v>
      </c>
      <c r="AO1711" s="1525">
        <f t="shared" si="1070"/>
        <v>0</v>
      </c>
      <c r="AP1711" s="1525">
        <f t="shared" si="1070"/>
        <v>0</v>
      </c>
      <c r="AQ1711" s="1525">
        <f t="shared" si="1070"/>
        <v>0</v>
      </c>
      <c r="AR1711" s="1525">
        <f t="shared" si="1070"/>
        <v>0</v>
      </c>
      <c r="AS1711" s="1525">
        <f t="shared" si="1070"/>
        <v>0</v>
      </c>
      <c r="AU1711" s="1525"/>
      <c r="AV1711" s="1291"/>
      <c r="AW1711" s="1292"/>
      <c r="AX1711" s="1292"/>
      <c r="AY1711" s="1292"/>
      <c r="AZ1711" s="1292"/>
      <c r="BA1711" s="1292"/>
      <c r="BB1711" s="1292"/>
      <c r="BC1711" s="1292"/>
      <c r="BD1711" s="1292"/>
      <c r="BE1711" s="1292"/>
      <c r="BF1711" s="1292"/>
      <c r="BG1711" s="1292"/>
      <c r="BH1711" s="1292"/>
      <c r="BI1711" s="1292"/>
      <c r="BJ1711" s="1292"/>
      <c r="BK1711" s="1292">
        <v>0.5</v>
      </c>
      <c r="BL1711" s="1292"/>
      <c r="BM1711" s="1292"/>
      <c r="BN1711" s="1292"/>
      <c r="BO1711" s="1292"/>
      <c r="BP1711" s="1292"/>
      <c r="BQ1711" s="1292"/>
      <c r="BR1711" s="1292"/>
      <c r="BS1711" s="1292"/>
      <c r="BT1711" s="1670">
        <f t="shared" si="1071"/>
        <v>0.5</v>
      </c>
      <c r="BW1711" s="799" t="s">
        <v>549</v>
      </c>
    </row>
    <row r="1712" spans="2:75" ht="12.75" customHeight="1" x14ac:dyDescent="0.2">
      <c r="B1712" s="175">
        <f t="shared" si="1072"/>
        <v>3</v>
      </c>
      <c r="C1712" s="219">
        <v>32</v>
      </c>
      <c r="E1712" s="12" t="s">
        <v>1275</v>
      </c>
      <c r="F1712" t="s">
        <v>1229</v>
      </c>
      <c r="G1712" s="831" t="s">
        <v>1670</v>
      </c>
      <c r="H1712" s="858">
        <v>142585</v>
      </c>
      <c r="I1712" s="232" t="s">
        <v>583</v>
      </c>
      <c r="L1712" s="843">
        <v>1</v>
      </c>
      <c r="M1712" s="858">
        <v>1</v>
      </c>
      <c r="N1712" s="831" t="s">
        <v>892</v>
      </c>
      <c r="O1712" s="1196">
        <v>22458</v>
      </c>
      <c r="P1712" s="1218">
        <f t="shared" ca="1" si="1065"/>
        <v>56.266666666666666</v>
      </c>
      <c r="Q1712" s="1148">
        <v>50000</v>
      </c>
      <c r="R1712" s="874"/>
      <c r="S1712" s="875"/>
      <c r="T1712" s="877">
        <v>33000</v>
      </c>
      <c r="U1712" s="877"/>
      <c r="V1712" s="877"/>
      <c r="W1712" s="875"/>
      <c r="X1712" s="1026">
        <f t="shared" si="1066"/>
        <v>83000</v>
      </c>
      <c r="Y1712" s="1512">
        <f t="shared" si="1067"/>
        <v>0.66</v>
      </c>
      <c r="Z1712" s="1741">
        <f t="shared" si="1068"/>
        <v>1.6600000000000001</v>
      </c>
      <c r="AA1712" s="1749">
        <f t="shared" si="1073"/>
        <v>1</v>
      </c>
      <c r="AB1712" s="1810">
        <f t="shared" si="1069"/>
        <v>60.240963855421683</v>
      </c>
      <c r="AC1712" s="876"/>
      <c r="AD1712" s="1525">
        <f t="shared" si="1070"/>
        <v>1</v>
      </c>
      <c r="AE1712" s="1525">
        <f t="shared" si="1070"/>
        <v>0</v>
      </c>
      <c r="AF1712" s="1525">
        <f t="shared" si="1070"/>
        <v>0</v>
      </c>
      <c r="AG1712" s="1525">
        <f t="shared" si="1070"/>
        <v>0</v>
      </c>
      <c r="AH1712" s="1525">
        <f t="shared" si="1070"/>
        <v>0</v>
      </c>
      <c r="AI1712" s="1525">
        <f t="shared" si="1070"/>
        <v>0</v>
      </c>
      <c r="AJ1712" s="1525">
        <f t="shared" si="1070"/>
        <v>0</v>
      </c>
      <c r="AK1712" s="1525">
        <f t="shared" si="1070"/>
        <v>0</v>
      </c>
      <c r="AL1712" s="1525">
        <f t="shared" si="1070"/>
        <v>0</v>
      </c>
      <c r="AM1712" s="1525">
        <f t="shared" si="1070"/>
        <v>0</v>
      </c>
      <c r="AN1712" s="1525">
        <f t="shared" si="1070"/>
        <v>0</v>
      </c>
      <c r="AO1712" s="1525">
        <f t="shared" si="1070"/>
        <v>0</v>
      </c>
      <c r="AP1712" s="1525">
        <f t="shared" si="1070"/>
        <v>0</v>
      </c>
      <c r="AQ1712" s="1525">
        <f t="shared" si="1070"/>
        <v>0</v>
      </c>
      <c r="AR1712" s="1525">
        <f t="shared" si="1070"/>
        <v>0</v>
      </c>
      <c r="AS1712" s="1525">
        <f t="shared" si="1070"/>
        <v>0</v>
      </c>
      <c r="AU1712" s="1525"/>
      <c r="AV1712" s="1291"/>
      <c r="AW1712" s="1292"/>
      <c r="AX1712" s="1292"/>
      <c r="AY1712" s="1292"/>
      <c r="AZ1712" s="1292"/>
      <c r="BA1712" s="1292"/>
      <c r="BB1712" s="1292"/>
      <c r="BC1712" s="1292"/>
      <c r="BD1712" s="1292"/>
      <c r="BE1712" s="1292"/>
      <c r="BF1712" s="1292"/>
      <c r="BG1712" s="1292"/>
      <c r="BH1712" s="1292"/>
      <c r="BI1712" s="1292"/>
      <c r="BJ1712" s="1292">
        <v>1</v>
      </c>
      <c r="BK1712" s="1292"/>
      <c r="BL1712" s="1292"/>
      <c r="BM1712" s="1292"/>
      <c r="BN1712" s="1292"/>
      <c r="BO1712" s="1292"/>
      <c r="BP1712" s="1292"/>
      <c r="BQ1712" s="1292"/>
      <c r="BR1712" s="1292"/>
      <c r="BS1712" s="1292"/>
      <c r="BT1712" s="1670">
        <f t="shared" si="1071"/>
        <v>1</v>
      </c>
      <c r="BW1712" s="799" t="s">
        <v>1670</v>
      </c>
    </row>
    <row r="1713" spans="2:75" ht="12.75" customHeight="1" x14ac:dyDescent="0.2">
      <c r="B1713" s="175">
        <f t="shared" si="1072"/>
        <v>4</v>
      </c>
      <c r="C1713" s="219">
        <v>32</v>
      </c>
      <c r="E1713" s="12" t="s">
        <v>1275</v>
      </c>
      <c r="F1713" t="s">
        <v>1229</v>
      </c>
      <c r="G1713" s="831" t="s">
        <v>550</v>
      </c>
      <c r="H1713" s="858">
        <v>3243</v>
      </c>
      <c r="I1713" s="232" t="s">
        <v>583</v>
      </c>
      <c r="L1713" s="843">
        <v>1</v>
      </c>
      <c r="M1713" s="858">
        <f t="shared" ref="M1713:M1721" si="1074">K1713+L1713</f>
        <v>1</v>
      </c>
      <c r="N1713" s="831" t="s">
        <v>892</v>
      </c>
      <c r="O1713" s="1196">
        <v>15425</v>
      </c>
      <c r="P1713" s="1218">
        <f t="shared" ca="1" si="1065"/>
        <v>75.519444444444446</v>
      </c>
      <c r="Q1713" s="1148">
        <v>32500</v>
      </c>
      <c r="R1713" s="874"/>
      <c r="S1713" s="875"/>
      <c r="T1713" s="877"/>
      <c r="U1713" s="877"/>
      <c r="V1713" s="877"/>
      <c r="W1713" s="875"/>
      <c r="X1713" s="1026">
        <f t="shared" si="1066"/>
        <v>32500</v>
      </c>
      <c r="Y1713" s="1512">
        <f t="shared" si="1067"/>
        <v>0</v>
      </c>
      <c r="Z1713" s="1741">
        <f t="shared" si="1068"/>
        <v>1</v>
      </c>
      <c r="AA1713" s="1749">
        <f t="shared" si="1073"/>
        <v>1</v>
      </c>
      <c r="AB1713" s="1810">
        <f t="shared" si="1069"/>
        <v>100</v>
      </c>
      <c r="AC1713" s="876"/>
      <c r="AD1713" s="1525">
        <f t="shared" si="1070"/>
        <v>1</v>
      </c>
      <c r="AE1713" s="1525">
        <f t="shared" si="1070"/>
        <v>0</v>
      </c>
      <c r="AF1713" s="1525">
        <f t="shared" si="1070"/>
        <v>0</v>
      </c>
      <c r="AG1713" s="1525">
        <f t="shared" si="1070"/>
        <v>0</v>
      </c>
      <c r="AH1713" s="1525">
        <f t="shared" si="1070"/>
        <v>0</v>
      </c>
      <c r="AI1713" s="1525">
        <f t="shared" si="1070"/>
        <v>0</v>
      </c>
      <c r="AJ1713" s="1525">
        <f t="shared" si="1070"/>
        <v>0</v>
      </c>
      <c r="AK1713" s="1525">
        <f t="shared" si="1070"/>
        <v>0</v>
      </c>
      <c r="AL1713" s="1525">
        <f t="shared" si="1070"/>
        <v>0</v>
      </c>
      <c r="AM1713" s="1525">
        <f t="shared" si="1070"/>
        <v>0</v>
      </c>
      <c r="AN1713" s="1525">
        <f t="shared" si="1070"/>
        <v>0</v>
      </c>
      <c r="AO1713" s="1525">
        <f t="shared" si="1070"/>
        <v>0</v>
      </c>
      <c r="AP1713" s="1525">
        <f t="shared" si="1070"/>
        <v>0</v>
      </c>
      <c r="AQ1713" s="1525">
        <f t="shared" si="1070"/>
        <v>0</v>
      </c>
      <c r="AR1713" s="1525">
        <f t="shared" si="1070"/>
        <v>0</v>
      </c>
      <c r="AS1713" s="1525">
        <f t="shared" si="1070"/>
        <v>0</v>
      </c>
      <c r="AU1713" s="1525"/>
      <c r="AV1713" s="1291"/>
      <c r="AW1713" s="1292"/>
      <c r="AX1713" s="1292"/>
      <c r="AY1713" s="1292"/>
      <c r="AZ1713" s="1292"/>
      <c r="BA1713" s="1292"/>
      <c r="BB1713" s="1292"/>
      <c r="BC1713" s="1292"/>
      <c r="BD1713" s="1292"/>
      <c r="BE1713" s="1292"/>
      <c r="BF1713" s="1292"/>
      <c r="BG1713" s="1292"/>
      <c r="BH1713" s="1292"/>
      <c r="BI1713" s="1292"/>
      <c r="BJ1713" s="1292"/>
      <c r="BK1713" s="1292">
        <v>1</v>
      </c>
      <c r="BL1713" s="1292"/>
      <c r="BM1713" s="1292"/>
      <c r="BN1713" s="1292"/>
      <c r="BO1713" s="1292"/>
      <c r="BP1713" s="1292"/>
      <c r="BQ1713" s="1292"/>
      <c r="BR1713" s="1292"/>
      <c r="BS1713" s="1292"/>
      <c r="BT1713" s="1670">
        <f t="shared" si="1071"/>
        <v>1</v>
      </c>
      <c r="BW1713" s="799" t="s">
        <v>550</v>
      </c>
    </row>
    <row r="1714" spans="2:75" ht="12.75" customHeight="1" x14ac:dyDescent="0.2">
      <c r="B1714" s="175">
        <f t="shared" si="1072"/>
        <v>5</v>
      </c>
      <c r="C1714" s="219">
        <v>32</v>
      </c>
      <c r="E1714" s="12" t="s">
        <v>1275</v>
      </c>
      <c r="F1714" t="s">
        <v>1229</v>
      </c>
      <c r="G1714" s="831" t="s">
        <v>551</v>
      </c>
      <c r="H1714" s="858">
        <v>13945</v>
      </c>
      <c r="I1714" s="232" t="s">
        <v>583</v>
      </c>
      <c r="L1714" s="843">
        <v>1</v>
      </c>
      <c r="M1714" s="858">
        <f t="shared" si="1074"/>
        <v>1</v>
      </c>
      <c r="N1714" s="831" t="s">
        <v>892</v>
      </c>
      <c r="O1714" s="1196">
        <v>19021</v>
      </c>
      <c r="P1714" s="1218">
        <f t="shared" ca="1" si="1065"/>
        <v>65.677777777777777</v>
      </c>
      <c r="Q1714" s="1148">
        <v>31000</v>
      </c>
      <c r="R1714" s="874"/>
      <c r="S1714" s="875"/>
      <c r="T1714" s="877"/>
      <c r="U1714" s="877"/>
      <c r="V1714" s="877"/>
      <c r="W1714" s="875"/>
      <c r="X1714" s="1026">
        <f t="shared" si="1066"/>
        <v>31000</v>
      </c>
      <c r="Y1714" s="1512">
        <f t="shared" si="1067"/>
        <v>0</v>
      </c>
      <c r="Z1714" s="1741">
        <f t="shared" si="1068"/>
        <v>1</v>
      </c>
      <c r="AA1714" s="1749">
        <f t="shared" si="1073"/>
        <v>1</v>
      </c>
      <c r="AB1714" s="1810">
        <f t="shared" si="1069"/>
        <v>100</v>
      </c>
      <c r="AC1714" s="876"/>
      <c r="AD1714" s="1525">
        <f t="shared" si="1070"/>
        <v>1</v>
      </c>
      <c r="AE1714" s="1525">
        <f t="shared" si="1070"/>
        <v>0</v>
      </c>
      <c r="AF1714" s="1525">
        <f t="shared" si="1070"/>
        <v>0</v>
      </c>
      <c r="AG1714" s="1525">
        <f t="shared" si="1070"/>
        <v>0</v>
      </c>
      <c r="AH1714" s="1525">
        <f t="shared" si="1070"/>
        <v>0</v>
      </c>
      <c r="AI1714" s="1525">
        <f t="shared" si="1070"/>
        <v>0</v>
      </c>
      <c r="AJ1714" s="1525">
        <f t="shared" si="1070"/>
        <v>0</v>
      </c>
      <c r="AK1714" s="1525">
        <f t="shared" si="1070"/>
        <v>0</v>
      </c>
      <c r="AL1714" s="1525">
        <f t="shared" si="1070"/>
        <v>0</v>
      </c>
      <c r="AM1714" s="1525">
        <f t="shared" si="1070"/>
        <v>0</v>
      </c>
      <c r="AN1714" s="1525">
        <f t="shared" si="1070"/>
        <v>0</v>
      </c>
      <c r="AO1714" s="1525">
        <f t="shared" si="1070"/>
        <v>0</v>
      </c>
      <c r="AP1714" s="1525">
        <f t="shared" si="1070"/>
        <v>0</v>
      </c>
      <c r="AQ1714" s="1525">
        <f t="shared" si="1070"/>
        <v>0</v>
      </c>
      <c r="AR1714" s="1525">
        <f t="shared" si="1070"/>
        <v>0</v>
      </c>
      <c r="AS1714" s="1525">
        <f t="shared" si="1070"/>
        <v>0</v>
      </c>
      <c r="AU1714" s="1525"/>
      <c r="AV1714" s="1291"/>
      <c r="AW1714" s="1292"/>
      <c r="AX1714" s="1292"/>
      <c r="AY1714" s="1292"/>
      <c r="AZ1714" s="1292"/>
      <c r="BA1714" s="1292"/>
      <c r="BB1714" s="1292"/>
      <c r="BC1714" s="1292"/>
      <c r="BD1714" s="1292"/>
      <c r="BE1714" s="1292"/>
      <c r="BF1714" s="1292"/>
      <c r="BG1714" s="1292"/>
      <c r="BH1714" s="1292"/>
      <c r="BI1714" s="1292"/>
      <c r="BJ1714" s="1292"/>
      <c r="BK1714" s="1292">
        <v>1</v>
      </c>
      <c r="BL1714" s="1292"/>
      <c r="BM1714" s="1292"/>
      <c r="BN1714" s="1292"/>
      <c r="BO1714" s="1292"/>
      <c r="BP1714" s="1292"/>
      <c r="BQ1714" s="1292"/>
      <c r="BR1714" s="1292"/>
      <c r="BS1714" s="1292"/>
      <c r="BT1714" s="1670">
        <f t="shared" si="1071"/>
        <v>1</v>
      </c>
      <c r="BW1714" s="799" t="s">
        <v>551</v>
      </c>
    </row>
    <row r="1715" spans="2:75" ht="12.75" customHeight="1" x14ac:dyDescent="0.2">
      <c r="B1715" s="175">
        <f t="shared" si="1072"/>
        <v>6</v>
      </c>
      <c r="C1715" s="219">
        <v>25</v>
      </c>
      <c r="E1715" s="12" t="s">
        <v>1275</v>
      </c>
      <c r="F1715" t="s">
        <v>786</v>
      </c>
      <c r="G1715" s="833" t="s">
        <v>1288</v>
      </c>
      <c r="H1715" s="858">
        <v>991820</v>
      </c>
      <c r="I1715" s="232" t="s">
        <v>583</v>
      </c>
      <c r="L1715" s="843">
        <v>1</v>
      </c>
      <c r="M1715" s="858">
        <f t="shared" si="1074"/>
        <v>1</v>
      </c>
      <c r="N1715" s="833" t="s">
        <v>892</v>
      </c>
      <c r="O1715" s="1196">
        <v>25106</v>
      </c>
      <c r="P1715" s="1218">
        <f t="shared" ca="1" si="1065"/>
        <v>49.019444444444446</v>
      </c>
      <c r="Q1715" s="1148">
        <v>38000</v>
      </c>
      <c r="R1715" s="874"/>
      <c r="S1715" s="875"/>
      <c r="T1715" s="877">
        <v>6000</v>
      </c>
      <c r="U1715" s="877"/>
      <c r="V1715" s="877"/>
      <c r="W1715" s="875"/>
      <c r="X1715" s="1026">
        <f t="shared" si="1066"/>
        <v>44000</v>
      </c>
      <c r="Y1715" s="1512">
        <f t="shared" si="1067"/>
        <v>0.15789473684210525</v>
      </c>
      <c r="Z1715" s="1741">
        <f t="shared" si="1068"/>
        <v>1.1578947368421053</v>
      </c>
      <c r="AA1715" s="1749">
        <f t="shared" si="1073"/>
        <v>1</v>
      </c>
      <c r="AB1715" s="1810">
        <f t="shared" si="1069"/>
        <v>86.36363636363636</v>
      </c>
      <c r="AC1715" s="876"/>
      <c r="AD1715" s="1525">
        <f t="shared" si="1070"/>
        <v>1</v>
      </c>
      <c r="AE1715" s="1525">
        <f t="shared" si="1070"/>
        <v>0</v>
      </c>
      <c r="AF1715" s="1525">
        <f t="shared" si="1070"/>
        <v>0</v>
      </c>
      <c r="AG1715" s="1525">
        <f t="shared" si="1070"/>
        <v>0</v>
      </c>
      <c r="AH1715" s="1525">
        <f t="shared" si="1070"/>
        <v>0</v>
      </c>
      <c r="AI1715" s="1525">
        <f t="shared" si="1070"/>
        <v>0</v>
      </c>
      <c r="AJ1715" s="1525">
        <f t="shared" si="1070"/>
        <v>0</v>
      </c>
      <c r="AK1715" s="1525">
        <f t="shared" si="1070"/>
        <v>0</v>
      </c>
      <c r="AL1715" s="1525">
        <f t="shared" si="1070"/>
        <v>0</v>
      </c>
      <c r="AM1715" s="1525">
        <f t="shared" si="1070"/>
        <v>0</v>
      </c>
      <c r="AN1715" s="1525">
        <f t="shared" si="1070"/>
        <v>0</v>
      </c>
      <c r="AO1715" s="1525">
        <f t="shared" si="1070"/>
        <v>0</v>
      </c>
      <c r="AP1715" s="1525">
        <f t="shared" si="1070"/>
        <v>0</v>
      </c>
      <c r="AQ1715" s="1525">
        <f t="shared" si="1070"/>
        <v>0</v>
      </c>
      <c r="AR1715" s="1525">
        <f t="shared" si="1070"/>
        <v>0</v>
      </c>
      <c r="AS1715" s="1525">
        <f t="shared" si="1070"/>
        <v>0</v>
      </c>
      <c r="AU1715" s="1525"/>
      <c r="AV1715" s="1291"/>
      <c r="AW1715" s="1292"/>
      <c r="AX1715" s="1292"/>
      <c r="AY1715" s="1292"/>
      <c r="AZ1715" s="1292"/>
      <c r="BA1715" s="1292"/>
      <c r="BB1715" s="1292"/>
      <c r="BC1715" s="1292"/>
      <c r="BD1715" s="1292"/>
      <c r="BE1715" s="1292"/>
      <c r="BF1715" s="1292"/>
      <c r="BG1715" s="1292"/>
      <c r="BH1715" s="1292"/>
      <c r="BI1715" s="1292"/>
      <c r="BJ1715" s="1292"/>
      <c r="BK1715" s="1292">
        <v>1</v>
      </c>
      <c r="BL1715" s="1292"/>
      <c r="BM1715" s="1292"/>
      <c r="BN1715" s="1292"/>
      <c r="BO1715" s="1292"/>
      <c r="BP1715" s="1292"/>
      <c r="BQ1715" s="1292"/>
      <c r="BR1715" s="1292"/>
      <c r="BS1715" s="1292"/>
      <c r="BT1715" s="1670">
        <f t="shared" si="1071"/>
        <v>1</v>
      </c>
      <c r="BW1715" s="844" t="s">
        <v>1288</v>
      </c>
    </row>
    <row r="1716" spans="2:75" ht="12.75" customHeight="1" x14ac:dyDescent="0.2">
      <c r="B1716" s="175">
        <f t="shared" si="1072"/>
        <v>7</v>
      </c>
      <c r="C1716" s="219">
        <v>25</v>
      </c>
      <c r="E1716" s="12" t="s">
        <v>1275</v>
      </c>
      <c r="F1716" t="s">
        <v>197</v>
      </c>
      <c r="G1716" s="831" t="s">
        <v>1751</v>
      </c>
      <c r="H1716" s="858">
        <v>153049</v>
      </c>
      <c r="I1716" s="232" t="s">
        <v>583</v>
      </c>
      <c r="L1716" s="843">
        <v>1</v>
      </c>
      <c r="M1716" s="858">
        <f t="shared" si="1074"/>
        <v>1</v>
      </c>
      <c r="N1716" s="831" t="s">
        <v>892</v>
      </c>
      <c r="O1716" s="1196">
        <v>31686</v>
      </c>
      <c r="P1716" s="1218">
        <f t="shared" ca="1" si="1065"/>
        <v>31.002777777777776</v>
      </c>
      <c r="Q1716" s="1148">
        <v>32000</v>
      </c>
      <c r="R1716" s="874"/>
      <c r="S1716" s="875"/>
      <c r="T1716" s="877">
        <v>5000</v>
      </c>
      <c r="U1716" s="877"/>
      <c r="V1716" s="877"/>
      <c r="W1716" s="875"/>
      <c r="X1716" s="1026">
        <f t="shared" si="1066"/>
        <v>37000</v>
      </c>
      <c r="Y1716" s="1512">
        <f t="shared" si="1067"/>
        <v>0.15625</v>
      </c>
      <c r="Z1716" s="1741">
        <f t="shared" si="1068"/>
        <v>1.15625</v>
      </c>
      <c r="AA1716" s="1749">
        <f t="shared" si="1073"/>
        <v>1</v>
      </c>
      <c r="AB1716" s="1810">
        <f t="shared" si="1069"/>
        <v>86.486486486486484</v>
      </c>
      <c r="AC1716" s="876"/>
      <c r="AD1716" s="1525">
        <f t="shared" si="1070"/>
        <v>1</v>
      </c>
      <c r="AE1716" s="1525">
        <f t="shared" si="1070"/>
        <v>0</v>
      </c>
      <c r="AF1716" s="1525">
        <f t="shared" si="1070"/>
        <v>0</v>
      </c>
      <c r="AG1716" s="1525">
        <f t="shared" si="1070"/>
        <v>0</v>
      </c>
      <c r="AH1716" s="1525">
        <f t="shared" si="1070"/>
        <v>0</v>
      </c>
      <c r="AI1716" s="1525">
        <f t="shared" si="1070"/>
        <v>0</v>
      </c>
      <c r="AJ1716" s="1525">
        <f t="shared" si="1070"/>
        <v>0</v>
      </c>
      <c r="AK1716" s="1525">
        <f t="shared" si="1070"/>
        <v>0</v>
      </c>
      <c r="AL1716" s="1525">
        <f t="shared" si="1070"/>
        <v>0</v>
      </c>
      <c r="AM1716" s="1525">
        <f t="shared" si="1070"/>
        <v>0</v>
      </c>
      <c r="AN1716" s="1525">
        <f t="shared" si="1070"/>
        <v>0</v>
      </c>
      <c r="AO1716" s="1525">
        <f t="shared" si="1070"/>
        <v>0</v>
      </c>
      <c r="AP1716" s="1525">
        <f t="shared" si="1070"/>
        <v>0</v>
      </c>
      <c r="AQ1716" s="1525">
        <f t="shared" si="1070"/>
        <v>0</v>
      </c>
      <c r="AR1716" s="1525">
        <f t="shared" si="1070"/>
        <v>0</v>
      </c>
      <c r="AS1716" s="1525">
        <f t="shared" si="1070"/>
        <v>0</v>
      </c>
      <c r="AU1716" s="1525"/>
      <c r="AV1716" s="1291"/>
      <c r="AW1716" s="1292"/>
      <c r="AX1716" s="1292"/>
      <c r="AY1716" s="1292"/>
      <c r="AZ1716" s="1292"/>
      <c r="BA1716" s="1292"/>
      <c r="BB1716" s="1292"/>
      <c r="BC1716" s="1292"/>
      <c r="BD1716" s="1292"/>
      <c r="BE1716" s="1292"/>
      <c r="BF1716" s="1292"/>
      <c r="BG1716" s="1292"/>
      <c r="BH1716" s="1292"/>
      <c r="BI1716" s="1292"/>
      <c r="BJ1716" s="1292">
        <v>1</v>
      </c>
      <c r="BK1716" s="1292"/>
      <c r="BL1716" s="1292"/>
      <c r="BM1716" s="1292"/>
      <c r="BN1716" s="1292"/>
      <c r="BO1716" s="1292"/>
      <c r="BP1716" s="1292"/>
      <c r="BQ1716" s="1292"/>
      <c r="BR1716" s="1292"/>
      <c r="BS1716" s="1292"/>
      <c r="BT1716" s="1670">
        <f t="shared" si="1071"/>
        <v>1</v>
      </c>
      <c r="BW1716" s="799" t="s">
        <v>1751</v>
      </c>
    </row>
    <row r="1717" spans="2:75" ht="12.75" customHeight="1" x14ac:dyDescent="0.2">
      <c r="B1717" s="175">
        <f t="shared" si="1072"/>
        <v>8</v>
      </c>
      <c r="C1717" s="219">
        <v>25</v>
      </c>
      <c r="E1717" s="12" t="s">
        <v>1275</v>
      </c>
      <c r="F1717" t="s">
        <v>197</v>
      </c>
      <c r="G1717" s="831" t="s">
        <v>1810</v>
      </c>
      <c r="H1717" s="858">
        <v>160003</v>
      </c>
      <c r="I1717" s="232" t="s">
        <v>583</v>
      </c>
      <c r="L1717" s="843">
        <v>1</v>
      </c>
      <c r="M1717" s="858">
        <f t="shared" si="1074"/>
        <v>1</v>
      </c>
      <c r="N1717" s="831" t="s">
        <v>892</v>
      </c>
      <c r="O1717" s="1196">
        <v>29718</v>
      </c>
      <c r="P1717" s="1218">
        <f t="shared" ca="1" si="1065"/>
        <v>36.388888888888886</v>
      </c>
      <c r="Q1717" s="1148">
        <v>31500</v>
      </c>
      <c r="R1717" s="874"/>
      <c r="S1717" s="875"/>
      <c r="T1717" s="877"/>
      <c r="U1717" s="877"/>
      <c r="V1717" s="877"/>
      <c r="W1717" s="875"/>
      <c r="X1717" s="1026">
        <f t="shared" si="1066"/>
        <v>31500</v>
      </c>
      <c r="Y1717" s="1512">
        <f t="shared" si="1067"/>
        <v>0</v>
      </c>
      <c r="Z1717" s="1741">
        <f t="shared" si="1068"/>
        <v>1</v>
      </c>
      <c r="AA1717" s="1749">
        <f t="shared" si="1073"/>
        <v>1</v>
      </c>
      <c r="AB1717" s="1810">
        <f t="shared" si="1069"/>
        <v>100</v>
      </c>
      <c r="AC1717" s="876"/>
      <c r="AD1717" s="1525">
        <f t="shared" si="1070"/>
        <v>1</v>
      </c>
      <c r="AE1717" s="1525">
        <f t="shared" si="1070"/>
        <v>0</v>
      </c>
      <c r="AF1717" s="1525">
        <f t="shared" si="1070"/>
        <v>0</v>
      </c>
      <c r="AG1717" s="1525">
        <f t="shared" si="1070"/>
        <v>0</v>
      </c>
      <c r="AH1717" s="1525">
        <f t="shared" si="1070"/>
        <v>0</v>
      </c>
      <c r="AI1717" s="1525">
        <f t="shared" si="1070"/>
        <v>0</v>
      </c>
      <c r="AJ1717" s="1525">
        <f t="shared" si="1070"/>
        <v>0</v>
      </c>
      <c r="AK1717" s="1525">
        <f t="shared" si="1070"/>
        <v>0</v>
      </c>
      <c r="AL1717" s="1525">
        <f t="shared" si="1070"/>
        <v>0</v>
      </c>
      <c r="AM1717" s="1525">
        <f t="shared" si="1070"/>
        <v>0</v>
      </c>
      <c r="AN1717" s="1525">
        <f t="shared" si="1070"/>
        <v>0</v>
      </c>
      <c r="AO1717" s="1525">
        <f t="shared" si="1070"/>
        <v>0</v>
      </c>
      <c r="AP1717" s="1525">
        <f t="shared" si="1070"/>
        <v>0</v>
      </c>
      <c r="AQ1717" s="1525">
        <f t="shared" si="1070"/>
        <v>0</v>
      </c>
      <c r="AR1717" s="1525">
        <f t="shared" si="1070"/>
        <v>0</v>
      </c>
      <c r="AS1717" s="1525">
        <f t="shared" si="1070"/>
        <v>0</v>
      </c>
      <c r="AU1717" s="1525"/>
      <c r="AV1717" s="1291"/>
      <c r="AW1717" s="1292"/>
      <c r="AX1717" s="1292"/>
      <c r="AY1717" s="1292"/>
      <c r="AZ1717" s="1292"/>
      <c r="BA1717" s="1292"/>
      <c r="BB1717" s="1292"/>
      <c r="BC1717" s="1292"/>
      <c r="BD1717" s="1292"/>
      <c r="BE1717" s="1292"/>
      <c r="BF1717" s="1292"/>
      <c r="BG1717" s="1292"/>
      <c r="BH1717" s="1292"/>
      <c r="BI1717" s="1292"/>
      <c r="BJ1717" s="1292">
        <v>1</v>
      </c>
      <c r="BK1717" s="1292"/>
      <c r="BL1717" s="1292"/>
      <c r="BM1717" s="1292"/>
      <c r="BN1717" s="1292"/>
      <c r="BO1717" s="1292"/>
      <c r="BP1717" s="1292"/>
      <c r="BQ1717" s="1292"/>
      <c r="BR1717" s="1292"/>
      <c r="BS1717" s="1292"/>
      <c r="BT1717" s="1670">
        <f t="shared" si="1071"/>
        <v>1</v>
      </c>
      <c r="BW1717" s="799" t="s">
        <v>1810</v>
      </c>
    </row>
    <row r="1718" spans="2:75" ht="12.75" customHeight="1" x14ac:dyDescent="0.2">
      <c r="B1718" s="175">
        <f t="shared" si="1072"/>
        <v>9</v>
      </c>
      <c r="C1718" s="219">
        <v>25</v>
      </c>
      <c r="E1718" s="12" t="s">
        <v>1275</v>
      </c>
      <c r="F1718" s="23" t="s">
        <v>868</v>
      </c>
      <c r="G1718" s="833" t="s">
        <v>1811</v>
      </c>
      <c r="H1718" s="861">
        <v>162431</v>
      </c>
      <c r="I1718" s="272" t="s">
        <v>583</v>
      </c>
      <c r="L1718" s="950">
        <v>1</v>
      </c>
      <c r="M1718" s="861">
        <f t="shared" si="1074"/>
        <v>1</v>
      </c>
      <c r="N1718" s="831" t="s">
        <v>892</v>
      </c>
      <c r="O1718" s="1196">
        <v>31914</v>
      </c>
      <c r="P1718" s="1218">
        <f t="shared" ca="1" si="1065"/>
        <v>30.375</v>
      </c>
      <c r="Q1718" s="1148">
        <v>30000</v>
      </c>
      <c r="R1718" s="874"/>
      <c r="S1718" s="875"/>
      <c r="T1718" s="877"/>
      <c r="U1718" s="877"/>
      <c r="V1718" s="877"/>
      <c r="W1718" s="875"/>
      <c r="X1718" s="1026">
        <f t="shared" si="1066"/>
        <v>30000</v>
      </c>
      <c r="Y1718" s="1512">
        <f t="shared" si="1067"/>
        <v>0</v>
      </c>
      <c r="Z1718" s="1741">
        <f t="shared" si="1068"/>
        <v>1</v>
      </c>
      <c r="AA1718" s="1749">
        <f t="shared" si="1073"/>
        <v>0.5</v>
      </c>
      <c r="AB1718" s="1810">
        <f t="shared" si="1069"/>
        <v>50</v>
      </c>
      <c r="AC1718" s="876"/>
      <c r="AD1718" s="1525">
        <f t="shared" si="1070"/>
        <v>0.5</v>
      </c>
      <c r="AE1718" s="1525">
        <f t="shared" si="1070"/>
        <v>0</v>
      </c>
      <c r="AF1718" s="1525">
        <f t="shared" si="1070"/>
        <v>0</v>
      </c>
      <c r="AG1718" s="1525">
        <f t="shared" si="1070"/>
        <v>0</v>
      </c>
      <c r="AH1718" s="1525">
        <f t="shared" si="1070"/>
        <v>0</v>
      </c>
      <c r="AI1718" s="1525">
        <f t="shared" si="1070"/>
        <v>0</v>
      </c>
      <c r="AJ1718" s="1525">
        <f t="shared" si="1070"/>
        <v>0</v>
      </c>
      <c r="AK1718" s="1525">
        <f t="shared" si="1070"/>
        <v>0</v>
      </c>
      <c r="AL1718" s="1525">
        <f t="shared" si="1070"/>
        <v>0</v>
      </c>
      <c r="AM1718" s="1525">
        <f t="shared" si="1070"/>
        <v>0</v>
      </c>
      <c r="AN1718" s="1525">
        <f t="shared" si="1070"/>
        <v>0</v>
      </c>
      <c r="AO1718" s="1525">
        <f t="shared" si="1070"/>
        <v>0</v>
      </c>
      <c r="AP1718" s="1525">
        <f t="shared" si="1070"/>
        <v>0</v>
      </c>
      <c r="AQ1718" s="1525">
        <f t="shared" si="1070"/>
        <v>0</v>
      </c>
      <c r="AR1718" s="1525">
        <f t="shared" si="1070"/>
        <v>0</v>
      </c>
      <c r="AS1718" s="1525">
        <f t="shared" si="1070"/>
        <v>0</v>
      </c>
      <c r="AU1718" s="1525"/>
      <c r="AV1718" s="1291"/>
      <c r="AW1718" s="1292"/>
      <c r="AX1718" s="1292"/>
      <c r="AY1718" s="1292"/>
      <c r="AZ1718" s="1292"/>
      <c r="BA1718" s="1292"/>
      <c r="BB1718" s="1292"/>
      <c r="BC1718" s="1292"/>
      <c r="BD1718" s="1292"/>
      <c r="BE1718" s="1292"/>
      <c r="BF1718" s="1292"/>
      <c r="BG1718" s="1292"/>
      <c r="BH1718" s="1292"/>
      <c r="BI1718" s="1292"/>
      <c r="BJ1718" s="1292">
        <v>0.5</v>
      </c>
      <c r="BK1718" s="1292"/>
      <c r="BL1718" s="1292"/>
      <c r="BM1718" s="1292"/>
      <c r="BN1718" s="1292"/>
      <c r="BO1718" s="1292"/>
      <c r="BP1718" s="1292"/>
      <c r="BQ1718" s="1292"/>
      <c r="BR1718" s="1292"/>
      <c r="BS1718" s="1292"/>
      <c r="BT1718" s="1670">
        <f t="shared" si="1071"/>
        <v>0.5</v>
      </c>
      <c r="BW1718" s="844" t="s">
        <v>1811</v>
      </c>
    </row>
    <row r="1719" spans="2:75" ht="12.75" customHeight="1" x14ac:dyDescent="0.2">
      <c r="B1719" s="175">
        <f t="shared" si="1072"/>
        <v>10</v>
      </c>
      <c r="C1719" s="219">
        <v>25</v>
      </c>
      <c r="E1719" s="12" t="s">
        <v>1275</v>
      </c>
      <c r="F1719" t="s">
        <v>868</v>
      </c>
      <c r="G1719" s="833" t="s">
        <v>65</v>
      </c>
      <c r="H1719" s="858">
        <v>103849</v>
      </c>
      <c r="I1719" s="232" t="s">
        <v>583</v>
      </c>
      <c r="L1719" s="843">
        <v>1</v>
      </c>
      <c r="M1719" s="858">
        <f t="shared" si="1074"/>
        <v>1</v>
      </c>
      <c r="N1719" s="831" t="s">
        <v>892</v>
      </c>
      <c r="O1719" s="1196">
        <v>32592</v>
      </c>
      <c r="P1719" s="1218">
        <f t="shared" ca="1" si="1065"/>
        <v>28.519444444444446</v>
      </c>
      <c r="Q1719" s="1148">
        <v>23000</v>
      </c>
      <c r="R1719" s="874"/>
      <c r="S1719" s="875"/>
      <c r="T1719" s="877"/>
      <c r="U1719" s="877"/>
      <c r="V1719" s="877"/>
      <c r="W1719" s="875"/>
      <c r="X1719" s="1026">
        <f t="shared" si="1066"/>
        <v>23000</v>
      </c>
      <c r="Y1719" s="1512">
        <f t="shared" si="1067"/>
        <v>0</v>
      </c>
      <c r="Z1719" s="1741">
        <f t="shared" si="1068"/>
        <v>1</v>
      </c>
      <c r="AA1719" s="1749">
        <f t="shared" si="1073"/>
        <v>0</v>
      </c>
      <c r="AB1719" s="1810">
        <f t="shared" si="1069"/>
        <v>0</v>
      </c>
      <c r="AC1719" s="876"/>
      <c r="AD1719" s="1525">
        <f t="shared" si="1070"/>
        <v>0</v>
      </c>
      <c r="AE1719" s="1525">
        <f t="shared" si="1070"/>
        <v>0</v>
      </c>
      <c r="AF1719" s="1525">
        <f t="shared" si="1070"/>
        <v>0</v>
      </c>
      <c r="AG1719" s="1525">
        <f t="shared" si="1070"/>
        <v>0</v>
      </c>
      <c r="AH1719" s="1525">
        <f t="shared" si="1070"/>
        <v>0</v>
      </c>
      <c r="AI1719" s="1525">
        <f t="shared" si="1070"/>
        <v>0</v>
      </c>
      <c r="AJ1719" s="1525">
        <f t="shared" si="1070"/>
        <v>0</v>
      </c>
      <c r="AK1719" s="1525">
        <f t="shared" si="1070"/>
        <v>0</v>
      </c>
      <c r="AL1719" s="1525">
        <f t="shared" si="1070"/>
        <v>0</v>
      </c>
      <c r="AM1719" s="1525">
        <f t="shared" si="1070"/>
        <v>0</v>
      </c>
      <c r="AN1719" s="1525">
        <f t="shared" si="1070"/>
        <v>0</v>
      </c>
      <c r="AO1719" s="1525">
        <f t="shared" si="1070"/>
        <v>0</v>
      </c>
      <c r="AP1719" s="1525">
        <f t="shared" si="1070"/>
        <v>0</v>
      </c>
      <c r="AQ1719" s="1525">
        <f t="shared" si="1070"/>
        <v>0</v>
      </c>
      <c r="AR1719" s="1525">
        <f t="shared" si="1070"/>
        <v>0</v>
      </c>
      <c r="AS1719" s="1525">
        <f t="shared" si="1070"/>
        <v>0</v>
      </c>
      <c r="AU1719" s="1525"/>
      <c r="AV1719" s="1291"/>
      <c r="AW1719" s="1292"/>
      <c r="AX1719" s="1292"/>
      <c r="AY1719" s="1292"/>
      <c r="AZ1719" s="1292"/>
      <c r="BA1719" s="1292"/>
      <c r="BB1719" s="1292"/>
      <c r="BC1719" s="1292"/>
      <c r="BD1719" s="1292"/>
      <c r="BE1719" s="1292"/>
      <c r="BF1719" s="1292"/>
      <c r="BG1719" s="1292"/>
      <c r="BH1719" s="1292"/>
      <c r="BI1719" s="1292"/>
      <c r="BJ1719" s="1292"/>
      <c r="BK1719" s="1292"/>
      <c r="BL1719" s="1292"/>
      <c r="BM1719" s="1292"/>
      <c r="BN1719" s="1292"/>
      <c r="BO1719" s="1292"/>
      <c r="BP1719" s="1292"/>
      <c r="BQ1719" s="1292"/>
      <c r="BR1719" s="1292"/>
      <c r="BS1719" s="1292"/>
      <c r="BT1719" s="1670">
        <f t="shared" si="1071"/>
        <v>0</v>
      </c>
      <c r="BW1719" s="844" t="s">
        <v>65</v>
      </c>
    </row>
    <row r="1720" spans="2:75" ht="12.75" customHeight="1" x14ac:dyDescent="0.2">
      <c r="B1720" s="175">
        <f t="shared" si="1072"/>
        <v>11</v>
      </c>
      <c r="C1720" s="219">
        <v>14</v>
      </c>
      <c r="E1720" s="12" t="s">
        <v>1275</v>
      </c>
      <c r="F1720" t="s">
        <v>626</v>
      </c>
      <c r="G1720" s="833" t="s">
        <v>1357</v>
      </c>
      <c r="H1720" s="858">
        <v>3237</v>
      </c>
      <c r="I1720" s="272" t="s">
        <v>583</v>
      </c>
      <c r="J1720" s="220"/>
      <c r="K1720" s="220"/>
      <c r="L1720" s="950">
        <v>1</v>
      </c>
      <c r="M1720" s="858">
        <f t="shared" si="1074"/>
        <v>1</v>
      </c>
      <c r="N1720" s="833" t="s">
        <v>892</v>
      </c>
      <c r="O1720" s="1196">
        <v>18269</v>
      </c>
      <c r="P1720" s="1218">
        <f t="shared" ca="1" si="1065"/>
        <v>67.738888888888894</v>
      </c>
      <c r="Q1720" s="1148">
        <v>23000</v>
      </c>
      <c r="R1720" s="874"/>
      <c r="S1720" s="876"/>
      <c r="T1720" s="884"/>
      <c r="U1720" s="884"/>
      <c r="V1720" s="884"/>
      <c r="W1720" s="876"/>
      <c r="X1720" s="1026">
        <f t="shared" si="1066"/>
        <v>23000</v>
      </c>
      <c r="Y1720" s="1512">
        <f t="shared" si="1067"/>
        <v>0</v>
      </c>
      <c r="Z1720" s="1741">
        <f t="shared" si="1068"/>
        <v>1</v>
      </c>
      <c r="AA1720" s="1749">
        <f t="shared" si="1073"/>
        <v>0</v>
      </c>
      <c r="AB1720" s="1810">
        <f t="shared" si="1069"/>
        <v>0</v>
      </c>
      <c r="AC1720" s="876"/>
      <c r="AD1720" s="1525">
        <f t="shared" si="1070"/>
        <v>0</v>
      </c>
      <c r="AE1720" s="1525">
        <f t="shared" si="1070"/>
        <v>0</v>
      </c>
      <c r="AF1720" s="1525">
        <f t="shared" si="1070"/>
        <v>0</v>
      </c>
      <c r="AG1720" s="1525">
        <f t="shared" si="1070"/>
        <v>0</v>
      </c>
      <c r="AH1720" s="1525">
        <f t="shared" si="1070"/>
        <v>0</v>
      </c>
      <c r="AI1720" s="1525">
        <f t="shared" si="1070"/>
        <v>0</v>
      </c>
      <c r="AJ1720" s="1525">
        <f t="shared" si="1070"/>
        <v>0</v>
      </c>
      <c r="AK1720" s="1525">
        <f t="shared" si="1070"/>
        <v>0</v>
      </c>
      <c r="AL1720" s="1525">
        <f t="shared" si="1070"/>
        <v>0</v>
      </c>
      <c r="AM1720" s="1525">
        <f t="shared" si="1070"/>
        <v>0</v>
      </c>
      <c r="AN1720" s="1525">
        <f t="shared" si="1070"/>
        <v>0</v>
      </c>
      <c r="AO1720" s="1525">
        <f t="shared" si="1070"/>
        <v>0</v>
      </c>
      <c r="AP1720" s="1525">
        <f t="shared" si="1070"/>
        <v>0</v>
      </c>
      <c r="AQ1720" s="1525">
        <f t="shared" si="1070"/>
        <v>0</v>
      </c>
      <c r="AR1720" s="1525">
        <f t="shared" si="1070"/>
        <v>0</v>
      </c>
      <c r="AS1720" s="1525">
        <f t="shared" si="1070"/>
        <v>0</v>
      </c>
      <c r="AU1720" s="1525"/>
      <c r="AV1720" s="1291"/>
      <c r="AW1720" s="1292"/>
      <c r="AX1720" s="1292"/>
      <c r="AY1720" s="1292"/>
      <c r="AZ1720" s="1292"/>
      <c r="BA1720" s="1292"/>
      <c r="BB1720" s="1292"/>
      <c r="BC1720" s="1292"/>
      <c r="BD1720" s="1292"/>
      <c r="BE1720" s="1292"/>
      <c r="BF1720" s="1292"/>
      <c r="BG1720" s="1292"/>
      <c r="BH1720" s="1292"/>
      <c r="BI1720" s="1292"/>
      <c r="BJ1720" s="1292"/>
      <c r="BK1720" s="1292"/>
      <c r="BL1720" s="1292"/>
      <c r="BM1720" s="1292"/>
      <c r="BN1720" s="1292"/>
      <c r="BO1720" s="1292"/>
      <c r="BP1720" s="1292"/>
      <c r="BQ1720" s="1292"/>
      <c r="BR1720" s="1292"/>
      <c r="BS1720" s="1292"/>
      <c r="BT1720" s="1670">
        <f t="shared" si="1071"/>
        <v>0</v>
      </c>
      <c r="BW1720" s="844" t="s">
        <v>1357</v>
      </c>
    </row>
    <row r="1721" spans="2:75" ht="12.75" customHeight="1" x14ac:dyDescent="0.2">
      <c r="B1721" s="175">
        <f t="shared" si="1072"/>
        <v>12</v>
      </c>
      <c r="C1721" s="219">
        <v>14</v>
      </c>
      <c r="E1721" s="12" t="s">
        <v>1275</v>
      </c>
      <c r="F1721" s="20" t="s">
        <v>626</v>
      </c>
      <c r="G1721" s="958" t="s">
        <v>1286</v>
      </c>
      <c r="H1721" s="873">
        <v>3240</v>
      </c>
      <c r="I1721" s="271" t="s">
        <v>583</v>
      </c>
      <c r="J1721" s="185"/>
      <c r="K1721" s="185"/>
      <c r="L1721" s="951">
        <v>1</v>
      </c>
      <c r="M1721" s="873">
        <f t="shared" si="1074"/>
        <v>1</v>
      </c>
      <c r="N1721" s="872" t="s">
        <v>1402</v>
      </c>
      <c r="O1721" s="1211">
        <v>18793</v>
      </c>
      <c r="P1721" s="1218">
        <f t="shared" ca="1" si="1065"/>
        <v>66.3</v>
      </c>
      <c r="Q1721" s="1148">
        <v>17000</v>
      </c>
      <c r="R1721" s="890">
        <f>Q1721*0.1</f>
        <v>1700</v>
      </c>
      <c r="S1721" s="891"/>
      <c r="T1721" s="1048"/>
      <c r="U1721" s="1048"/>
      <c r="V1721" s="1048"/>
      <c r="W1721" s="891"/>
      <c r="X1721" s="1026">
        <f t="shared" si="1066"/>
        <v>18700</v>
      </c>
      <c r="Y1721" s="1512">
        <f t="shared" si="1067"/>
        <v>0</v>
      </c>
      <c r="Z1721" s="1741">
        <f t="shared" si="1068"/>
        <v>1</v>
      </c>
      <c r="AA1721" s="1749">
        <f t="shared" si="1073"/>
        <v>0</v>
      </c>
      <c r="AB1721" s="1810">
        <f t="shared" si="1069"/>
        <v>0</v>
      </c>
      <c r="AC1721" s="876"/>
      <c r="AD1721" s="1525">
        <f t="shared" si="1070"/>
        <v>0</v>
      </c>
      <c r="AE1721" s="1525">
        <f t="shared" si="1070"/>
        <v>0</v>
      </c>
      <c r="AF1721" s="1525">
        <f t="shared" si="1070"/>
        <v>0</v>
      </c>
      <c r="AG1721" s="1525">
        <f t="shared" si="1070"/>
        <v>0</v>
      </c>
      <c r="AH1721" s="1525">
        <f t="shared" si="1070"/>
        <v>0</v>
      </c>
      <c r="AI1721" s="1525">
        <f t="shared" si="1070"/>
        <v>0</v>
      </c>
      <c r="AJ1721" s="1525">
        <f t="shared" si="1070"/>
        <v>0</v>
      </c>
      <c r="AK1721" s="1525">
        <f t="shared" si="1070"/>
        <v>0</v>
      </c>
      <c r="AL1721" s="1525">
        <f t="shared" si="1070"/>
        <v>0</v>
      </c>
      <c r="AM1721" s="1525">
        <f t="shared" si="1070"/>
        <v>0</v>
      </c>
      <c r="AN1721" s="1525">
        <f t="shared" si="1070"/>
        <v>0</v>
      </c>
      <c r="AO1721" s="1525">
        <f t="shared" si="1070"/>
        <v>0</v>
      </c>
      <c r="AP1721" s="1525">
        <f t="shared" si="1070"/>
        <v>0</v>
      </c>
      <c r="AQ1721" s="1525">
        <f t="shared" si="1070"/>
        <v>0</v>
      </c>
      <c r="AR1721" s="1525">
        <f t="shared" si="1070"/>
        <v>0</v>
      </c>
      <c r="AS1721" s="1525">
        <f t="shared" si="1070"/>
        <v>0</v>
      </c>
      <c r="AU1721" s="1525"/>
      <c r="AV1721" s="1291"/>
      <c r="AW1721" s="1292"/>
      <c r="AX1721" s="1292"/>
      <c r="AY1721" s="1292"/>
      <c r="AZ1721" s="1292"/>
      <c r="BA1721" s="1292"/>
      <c r="BB1721" s="1292"/>
      <c r="BC1721" s="1292"/>
      <c r="BD1721" s="1292"/>
      <c r="BE1721" s="1292"/>
      <c r="BF1721" s="1292"/>
      <c r="BG1721" s="1292"/>
      <c r="BH1721" s="1292"/>
      <c r="BI1721" s="1292"/>
      <c r="BJ1721" s="1292"/>
      <c r="BK1721" s="1292"/>
      <c r="BL1721" s="1292"/>
      <c r="BM1721" s="1292"/>
      <c r="BN1721" s="1292"/>
      <c r="BO1721" s="1292"/>
      <c r="BP1721" s="1292"/>
      <c r="BQ1721" s="1292"/>
      <c r="BR1721" s="1292"/>
      <c r="BS1721" s="1292"/>
      <c r="BT1721" s="1670">
        <f t="shared" si="1071"/>
        <v>0</v>
      </c>
      <c r="BW1721" s="894" t="s">
        <v>1286</v>
      </c>
    </row>
    <row r="1722" spans="2:75" ht="12.75" customHeight="1" x14ac:dyDescent="0.2">
      <c r="B1722" s="175"/>
      <c r="C1722" s="219"/>
      <c r="E1722" s="12"/>
      <c r="F1722" s="23"/>
      <c r="G1722" s="833"/>
      <c r="H1722" s="861"/>
      <c r="I1722" s="272"/>
      <c r="J1722" s="220"/>
      <c r="K1722" s="220"/>
      <c r="L1722" s="950"/>
      <c r="M1722" s="861"/>
      <c r="N1722" s="836"/>
      <c r="O1722" s="1196"/>
      <c r="P1722" s="1218"/>
      <c r="Q1722" s="1148"/>
      <c r="R1722" s="874"/>
      <c r="S1722" s="876"/>
      <c r="T1722" s="884"/>
      <c r="U1722" s="884"/>
      <c r="V1722" s="884"/>
      <c r="W1722" s="876"/>
      <c r="X1722" s="1026"/>
      <c r="Y1722" s="1636"/>
      <c r="Z1722" s="1636"/>
      <c r="AA1722" s="1779"/>
      <c r="AB1722" s="1811"/>
      <c r="AC1722" s="876"/>
      <c r="AD1722" s="1295"/>
      <c r="AE1722" s="1525"/>
      <c r="AF1722" s="1525"/>
      <c r="AG1722" s="1525"/>
      <c r="AH1722" s="1525"/>
      <c r="AI1722" s="1525"/>
      <c r="AJ1722" s="1525"/>
      <c r="AK1722" s="1525"/>
      <c r="AL1722" s="1525"/>
      <c r="AM1722" s="1525"/>
      <c r="AN1722" s="1525"/>
      <c r="AO1722" s="1525"/>
      <c r="AP1722" s="1525"/>
      <c r="AQ1722" s="1525"/>
      <c r="AR1722" s="1525"/>
      <c r="AS1722" s="1525"/>
      <c r="AU1722" s="1525"/>
      <c r="AV1722" s="1291"/>
      <c r="AW1722" s="1292"/>
      <c r="AX1722" s="1292"/>
      <c r="AY1722" s="1292"/>
      <c r="AZ1722" s="1292"/>
      <c r="BA1722" s="1292"/>
      <c r="BB1722" s="1292"/>
      <c r="BC1722" s="1292"/>
      <c r="BD1722" s="1292"/>
      <c r="BE1722" s="1292"/>
      <c r="BF1722" s="1292"/>
      <c r="BG1722" s="1292"/>
      <c r="BH1722" s="1292"/>
      <c r="BI1722" s="1292"/>
      <c r="BJ1722" s="1292"/>
      <c r="BK1722" s="1292"/>
      <c r="BL1722" s="1292"/>
      <c r="BM1722" s="1292"/>
      <c r="BN1722" s="1292"/>
      <c r="BO1722" s="1292"/>
      <c r="BP1722" s="1292"/>
      <c r="BQ1722" s="1292"/>
      <c r="BR1722" s="1292"/>
      <c r="BS1722" s="1292"/>
      <c r="BT1722" s="1670"/>
      <c r="BW1722" s="844"/>
    </row>
    <row r="1723" spans="2:75" s="164" customFormat="1" ht="12.75" customHeight="1" x14ac:dyDescent="0.15">
      <c r="B1723" s="175"/>
      <c r="C1723" s="219" t="s">
        <v>1120</v>
      </c>
      <c r="F1723" s="335" t="s">
        <v>1361</v>
      </c>
      <c r="G1723" s="833"/>
      <c r="H1723" s="1384" t="s">
        <v>1508</v>
      </c>
      <c r="I1723" s="231"/>
      <c r="J1723" s="268"/>
      <c r="K1723" s="453">
        <f>SUM(K1710:K1721)</f>
        <v>0</v>
      </c>
      <c r="L1723" s="1011">
        <f>SUM(L1710:L1721)</f>
        <v>12</v>
      </c>
      <c r="M1723" s="1011">
        <f>SUM(M1710:M1721)</f>
        <v>12</v>
      </c>
      <c r="N1723" s="833"/>
      <c r="O1723" s="1200"/>
      <c r="P1723" s="1294"/>
      <c r="Q1723" s="1153"/>
      <c r="R1723" s="877"/>
      <c r="S1723" s="875"/>
      <c r="T1723" s="875"/>
      <c r="U1723" s="875"/>
      <c r="V1723" s="875"/>
      <c r="W1723" s="875"/>
      <c r="X1723" s="1026"/>
      <c r="Y1723" s="875"/>
      <c r="Z1723" s="875"/>
      <c r="AA1723" s="1779"/>
      <c r="AB1723" s="1811"/>
      <c r="AC1723" s="876"/>
      <c r="AD1723" s="1295"/>
      <c r="AE1723" s="1525"/>
      <c r="AF1723" s="1525"/>
      <c r="AG1723" s="1525"/>
      <c r="AH1723" s="1525"/>
      <c r="AI1723" s="1525"/>
      <c r="AJ1723" s="1525"/>
      <c r="AK1723" s="1525"/>
      <c r="AL1723" s="1525"/>
      <c r="AM1723" s="1525"/>
      <c r="AN1723" s="1525"/>
      <c r="AO1723" s="1525"/>
      <c r="AP1723" s="1525"/>
      <c r="AQ1723" s="1525"/>
      <c r="AR1723" s="1525"/>
      <c r="AS1723" s="1525"/>
      <c r="AU1723" s="1525"/>
      <c r="AV1723" s="1295"/>
      <c r="AW1723" s="1525"/>
      <c r="AX1723" s="1525"/>
      <c r="AY1723" s="1525"/>
      <c r="AZ1723" s="1525"/>
      <c r="BA1723" s="1525"/>
      <c r="BB1723" s="1525"/>
      <c r="BC1723" s="1525"/>
      <c r="BD1723" s="1525"/>
      <c r="BE1723" s="1525"/>
      <c r="BF1723" s="1525"/>
      <c r="BG1723" s="1525"/>
      <c r="BH1723" s="1525"/>
      <c r="BI1723" s="1525"/>
      <c r="BJ1723" s="1525"/>
      <c r="BK1723" s="1525"/>
      <c r="BL1723" s="1525"/>
      <c r="BM1723" s="1525"/>
      <c r="BN1723" s="1525"/>
      <c r="BO1723" s="1525"/>
      <c r="BP1723" s="1525"/>
      <c r="BQ1723" s="1525"/>
      <c r="BR1723" s="1525"/>
      <c r="BS1723" s="1525"/>
      <c r="BT1723" s="1670"/>
      <c r="BV1723"/>
      <c r="BW1723" s="844"/>
    </row>
    <row r="1724" spans="2:75" s="164" customFormat="1" ht="12.75" customHeight="1" x14ac:dyDescent="0.15">
      <c r="B1724" s="175"/>
      <c r="C1724" s="707" t="s">
        <v>344</v>
      </c>
      <c r="D1724" s="590" t="s">
        <v>346</v>
      </c>
      <c r="E1724" s="1883" t="s">
        <v>1275</v>
      </c>
      <c r="F1724" s="383" t="s">
        <v>2100</v>
      </c>
      <c r="G1724" s="1003">
        <f>COUNTA(G1682:G1723)</f>
        <v>27</v>
      </c>
      <c r="H1724" s="1399" t="s">
        <v>1508</v>
      </c>
      <c r="I1724" s="585"/>
      <c r="J1724" s="586"/>
      <c r="K1724" s="711">
        <f>K1706+K1723</f>
        <v>0</v>
      </c>
      <c r="L1724" s="1003">
        <f>L1706+L1723</f>
        <v>25.5</v>
      </c>
      <c r="M1724" s="1003">
        <f>M1706+M1723</f>
        <v>25.5</v>
      </c>
      <c r="N1724" s="1004"/>
      <c r="O1724" s="1004"/>
      <c r="P1724" s="1258"/>
      <c r="Q1724" s="1154"/>
      <c r="R1724" s="887"/>
      <c r="S1724" s="880"/>
      <c r="T1724" s="880"/>
      <c r="U1724" s="880"/>
      <c r="V1724" s="880"/>
      <c r="W1724" s="880"/>
      <c r="X1724" s="1276">
        <f>SUM(X1682:X1722)</f>
        <v>815200</v>
      </c>
      <c r="Y1724" s="1276"/>
      <c r="Z1724" s="1665">
        <f t="shared" ref="Z1724:AA1724" si="1075">SUM(Z1682:Z1722)</f>
        <v>26.474144736842106</v>
      </c>
      <c r="AA1724" s="1777">
        <f t="shared" si="1075"/>
        <v>19.600000000000001</v>
      </c>
      <c r="AB1724" s="1813">
        <f t="shared" ref="AB1724" si="1076">100*AA1724/Z1724</f>
        <v>74.034497411824347</v>
      </c>
      <c r="AC1724" s="1721"/>
      <c r="AD1724" s="1295"/>
      <c r="AE1724" s="1525"/>
      <c r="AF1724" s="1525"/>
      <c r="AG1724" s="1525"/>
      <c r="AH1724" s="1525"/>
      <c r="AI1724" s="1525"/>
      <c r="AJ1724" s="1525"/>
      <c r="AK1724" s="1525"/>
      <c r="AL1724" s="1525"/>
      <c r="AM1724" s="1525"/>
      <c r="AN1724" s="1525"/>
      <c r="AO1724" s="1525"/>
      <c r="AP1724" s="1525"/>
      <c r="AQ1724" s="1525"/>
      <c r="AR1724" s="1525"/>
      <c r="AS1724" s="1525"/>
      <c r="AU1724" s="1525"/>
      <c r="AV1724" s="1295"/>
      <c r="AW1724" s="1525"/>
      <c r="AX1724" s="1525"/>
      <c r="AY1724" s="1525"/>
      <c r="AZ1724" s="1525"/>
      <c r="BA1724" s="1525"/>
      <c r="BB1724" s="1525"/>
      <c r="BC1724" s="1525"/>
      <c r="BD1724" s="1525"/>
      <c r="BE1724" s="1525"/>
      <c r="BF1724" s="1525"/>
      <c r="BG1724" s="1525"/>
      <c r="BH1724" s="1525"/>
      <c r="BI1724" s="1525"/>
      <c r="BJ1724" s="1525"/>
      <c r="BK1724" s="1525"/>
      <c r="BL1724" s="1525"/>
      <c r="BM1724" s="1525"/>
      <c r="BN1724" s="1525"/>
      <c r="BO1724" s="1525"/>
      <c r="BP1724" s="1525"/>
      <c r="BQ1724" s="1525"/>
      <c r="BR1724" s="1525"/>
      <c r="BS1724" s="1525"/>
      <c r="BT1724" s="1670"/>
      <c r="BV1724"/>
      <c r="BW1724" s="879"/>
    </row>
    <row r="1725" spans="2:75" s="164" customFormat="1" ht="12.75" customHeight="1" x14ac:dyDescent="0.15">
      <c r="B1725" s="175"/>
      <c r="C1725" s="423" t="s">
        <v>136</v>
      </c>
      <c r="D1725" s="423"/>
      <c r="E1725" s="424" t="s">
        <v>1275</v>
      </c>
      <c r="F1725" s="424" t="s">
        <v>893</v>
      </c>
      <c r="G1725" s="867"/>
      <c r="H1725" s="1349" t="s">
        <v>1508</v>
      </c>
      <c r="I1725" s="426"/>
      <c r="J1725" s="425"/>
      <c r="K1725" s="425"/>
      <c r="L1725" s="866"/>
      <c r="M1725" s="866"/>
      <c r="N1725" s="926"/>
      <c r="O1725" s="926"/>
      <c r="P1725" s="1247"/>
      <c r="Q1725" s="1158"/>
      <c r="R1725" s="1027"/>
      <c r="S1725" s="1028"/>
      <c r="T1725" s="1028"/>
      <c r="U1725" s="1028"/>
      <c r="V1725" s="1028"/>
      <c r="W1725" s="1028"/>
      <c r="X1725" s="1697">
        <v>37950</v>
      </c>
      <c r="Y1725" s="1030"/>
      <c r="Z1725" s="1030"/>
      <c r="AA1725" s="1775"/>
      <c r="AB1725" s="1811"/>
      <c r="AC1725" s="876"/>
      <c r="AD1725" s="1295"/>
      <c r="AE1725" s="1525"/>
      <c r="AF1725" s="1525"/>
      <c r="AG1725" s="1525"/>
      <c r="AH1725" s="1525"/>
      <c r="AI1725" s="1525"/>
      <c r="AJ1725" s="1525"/>
      <c r="AK1725" s="1525"/>
      <c r="AL1725" s="1525"/>
      <c r="AM1725" s="1525"/>
      <c r="AN1725" s="1525"/>
      <c r="AO1725" s="1525"/>
      <c r="AP1725" s="1525"/>
      <c r="AQ1725" s="1525"/>
      <c r="AR1725" s="1525"/>
      <c r="AS1725" s="1525"/>
      <c r="AU1725" s="1525"/>
      <c r="AV1725" s="1295"/>
      <c r="AW1725" s="1525"/>
      <c r="AX1725" s="1525"/>
      <c r="AY1725" s="1525"/>
      <c r="AZ1725" s="1525"/>
      <c r="BA1725" s="1525"/>
      <c r="BB1725" s="1525"/>
      <c r="BC1725" s="1525"/>
      <c r="BD1725" s="1525"/>
      <c r="BE1725" s="1525"/>
      <c r="BF1725" s="1525"/>
      <c r="BG1725" s="1525"/>
      <c r="BH1725" s="1525"/>
      <c r="BI1725" s="1525"/>
      <c r="BJ1725" s="1525"/>
      <c r="BK1725" s="1525"/>
      <c r="BL1725" s="1525"/>
      <c r="BM1725" s="1525"/>
      <c r="BN1725" s="1525"/>
      <c r="BO1725" s="1525"/>
      <c r="BP1725" s="1525"/>
      <c r="BQ1725" s="1525"/>
      <c r="BR1725" s="1525"/>
      <c r="BS1725" s="1525"/>
      <c r="BT1725" s="1670"/>
      <c r="BV1725"/>
      <c r="BW1725" s="867"/>
    </row>
    <row r="1726" spans="2:75" s="164" customFormat="1" ht="12.75" customHeight="1" x14ac:dyDescent="0.15">
      <c r="B1726" s="175"/>
      <c r="C1726" s="1440" t="s">
        <v>794</v>
      </c>
      <c r="D1726" s="1441"/>
      <c r="E1726" s="1442" t="s">
        <v>1275</v>
      </c>
      <c r="F1726" s="1442" t="s">
        <v>884</v>
      </c>
      <c r="G1726" s="1443"/>
      <c r="H1726" s="1444" t="s">
        <v>1508</v>
      </c>
      <c r="I1726" s="1445"/>
      <c r="J1726" s="1446"/>
      <c r="K1726" s="1446"/>
      <c r="L1726" s="1447"/>
      <c r="M1726" s="1447"/>
      <c r="N1726" s="1458"/>
      <c r="O1726" s="1458"/>
      <c r="P1726" s="1459"/>
      <c r="Q1726" s="1450"/>
      <c r="R1726" s="1461"/>
      <c r="S1726" s="1462"/>
      <c r="T1726" s="1462"/>
      <c r="U1726" s="1462"/>
      <c r="V1726" s="1462"/>
      <c r="W1726" s="1462"/>
      <c r="X1726" s="1706"/>
      <c r="Y1726" s="876"/>
      <c r="Z1726" s="876"/>
      <c r="AA1726" s="1775"/>
      <c r="AB1726" s="1811"/>
      <c r="AC1726" s="876"/>
      <c r="AD1726" s="1291"/>
      <c r="AE1726" s="1292"/>
      <c r="AF1726" s="1292"/>
      <c r="AG1726" s="1292"/>
      <c r="AH1726" s="1292"/>
      <c r="AI1726" s="1292"/>
      <c r="AJ1726" s="1292"/>
      <c r="AK1726" s="1292"/>
      <c r="AL1726" s="1292"/>
      <c r="AM1726" s="1292"/>
      <c r="AN1726" s="1292"/>
      <c r="AO1726" s="1292"/>
      <c r="AP1726" s="1292"/>
      <c r="AQ1726" s="1292"/>
      <c r="AR1726" s="1292"/>
      <c r="AS1726" s="1292"/>
      <c r="AT1726" s="210"/>
      <c r="AU1726" s="1292"/>
      <c r="AV1726" s="1291"/>
      <c r="AW1726" s="1292"/>
      <c r="AX1726" s="1292"/>
      <c r="AY1726" s="1292"/>
      <c r="AZ1726" s="1292"/>
      <c r="BA1726" s="1292"/>
      <c r="BB1726" s="1292"/>
      <c r="BC1726" s="1292"/>
      <c r="BD1726" s="1292"/>
      <c r="BE1726" s="1292"/>
      <c r="BF1726" s="1292"/>
      <c r="BG1726" s="1292"/>
      <c r="BH1726" s="1292"/>
      <c r="BI1726" s="1292"/>
      <c r="BJ1726" s="1292"/>
      <c r="BK1726" s="1292"/>
      <c r="BL1726" s="1292"/>
      <c r="BM1726" s="1292"/>
      <c r="BN1726" s="1292"/>
      <c r="BO1726" s="1292"/>
      <c r="BP1726" s="1292"/>
      <c r="BQ1726" s="1292"/>
      <c r="BR1726" s="1292"/>
      <c r="BS1726" s="1292"/>
      <c r="BT1726" s="1670"/>
      <c r="BV1726"/>
      <c r="BW1726" s="1443"/>
    </row>
    <row r="1727" spans="2:75" s="164" customFormat="1" ht="12.75" customHeight="1" x14ac:dyDescent="0.15">
      <c r="B1727" s="175"/>
      <c r="G1727" s="799"/>
      <c r="H1727" s="1341" t="s">
        <v>1508</v>
      </c>
      <c r="J1727" s="170"/>
      <c r="L1727" s="843"/>
      <c r="M1727" s="843"/>
      <c r="N1727" s="799"/>
      <c r="O1727" s="1200"/>
      <c r="P1727" s="550"/>
      <c r="Q1727" s="1148"/>
      <c r="R1727" s="874"/>
      <c r="S1727" s="875"/>
      <c r="T1727" s="875"/>
      <c r="U1727" s="875"/>
      <c r="V1727" s="875"/>
      <c r="W1727" s="875"/>
      <c r="X1727" s="1026"/>
      <c r="Y1727" s="1757"/>
      <c r="Z1727" s="1756"/>
      <c r="AA1727" s="1775"/>
      <c r="AB1727" s="1811"/>
      <c r="AC1727" s="876"/>
      <c r="AD1727" s="1295"/>
      <c r="AE1727" s="1525"/>
      <c r="AF1727" s="1525"/>
      <c r="AG1727" s="1525"/>
      <c r="AH1727" s="1525"/>
      <c r="AI1727" s="1525"/>
      <c r="AJ1727" s="1525"/>
      <c r="AK1727" s="1525"/>
      <c r="AL1727" s="1525"/>
      <c r="AM1727" s="1525"/>
      <c r="AN1727" s="1525"/>
      <c r="AO1727" s="1525"/>
      <c r="AP1727" s="1525"/>
      <c r="AQ1727" s="1525"/>
      <c r="AR1727" s="1525"/>
      <c r="AS1727" s="1525"/>
      <c r="AU1727" s="1525"/>
      <c r="AV1727" s="1295"/>
      <c r="AW1727" s="1525"/>
      <c r="AX1727" s="1525"/>
      <c r="AY1727" s="1525"/>
      <c r="AZ1727" s="1525"/>
      <c r="BA1727" s="1525"/>
      <c r="BB1727" s="1525"/>
      <c r="BC1727" s="1525"/>
      <c r="BD1727" s="1525"/>
      <c r="BE1727" s="1525"/>
      <c r="BF1727" s="1525"/>
      <c r="BG1727" s="1525"/>
      <c r="BH1727" s="1525"/>
      <c r="BI1727" s="1525"/>
      <c r="BJ1727" s="1525"/>
      <c r="BK1727" s="1525"/>
      <c r="BL1727" s="1525"/>
      <c r="BM1727" s="1525"/>
      <c r="BN1727" s="1525"/>
      <c r="BO1727" s="1525"/>
      <c r="BP1727" s="1525"/>
      <c r="BQ1727" s="1525"/>
      <c r="BR1727" s="1525"/>
      <c r="BS1727" s="1525"/>
      <c r="BT1727" s="1670"/>
      <c r="BV1727"/>
      <c r="BW1727" s="799"/>
    </row>
    <row r="1728" spans="2:75" s="164" customFormat="1" ht="12.75" customHeight="1" x14ac:dyDescent="0.15">
      <c r="B1728" s="175"/>
      <c r="C1728" s="170"/>
      <c r="D1728" s="170"/>
      <c r="E1728" s="170"/>
      <c r="F1728" s="36" t="s">
        <v>89</v>
      </c>
      <c r="G1728" s="825"/>
      <c r="H1728" s="1347" t="s">
        <v>1508</v>
      </c>
      <c r="I1728" s="212"/>
      <c r="J1728" s="246"/>
      <c r="K1728" s="246"/>
      <c r="L1728" s="861"/>
      <c r="M1728" s="861"/>
      <c r="N1728" s="836"/>
      <c r="O1728" s="1200"/>
      <c r="P1728" s="1294"/>
      <c r="Q1728" s="1148"/>
      <c r="R1728" s="874"/>
      <c r="S1728" s="876"/>
      <c r="T1728" s="876"/>
      <c r="U1728" s="876"/>
      <c r="V1728" s="876"/>
      <c r="W1728" s="876"/>
      <c r="X1728" s="1026"/>
      <c r="Y1728" s="1757"/>
      <c r="Z1728" s="1756"/>
      <c r="AA1728" s="1775"/>
      <c r="AB1728" s="1811"/>
      <c r="AC1728" s="876"/>
      <c r="AD1728" s="1295"/>
      <c r="AE1728" s="1525"/>
      <c r="AF1728" s="1525"/>
      <c r="AG1728" s="1525"/>
      <c r="AH1728" s="1525"/>
      <c r="AI1728" s="1525"/>
      <c r="AJ1728" s="1525"/>
      <c r="AK1728" s="1525"/>
      <c r="AL1728" s="1525"/>
      <c r="AM1728" s="1525"/>
      <c r="AN1728" s="1525"/>
      <c r="AO1728" s="1525"/>
      <c r="AP1728" s="1525"/>
      <c r="AQ1728" s="1525"/>
      <c r="AR1728" s="1525"/>
      <c r="AS1728" s="1525"/>
      <c r="AU1728" s="1525"/>
      <c r="AV1728" s="1295"/>
      <c r="AW1728" s="1525"/>
      <c r="AX1728" s="1525"/>
      <c r="AY1728" s="1525"/>
      <c r="AZ1728" s="1525"/>
      <c r="BA1728" s="1525"/>
      <c r="BB1728" s="1525"/>
      <c r="BC1728" s="1525"/>
      <c r="BD1728" s="1525"/>
      <c r="BE1728" s="1525"/>
      <c r="BF1728" s="1525"/>
      <c r="BG1728" s="1525"/>
      <c r="BH1728" s="1525"/>
      <c r="BI1728" s="1525"/>
      <c r="BJ1728" s="1525"/>
      <c r="BK1728" s="1525"/>
      <c r="BL1728" s="1525"/>
      <c r="BM1728" s="1525"/>
      <c r="BN1728" s="1525"/>
      <c r="BO1728" s="1525"/>
      <c r="BP1728" s="1525"/>
      <c r="BQ1728" s="1525"/>
      <c r="BR1728" s="1525"/>
      <c r="BS1728" s="1525"/>
      <c r="BT1728" s="1670"/>
      <c r="BV1728"/>
      <c r="BW1728" s="825"/>
    </row>
    <row r="1729" spans="2:75" s="164" customFormat="1" ht="12.75" customHeight="1" x14ac:dyDescent="0.15">
      <c r="B1729" s="175"/>
      <c r="C1729" s="170"/>
      <c r="D1729" s="170"/>
      <c r="E1729" s="170"/>
      <c r="F1729" s="67" t="s">
        <v>125</v>
      </c>
      <c r="G1729" s="825"/>
      <c r="H1729" s="1347" t="s">
        <v>1508</v>
      </c>
      <c r="I1729" s="212"/>
      <c r="J1729" s="246"/>
      <c r="K1729" s="246"/>
      <c r="L1729" s="861"/>
      <c r="M1729" s="861"/>
      <c r="N1729" s="836"/>
      <c r="O1729" s="1200"/>
      <c r="P1729" s="1294"/>
      <c r="Q1729" s="1148"/>
      <c r="R1729" s="874"/>
      <c r="S1729" s="876"/>
      <c r="T1729" s="876"/>
      <c r="U1729" s="876"/>
      <c r="V1729" s="876"/>
      <c r="W1729" s="876"/>
      <c r="X1729" s="1026"/>
      <c r="Y1729" s="1757"/>
      <c r="Z1729" s="1756"/>
      <c r="AA1729" s="1775"/>
      <c r="AB1729" s="1811"/>
      <c r="AC1729" s="876"/>
      <c r="AD1729" s="1295"/>
      <c r="AE1729" s="1525"/>
      <c r="AF1729" s="1525"/>
      <c r="AG1729" s="1525"/>
      <c r="AH1729" s="1525"/>
      <c r="AI1729" s="1525"/>
      <c r="AJ1729" s="1525"/>
      <c r="AK1729" s="1525"/>
      <c r="AL1729" s="1525"/>
      <c r="AM1729" s="1525"/>
      <c r="AN1729" s="1525"/>
      <c r="AO1729" s="1525"/>
      <c r="AP1729" s="1525"/>
      <c r="AQ1729" s="1525"/>
      <c r="AR1729" s="1525"/>
      <c r="AS1729" s="1525"/>
      <c r="AU1729" s="1525"/>
      <c r="AV1729" s="1295"/>
      <c r="AW1729" s="1525"/>
      <c r="AX1729" s="1525"/>
      <c r="AY1729" s="1525"/>
      <c r="AZ1729" s="1525"/>
      <c r="BA1729" s="1525"/>
      <c r="BB1729" s="1525"/>
      <c r="BC1729" s="1525"/>
      <c r="BD1729" s="1525"/>
      <c r="BE1729" s="1525"/>
      <c r="BF1729" s="1525"/>
      <c r="BG1729" s="1525"/>
      <c r="BH1729" s="1525"/>
      <c r="BI1729" s="1525"/>
      <c r="BJ1729" s="1525"/>
      <c r="BK1729" s="1525"/>
      <c r="BL1729" s="1525"/>
      <c r="BM1729" s="1525"/>
      <c r="BN1729" s="1525"/>
      <c r="BO1729" s="1525"/>
      <c r="BP1729" s="1525"/>
      <c r="BQ1729" s="1525"/>
      <c r="BR1729" s="1525"/>
      <c r="BS1729" s="1525"/>
      <c r="BT1729" s="1670"/>
      <c r="BV1729"/>
      <c r="BW1729" s="825"/>
    </row>
    <row r="1730" spans="2:75" ht="12.75" customHeight="1" x14ac:dyDescent="0.2">
      <c r="B1730" s="175">
        <f t="shared" ref="B1730:B1733" si="1077">B1729+1</f>
        <v>1</v>
      </c>
      <c r="C1730" s="677">
        <v>33</v>
      </c>
      <c r="D1730" s="678"/>
      <c r="E1730" s="679" t="s">
        <v>1276</v>
      </c>
      <c r="F1730" s="24" t="s">
        <v>126</v>
      </c>
      <c r="G1730" s="821" t="s">
        <v>1955</v>
      </c>
      <c r="H1730" s="858">
        <v>13106</v>
      </c>
      <c r="I1730" s="200" t="s">
        <v>161</v>
      </c>
      <c r="J1730" s="189"/>
      <c r="K1730" s="189"/>
      <c r="L1730" s="858">
        <v>1</v>
      </c>
      <c r="M1730" s="858">
        <f>K1730+L1730</f>
        <v>1</v>
      </c>
      <c r="N1730" s="857" t="s">
        <v>892</v>
      </c>
      <c r="O1730" s="1196">
        <v>20168</v>
      </c>
      <c r="P1730" s="1218">
        <f ca="1">YEARFRAC(TODAY(),O1730)</f>
        <v>62.533333333333331</v>
      </c>
      <c r="Q1730" s="1148">
        <v>64000</v>
      </c>
      <c r="R1730" s="874"/>
      <c r="S1730" s="875"/>
      <c r="T1730" s="875">
        <v>6000</v>
      </c>
      <c r="U1730" s="875"/>
      <c r="V1730" s="875"/>
      <c r="W1730" s="875"/>
      <c r="X1730" s="1026">
        <f>(Q1730+R1730+S1730+T1730+U1730+V1730+W1730)*M1730</f>
        <v>70000</v>
      </c>
      <c r="Y1730" s="1512">
        <f>(T1730+U1730)*M1730/(X1730-M1730*(T1730+U1730))</f>
        <v>9.375E-2</v>
      </c>
      <c r="Z1730" s="1741">
        <f>M1730*(1+Y1730)</f>
        <v>1.09375</v>
      </c>
      <c r="AA1730" s="1749"/>
      <c r="AB1730" s="1810">
        <f t="shared" ref="AB1730:AB1733" si="1078">100*AA1730/Z1730</f>
        <v>0</v>
      </c>
      <c r="AC1730" s="876"/>
      <c r="AD1730" s="1295"/>
      <c r="AE1730" s="1525"/>
      <c r="AF1730" s="1525"/>
      <c r="AG1730" s="1525"/>
      <c r="AH1730" s="1525"/>
      <c r="AI1730" s="1525"/>
      <c r="AJ1730" s="1525"/>
      <c r="AK1730" s="1525"/>
      <c r="AL1730" s="1525"/>
      <c r="AM1730" s="1525"/>
      <c r="AN1730" s="1525"/>
      <c r="AO1730" s="1525"/>
      <c r="AP1730" s="1525"/>
      <c r="AQ1730" s="1525"/>
      <c r="AR1730" s="1525"/>
      <c r="AS1730" s="1525"/>
      <c r="AU1730" s="1525"/>
      <c r="AV1730" s="1291"/>
      <c r="AW1730" s="1292"/>
      <c r="AX1730" s="1292"/>
      <c r="AY1730" s="1292"/>
      <c r="AZ1730" s="1292"/>
      <c r="BA1730" s="1292"/>
      <c r="BB1730" s="1292"/>
      <c r="BC1730" s="1292"/>
      <c r="BD1730" s="1292"/>
      <c r="BE1730" s="1292"/>
      <c r="BF1730" s="1292"/>
      <c r="BG1730" s="1292"/>
      <c r="BH1730" s="1292"/>
      <c r="BI1730" s="1292"/>
      <c r="BJ1730" s="1292"/>
      <c r="BK1730" s="1292"/>
      <c r="BL1730" s="1292"/>
      <c r="BM1730" s="1292"/>
      <c r="BN1730" s="1292"/>
      <c r="BO1730" s="1292"/>
      <c r="BP1730" s="1292"/>
      <c r="BQ1730" s="1292"/>
      <c r="BR1730" s="1292"/>
      <c r="BS1730" s="1292"/>
      <c r="BT1730" s="1670">
        <f t="shared" ref="BT1730:BT1733" si="1079">SUM(AV1730:BS1730)</f>
        <v>0</v>
      </c>
      <c r="BW1730" s="821" t="s">
        <v>1955</v>
      </c>
    </row>
    <row r="1731" spans="2:75" ht="12.75" customHeight="1" x14ac:dyDescent="0.2">
      <c r="B1731" s="175">
        <f t="shared" si="1077"/>
        <v>2</v>
      </c>
      <c r="C1731" s="219">
        <v>27</v>
      </c>
      <c r="E1731" s="12" t="s">
        <v>1276</v>
      </c>
      <c r="F1731" s="24" t="s">
        <v>127</v>
      </c>
      <c r="G1731" s="821" t="s">
        <v>205</v>
      </c>
      <c r="H1731" s="858">
        <v>140025</v>
      </c>
      <c r="I1731" s="200" t="s">
        <v>161</v>
      </c>
      <c r="J1731" s="189"/>
      <c r="K1731" s="189"/>
      <c r="L1731" s="858">
        <v>0.5</v>
      </c>
      <c r="M1731" s="858">
        <f>K1731+L1731</f>
        <v>0.5</v>
      </c>
      <c r="N1731" s="831" t="s">
        <v>892</v>
      </c>
      <c r="O1731" s="1196">
        <v>18503</v>
      </c>
      <c r="P1731" s="1218">
        <f ca="1">YEARFRAC(TODAY(),O1731)</f>
        <v>67.094444444444449</v>
      </c>
      <c r="Q1731" s="1148">
        <v>60000</v>
      </c>
      <c r="R1731" s="874"/>
      <c r="S1731" s="875"/>
      <c r="T1731" s="877">
        <v>42000</v>
      </c>
      <c r="U1731" s="877"/>
      <c r="V1731" s="877"/>
      <c r="W1731" s="875"/>
      <c r="X1731" s="1026">
        <f>(Q1731+R1731+S1731+T1731+U1731+V1731+W1731)*M1731</f>
        <v>51000</v>
      </c>
      <c r="Y1731" s="1512">
        <f>(T1731+U1731)*M1731/(X1731-M1731*(T1731+U1731))</f>
        <v>0.7</v>
      </c>
      <c r="Z1731" s="1741">
        <f>M1731*(1+Y1731)</f>
        <v>0.85</v>
      </c>
      <c r="AA1731" s="1749"/>
      <c r="AB1731" s="1810">
        <f t="shared" si="1078"/>
        <v>0</v>
      </c>
      <c r="AC1731" s="876"/>
      <c r="AD1731" s="1295"/>
      <c r="AE1731" s="1525"/>
      <c r="AF1731" s="1525"/>
      <c r="AG1731" s="1525"/>
      <c r="AH1731" s="1525"/>
      <c r="AI1731" s="1525"/>
      <c r="AJ1731" s="1525"/>
      <c r="AK1731" s="1525"/>
      <c r="AL1731" s="1525"/>
      <c r="AM1731" s="1525"/>
      <c r="AN1731" s="1525"/>
      <c r="AO1731" s="1525"/>
      <c r="AP1731" s="1525"/>
      <c r="AQ1731" s="1525"/>
      <c r="AR1731" s="1525"/>
      <c r="AS1731" s="1525"/>
      <c r="AU1731" s="1525"/>
      <c r="AV1731" s="1291"/>
      <c r="AW1731" s="1292"/>
      <c r="AX1731" s="1292"/>
      <c r="AY1731" s="1292"/>
      <c r="AZ1731" s="1292"/>
      <c r="BA1731" s="1292"/>
      <c r="BB1731" s="1292"/>
      <c r="BC1731" s="1292"/>
      <c r="BD1731" s="1292"/>
      <c r="BE1731" s="1292"/>
      <c r="BF1731" s="1292"/>
      <c r="BG1731" s="1292"/>
      <c r="BH1731" s="1292"/>
      <c r="BI1731" s="1292"/>
      <c r="BJ1731" s="1292"/>
      <c r="BK1731" s="1292"/>
      <c r="BL1731" s="1292"/>
      <c r="BM1731" s="1292"/>
      <c r="BN1731" s="1292"/>
      <c r="BO1731" s="1292"/>
      <c r="BP1731" s="1292"/>
      <c r="BQ1731" s="1292"/>
      <c r="BR1731" s="1292"/>
      <c r="BS1731" s="1292"/>
      <c r="BT1731" s="1670">
        <f t="shared" si="1079"/>
        <v>0</v>
      </c>
      <c r="BW1731" s="821" t="s">
        <v>205</v>
      </c>
    </row>
    <row r="1732" spans="2:75" ht="12.75" customHeight="1" x14ac:dyDescent="0.2">
      <c r="B1732" s="175">
        <f t="shared" si="1077"/>
        <v>3</v>
      </c>
      <c r="C1732" s="219">
        <v>27</v>
      </c>
      <c r="E1732" s="12" t="s">
        <v>1276</v>
      </c>
      <c r="F1732" s="24" t="s">
        <v>127</v>
      </c>
      <c r="G1732" s="821" t="s">
        <v>1349</v>
      </c>
      <c r="H1732" s="858">
        <v>110688</v>
      </c>
      <c r="I1732" s="200" t="s">
        <v>161</v>
      </c>
      <c r="J1732" s="189"/>
      <c r="K1732" s="189"/>
      <c r="L1732" s="858">
        <v>1</v>
      </c>
      <c r="M1732" s="858">
        <v>1</v>
      </c>
      <c r="N1732" s="831" t="s">
        <v>1326</v>
      </c>
      <c r="O1732" s="1196">
        <v>24004</v>
      </c>
      <c r="P1732" s="1218">
        <f ca="1">YEARFRAC(TODAY(),O1732)</f>
        <v>52.036111111111111</v>
      </c>
      <c r="Q1732" s="1148">
        <v>40000</v>
      </c>
      <c r="R1732" s="874">
        <f>Q1732*0.1</f>
        <v>4000</v>
      </c>
      <c r="S1732" s="875"/>
      <c r="T1732" s="877"/>
      <c r="U1732" s="877"/>
      <c r="V1732" s="877"/>
      <c r="W1732" s="875"/>
      <c r="X1732" s="1026">
        <f>(Q1732+R1732+S1732+T1732+U1732+V1732+W1732)*M1732</f>
        <v>44000</v>
      </c>
      <c r="Y1732" s="1512">
        <f>(T1732+U1732)*M1732/(X1732-M1732*(T1732+U1732))</f>
        <v>0</v>
      </c>
      <c r="Z1732" s="1741">
        <f>M1732*(1+Y1732)</f>
        <v>1</v>
      </c>
      <c r="AA1732" s="1749"/>
      <c r="AB1732" s="1810">
        <f t="shared" si="1078"/>
        <v>0</v>
      </c>
      <c r="AC1732" s="876"/>
      <c r="AD1732" s="1295"/>
      <c r="AE1732" s="1525"/>
      <c r="AF1732" s="1525"/>
      <c r="AG1732" s="1525"/>
      <c r="AH1732" s="1525"/>
      <c r="AI1732" s="1525"/>
      <c r="AJ1732" s="1525"/>
      <c r="AK1732" s="1525"/>
      <c r="AL1732" s="1525"/>
      <c r="AM1732" s="1525"/>
      <c r="AN1732" s="1525"/>
      <c r="AO1732" s="1525"/>
      <c r="AP1732" s="1525"/>
      <c r="AQ1732" s="1525"/>
      <c r="AR1732" s="1525"/>
      <c r="AS1732" s="1525"/>
      <c r="AU1732" s="1525"/>
      <c r="AV1732" s="1291"/>
      <c r="AW1732" s="1292"/>
      <c r="AX1732" s="1292"/>
      <c r="AY1732" s="1292"/>
      <c r="AZ1732" s="1292"/>
      <c r="BA1732" s="1292"/>
      <c r="BB1732" s="1292"/>
      <c r="BC1732" s="1292"/>
      <c r="BD1732" s="1292"/>
      <c r="BE1732" s="1292"/>
      <c r="BF1732" s="1292"/>
      <c r="BG1732" s="1292"/>
      <c r="BH1732" s="1292"/>
      <c r="BI1732" s="1292"/>
      <c r="BJ1732" s="1292"/>
      <c r="BK1732" s="1292"/>
      <c r="BL1732" s="1292"/>
      <c r="BM1732" s="1292"/>
      <c r="BN1732" s="1292"/>
      <c r="BO1732" s="1292"/>
      <c r="BP1732" s="1292"/>
      <c r="BQ1732" s="1292"/>
      <c r="BR1732" s="1292"/>
      <c r="BS1732" s="1292"/>
      <c r="BT1732" s="1670">
        <f t="shared" si="1079"/>
        <v>0</v>
      </c>
      <c r="BW1732" s="821" t="s">
        <v>1349</v>
      </c>
    </row>
    <row r="1733" spans="2:75" ht="12.75" customHeight="1" x14ac:dyDescent="0.2">
      <c r="B1733" s="175">
        <f t="shared" si="1077"/>
        <v>4</v>
      </c>
      <c r="C1733" s="185">
        <v>21</v>
      </c>
      <c r="D1733" s="185"/>
      <c r="E1733" s="345" t="s">
        <v>1276</v>
      </c>
      <c r="F1733" s="20" t="s">
        <v>469</v>
      </c>
      <c r="G1733" s="830" t="s">
        <v>206</v>
      </c>
      <c r="H1733" s="873">
        <v>21283</v>
      </c>
      <c r="I1733" s="196" t="s">
        <v>583</v>
      </c>
      <c r="J1733" s="195"/>
      <c r="K1733" s="195"/>
      <c r="L1733" s="951">
        <v>1</v>
      </c>
      <c r="M1733" s="873">
        <f>K1733+L1733</f>
        <v>1</v>
      </c>
      <c r="N1733" s="872" t="s">
        <v>892</v>
      </c>
      <c r="O1733" s="1211">
        <v>20628</v>
      </c>
      <c r="P1733" s="1218">
        <f ca="1">YEARFRAC(TODAY(),O1733)</f>
        <v>61.277777777777779</v>
      </c>
      <c r="Q1733" s="1071">
        <v>35000</v>
      </c>
      <c r="R1733" s="890"/>
      <c r="S1733" s="891"/>
      <c r="T1733" s="891"/>
      <c r="U1733" s="891"/>
      <c r="V1733" s="891"/>
      <c r="W1733" s="891"/>
      <c r="X1733" s="1026">
        <f>(Q1733+R1733+S1733+T1733+U1733+V1733+W1733)*M1733</f>
        <v>35000</v>
      </c>
      <c r="Y1733" s="1512">
        <f>(T1733+U1733)*M1733/(X1733-M1733*(T1733+U1733))</f>
        <v>0</v>
      </c>
      <c r="Z1733" s="1741">
        <f>M1733*(1+Y1733)</f>
        <v>1</v>
      </c>
      <c r="AA1733" s="1749"/>
      <c r="AB1733" s="1810">
        <f t="shared" si="1078"/>
        <v>0</v>
      </c>
      <c r="AC1733" s="876"/>
      <c r="AD1733" s="1295"/>
      <c r="AE1733" s="1525"/>
      <c r="AF1733" s="1525"/>
      <c r="AG1733" s="1525"/>
      <c r="AH1733" s="1525"/>
      <c r="AI1733" s="1525"/>
      <c r="AJ1733" s="1525"/>
      <c r="AK1733" s="1525"/>
      <c r="AL1733" s="1525"/>
      <c r="AM1733" s="1525"/>
      <c r="AN1733" s="1525"/>
      <c r="AO1733" s="1525"/>
      <c r="AP1733" s="1525"/>
      <c r="AQ1733" s="1525"/>
      <c r="AR1733" s="1525"/>
      <c r="AS1733" s="1525"/>
      <c r="AU1733" s="1525"/>
      <c r="AV1733" s="1291"/>
      <c r="AW1733" s="1292"/>
      <c r="AX1733" s="1292"/>
      <c r="AY1733" s="1292"/>
      <c r="AZ1733" s="1292"/>
      <c r="BA1733" s="1292"/>
      <c r="BB1733" s="1292"/>
      <c r="BC1733" s="1292"/>
      <c r="BD1733" s="1292"/>
      <c r="BE1733" s="1292"/>
      <c r="BF1733" s="1292"/>
      <c r="BG1733" s="1292"/>
      <c r="BH1733" s="1292"/>
      <c r="BI1733" s="1292"/>
      <c r="BJ1733" s="1292"/>
      <c r="BK1733" s="1292"/>
      <c r="BL1733" s="1292"/>
      <c r="BM1733" s="1292"/>
      <c r="BN1733" s="1292"/>
      <c r="BO1733" s="1292"/>
      <c r="BP1733" s="1292"/>
      <c r="BQ1733" s="1292"/>
      <c r="BR1733" s="1292"/>
      <c r="BS1733" s="1292"/>
      <c r="BT1733" s="1670">
        <f t="shared" si="1079"/>
        <v>0</v>
      </c>
      <c r="BW1733" s="830" t="s">
        <v>206</v>
      </c>
    </row>
    <row r="1734" spans="2:75" s="164" customFormat="1" ht="12.75" customHeight="1" x14ac:dyDescent="0.15">
      <c r="B1734" s="175"/>
      <c r="C1734" s="219" t="s">
        <v>1120</v>
      </c>
      <c r="F1734" s="24" t="s">
        <v>379</v>
      </c>
      <c r="G1734" s="821"/>
      <c r="H1734" s="1361" t="s">
        <v>1508</v>
      </c>
      <c r="I1734" s="200"/>
      <c r="J1734" s="189"/>
      <c r="K1734" s="448">
        <f>SUM(K1730:K1733)</f>
        <v>0</v>
      </c>
      <c r="L1734" s="902">
        <f>SUM(L1730:L1733)</f>
        <v>3.5</v>
      </c>
      <c r="M1734" s="902">
        <f>SUM(M1730:M1733)</f>
        <v>3.5</v>
      </c>
      <c r="N1734" s="857"/>
      <c r="O1734" s="1200"/>
      <c r="P1734" s="550"/>
      <c r="Q1734" s="1153"/>
      <c r="R1734" s="877"/>
      <c r="S1734" s="875"/>
      <c r="T1734" s="875"/>
      <c r="U1734" s="875"/>
      <c r="V1734" s="875"/>
      <c r="W1734" s="875"/>
      <c r="X1734" s="1026"/>
      <c r="Y1734" s="1335"/>
      <c r="Z1734" s="1335"/>
      <c r="AA1734" s="1775"/>
      <c r="AB1734" s="1812"/>
      <c r="AC1734" s="876"/>
      <c r="AD1734" s="1295"/>
      <c r="AE1734" s="1525"/>
      <c r="AF1734" s="1525"/>
      <c r="AG1734" s="1525"/>
      <c r="AH1734" s="1525"/>
      <c r="AI1734" s="1525"/>
      <c r="AJ1734" s="1525"/>
      <c r="AK1734" s="1525"/>
      <c r="AL1734" s="1525"/>
      <c r="AM1734" s="1525"/>
      <c r="AN1734" s="1525"/>
      <c r="AO1734" s="1525"/>
      <c r="AP1734" s="1525"/>
      <c r="AQ1734" s="1525"/>
      <c r="AR1734" s="1525"/>
      <c r="AS1734" s="1525"/>
      <c r="AU1734" s="1525"/>
      <c r="AV1734" s="1295"/>
      <c r="AW1734" s="1525"/>
      <c r="AX1734" s="1525"/>
      <c r="AY1734" s="1525"/>
      <c r="AZ1734" s="1525"/>
      <c r="BA1734" s="1525"/>
      <c r="BB1734" s="1525"/>
      <c r="BC1734" s="1525"/>
      <c r="BD1734" s="1525"/>
      <c r="BE1734" s="1525"/>
      <c r="BF1734" s="1525"/>
      <c r="BG1734" s="1525"/>
      <c r="BH1734" s="1525"/>
      <c r="BI1734" s="1525"/>
      <c r="BJ1734" s="1525"/>
      <c r="BK1734" s="1525"/>
      <c r="BL1734" s="1525"/>
      <c r="BM1734" s="1525"/>
      <c r="BN1734" s="1525"/>
      <c r="BO1734" s="1525"/>
      <c r="BP1734" s="1525"/>
      <c r="BQ1734" s="1525"/>
      <c r="BR1734" s="1525"/>
      <c r="BS1734" s="1525"/>
      <c r="BT1734" s="1670"/>
      <c r="BV1734"/>
      <c r="BW1734" s="821"/>
    </row>
    <row r="1735" spans="2:75" s="164" customFormat="1" ht="12.75" customHeight="1" x14ac:dyDescent="0.15">
      <c r="B1735" s="175"/>
      <c r="F1735" s="24"/>
      <c r="G1735" s="821"/>
      <c r="H1735" s="1346" t="s">
        <v>1508</v>
      </c>
      <c r="I1735" s="200"/>
      <c r="J1735" s="189"/>
      <c r="K1735" s="189"/>
      <c r="L1735" s="858"/>
      <c r="M1735" s="858"/>
      <c r="N1735" s="857"/>
      <c r="O1735" s="1200"/>
      <c r="P1735" s="550"/>
      <c r="Q1735" s="1148"/>
      <c r="R1735" s="874"/>
      <c r="S1735" s="875"/>
      <c r="T1735" s="875"/>
      <c r="U1735" s="875"/>
      <c r="V1735" s="875"/>
      <c r="W1735" s="875"/>
      <c r="X1735" s="1026"/>
      <c r="Y1735" s="1754"/>
      <c r="Z1735" s="1755"/>
      <c r="AA1735" s="1775"/>
      <c r="AB1735" s="1812"/>
      <c r="AC1735" s="876"/>
      <c r="AD1735" s="1295"/>
      <c r="AE1735" s="1525"/>
      <c r="AF1735" s="1525"/>
      <c r="AG1735" s="1525"/>
      <c r="AH1735" s="1525"/>
      <c r="AI1735" s="1525"/>
      <c r="AJ1735" s="1525"/>
      <c r="AK1735" s="1525"/>
      <c r="AL1735" s="1525"/>
      <c r="AM1735" s="1525"/>
      <c r="AN1735" s="1525"/>
      <c r="AO1735" s="1525"/>
      <c r="AP1735" s="1525"/>
      <c r="AQ1735" s="1525"/>
      <c r="AR1735" s="1525"/>
      <c r="AS1735" s="1525"/>
      <c r="AU1735" s="1525"/>
      <c r="AV1735" s="1295"/>
      <c r="AW1735" s="1525"/>
      <c r="AX1735" s="1525"/>
      <c r="AY1735" s="1525"/>
      <c r="AZ1735" s="1525"/>
      <c r="BA1735" s="1525"/>
      <c r="BB1735" s="1525"/>
      <c r="BC1735" s="1525"/>
      <c r="BD1735" s="1525"/>
      <c r="BE1735" s="1525"/>
      <c r="BF1735" s="1525"/>
      <c r="BG1735" s="1525"/>
      <c r="BH1735" s="1525"/>
      <c r="BI1735" s="1525"/>
      <c r="BJ1735" s="1525"/>
      <c r="BK1735" s="1525"/>
      <c r="BL1735" s="1525"/>
      <c r="BM1735" s="1525"/>
      <c r="BN1735" s="1525"/>
      <c r="BO1735" s="1525"/>
      <c r="BP1735" s="1525"/>
      <c r="BQ1735" s="1525"/>
      <c r="BR1735" s="1525"/>
      <c r="BS1735" s="1525"/>
      <c r="BT1735" s="1670"/>
      <c r="BV1735"/>
      <c r="BW1735" s="821"/>
    </row>
    <row r="1736" spans="2:75" s="164" customFormat="1" ht="12.75" customHeight="1" x14ac:dyDescent="0.15">
      <c r="B1736" s="175"/>
      <c r="F1736" s="21" t="s">
        <v>128</v>
      </c>
      <c r="G1736" s="1017"/>
      <c r="H1736" s="1346" t="s">
        <v>1508</v>
      </c>
      <c r="I1736" s="200"/>
      <c r="J1736" s="189"/>
      <c r="K1736" s="189"/>
      <c r="L1736" s="858"/>
      <c r="M1736" s="858"/>
      <c r="N1736" s="857"/>
      <c r="O1736" s="1200"/>
      <c r="P1736" s="550"/>
      <c r="Q1736" s="1148"/>
      <c r="R1736" s="874"/>
      <c r="S1736" s="875"/>
      <c r="T1736" s="875"/>
      <c r="U1736" s="875"/>
      <c r="V1736" s="875"/>
      <c r="W1736" s="875"/>
      <c r="X1736" s="1026"/>
      <c r="Y1736" s="1754"/>
      <c r="Z1736" s="1755"/>
      <c r="AA1736" s="1775"/>
      <c r="AB1736" s="1812"/>
      <c r="AC1736" s="876"/>
      <c r="AD1736" s="1295"/>
      <c r="AE1736" s="1525"/>
      <c r="AF1736" s="1525"/>
      <c r="AG1736" s="1525"/>
      <c r="AH1736" s="1525"/>
      <c r="AI1736" s="1525"/>
      <c r="AJ1736" s="1525"/>
      <c r="AK1736" s="1525"/>
      <c r="AL1736" s="1525"/>
      <c r="AM1736" s="1525"/>
      <c r="AN1736" s="1525"/>
      <c r="AO1736" s="1525"/>
      <c r="AP1736" s="1525"/>
      <c r="AQ1736" s="1525"/>
      <c r="AR1736" s="1525"/>
      <c r="AS1736" s="1525"/>
      <c r="AU1736" s="1525"/>
      <c r="AV1736" s="1295"/>
      <c r="AW1736" s="1525"/>
      <c r="AX1736" s="1525"/>
      <c r="AY1736" s="1525"/>
      <c r="AZ1736" s="1525"/>
      <c r="BA1736" s="1525"/>
      <c r="BB1736" s="1525"/>
      <c r="BC1736" s="1525"/>
      <c r="BD1736" s="1525"/>
      <c r="BE1736" s="1525"/>
      <c r="BF1736" s="1525"/>
      <c r="BG1736" s="1525"/>
      <c r="BH1736" s="1525"/>
      <c r="BI1736" s="1525"/>
      <c r="BJ1736" s="1525"/>
      <c r="BK1736" s="1525"/>
      <c r="BL1736" s="1525"/>
      <c r="BM1736" s="1525"/>
      <c r="BN1736" s="1525"/>
      <c r="BO1736" s="1525"/>
      <c r="BP1736" s="1525"/>
      <c r="BQ1736" s="1525"/>
      <c r="BR1736" s="1525"/>
      <c r="BS1736" s="1525"/>
      <c r="BT1736" s="1670"/>
      <c r="BV1736"/>
      <c r="BW1736" s="1017"/>
    </row>
    <row r="1737" spans="2:75" s="164" customFormat="1" ht="12.75" customHeight="1" x14ac:dyDescent="0.15">
      <c r="B1737" s="175"/>
      <c r="F1737" s="24" t="s">
        <v>1231</v>
      </c>
      <c r="G1737" s="821"/>
      <c r="H1737" s="1346" t="s">
        <v>1508</v>
      </c>
      <c r="I1737" s="200"/>
      <c r="J1737" s="189"/>
      <c r="K1737" s="189"/>
      <c r="L1737" s="858"/>
      <c r="M1737" s="858"/>
      <c r="N1737" s="857"/>
      <c r="O1737" s="1200"/>
      <c r="P1737" s="550"/>
      <c r="Q1737" s="1148"/>
      <c r="R1737" s="874"/>
      <c r="S1737" s="875"/>
      <c r="T1737" s="875"/>
      <c r="U1737" s="875"/>
      <c r="V1737" s="875"/>
      <c r="W1737" s="875"/>
      <c r="X1737" s="1026"/>
      <c r="Y1737" s="1754"/>
      <c r="Z1737" s="1755"/>
      <c r="AA1737" s="1775"/>
      <c r="AB1737" s="1812"/>
      <c r="AC1737" s="876"/>
      <c r="AD1737" s="1295"/>
      <c r="AE1737" s="1525"/>
      <c r="AF1737" s="1525"/>
      <c r="AG1737" s="1525"/>
      <c r="AH1737" s="1525"/>
      <c r="AI1737" s="1525"/>
      <c r="AJ1737" s="1525"/>
      <c r="AK1737" s="1525"/>
      <c r="AL1737" s="1525"/>
      <c r="AM1737" s="1525"/>
      <c r="AN1737" s="1525"/>
      <c r="AO1737" s="1525"/>
      <c r="AP1737" s="1525"/>
      <c r="AQ1737" s="1525"/>
      <c r="AR1737" s="1525"/>
      <c r="AS1737" s="1525"/>
      <c r="AU1737" s="1525"/>
      <c r="AV1737" s="1295"/>
      <c r="AW1737" s="1525"/>
      <c r="AX1737" s="1525"/>
      <c r="AY1737" s="1525"/>
      <c r="AZ1737" s="1525"/>
      <c r="BA1737" s="1525"/>
      <c r="BB1737" s="1525"/>
      <c r="BC1737" s="1525"/>
      <c r="BD1737" s="1525"/>
      <c r="BE1737" s="1525"/>
      <c r="BF1737" s="1525"/>
      <c r="BG1737" s="1525"/>
      <c r="BH1737" s="1525"/>
      <c r="BI1737" s="1525"/>
      <c r="BJ1737" s="1525"/>
      <c r="BK1737" s="1525"/>
      <c r="BL1737" s="1525"/>
      <c r="BM1737" s="1525"/>
      <c r="BN1737" s="1525"/>
      <c r="BO1737" s="1525"/>
      <c r="BP1737" s="1525"/>
      <c r="BQ1737" s="1525"/>
      <c r="BR1737" s="1525"/>
      <c r="BS1737" s="1525"/>
      <c r="BT1737" s="1670"/>
      <c r="BV1737"/>
      <c r="BW1737" s="821"/>
    </row>
    <row r="1738" spans="2:75" s="164" customFormat="1" ht="12.75" customHeight="1" x14ac:dyDescent="0.15">
      <c r="B1738" s="175"/>
      <c r="F1738" s="24"/>
      <c r="G1738" s="821"/>
      <c r="H1738" s="1346" t="s">
        <v>1508</v>
      </c>
      <c r="I1738" s="200"/>
      <c r="J1738" s="189"/>
      <c r="K1738" s="189"/>
      <c r="L1738" s="858"/>
      <c r="M1738" s="858"/>
      <c r="N1738" s="857"/>
      <c r="O1738" s="1200"/>
      <c r="P1738" s="550"/>
      <c r="Q1738" s="1148"/>
      <c r="R1738" s="874"/>
      <c r="S1738" s="875"/>
      <c r="T1738" s="875"/>
      <c r="U1738" s="875"/>
      <c r="V1738" s="875"/>
      <c r="W1738" s="875"/>
      <c r="X1738" s="1026"/>
      <c r="Y1738" s="1754"/>
      <c r="Z1738" s="1755"/>
      <c r="AA1738" s="1775"/>
      <c r="AB1738" s="1812"/>
      <c r="AC1738" s="876"/>
      <c r="AD1738" s="1295"/>
      <c r="AE1738" s="1525"/>
      <c r="AF1738" s="1525"/>
      <c r="AG1738" s="1525"/>
      <c r="AH1738" s="1525"/>
      <c r="AI1738" s="1525"/>
      <c r="AJ1738" s="1525"/>
      <c r="AK1738" s="1525"/>
      <c r="AL1738" s="1525"/>
      <c r="AM1738" s="1525"/>
      <c r="AN1738" s="1525"/>
      <c r="AO1738" s="1525"/>
      <c r="AP1738" s="1525"/>
      <c r="AQ1738" s="1525"/>
      <c r="AR1738" s="1525"/>
      <c r="AS1738" s="1525"/>
      <c r="AU1738" s="1525"/>
      <c r="AV1738" s="1295"/>
      <c r="AW1738" s="1525"/>
      <c r="AX1738" s="1525"/>
      <c r="AY1738" s="1525"/>
      <c r="AZ1738" s="1525"/>
      <c r="BA1738" s="1525"/>
      <c r="BB1738" s="1525"/>
      <c r="BC1738" s="1525"/>
      <c r="BD1738" s="1525"/>
      <c r="BE1738" s="1525"/>
      <c r="BF1738" s="1525"/>
      <c r="BG1738" s="1525"/>
      <c r="BH1738" s="1525"/>
      <c r="BI1738" s="1525"/>
      <c r="BJ1738" s="1525"/>
      <c r="BK1738" s="1525"/>
      <c r="BL1738" s="1525"/>
      <c r="BM1738" s="1525"/>
      <c r="BN1738" s="1525"/>
      <c r="BO1738" s="1525"/>
      <c r="BP1738" s="1525"/>
      <c r="BQ1738" s="1525"/>
      <c r="BR1738" s="1525"/>
      <c r="BS1738" s="1525"/>
      <c r="BT1738" s="1670"/>
      <c r="BV1738"/>
      <c r="BW1738" s="821"/>
    </row>
    <row r="1739" spans="2:75" ht="12.75" customHeight="1" x14ac:dyDescent="0.2">
      <c r="B1739" s="175">
        <f>B1738+1</f>
        <v>1</v>
      </c>
      <c r="C1739" s="219">
        <v>14</v>
      </c>
      <c r="E1739" s="12" t="s">
        <v>1276</v>
      </c>
      <c r="F1739" s="24" t="s">
        <v>1232</v>
      </c>
      <c r="G1739" s="821" t="s">
        <v>1233</v>
      </c>
      <c r="H1739" s="858">
        <v>6824</v>
      </c>
      <c r="I1739" s="200" t="s">
        <v>583</v>
      </c>
      <c r="J1739" s="189"/>
      <c r="K1739" s="189"/>
      <c r="L1739" s="858">
        <v>0.5</v>
      </c>
      <c r="M1739" s="858">
        <f>K1739+L1739</f>
        <v>0.5</v>
      </c>
      <c r="N1739" s="857" t="s">
        <v>892</v>
      </c>
      <c r="O1739" s="1196">
        <v>18280</v>
      </c>
      <c r="P1739" s="1218">
        <f ca="1">YEARFRAC(TODAY(),O1739)</f>
        <v>67.708333333333329</v>
      </c>
      <c r="Q1739" s="1148">
        <v>28200</v>
      </c>
      <c r="R1739" s="874"/>
      <c r="S1739" s="875"/>
      <c r="T1739" s="875"/>
      <c r="U1739" s="875"/>
      <c r="V1739" s="875"/>
      <c r="W1739" s="875"/>
      <c r="X1739" s="1026">
        <f>(Q1739+R1739+S1739+T1739+U1739+V1739+W1739)*M1739</f>
        <v>14100</v>
      </c>
      <c r="Y1739" s="1512">
        <f>(T1739+U1739)*M1739/(X1739-M1739*(T1739+U1739))</f>
        <v>0</v>
      </c>
      <c r="Z1739" s="1741">
        <f>M1739*(1+Y1739)</f>
        <v>0.5</v>
      </c>
      <c r="AA1739" s="1749"/>
      <c r="AB1739" s="1810">
        <f t="shared" ref="AB1739:AB1742" si="1080">100*AA1739/Z1739</f>
        <v>0</v>
      </c>
      <c r="AC1739" s="876"/>
      <c r="AD1739" s="1295"/>
      <c r="AE1739" s="1525"/>
      <c r="AF1739" s="1525"/>
      <c r="AG1739" s="1525"/>
      <c r="AH1739" s="1525"/>
      <c r="AI1739" s="1525"/>
      <c r="AJ1739" s="1525"/>
      <c r="AK1739" s="1525"/>
      <c r="AL1739" s="1525"/>
      <c r="AM1739" s="1525"/>
      <c r="AN1739" s="1525"/>
      <c r="AO1739" s="1525"/>
      <c r="AP1739" s="1525"/>
      <c r="AQ1739" s="1525"/>
      <c r="AR1739" s="1525"/>
      <c r="AS1739" s="1525"/>
      <c r="AU1739" s="1525"/>
      <c r="AV1739" s="1291"/>
      <c r="AW1739" s="1292"/>
      <c r="AX1739" s="1292"/>
      <c r="AY1739" s="1292"/>
      <c r="AZ1739" s="1292"/>
      <c r="BA1739" s="1292"/>
      <c r="BB1739" s="1292"/>
      <c r="BC1739" s="1292"/>
      <c r="BD1739" s="1292"/>
      <c r="BE1739" s="1292"/>
      <c r="BF1739" s="1292"/>
      <c r="BG1739" s="1292"/>
      <c r="BH1739" s="1292"/>
      <c r="BI1739" s="1292"/>
      <c r="BJ1739" s="1292"/>
      <c r="BK1739" s="1292"/>
      <c r="BL1739" s="1292"/>
      <c r="BM1739" s="1292"/>
      <c r="BN1739" s="1292"/>
      <c r="BO1739" s="1292"/>
      <c r="BP1739" s="1292"/>
      <c r="BQ1739" s="1292"/>
      <c r="BR1739" s="1292"/>
      <c r="BS1739" s="1292"/>
      <c r="BT1739" s="1670">
        <f t="shared" ref="BT1739:BT1742" si="1081">SUM(AV1739:BS1739)</f>
        <v>0</v>
      </c>
      <c r="BW1739" s="821" t="s">
        <v>1233</v>
      </c>
    </row>
    <row r="1740" spans="2:75" ht="12.75" customHeight="1" x14ac:dyDescent="0.2">
      <c r="B1740" s="175">
        <f>B1739+1</f>
        <v>2</v>
      </c>
      <c r="C1740" s="219">
        <v>14</v>
      </c>
      <c r="E1740" s="12" t="s">
        <v>1276</v>
      </c>
      <c r="F1740" s="24" t="s">
        <v>341</v>
      </c>
      <c r="G1740" s="821" t="s">
        <v>1951</v>
      </c>
      <c r="H1740" s="858">
        <v>22021</v>
      </c>
      <c r="I1740" s="200" t="s">
        <v>583</v>
      </c>
      <c r="J1740" s="189"/>
      <c r="K1740" s="189"/>
      <c r="L1740" s="858">
        <v>0.5</v>
      </c>
      <c r="M1740" s="858">
        <f>K1740+L1740</f>
        <v>0.5</v>
      </c>
      <c r="N1740" s="857" t="s">
        <v>892</v>
      </c>
      <c r="O1740" s="1196">
        <v>17051</v>
      </c>
      <c r="P1740" s="1218">
        <f ca="1">YEARFRAC(TODAY(),O1740)</f>
        <v>71.072222222222223</v>
      </c>
      <c r="Q1740" s="1148">
        <v>20000</v>
      </c>
      <c r="R1740" s="874"/>
      <c r="S1740" s="875"/>
      <c r="T1740" s="877"/>
      <c r="U1740" s="877"/>
      <c r="V1740" s="877"/>
      <c r="W1740" s="875"/>
      <c r="X1740" s="1026">
        <f>(Q1740+R1740+S1740+T1740+U1740+V1740+W1740)*M1740</f>
        <v>10000</v>
      </c>
      <c r="Y1740" s="1512">
        <f>(T1740+U1740)*M1740/(X1740-M1740*(T1740+U1740))</f>
        <v>0</v>
      </c>
      <c r="Z1740" s="1741">
        <f>M1740*(1+Y1740)</f>
        <v>0.5</v>
      </c>
      <c r="AA1740" s="1749"/>
      <c r="AB1740" s="1810">
        <f t="shared" si="1080"/>
        <v>0</v>
      </c>
      <c r="AC1740" s="876"/>
      <c r="AD1740" s="1295"/>
      <c r="AE1740" s="1525"/>
      <c r="AF1740" s="1525"/>
      <c r="AG1740" s="1525"/>
      <c r="AH1740" s="1525"/>
      <c r="AI1740" s="1525"/>
      <c r="AJ1740" s="1525"/>
      <c r="AK1740" s="1525"/>
      <c r="AL1740" s="1525"/>
      <c r="AM1740" s="1525"/>
      <c r="AN1740" s="1525"/>
      <c r="AO1740" s="1525"/>
      <c r="AP1740" s="1525"/>
      <c r="AQ1740" s="1525"/>
      <c r="AR1740" s="1525"/>
      <c r="AS1740" s="1525"/>
      <c r="AU1740" s="1525"/>
      <c r="AV1740" s="1291"/>
      <c r="AW1740" s="1292"/>
      <c r="AX1740" s="1292"/>
      <c r="AY1740" s="1292"/>
      <c r="AZ1740" s="1292"/>
      <c r="BA1740" s="1292"/>
      <c r="BB1740" s="1292"/>
      <c r="BC1740" s="1292"/>
      <c r="BD1740" s="1292"/>
      <c r="BE1740" s="1292"/>
      <c r="BF1740" s="1292"/>
      <c r="BG1740" s="1292"/>
      <c r="BH1740" s="1292"/>
      <c r="BI1740" s="1292"/>
      <c r="BJ1740" s="1292"/>
      <c r="BK1740" s="1292"/>
      <c r="BL1740" s="1292"/>
      <c r="BM1740" s="1292"/>
      <c r="BN1740" s="1292"/>
      <c r="BO1740" s="1292"/>
      <c r="BP1740" s="1292"/>
      <c r="BQ1740" s="1292"/>
      <c r="BR1740" s="1292"/>
      <c r="BS1740" s="1292"/>
      <c r="BT1740" s="1670">
        <f t="shared" si="1081"/>
        <v>0</v>
      </c>
      <c r="BW1740" s="821" t="s">
        <v>1951</v>
      </c>
    </row>
    <row r="1741" spans="2:75" ht="12.75" customHeight="1" x14ac:dyDescent="0.2">
      <c r="B1741" s="175">
        <f>B1740+1</f>
        <v>3</v>
      </c>
      <c r="C1741" s="219">
        <v>18</v>
      </c>
      <c r="D1741" s="170"/>
      <c r="E1741" s="12" t="s">
        <v>1276</v>
      </c>
      <c r="F1741" s="4" t="s">
        <v>130</v>
      </c>
      <c r="G1741" s="825" t="s">
        <v>1952</v>
      </c>
      <c r="H1741" s="861">
        <v>135167</v>
      </c>
      <c r="I1741" s="197" t="s">
        <v>1442</v>
      </c>
      <c r="J1741" s="174"/>
      <c r="K1741" s="174"/>
      <c r="L1741" s="950">
        <v>1</v>
      </c>
      <c r="M1741" s="861">
        <v>1</v>
      </c>
      <c r="N1741" s="836" t="s">
        <v>892</v>
      </c>
      <c r="O1741" s="1196">
        <v>27958</v>
      </c>
      <c r="P1741" s="1262">
        <f ca="1">YEARFRAC(TODAY(),O1741)</f>
        <v>41.208333333333336</v>
      </c>
      <c r="Q1741" s="1148">
        <v>20000</v>
      </c>
      <c r="R1741" s="874"/>
      <c r="S1741" s="876"/>
      <c r="T1741" s="884"/>
      <c r="U1741" s="884"/>
      <c r="V1741" s="884"/>
      <c r="W1741" s="876"/>
      <c r="X1741" s="1026">
        <f>(Q1741+R1741+S1741+T1741+U1741+V1741+W1741)*M1741</f>
        <v>20000</v>
      </c>
      <c r="Y1741" s="1512">
        <f>(T1741+U1741)*M1741/(X1741-M1741*(T1741+U1741))</f>
        <v>0</v>
      </c>
      <c r="Z1741" s="1741">
        <f>M1741*(1+Y1741)</f>
        <v>1</v>
      </c>
      <c r="AA1741" s="1749"/>
      <c r="AB1741" s="1810">
        <f t="shared" si="1080"/>
        <v>0</v>
      </c>
      <c r="AC1741" s="876"/>
      <c r="AD1741" s="1295"/>
      <c r="AE1741" s="1525"/>
      <c r="AF1741" s="1525"/>
      <c r="AG1741" s="1525"/>
      <c r="AH1741" s="1525"/>
      <c r="AI1741" s="1525"/>
      <c r="AJ1741" s="1525"/>
      <c r="AK1741" s="1525"/>
      <c r="AL1741" s="1525"/>
      <c r="AM1741" s="1525"/>
      <c r="AN1741" s="1525"/>
      <c r="AO1741" s="1525"/>
      <c r="AP1741" s="1525"/>
      <c r="AQ1741" s="1525"/>
      <c r="AR1741" s="1525"/>
      <c r="AS1741" s="1525"/>
      <c r="AU1741" s="1525"/>
      <c r="AV1741" s="1291"/>
      <c r="AW1741" s="1292"/>
      <c r="AX1741" s="1292"/>
      <c r="AY1741" s="1292"/>
      <c r="AZ1741" s="1292"/>
      <c r="BA1741" s="1292"/>
      <c r="BB1741" s="1292"/>
      <c r="BC1741" s="1292"/>
      <c r="BD1741" s="1292"/>
      <c r="BE1741" s="1292"/>
      <c r="BF1741" s="1292"/>
      <c r="BG1741" s="1292"/>
      <c r="BH1741" s="1292"/>
      <c r="BI1741" s="1292"/>
      <c r="BJ1741" s="1292"/>
      <c r="BK1741" s="1292"/>
      <c r="BL1741" s="1292"/>
      <c r="BM1741" s="1292"/>
      <c r="BN1741" s="1292"/>
      <c r="BO1741" s="1292"/>
      <c r="BP1741" s="1292"/>
      <c r="BQ1741" s="1292"/>
      <c r="BR1741" s="1292"/>
      <c r="BS1741" s="1292"/>
      <c r="BT1741" s="1670">
        <f t="shared" si="1081"/>
        <v>0</v>
      </c>
      <c r="BW1741" s="825" t="s">
        <v>1952</v>
      </c>
    </row>
    <row r="1742" spans="2:75" ht="12.75" customHeight="1" x14ac:dyDescent="0.2">
      <c r="B1742" s="175">
        <f>B1741+1</f>
        <v>4</v>
      </c>
      <c r="C1742" s="219">
        <v>18</v>
      </c>
      <c r="E1742" s="12" t="s">
        <v>1276</v>
      </c>
      <c r="F1742" s="24" t="s">
        <v>1179</v>
      </c>
      <c r="G1742" s="830" t="s">
        <v>131</v>
      </c>
      <c r="H1742" s="873">
        <v>31373</v>
      </c>
      <c r="I1742" s="196" t="s">
        <v>1442</v>
      </c>
      <c r="J1742" s="195"/>
      <c r="K1742" s="195"/>
      <c r="L1742" s="873">
        <v>1</v>
      </c>
      <c r="M1742" s="873">
        <f>K1742+L1742</f>
        <v>1</v>
      </c>
      <c r="N1742" s="872" t="s">
        <v>892</v>
      </c>
      <c r="O1742" s="1211">
        <v>20050</v>
      </c>
      <c r="P1742" s="1218">
        <f ca="1">YEARFRAC(TODAY(),O1742)</f>
        <v>62.861111111111114</v>
      </c>
      <c r="Q1742" s="1071">
        <v>20000</v>
      </c>
      <c r="R1742" s="890"/>
      <c r="S1742" s="891"/>
      <c r="T1742" s="891"/>
      <c r="U1742" s="891"/>
      <c r="V1742" s="891"/>
      <c r="W1742" s="891"/>
      <c r="X1742" s="1026">
        <f>(Q1742+R1742+S1742+T1742+U1742+V1742+W1742)*M1742</f>
        <v>20000</v>
      </c>
      <c r="Y1742" s="1512">
        <f>(T1742+U1742)*M1742/(X1742-M1742*(T1742+U1742))</f>
        <v>0</v>
      </c>
      <c r="Z1742" s="1741">
        <f>M1742*(1+Y1742)</f>
        <v>1</v>
      </c>
      <c r="AA1742" s="1749"/>
      <c r="AB1742" s="1810">
        <f t="shared" si="1080"/>
        <v>0</v>
      </c>
      <c r="AC1742" s="876"/>
      <c r="AD1742" s="1295"/>
      <c r="AE1742" s="1525"/>
      <c r="AF1742" s="1525"/>
      <c r="AG1742" s="1525"/>
      <c r="AH1742" s="1525"/>
      <c r="AI1742" s="1525"/>
      <c r="AJ1742" s="1525"/>
      <c r="AK1742" s="1525"/>
      <c r="AL1742" s="1525"/>
      <c r="AM1742" s="1525"/>
      <c r="AN1742" s="1525"/>
      <c r="AO1742" s="1525"/>
      <c r="AP1742" s="1525"/>
      <c r="AQ1742" s="1525"/>
      <c r="AR1742" s="1525"/>
      <c r="AS1742" s="1525"/>
      <c r="AU1742" s="1525"/>
      <c r="AV1742" s="1291"/>
      <c r="AW1742" s="1292"/>
      <c r="AX1742" s="1292"/>
      <c r="AY1742" s="1292"/>
      <c r="AZ1742" s="1292"/>
      <c r="BA1742" s="1292"/>
      <c r="BB1742" s="1292"/>
      <c r="BC1742" s="1292"/>
      <c r="BD1742" s="1292"/>
      <c r="BE1742" s="1292"/>
      <c r="BF1742" s="1292"/>
      <c r="BG1742" s="1292"/>
      <c r="BH1742" s="1292"/>
      <c r="BI1742" s="1292"/>
      <c r="BJ1742" s="1292"/>
      <c r="BK1742" s="1292"/>
      <c r="BL1742" s="1292"/>
      <c r="BM1742" s="1292"/>
      <c r="BN1742" s="1292"/>
      <c r="BO1742" s="1292"/>
      <c r="BP1742" s="1292"/>
      <c r="BQ1742" s="1292"/>
      <c r="BR1742" s="1292"/>
      <c r="BS1742" s="1292"/>
      <c r="BT1742" s="1670">
        <f t="shared" si="1081"/>
        <v>0</v>
      </c>
      <c r="BW1742" s="830" t="s">
        <v>131</v>
      </c>
    </row>
    <row r="1743" spans="2:75" s="164" customFormat="1" ht="12.75" customHeight="1" x14ac:dyDescent="0.15">
      <c r="B1743" s="175"/>
      <c r="C1743" s="219" t="s">
        <v>1120</v>
      </c>
      <c r="F1743" s="24" t="s">
        <v>1289</v>
      </c>
      <c r="G1743" s="821"/>
      <c r="H1743" s="1361" t="s">
        <v>1508</v>
      </c>
      <c r="I1743" s="200"/>
      <c r="J1743" s="189"/>
      <c r="K1743" s="448">
        <f>SUM(K1739:K1742)</f>
        <v>0</v>
      </c>
      <c r="L1743" s="902">
        <f>SUM(L1739:L1742)</f>
        <v>3</v>
      </c>
      <c r="M1743" s="902">
        <f>SUM(M1739:M1742)</f>
        <v>3</v>
      </c>
      <c r="N1743" s="857"/>
      <c r="O1743" s="1200"/>
      <c r="P1743" s="550"/>
      <c r="Q1743" s="1153"/>
      <c r="R1743" s="877"/>
      <c r="S1743" s="875"/>
      <c r="T1743" s="875"/>
      <c r="U1743" s="875"/>
      <c r="V1743" s="875"/>
      <c r="W1743" s="875"/>
      <c r="X1743" s="1026"/>
      <c r="Y1743" s="1335"/>
      <c r="Z1743" s="1335"/>
      <c r="AA1743" s="1775"/>
      <c r="AB1743" s="1814"/>
      <c r="AC1743" s="876"/>
      <c r="AD1743" s="1295"/>
      <c r="AE1743" s="1525"/>
      <c r="AF1743" s="1525"/>
      <c r="AG1743" s="1525"/>
      <c r="AH1743" s="1525"/>
      <c r="AI1743" s="1525"/>
      <c r="AJ1743" s="1525"/>
      <c r="AK1743" s="1525"/>
      <c r="AL1743" s="1525"/>
      <c r="AM1743" s="1525"/>
      <c r="AN1743" s="1525"/>
      <c r="AO1743" s="1525"/>
      <c r="AP1743" s="1525"/>
      <c r="AQ1743" s="1525"/>
      <c r="AR1743" s="1525"/>
      <c r="AS1743" s="1525"/>
      <c r="AU1743" s="1525"/>
      <c r="AV1743" s="1295"/>
      <c r="AW1743" s="1525"/>
      <c r="AX1743" s="1525"/>
      <c r="AY1743" s="1525"/>
      <c r="AZ1743" s="1525"/>
      <c r="BA1743" s="1525"/>
      <c r="BB1743" s="1525"/>
      <c r="BC1743" s="1525"/>
      <c r="BD1743" s="1525"/>
      <c r="BE1743" s="1525"/>
      <c r="BF1743" s="1525"/>
      <c r="BG1743" s="1525"/>
      <c r="BH1743" s="1525"/>
      <c r="BI1743" s="1525"/>
      <c r="BJ1743" s="1525"/>
      <c r="BK1743" s="1525"/>
      <c r="BL1743" s="1525"/>
      <c r="BM1743" s="1525"/>
      <c r="BN1743" s="1525"/>
      <c r="BO1743" s="1525"/>
      <c r="BP1743" s="1525"/>
      <c r="BQ1743" s="1525"/>
      <c r="BR1743" s="1525"/>
      <c r="BS1743" s="1525"/>
      <c r="BT1743" s="1670"/>
      <c r="BV1743"/>
      <c r="BW1743" s="821"/>
    </row>
    <row r="1744" spans="2:75" s="164" customFormat="1" ht="12.75" customHeight="1" x14ac:dyDescent="0.15">
      <c r="B1744" s="175"/>
      <c r="F1744" s="4"/>
      <c r="G1744" s="825"/>
      <c r="H1744" s="1347" t="s">
        <v>1508</v>
      </c>
      <c r="I1744" s="197"/>
      <c r="J1744" s="174"/>
      <c r="K1744" s="174"/>
      <c r="L1744" s="861"/>
      <c r="M1744" s="861"/>
      <c r="N1744" s="836"/>
      <c r="O1744" s="1200"/>
      <c r="P1744" s="550"/>
      <c r="Q1744" s="1148"/>
      <c r="R1744" s="874"/>
      <c r="S1744" s="876"/>
      <c r="T1744" s="876"/>
      <c r="U1744" s="876"/>
      <c r="V1744" s="876"/>
      <c r="W1744" s="876"/>
      <c r="X1744" s="1026"/>
      <c r="Y1744" s="1754"/>
      <c r="Z1744" s="1755"/>
      <c r="AA1744" s="1775"/>
      <c r="AB1744" s="1814"/>
      <c r="AC1744" s="876"/>
      <c r="AD1744" s="1295"/>
      <c r="AE1744" s="1525"/>
      <c r="AF1744" s="1525"/>
      <c r="AG1744" s="1525"/>
      <c r="AH1744" s="1525"/>
      <c r="AI1744" s="1525"/>
      <c r="AJ1744" s="1525"/>
      <c r="AK1744" s="1525"/>
      <c r="AL1744" s="1525"/>
      <c r="AM1744" s="1525"/>
      <c r="AN1744" s="1525"/>
      <c r="AO1744" s="1525"/>
      <c r="AP1744" s="1525"/>
      <c r="AQ1744" s="1525"/>
      <c r="AR1744" s="1525"/>
      <c r="AS1744" s="1525"/>
      <c r="AU1744" s="1525"/>
      <c r="AV1744" s="1295"/>
      <c r="AW1744" s="1525"/>
      <c r="AX1744" s="1525"/>
      <c r="AY1744" s="1525"/>
      <c r="AZ1744" s="1525"/>
      <c r="BA1744" s="1525"/>
      <c r="BB1744" s="1525"/>
      <c r="BC1744" s="1525"/>
      <c r="BD1744" s="1525"/>
      <c r="BE1744" s="1525"/>
      <c r="BF1744" s="1525"/>
      <c r="BG1744" s="1525"/>
      <c r="BH1744" s="1525"/>
      <c r="BI1744" s="1525"/>
      <c r="BJ1744" s="1525"/>
      <c r="BK1744" s="1525"/>
      <c r="BL1744" s="1525"/>
      <c r="BM1744" s="1525"/>
      <c r="BN1744" s="1525"/>
      <c r="BO1744" s="1525"/>
      <c r="BP1744" s="1525"/>
      <c r="BQ1744" s="1525"/>
      <c r="BR1744" s="1525"/>
      <c r="BS1744" s="1525"/>
      <c r="BT1744" s="1670"/>
      <c r="BV1744"/>
      <c r="BW1744" s="825"/>
    </row>
    <row r="1745" spans="2:75" s="164" customFormat="1" ht="12.75" customHeight="1" x14ac:dyDescent="0.15">
      <c r="B1745" s="175"/>
      <c r="F1745" s="21" t="s">
        <v>132</v>
      </c>
      <c r="G1745" s="821"/>
      <c r="H1745" s="1346" t="s">
        <v>1508</v>
      </c>
      <c r="I1745" s="200"/>
      <c r="J1745" s="189"/>
      <c r="K1745" s="189"/>
      <c r="L1745" s="858"/>
      <c r="M1745" s="858"/>
      <c r="N1745" s="857"/>
      <c r="O1745" s="1200"/>
      <c r="P1745" s="550"/>
      <c r="Q1745" s="1148"/>
      <c r="R1745" s="874"/>
      <c r="S1745" s="875"/>
      <c r="T1745" s="875"/>
      <c r="U1745" s="875"/>
      <c r="V1745" s="875"/>
      <c r="W1745" s="875"/>
      <c r="X1745" s="1026"/>
      <c r="Y1745" s="1754"/>
      <c r="Z1745" s="1755"/>
      <c r="AA1745" s="1775"/>
      <c r="AB1745" s="1814"/>
      <c r="AC1745" s="876"/>
      <c r="AD1745" s="1295"/>
      <c r="AE1745" s="1525"/>
      <c r="AF1745" s="1525"/>
      <c r="AG1745" s="1525"/>
      <c r="AH1745" s="1525"/>
      <c r="AI1745" s="1525"/>
      <c r="AJ1745" s="1525"/>
      <c r="AK1745" s="1525"/>
      <c r="AL1745" s="1525"/>
      <c r="AM1745" s="1525"/>
      <c r="AN1745" s="1525"/>
      <c r="AO1745" s="1525"/>
      <c r="AP1745" s="1525"/>
      <c r="AQ1745" s="1525"/>
      <c r="AR1745" s="1525"/>
      <c r="AS1745" s="1525"/>
      <c r="AU1745" s="1525"/>
      <c r="AV1745" s="1295"/>
      <c r="AW1745" s="1525"/>
      <c r="AX1745" s="1525"/>
      <c r="AY1745" s="1525"/>
      <c r="AZ1745" s="1525"/>
      <c r="BA1745" s="1525"/>
      <c r="BB1745" s="1525"/>
      <c r="BC1745" s="1525"/>
      <c r="BD1745" s="1525"/>
      <c r="BE1745" s="1525"/>
      <c r="BF1745" s="1525"/>
      <c r="BG1745" s="1525"/>
      <c r="BH1745" s="1525"/>
      <c r="BI1745" s="1525"/>
      <c r="BJ1745" s="1525"/>
      <c r="BK1745" s="1525"/>
      <c r="BL1745" s="1525"/>
      <c r="BM1745" s="1525"/>
      <c r="BN1745" s="1525"/>
      <c r="BO1745" s="1525"/>
      <c r="BP1745" s="1525"/>
      <c r="BQ1745" s="1525"/>
      <c r="BR1745" s="1525"/>
      <c r="BS1745" s="1525"/>
      <c r="BT1745" s="1670"/>
      <c r="BV1745"/>
      <c r="BW1745" s="821"/>
    </row>
    <row r="1746" spans="2:75" s="164" customFormat="1" ht="12.75" customHeight="1" x14ac:dyDescent="0.15">
      <c r="B1746" s="175"/>
      <c r="F1746" s="24" t="s">
        <v>1479</v>
      </c>
      <c r="G1746" s="821"/>
      <c r="H1746" s="1346" t="s">
        <v>1508</v>
      </c>
      <c r="I1746" s="200"/>
      <c r="J1746" s="189"/>
      <c r="K1746" s="189"/>
      <c r="L1746" s="858"/>
      <c r="M1746" s="858"/>
      <c r="N1746" s="857"/>
      <c r="O1746" s="1200"/>
      <c r="P1746" s="550"/>
      <c r="Q1746" s="1148"/>
      <c r="R1746" s="874"/>
      <c r="S1746" s="875"/>
      <c r="T1746" s="875"/>
      <c r="U1746" s="875"/>
      <c r="V1746" s="875"/>
      <c r="W1746" s="875"/>
      <c r="X1746" s="1026"/>
      <c r="Y1746" s="1754"/>
      <c r="Z1746" s="1755"/>
      <c r="AA1746" s="1775"/>
      <c r="AB1746" s="1814"/>
      <c r="AC1746" s="876"/>
      <c r="AD1746" s="1295"/>
      <c r="AE1746" s="1525"/>
      <c r="AF1746" s="1525"/>
      <c r="AG1746" s="1525"/>
      <c r="AH1746" s="1525"/>
      <c r="AI1746" s="1525"/>
      <c r="AJ1746" s="1525"/>
      <c r="AK1746" s="1525"/>
      <c r="AL1746" s="1525"/>
      <c r="AM1746" s="1525"/>
      <c r="AN1746" s="1525"/>
      <c r="AO1746" s="1525"/>
      <c r="AP1746" s="1525"/>
      <c r="AQ1746" s="1525"/>
      <c r="AR1746" s="1525"/>
      <c r="AS1746" s="1525"/>
      <c r="AU1746" s="1525"/>
      <c r="AV1746" s="1295"/>
      <c r="AW1746" s="1525"/>
      <c r="AX1746" s="1525"/>
      <c r="AY1746" s="1525"/>
      <c r="AZ1746" s="1525"/>
      <c r="BA1746" s="1525"/>
      <c r="BB1746" s="1525"/>
      <c r="BC1746" s="1525"/>
      <c r="BD1746" s="1525"/>
      <c r="BE1746" s="1525"/>
      <c r="BF1746" s="1525"/>
      <c r="BG1746" s="1525"/>
      <c r="BH1746" s="1525"/>
      <c r="BI1746" s="1525"/>
      <c r="BJ1746" s="1525"/>
      <c r="BK1746" s="1525"/>
      <c r="BL1746" s="1525"/>
      <c r="BM1746" s="1525"/>
      <c r="BN1746" s="1525"/>
      <c r="BO1746" s="1525"/>
      <c r="BP1746" s="1525"/>
      <c r="BQ1746" s="1525"/>
      <c r="BR1746" s="1525"/>
      <c r="BS1746" s="1525"/>
      <c r="BT1746" s="1670"/>
      <c r="BV1746"/>
      <c r="BW1746" s="821"/>
    </row>
    <row r="1747" spans="2:75" ht="12.75" customHeight="1" x14ac:dyDescent="0.2">
      <c r="B1747" s="175">
        <f t="shared" ref="B1747:B1755" si="1082">B1746+1</f>
        <v>1</v>
      </c>
      <c r="C1747" s="219">
        <v>29</v>
      </c>
      <c r="E1747" s="12" t="s">
        <v>1276</v>
      </c>
      <c r="F1747" s="24" t="s">
        <v>1094</v>
      </c>
      <c r="G1747" s="821" t="s">
        <v>1095</v>
      </c>
      <c r="H1747" s="858">
        <v>6832</v>
      </c>
      <c r="I1747" s="197" t="s">
        <v>583</v>
      </c>
      <c r="J1747" s="174"/>
      <c r="K1747" s="174"/>
      <c r="L1747" s="861">
        <v>1</v>
      </c>
      <c r="M1747" s="858">
        <f>K1747+L1747</f>
        <v>1</v>
      </c>
      <c r="N1747" s="831" t="s">
        <v>892</v>
      </c>
      <c r="O1747" s="1196">
        <v>14535</v>
      </c>
      <c r="P1747" s="1218">
        <f t="shared" ref="P1747:P1755" ca="1" si="1083">YEARFRAC(TODAY(),O1747)</f>
        <v>77.958333333333329</v>
      </c>
      <c r="Q1747" s="1148">
        <v>36000</v>
      </c>
      <c r="R1747" s="874"/>
      <c r="S1747" s="875"/>
      <c r="T1747" s="875"/>
      <c r="U1747" s="875"/>
      <c r="V1747" s="875"/>
      <c r="W1747" s="875"/>
      <c r="X1747" s="1026">
        <f t="shared" ref="X1747:X1755" si="1084">(Q1747+R1747+S1747+T1747+U1747+V1747+W1747)*M1747</f>
        <v>36000</v>
      </c>
      <c r="Y1747" s="1512">
        <f t="shared" ref="Y1747:Y1748" si="1085">(T1747+U1747)*M1747/(X1747-M1747*(T1747+U1747))</f>
        <v>0</v>
      </c>
      <c r="Z1747" s="1741">
        <f t="shared" ref="Z1747:Z1755" si="1086">M1747*(1+Y1747)</f>
        <v>1</v>
      </c>
      <c r="AA1747" s="1749"/>
      <c r="AB1747" s="1810">
        <f t="shared" ref="AB1747:AB1755" si="1087">100*AA1747/Z1747</f>
        <v>0</v>
      </c>
      <c r="AC1747" s="876"/>
      <c r="AD1747" s="1295"/>
      <c r="AE1747" s="1525"/>
      <c r="AF1747" s="1525"/>
      <c r="AG1747" s="1525"/>
      <c r="AH1747" s="1525"/>
      <c r="AI1747" s="1525"/>
      <c r="AJ1747" s="1525"/>
      <c r="AK1747" s="1525"/>
      <c r="AL1747" s="1525"/>
      <c r="AM1747" s="1525"/>
      <c r="AN1747" s="1525"/>
      <c r="AO1747" s="1525"/>
      <c r="AP1747" s="1525"/>
      <c r="AQ1747" s="1525"/>
      <c r="AR1747" s="1525"/>
      <c r="AS1747" s="1525"/>
      <c r="AU1747" s="1525"/>
      <c r="AV1747" s="1291"/>
      <c r="AW1747" s="1292"/>
      <c r="AX1747" s="1292"/>
      <c r="AY1747" s="1292"/>
      <c r="AZ1747" s="1292"/>
      <c r="BA1747" s="1292"/>
      <c r="BB1747" s="1292"/>
      <c r="BC1747" s="1292"/>
      <c r="BD1747" s="1292"/>
      <c r="BE1747" s="1292"/>
      <c r="BF1747" s="1292"/>
      <c r="BG1747" s="1292"/>
      <c r="BH1747" s="1292"/>
      <c r="BI1747" s="1292"/>
      <c r="BJ1747" s="1292"/>
      <c r="BK1747" s="1292"/>
      <c r="BL1747" s="1292"/>
      <c r="BM1747" s="1292"/>
      <c r="BN1747" s="1292"/>
      <c r="BO1747" s="1292"/>
      <c r="BP1747" s="1292"/>
      <c r="BQ1747" s="1292"/>
      <c r="BR1747" s="1292"/>
      <c r="BS1747" s="1292"/>
      <c r="BT1747" s="1670">
        <f t="shared" ref="BT1747:BT1755" si="1088">SUM(AV1747:BS1747)</f>
        <v>0</v>
      </c>
      <c r="BW1747" s="821" t="s">
        <v>1095</v>
      </c>
    </row>
    <row r="1748" spans="2:75" ht="12.75" customHeight="1" x14ac:dyDescent="0.2">
      <c r="B1748" s="175">
        <f t="shared" si="1082"/>
        <v>2</v>
      </c>
      <c r="C1748" s="219">
        <v>13</v>
      </c>
      <c r="E1748" s="12" t="s">
        <v>1276</v>
      </c>
      <c r="F1748" s="24" t="s">
        <v>1729</v>
      </c>
      <c r="G1748" s="821" t="s">
        <v>1730</v>
      </c>
      <c r="H1748" s="858">
        <v>294205</v>
      </c>
      <c r="I1748" s="197" t="s">
        <v>583</v>
      </c>
      <c r="J1748" s="174"/>
      <c r="K1748" s="174"/>
      <c r="L1748" s="861">
        <v>1</v>
      </c>
      <c r="M1748" s="858">
        <v>1</v>
      </c>
      <c r="N1748" s="831" t="s">
        <v>1326</v>
      </c>
      <c r="O1748" s="1196">
        <v>29715</v>
      </c>
      <c r="P1748" s="1218">
        <f t="shared" ca="1" si="1083"/>
        <v>36.397222222222226</v>
      </c>
      <c r="Q1748" s="1148">
        <v>33000</v>
      </c>
      <c r="R1748" s="874">
        <f>Q1748*0.1</f>
        <v>3300</v>
      </c>
      <c r="S1748" s="875"/>
      <c r="T1748" s="875">
        <v>5000</v>
      </c>
      <c r="U1748" s="875"/>
      <c r="V1748" s="875"/>
      <c r="W1748" s="875"/>
      <c r="X1748" s="1026">
        <f t="shared" si="1084"/>
        <v>41300</v>
      </c>
      <c r="Y1748" s="1512">
        <f t="shared" si="1085"/>
        <v>0.13774104683195593</v>
      </c>
      <c r="Z1748" s="1741">
        <f t="shared" si="1086"/>
        <v>1.137741046831956</v>
      </c>
      <c r="AA1748" s="1749"/>
      <c r="AB1748" s="1810">
        <f t="shared" si="1087"/>
        <v>0</v>
      </c>
      <c r="AC1748" s="876"/>
      <c r="AD1748" s="1295"/>
      <c r="AE1748" s="1525"/>
      <c r="AF1748" s="1525"/>
      <c r="AG1748" s="1525"/>
      <c r="AH1748" s="1525"/>
      <c r="AI1748" s="1525"/>
      <c r="AJ1748" s="1525"/>
      <c r="AK1748" s="1525"/>
      <c r="AL1748" s="1525"/>
      <c r="AM1748" s="1525"/>
      <c r="AN1748" s="1525"/>
      <c r="AO1748" s="1525"/>
      <c r="AP1748" s="1525"/>
      <c r="AQ1748" s="1525"/>
      <c r="AR1748" s="1525"/>
      <c r="AS1748" s="1525"/>
      <c r="AU1748" s="1525"/>
      <c r="AV1748" s="1291"/>
      <c r="AW1748" s="1292"/>
      <c r="AX1748" s="1292"/>
      <c r="AY1748" s="1292"/>
      <c r="AZ1748" s="1292"/>
      <c r="BA1748" s="1292"/>
      <c r="BB1748" s="1292"/>
      <c r="BC1748" s="1292"/>
      <c r="BD1748" s="1292"/>
      <c r="BE1748" s="1292"/>
      <c r="BF1748" s="1292"/>
      <c r="BG1748" s="1292"/>
      <c r="BH1748" s="1292"/>
      <c r="BI1748" s="1292"/>
      <c r="BJ1748" s="1292"/>
      <c r="BK1748" s="1292"/>
      <c r="BL1748" s="1292"/>
      <c r="BM1748" s="1292"/>
      <c r="BN1748" s="1292"/>
      <c r="BO1748" s="1292"/>
      <c r="BP1748" s="1292"/>
      <c r="BQ1748" s="1292"/>
      <c r="BR1748" s="1292"/>
      <c r="BS1748" s="1292"/>
      <c r="BT1748" s="1670">
        <f t="shared" si="1088"/>
        <v>0</v>
      </c>
      <c r="BW1748" s="821" t="s">
        <v>1730</v>
      </c>
    </row>
    <row r="1749" spans="2:75" ht="12.75" customHeight="1" x14ac:dyDescent="0.2">
      <c r="B1749" s="175">
        <f t="shared" si="1082"/>
        <v>3</v>
      </c>
      <c r="C1749" s="219">
        <v>41</v>
      </c>
      <c r="E1749" s="12" t="s">
        <v>1276</v>
      </c>
      <c r="F1749" t="s">
        <v>1096</v>
      </c>
      <c r="G1749" s="823" t="s">
        <v>1097</v>
      </c>
      <c r="H1749" s="858">
        <v>50972</v>
      </c>
      <c r="I1749" s="200" t="s">
        <v>1442</v>
      </c>
      <c r="J1749" s="189"/>
      <c r="K1749" s="189"/>
      <c r="L1749" s="861">
        <v>1</v>
      </c>
      <c r="M1749" s="858">
        <f t="shared" ref="M1749:M1755" si="1089">K1749+L1749</f>
        <v>1</v>
      </c>
      <c r="N1749" s="999" t="s">
        <v>1326</v>
      </c>
      <c r="O1749" s="1196">
        <v>22121</v>
      </c>
      <c r="P1749" s="1218">
        <f t="shared" ca="1" si="1083"/>
        <v>57.18888888888889</v>
      </c>
      <c r="Q1749" s="1148">
        <v>21000</v>
      </c>
      <c r="R1749" s="874">
        <f>Q1749*0.1</f>
        <v>2100</v>
      </c>
      <c r="S1749" s="875"/>
      <c r="T1749" s="875"/>
      <c r="U1749" s="875"/>
      <c r="V1749" s="875"/>
      <c r="W1749" s="1036">
        <f>ROUND((Q1749+R1749)*0.15,0)</f>
        <v>3465</v>
      </c>
      <c r="X1749" s="1026">
        <f t="shared" si="1084"/>
        <v>26565</v>
      </c>
      <c r="Y1749" s="1512">
        <f>(T1749+U1749+V1749+W1749)*M1749/(X1749-M1749*(T1749+U1749+V1749+W1749))</f>
        <v>0.15</v>
      </c>
      <c r="Z1749" s="1741">
        <f t="shared" si="1086"/>
        <v>1.1499999999999999</v>
      </c>
      <c r="AA1749" s="1749"/>
      <c r="AB1749" s="1810">
        <f t="shared" si="1087"/>
        <v>0</v>
      </c>
      <c r="AC1749" s="876"/>
      <c r="AD1749" s="1295"/>
      <c r="AE1749" s="1525"/>
      <c r="AF1749" s="1525"/>
      <c r="AG1749" s="1525"/>
      <c r="AH1749" s="1525"/>
      <c r="AI1749" s="1525"/>
      <c r="AJ1749" s="1525"/>
      <c r="AK1749" s="1525"/>
      <c r="AL1749" s="1525"/>
      <c r="AM1749" s="1525"/>
      <c r="AN1749" s="1525"/>
      <c r="AO1749" s="1525"/>
      <c r="AP1749" s="1525"/>
      <c r="AQ1749" s="1525"/>
      <c r="AR1749" s="1525"/>
      <c r="AS1749" s="1525"/>
      <c r="AU1749" s="1525"/>
      <c r="AV1749" s="1291"/>
      <c r="AW1749" s="1292"/>
      <c r="AX1749" s="1292"/>
      <c r="AY1749" s="1292"/>
      <c r="AZ1749" s="1292"/>
      <c r="BA1749" s="1292"/>
      <c r="BB1749" s="1292"/>
      <c r="BC1749" s="1292"/>
      <c r="BD1749" s="1292"/>
      <c r="BE1749" s="1292"/>
      <c r="BF1749" s="1292"/>
      <c r="BG1749" s="1292"/>
      <c r="BH1749" s="1292"/>
      <c r="BI1749" s="1292"/>
      <c r="BJ1749" s="1292"/>
      <c r="BK1749" s="1292"/>
      <c r="BL1749" s="1292"/>
      <c r="BM1749" s="1292"/>
      <c r="BN1749" s="1292"/>
      <c r="BO1749" s="1292"/>
      <c r="BP1749" s="1292"/>
      <c r="BQ1749" s="1292"/>
      <c r="BR1749" s="1292"/>
      <c r="BS1749" s="1292"/>
      <c r="BT1749" s="1670">
        <f t="shared" si="1088"/>
        <v>0</v>
      </c>
      <c r="BW1749" s="823" t="s">
        <v>1097</v>
      </c>
    </row>
    <row r="1750" spans="2:75" ht="12.75" customHeight="1" x14ac:dyDescent="0.2">
      <c r="B1750" s="175">
        <f t="shared" si="1082"/>
        <v>4</v>
      </c>
      <c r="C1750" s="219">
        <v>41</v>
      </c>
      <c r="E1750" s="12" t="s">
        <v>1276</v>
      </c>
      <c r="F1750" s="23" t="s">
        <v>309</v>
      </c>
      <c r="G1750" s="834" t="s">
        <v>1169</v>
      </c>
      <c r="H1750" s="861">
        <v>82007</v>
      </c>
      <c r="I1750" s="197" t="s">
        <v>1442</v>
      </c>
      <c r="J1750" s="174"/>
      <c r="K1750" s="174"/>
      <c r="L1750" s="861">
        <v>1</v>
      </c>
      <c r="M1750" s="861">
        <f t="shared" si="1089"/>
        <v>1</v>
      </c>
      <c r="N1750" s="999" t="s">
        <v>1326</v>
      </c>
      <c r="O1750" s="1196">
        <v>18576</v>
      </c>
      <c r="P1750" s="1218">
        <f t="shared" ca="1" si="1083"/>
        <v>66.897222222222226</v>
      </c>
      <c r="Q1750" s="1148">
        <v>21000</v>
      </c>
      <c r="R1750" s="874">
        <f>Q1750*0.1</f>
        <v>2100</v>
      </c>
      <c r="S1750" s="876"/>
      <c r="T1750" s="876"/>
      <c r="U1750" s="876"/>
      <c r="V1750" s="876"/>
      <c r="W1750" s="876">
        <f>ROUND((Q1750+R1750)*0.1,0)</f>
        <v>2310</v>
      </c>
      <c r="X1750" s="1026">
        <f t="shared" si="1084"/>
        <v>25410</v>
      </c>
      <c r="Y1750" s="1512">
        <f t="shared" ref="Y1750:Y1755" si="1090">(T1750+U1750+V1750+W1750)*M1750/(X1750-M1750*(T1750+U1750+V1750+W1750))</f>
        <v>0.1</v>
      </c>
      <c r="Z1750" s="1741">
        <f t="shared" si="1086"/>
        <v>1.1000000000000001</v>
      </c>
      <c r="AA1750" s="1749"/>
      <c r="AB1750" s="1810">
        <f t="shared" si="1087"/>
        <v>0</v>
      </c>
      <c r="AC1750" s="876"/>
      <c r="AD1750" s="1295"/>
      <c r="AE1750" s="1525"/>
      <c r="AF1750" s="1525"/>
      <c r="AG1750" s="1525"/>
      <c r="AH1750" s="1525"/>
      <c r="AI1750" s="1525"/>
      <c r="AJ1750" s="1525"/>
      <c r="AK1750" s="1525"/>
      <c r="AL1750" s="1525"/>
      <c r="AM1750" s="1525"/>
      <c r="AN1750" s="1525"/>
      <c r="AO1750" s="1525"/>
      <c r="AP1750" s="1525"/>
      <c r="AQ1750" s="1525"/>
      <c r="AR1750" s="1525"/>
      <c r="AS1750" s="1525"/>
      <c r="AU1750" s="1525"/>
      <c r="AV1750" s="1291"/>
      <c r="AW1750" s="1292"/>
      <c r="AX1750" s="1292"/>
      <c r="AY1750" s="1292"/>
      <c r="AZ1750" s="1292"/>
      <c r="BA1750" s="1292"/>
      <c r="BB1750" s="1292"/>
      <c r="BC1750" s="1292"/>
      <c r="BD1750" s="1292"/>
      <c r="BE1750" s="1292"/>
      <c r="BF1750" s="1292"/>
      <c r="BG1750" s="1292"/>
      <c r="BH1750" s="1292"/>
      <c r="BI1750" s="1292"/>
      <c r="BJ1750" s="1292"/>
      <c r="BK1750" s="1292"/>
      <c r="BL1750" s="1292"/>
      <c r="BM1750" s="1292"/>
      <c r="BN1750" s="1292"/>
      <c r="BO1750" s="1292"/>
      <c r="BP1750" s="1292"/>
      <c r="BQ1750" s="1292"/>
      <c r="BR1750" s="1292"/>
      <c r="BS1750" s="1292"/>
      <c r="BT1750" s="1670">
        <f t="shared" si="1088"/>
        <v>0</v>
      </c>
      <c r="BW1750" s="834" t="s">
        <v>1169</v>
      </c>
    </row>
    <row r="1751" spans="2:75" ht="12.75" customHeight="1" x14ac:dyDescent="0.2">
      <c r="B1751" s="175">
        <f t="shared" si="1082"/>
        <v>5</v>
      </c>
      <c r="C1751" s="220">
        <v>41</v>
      </c>
      <c r="D1751" s="170"/>
      <c r="E1751" s="447" t="s">
        <v>1276</v>
      </c>
      <c r="F1751" s="23" t="s">
        <v>1096</v>
      </c>
      <c r="G1751" s="834" t="s">
        <v>618</v>
      </c>
      <c r="H1751" s="861">
        <v>293766</v>
      </c>
      <c r="I1751" s="197" t="s">
        <v>1442</v>
      </c>
      <c r="J1751" s="174"/>
      <c r="K1751" s="174"/>
      <c r="L1751" s="861">
        <v>1</v>
      </c>
      <c r="M1751" s="861">
        <f t="shared" si="1089"/>
        <v>1</v>
      </c>
      <c r="N1751" s="999" t="s">
        <v>892</v>
      </c>
      <c r="O1751" s="1196">
        <v>19463</v>
      </c>
      <c r="P1751" s="1262">
        <f t="shared" ca="1" si="1083"/>
        <v>64.466666666666669</v>
      </c>
      <c r="Q1751" s="1148">
        <v>25000</v>
      </c>
      <c r="R1751" s="874"/>
      <c r="S1751" s="876"/>
      <c r="T1751" s="876"/>
      <c r="U1751" s="876"/>
      <c r="V1751" s="876"/>
      <c r="W1751" s="876">
        <f>ROUND((Q1751+R1751)*0.2,0)</f>
        <v>5000</v>
      </c>
      <c r="X1751" s="1026">
        <f t="shared" si="1084"/>
        <v>30000</v>
      </c>
      <c r="Y1751" s="1512">
        <f t="shared" si="1090"/>
        <v>0.2</v>
      </c>
      <c r="Z1751" s="1741">
        <f t="shared" si="1086"/>
        <v>1.2</v>
      </c>
      <c r="AA1751" s="1749"/>
      <c r="AB1751" s="1810">
        <f t="shared" si="1087"/>
        <v>0</v>
      </c>
      <c r="AC1751" s="876"/>
      <c r="AD1751" s="1295"/>
      <c r="AE1751" s="1525"/>
      <c r="AF1751" s="1525"/>
      <c r="AG1751" s="1525"/>
      <c r="AH1751" s="1525"/>
      <c r="AI1751" s="1525"/>
      <c r="AJ1751" s="1525"/>
      <c r="AK1751" s="1525"/>
      <c r="AL1751" s="1525"/>
      <c r="AM1751" s="1525"/>
      <c r="AN1751" s="1525"/>
      <c r="AO1751" s="1525"/>
      <c r="AP1751" s="1525"/>
      <c r="AQ1751" s="1525"/>
      <c r="AR1751" s="1525"/>
      <c r="AS1751" s="1525"/>
      <c r="AU1751" s="1525"/>
      <c r="AV1751" s="1291"/>
      <c r="AW1751" s="1292"/>
      <c r="AX1751" s="1292"/>
      <c r="AY1751" s="1292"/>
      <c r="AZ1751" s="1292"/>
      <c r="BA1751" s="1292"/>
      <c r="BB1751" s="1292"/>
      <c r="BC1751" s="1292"/>
      <c r="BD1751" s="1292"/>
      <c r="BE1751" s="1292"/>
      <c r="BF1751" s="1292"/>
      <c r="BG1751" s="1292"/>
      <c r="BH1751" s="1292"/>
      <c r="BI1751" s="1292"/>
      <c r="BJ1751" s="1292"/>
      <c r="BK1751" s="1292"/>
      <c r="BL1751" s="1292"/>
      <c r="BM1751" s="1292"/>
      <c r="BN1751" s="1292"/>
      <c r="BO1751" s="1292"/>
      <c r="BP1751" s="1292"/>
      <c r="BQ1751" s="1292"/>
      <c r="BR1751" s="1292"/>
      <c r="BS1751" s="1292"/>
      <c r="BT1751" s="1670">
        <f t="shared" si="1088"/>
        <v>0</v>
      </c>
      <c r="BW1751" s="834" t="s">
        <v>618</v>
      </c>
    </row>
    <row r="1752" spans="2:75" ht="12.75" customHeight="1" x14ac:dyDescent="0.2">
      <c r="B1752" s="175">
        <f t="shared" si="1082"/>
        <v>6</v>
      </c>
      <c r="C1752" s="219">
        <v>41</v>
      </c>
      <c r="E1752" s="447" t="s">
        <v>1276</v>
      </c>
      <c r="F1752" s="23" t="s">
        <v>145</v>
      </c>
      <c r="G1752" s="834" t="s">
        <v>451</v>
      </c>
      <c r="H1752" s="861">
        <v>102968</v>
      </c>
      <c r="I1752" s="197" t="s">
        <v>1442</v>
      </c>
      <c r="J1752" s="174"/>
      <c r="K1752" s="174"/>
      <c r="L1752" s="861">
        <v>1</v>
      </c>
      <c r="M1752" s="861">
        <f t="shared" si="1089"/>
        <v>1</v>
      </c>
      <c r="N1752" s="836" t="s">
        <v>1402</v>
      </c>
      <c r="O1752" s="1196">
        <v>23943</v>
      </c>
      <c r="P1752" s="1262">
        <f t="shared" ca="1" si="1083"/>
        <v>52.2</v>
      </c>
      <c r="Q1752" s="1148">
        <v>23000</v>
      </c>
      <c r="R1752" s="874">
        <f>Q1752*0.1</f>
        <v>2300</v>
      </c>
      <c r="S1752" s="876"/>
      <c r="T1752" s="876"/>
      <c r="U1752" s="876"/>
      <c r="V1752" s="876"/>
      <c r="W1752" s="876"/>
      <c r="X1752" s="1026">
        <f t="shared" si="1084"/>
        <v>25300</v>
      </c>
      <c r="Y1752" s="1512">
        <f t="shared" si="1090"/>
        <v>0</v>
      </c>
      <c r="Z1752" s="1741">
        <f t="shared" si="1086"/>
        <v>1</v>
      </c>
      <c r="AA1752" s="1749"/>
      <c r="AB1752" s="1810">
        <f t="shared" si="1087"/>
        <v>0</v>
      </c>
      <c r="AC1752" s="876"/>
      <c r="AD1752" s="1295"/>
      <c r="AE1752" s="1525"/>
      <c r="AF1752" s="1525"/>
      <c r="AG1752" s="1525"/>
      <c r="AH1752" s="1525"/>
      <c r="AI1752" s="1525"/>
      <c r="AJ1752" s="1525"/>
      <c r="AK1752" s="1525"/>
      <c r="AL1752" s="1525"/>
      <c r="AM1752" s="1525"/>
      <c r="AN1752" s="1525"/>
      <c r="AO1752" s="1525"/>
      <c r="AP1752" s="1525"/>
      <c r="AQ1752" s="1525"/>
      <c r="AR1752" s="1525"/>
      <c r="AS1752" s="1525"/>
      <c r="AU1752" s="1525"/>
      <c r="AV1752" s="1291"/>
      <c r="AW1752" s="1292"/>
      <c r="AX1752" s="1292"/>
      <c r="AY1752" s="1292"/>
      <c r="AZ1752" s="1292"/>
      <c r="BA1752" s="1292"/>
      <c r="BB1752" s="1292"/>
      <c r="BC1752" s="1292"/>
      <c r="BD1752" s="1292"/>
      <c r="BE1752" s="1292"/>
      <c r="BF1752" s="1292"/>
      <c r="BG1752" s="1292"/>
      <c r="BH1752" s="1292"/>
      <c r="BI1752" s="1292"/>
      <c r="BJ1752" s="1292"/>
      <c r="BK1752" s="1292"/>
      <c r="BL1752" s="1292"/>
      <c r="BM1752" s="1292"/>
      <c r="BN1752" s="1292"/>
      <c r="BO1752" s="1292"/>
      <c r="BP1752" s="1292"/>
      <c r="BQ1752" s="1292"/>
      <c r="BR1752" s="1292"/>
      <c r="BS1752" s="1292"/>
      <c r="BT1752" s="1670">
        <f t="shared" si="1088"/>
        <v>0</v>
      </c>
      <c r="BW1752" s="834" t="s">
        <v>451</v>
      </c>
    </row>
    <row r="1753" spans="2:75" ht="12.75" customHeight="1" x14ac:dyDescent="0.2">
      <c r="B1753" s="175">
        <f t="shared" si="1082"/>
        <v>7</v>
      </c>
      <c r="C1753" s="219">
        <v>41</v>
      </c>
      <c r="E1753" s="12" t="s">
        <v>1276</v>
      </c>
      <c r="F1753" s="23" t="s">
        <v>640</v>
      </c>
      <c r="G1753" s="834" t="s">
        <v>610</v>
      </c>
      <c r="H1753" s="861">
        <v>120378</v>
      </c>
      <c r="I1753" s="197" t="s">
        <v>1442</v>
      </c>
      <c r="J1753" s="174"/>
      <c r="K1753" s="174"/>
      <c r="L1753" s="861">
        <v>1</v>
      </c>
      <c r="M1753" s="861">
        <f t="shared" si="1089"/>
        <v>1</v>
      </c>
      <c r="N1753" s="832" t="s">
        <v>1402</v>
      </c>
      <c r="O1753" s="1196">
        <v>22647</v>
      </c>
      <c r="P1753" s="1218">
        <f t="shared" ca="1" si="1083"/>
        <v>55.75277777777778</v>
      </c>
      <c r="Q1753" s="1148">
        <v>29000</v>
      </c>
      <c r="R1753" s="874">
        <f>Q1753*0.1</f>
        <v>2900</v>
      </c>
      <c r="S1753" s="876"/>
      <c r="T1753" s="876"/>
      <c r="U1753" s="876"/>
      <c r="V1753" s="876"/>
      <c r="W1753" s="875">
        <f>ROUND((Q1753+R1753)*0.12,0)</f>
        <v>3828</v>
      </c>
      <c r="X1753" s="1026">
        <f t="shared" si="1084"/>
        <v>35728</v>
      </c>
      <c r="Y1753" s="1512">
        <f t="shared" si="1090"/>
        <v>0.12</v>
      </c>
      <c r="Z1753" s="1741">
        <f t="shared" si="1086"/>
        <v>1.1200000000000001</v>
      </c>
      <c r="AA1753" s="1749"/>
      <c r="AB1753" s="1810">
        <f t="shared" si="1087"/>
        <v>0</v>
      </c>
      <c r="AC1753" s="876"/>
      <c r="AD1753" s="1295"/>
      <c r="AE1753" s="1525"/>
      <c r="AF1753" s="1525"/>
      <c r="AG1753" s="1525"/>
      <c r="AH1753" s="1525"/>
      <c r="AI1753" s="1525"/>
      <c r="AJ1753" s="1525"/>
      <c r="AK1753" s="1525"/>
      <c r="AL1753" s="1525"/>
      <c r="AM1753" s="1525"/>
      <c r="AN1753" s="1525"/>
      <c r="AO1753" s="1525"/>
      <c r="AP1753" s="1525"/>
      <c r="AQ1753" s="1525"/>
      <c r="AR1753" s="1525"/>
      <c r="AS1753" s="1525"/>
      <c r="AU1753" s="1525"/>
      <c r="AV1753" s="1291"/>
      <c r="AW1753" s="1292"/>
      <c r="AX1753" s="1292"/>
      <c r="AY1753" s="1292"/>
      <c r="AZ1753" s="1292"/>
      <c r="BA1753" s="1292"/>
      <c r="BB1753" s="1292"/>
      <c r="BC1753" s="1292"/>
      <c r="BD1753" s="1292"/>
      <c r="BE1753" s="1292"/>
      <c r="BF1753" s="1292"/>
      <c r="BG1753" s="1292"/>
      <c r="BH1753" s="1292"/>
      <c r="BI1753" s="1292"/>
      <c r="BJ1753" s="1292"/>
      <c r="BK1753" s="1292"/>
      <c r="BL1753" s="1292"/>
      <c r="BM1753" s="1292"/>
      <c r="BN1753" s="1292"/>
      <c r="BO1753" s="1292"/>
      <c r="BP1753" s="1292"/>
      <c r="BQ1753" s="1292"/>
      <c r="BR1753" s="1292"/>
      <c r="BS1753" s="1292"/>
      <c r="BT1753" s="1670">
        <f t="shared" si="1088"/>
        <v>0</v>
      </c>
      <c r="BW1753" s="834" t="s">
        <v>610</v>
      </c>
    </row>
    <row r="1754" spans="2:75" ht="12.75" customHeight="1" x14ac:dyDescent="0.2">
      <c r="B1754" s="175">
        <f t="shared" si="1082"/>
        <v>8</v>
      </c>
      <c r="C1754" s="219">
        <v>41</v>
      </c>
      <c r="E1754" s="12" t="s">
        <v>1276</v>
      </c>
      <c r="F1754" s="65" t="s">
        <v>1671</v>
      </c>
      <c r="G1754" s="834" t="s">
        <v>11</v>
      </c>
      <c r="H1754" s="861">
        <v>110645</v>
      </c>
      <c r="I1754" s="197" t="s">
        <v>1442</v>
      </c>
      <c r="J1754" s="195"/>
      <c r="K1754" s="174"/>
      <c r="L1754" s="861">
        <v>1</v>
      </c>
      <c r="M1754" s="861">
        <f t="shared" si="1089"/>
        <v>1</v>
      </c>
      <c r="N1754" s="832" t="s">
        <v>1402</v>
      </c>
      <c r="O1754" s="1196">
        <v>23114</v>
      </c>
      <c r="P1754" s="1218">
        <f t="shared" ca="1" si="1083"/>
        <v>54.469444444444441</v>
      </c>
      <c r="Q1754" s="1148">
        <v>27000</v>
      </c>
      <c r="R1754" s="874">
        <f>Q1754*0.1</f>
        <v>2700</v>
      </c>
      <c r="S1754" s="876"/>
      <c r="T1754" s="876"/>
      <c r="U1754" s="876"/>
      <c r="V1754" s="876"/>
      <c r="W1754" s="876"/>
      <c r="X1754" s="1026">
        <f t="shared" si="1084"/>
        <v>29700</v>
      </c>
      <c r="Y1754" s="1512">
        <f t="shared" si="1090"/>
        <v>0</v>
      </c>
      <c r="Z1754" s="1741">
        <f t="shared" si="1086"/>
        <v>1</v>
      </c>
      <c r="AA1754" s="1749"/>
      <c r="AB1754" s="1810">
        <f t="shared" si="1087"/>
        <v>0</v>
      </c>
      <c r="AC1754" s="876"/>
      <c r="AD1754" s="1295"/>
      <c r="AE1754" s="1525"/>
      <c r="AF1754" s="1525"/>
      <c r="AG1754" s="1525"/>
      <c r="AH1754" s="1525"/>
      <c r="AI1754" s="1525"/>
      <c r="AJ1754" s="1525"/>
      <c r="AK1754" s="1525"/>
      <c r="AL1754" s="1525"/>
      <c r="AM1754" s="1525"/>
      <c r="AN1754" s="1525"/>
      <c r="AO1754" s="1525"/>
      <c r="AP1754" s="1525"/>
      <c r="AQ1754" s="1525"/>
      <c r="AR1754" s="1525"/>
      <c r="AS1754" s="1525"/>
      <c r="AU1754" s="1525"/>
      <c r="AV1754" s="1291"/>
      <c r="AW1754" s="1292"/>
      <c r="AX1754" s="1292"/>
      <c r="AY1754" s="1292"/>
      <c r="AZ1754" s="1292"/>
      <c r="BA1754" s="1292"/>
      <c r="BB1754" s="1292"/>
      <c r="BC1754" s="1292"/>
      <c r="BD1754" s="1292"/>
      <c r="BE1754" s="1292"/>
      <c r="BF1754" s="1292"/>
      <c r="BG1754" s="1292"/>
      <c r="BH1754" s="1292"/>
      <c r="BI1754" s="1292"/>
      <c r="BJ1754" s="1292"/>
      <c r="BK1754" s="1292"/>
      <c r="BL1754" s="1292"/>
      <c r="BM1754" s="1292"/>
      <c r="BN1754" s="1292"/>
      <c r="BO1754" s="1292"/>
      <c r="BP1754" s="1292"/>
      <c r="BQ1754" s="1292"/>
      <c r="BR1754" s="1292"/>
      <c r="BS1754" s="1292"/>
      <c r="BT1754" s="1670">
        <f t="shared" si="1088"/>
        <v>0</v>
      </c>
      <c r="BW1754" s="834" t="s">
        <v>11</v>
      </c>
    </row>
    <row r="1755" spans="2:75" ht="12.75" customHeight="1" x14ac:dyDescent="0.2">
      <c r="B1755" s="175">
        <f t="shared" si="1082"/>
        <v>9</v>
      </c>
      <c r="C1755" s="219">
        <v>41</v>
      </c>
      <c r="E1755" s="12" t="s">
        <v>1276</v>
      </c>
      <c r="F1755" s="72" t="s">
        <v>1672</v>
      </c>
      <c r="G1755" s="912" t="s">
        <v>1641</v>
      </c>
      <c r="H1755" s="873">
        <v>140328</v>
      </c>
      <c r="I1755" s="196" t="s">
        <v>1442</v>
      </c>
      <c r="J1755" s="174"/>
      <c r="K1755" s="195"/>
      <c r="L1755" s="873">
        <v>1</v>
      </c>
      <c r="M1755" s="873">
        <f t="shared" si="1089"/>
        <v>1</v>
      </c>
      <c r="N1755" s="940" t="s">
        <v>1402</v>
      </c>
      <c r="O1755" s="1211">
        <v>21349</v>
      </c>
      <c r="P1755" s="1218">
        <f t="shared" ca="1" si="1083"/>
        <v>59.302777777777777</v>
      </c>
      <c r="Q1755" s="1071">
        <v>28000</v>
      </c>
      <c r="R1755" s="874">
        <f>Q1755*0.1</f>
        <v>2800</v>
      </c>
      <c r="S1755" s="891"/>
      <c r="T1755" s="891"/>
      <c r="U1755" s="891"/>
      <c r="V1755" s="891"/>
      <c r="W1755" s="891"/>
      <c r="X1755" s="1026">
        <f t="shared" si="1084"/>
        <v>30800</v>
      </c>
      <c r="Y1755" s="1512">
        <f t="shared" si="1090"/>
        <v>0</v>
      </c>
      <c r="Z1755" s="1741">
        <f t="shared" si="1086"/>
        <v>1</v>
      </c>
      <c r="AA1755" s="1749"/>
      <c r="AB1755" s="1810">
        <f t="shared" si="1087"/>
        <v>0</v>
      </c>
      <c r="AC1755" s="876"/>
      <c r="AD1755" s="1295"/>
      <c r="AE1755" s="1525"/>
      <c r="AF1755" s="1525"/>
      <c r="AG1755" s="1525"/>
      <c r="AH1755" s="1525"/>
      <c r="AI1755" s="1525"/>
      <c r="AJ1755" s="1525"/>
      <c r="AK1755" s="1525"/>
      <c r="AL1755" s="1525"/>
      <c r="AM1755" s="1525"/>
      <c r="AN1755" s="1525"/>
      <c r="AO1755" s="1525"/>
      <c r="AP1755" s="1525"/>
      <c r="AQ1755" s="1525"/>
      <c r="AR1755" s="1525"/>
      <c r="AS1755" s="1525"/>
      <c r="AU1755" s="1525"/>
      <c r="AV1755" s="1291"/>
      <c r="AW1755" s="1292"/>
      <c r="AX1755" s="1292"/>
      <c r="AY1755" s="1292"/>
      <c r="AZ1755" s="1292"/>
      <c r="BA1755" s="1292"/>
      <c r="BB1755" s="1292"/>
      <c r="BC1755" s="1292"/>
      <c r="BD1755" s="1292"/>
      <c r="BE1755" s="1292"/>
      <c r="BF1755" s="1292"/>
      <c r="BG1755" s="1292"/>
      <c r="BH1755" s="1292"/>
      <c r="BI1755" s="1292"/>
      <c r="BJ1755" s="1292"/>
      <c r="BK1755" s="1292"/>
      <c r="BL1755" s="1292"/>
      <c r="BM1755" s="1292"/>
      <c r="BN1755" s="1292"/>
      <c r="BO1755" s="1292"/>
      <c r="BP1755" s="1292"/>
      <c r="BQ1755" s="1292"/>
      <c r="BR1755" s="1292"/>
      <c r="BS1755" s="1292"/>
      <c r="BT1755" s="1670">
        <f t="shared" si="1088"/>
        <v>0</v>
      </c>
      <c r="BW1755" s="912" t="s">
        <v>1641</v>
      </c>
    </row>
    <row r="1756" spans="2:75" s="164" customFormat="1" ht="12.75" customHeight="1" x14ac:dyDescent="0.15">
      <c r="B1756" s="175"/>
      <c r="C1756" s="219" t="s">
        <v>1120</v>
      </c>
      <c r="F1756" s="30" t="s">
        <v>1602</v>
      </c>
      <c r="G1756" s="821"/>
      <c r="H1756" s="1361" t="s">
        <v>1508</v>
      </c>
      <c r="I1756" s="188"/>
      <c r="J1756" s="208"/>
      <c r="K1756" s="448">
        <f>SUM(K1747:K1752)</f>
        <v>0</v>
      </c>
      <c r="L1756" s="902">
        <f>SUM(L1747:L1755)</f>
        <v>9</v>
      </c>
      <c r="M1756" s="902">
        <f>SUM(M1747:M1755)</f>
        <v>9</v>
      </c>
      <c r="N1756" s="857"/>
      <c r="O1756" s="1200"/>
      <c r="P1756" s="550"/>
      <c r="Q1756" s="1153"/>
      <c r="R1756" s="877"/>
      <c r="S1756" s="875"/>
      <c r="T1756" s="875"/>
      <c r="U1756" s="875"/>
      <c r="V1756" s="875"/>
      <c r="W1756" s="875"/>
      <c r="X1756" s="1026"/>
      <c r="Y1756" s="1335"/>
      <c r="Z1756" s="1335"/>
      <c r="AA1756" s="1775"/>
      <c r="AB1756" s="1814"/>
      <c r="AC1756" s="876"/>
      <c r="AD1756" s="1295"/>
      <c r="AE1756" s="1525"/>
      <c r="AF1756" s="1525"/>
      <c r="AG1756" s="1525"/>
      <c r="AH1756" s="1525"/>
      <c r="AI1756" s="1525"/>
      <c r="AJ1756" s="1525"/>
      <c r="AK1756" s="1525"/>
      <c r="AL1756" s="1525"/>
      <c r="AM1756" s="1525"/>
      <c r="AN1756" s="1525"/>
      <c r="AO1756" s="1525"/>
      <c r="AP1756" s="1525"/>
      <c r="AQ1756" s="1525"/>
      <c r="AR1756" s="1525"/>
      <c r="AS1756" s="1525"/>
      <c r="AU1756" s="1525"/>
      <c r="AV1756" s="1295"/>
      <c r="AW1756" s="1525"/>
      <c r="AX1756" s="1525"/>
      <c r="AY1756" s="1525"/>
      <c r="AZ1756" s="1525"/>
      <c r="BA1756" s="1525"/>
      <c r="BB1756" s="1525"/>
      <c r="BC1756" s="1525"/>
      <c r="BD1756" s="1525"/>
      <c r="BE1756" s="1525"/>
      <c r="BF1756" s="1525"/>
      <c r="BG1756" s="1525"/>
      <c r="BH1756" s="1525"/>
      <c r="BI1756" s="1525"/>
      <c r="BJ1756" s="1525"/>
      <c r="BK1756" s="1525"/>
      <c r="BL1756" s="1525"/>
      <c r="BM1756" s="1525"/>
      <c r="BN1756" s="1525"/>
      <c r="BO1756" s="1525"/>
      <c r="BP1756" s="1525"/>
      <c r="BQ1756" s="1525"/>
      <c r="BR1756" s="1525"/>
      <c r="BS1756" s="1525"/>
      <c r="BT1756" s="1670"/>
      <c r="BV1756"/>
      <c r="BW1756" s="821"/>
    </row>
    <row r="1757" spans="2:75" s="164" customFormat="1" ht="12.75" customHeight="1" x14ac:dyDescent="0.15">
      <c r="B1757" s="175"/>
      <c r="F1757" s="30"/>
      <c r="G1757" s="1017"/>
      <c r="H1757" s="1359" t="s">
        <v>1508</v>
      </c>
      <c r="I1757" s="188"/>
      <c r="J1757" s="208"/>
      <c r="K1757" s="208"/>
      <c r="L1757" s="897"/>
      <c r="M1757" s="897"/>
      <c r="N1757" s="857"/>
      <c r="O1757" s="1200"/>
      <c r="P1757" s="550"/>
      <c r="Q1757" s="1148"/>
      <c r="R1757" s="874"/>
      <c r="S1757" s="875"/>
      <c r="T1757" s="875"/>
      <c r="U1757" s="875"/>
      <c r="V1757" s="875"/>
      <c r="W1757" s="875"/>
      <c r="X1757" s="1026"/>
      <c r="Y1757" s="1754"/>
      <c r="Z1757" s="1755"/>
      <c r="AA1757" s="1775"/>
      <c r="AB1757" s="1814"/>
      <c r="AC1757" s="876"/>
      <c r="AD1757" s="1295"/>
      <c r="AE1757" s="1525"/>
      <c r="AF1757" s="1525"/>
      <c r="AG1757" s="1525"/>
      <c r="AH1757" s="1525"/>
      <c r="AI1757" s="1525"/>
      <c r="AJ1757" s="1525"/>
      <c r="AK1757" s="1525"/>
      <c r="AL1757" s="1525"/>
      <c r="AM1757" s="1525"/>
      <c r="AN1757" s="1525"/>
      <c r="AO1757" s="1525"/>
      <c r="AP1757" s="1525"/>
      <c r="AQ1757" s="1525"/>
      <c r="AR1757" s="1525"/>
      <c r="AS1757" s="1525"/>
      <c r="AU1757" s="1525"/>
      <c r="AV1757" s="1295"/>
      <c r="AW1757" s="1525"/>
      <c r="AX1757" s="1525"/>
      <c r="AY1757" s="1525"/>
      <c r="AZ1757" s="1525"/>
      <c r="BA1757" s="1525"/>
      <c r="BB1757" s="1525"/>
      <c r="BC1757" s="1525"/>
      <c r="BD1757" s="1525"/>
      <c r="BE1757" s="1525"/>
      <c r="BF1757" s="1525"/>
      <c r="BG1757" s="1525"/>
      <c r="BH1757" s="1525"/>
      <c r="BI1757" s="1525"/>
      <c r="BJ1757" s="1525"/>
      <c r="BK1757" s="1525"/>
      <c r="BL1757" s="1525"/>
      <c r="BM1757" s="1525"/>
      <c r="BN1757" s="1525"/>
      <c r="BO1757" s="1525"/>
      <c r="BP1757" s="1525"/>
      <c r="BQ1757" s="1525"/>
      <c r="BR1757" s="1525"/>
      <c r="BS1757" s="1525"/>
      <c r="BT1757" s="1670"/>
      <c r="BV1757"/>
      <c r="BW1757" s="1017"/>
    </row>
    <row r="1758" spans="2:75" s="164" customFormat="1" ht="12.75" customHeight="1" x14ac:dyDescent="0.15">
      <c r="B1758" s="175"/>
      <c r="F1758" s="21" t="s">
        <v>1170</v>
      </c>
      <c r="G1758" s="1017"/>
      <c r="H1758" s="1359" t="s">
        <v>1508</v>
      </c>
      <c r="I1758" s="188"/>
      <c r="J1758" s="208"/>
      <c r="K1758" s="208"/>
      <c r="L1758" s="897"/>
      <c r="M1758" s="897"/>
      <c r="N1758" s="857"/>
      <c r="O1758" s="1200"/>
      <c r="P1758" s="550"/>
      <c r="Q1758" s="1148"/>
      <c r="R1758" s="874"/>
      <c r="S1758" s="875"/>
      <c r="T1758" s="875"/>
      <c r="U1758" s="875"/>
      <c r="V1758" s="875"/>
      <c r="W1758" s="875"/>
      <c r="X1758" s="1026"/>
      <c r="Y1758" s="1754"/>
      <c r="Z1758" s="1755"/>
      <c r="AA1758" s="1775"/>
      <c r="AB1758" s="1814"/>
      <c r="AC1758" s="876"/>
      <c r="AD1758" s="1295"/>
      <c r="AE1758" s="1525"/>
      <c r="AF1758" s="1525"/>
      <c r="AG1758" s="1525"/>
      <c r="AH1758" s="1525"/>
      <c r="AI1758" s="1525"/>
      <c r="AJ1758" s="1525"/>
      <c r="AK1758" s="1525"/>
      <c r="AL1758" s="1525"/>
      <c r="AM1758" s="1525"/>
      <c r="AN1758" s="1525"/>
      <c r="AO1758" s="1525"/>
      <c r="AP1758" s="1525"/>
      <c r="AQ1758" s="1525"/>
      <c r="AR1758" s="1525"/>
      <c r="AS1758" s="1525"/>
      <c r="AU1758" s="1525"/>
      <c r="AV1758" s="1295"/>
      <c r="AW1758" s="1525"/>
      <c r="AX1758" s="1525"/>
      <c r="AY1758" s="1525"/>
      <c r="AZ1758" s="1525"/>
      <c r="BA1758" s="1525"/>
      <c r="BB1758" s="1525"/>
      <c r="BC1758" s="1525"/>
      <c r="BD1758" s="1525"/>
      <c r="BE1758" s="1525"/>
      <c r="BF1758" s="1525"/>
      <c r="BG1758" s="1525"/>
      <c r="BH1758" s="1525"/>
      <c r="BI1758" s="1525"/>
      <c r="BJ1758" s="1525"/>
      <c r="BK1758" s="1525"/>
      <c r="BL1758" s="1525"/>
      <c r="BM1758" s="1525"/>
      <c r="BN1758" s="1525"/>
      <c r="BO1758" s="1525"/>
      <c r="BP1758" s="1525"/>
      <c r="BQ1758" s="1525"/>
      <c r="BR1758" s="1525"/>
      <c r="BS1758" s="1525"/>
      <c r="BT1758" s="1670"/>
      <c r="BV1758"/>
      <c r="BW1758" s="1017"/>
    </row>
    <row r="1759" spans="2:75" s="164" customFormat="1" ht="12.75" customHeight="1" x14ac:dyDescent="0.15">
      <c r="B1759" s="175"/>
      <c r="F1759" s="30" t="s">
        <v>1171</v>
      </c>
      <c r="G1759" s="1017"/>
      <c r="H1759" s="1359" t="s">
        <v>1508</v>
      </c>
      <c r="I1759" s="188"/>
      <c r="J1759" s="208"/>
      <c r="K1759" s="208"/>
      <c r="L1759" s="897"/>
      <c r="M1759" s="897"/>
      <c r="N1759" s="857"/>
      <c r="O1759" s="1200"/>
      <c r="P1759" s="550"/>
      <c r="Q1759" s="1148"/>
      <c r="R1759" s="874"/>
      <c r="S1759" s="875"/>
      <c r="T1759" s="875"/>
      <c r="U1759" s="875"/>
      <c r="V1759" s="875"/>
      <c r="W1759" s="875"/>
      <c r="X1759" s="1026"/>
      <c r="Y1759" s="1754"/>
      <c r="Z1759" s="1755"/>
      <c r="AA1759" s="1775"/>
      <c r="AB1759" s="1814"/>
      <c r="AC1759" s="876"/>
      <c r="AD1759" s="1295"/>
      <c r="AE1759" s="1525"/>
      <c r="AF1759" s="1525"/>
      <c r="AG1759" s="1525"/>
      <c r="AH1759" s="1525"/>
      <c r="AI1759" s="1525"/>
      <c r="AJ1759" s="1525"/>
      <c r="AK1759" s="1525"/>
      <c r="AL1759" s="1525"/>
      <c r="AM1759" s="1525"/>
      <c r="AN1759" s="1525"/>
      <c r="AO1759" s="1525"/>
      <c r="AP1759" s="1525"/>
      <c r="AQ1759" s="1525"/>
      <c r="AR1759" s="1525"/>
      <c r="AS1759" s="1525"/>
      <c r="AU1759" s="1525"/>
      <c r="AV1759" s="1295"/>
      <c r="AW1759" s="1525"/>
      <c r="AX1759" s="1525"/>
      <c r="AY1759" s="1525"/>
      <c r="AZ1759" s="1525"/>
      <c r="BA1759" s="1525"/>
      <c r="BB1759" s="1525"/>
      <c r="BC1759" s="1525"/>
      <c r="BD1759" s="1525"/>
      <c r="BE1759" s="1525"/>
      <c r="BF1759" s="1525"/>
      <c r="BG1759" s="1525"/>
      <c r="BH1759" s="1525"/>
      <c r="BI1759" s="1525"/>
      <c r="BJ1759" s="1525"/>
      <c r="BK1759" s="1525"/>
      <c r="BL1759" s="1525"/>
      <c r="BM1759" s="1525"/>
      <c r="BN1759" s="1525"/>
      <c r="BO1759" s="1525"/>
      <c r="BP1759" s="1525"/>
      <c r="BQ1759" s="1525"/>
      <c r="BR1759" s="1525"/>
      <c r="BS1759" s="1525"/>
      <c r="BT1759" s="1670"/>
      <c r="BV1759"/>
      <c r="BW1759" s="1017"/>
    </row>
    <row r="1760" spans="2:75" s="164" customFormat="1" ht="12.75" customHeight="1" x14ac:dyDescent="0.15">
      <c r="B1760" s="175"/>
      <c r="F1760" s="81"/>
      <c r="G1760" s="821"/>
      <c r="H1760" s="1346" t="s">
        <v>1508</v>
      </c>
      <c r="I1760" s="188"/>
      <c r="J1760" s="208"/>
      <c r="K1760" s="208"/>
      <c r="L1760" s="858"/>
      <c r="M1760" s="858"/>
      <c r="N1760" s="857"/>
      <c r="O1760" s="1200"/>
      <c r="P1760" s="550"/>
      <c r="Q1760" s="1148"/>
      <c r="R1760" s="874"/>
      <c r="S1760" s="875"/>
      <c r="T1760" s="875"/>
      <c r="U1760" s="875"/>
      <c r="V1760" s="875"/>
      <c r="W1760" s="875"/>
      <c r="X1760" s="1026"/>
      <c r="Y1760" s="1754"/>
      <c r="Z1760" s="1755"/>
      <c r="AA1760" s="1775"/>
      <c r="AB1760" s="1814"/>
      <c r="AC1760" s="876"/>
      <c r="AD1760" s="1295"/>
      <c r="AE1760" s="1525"/>
      <c r="AF1760" s="1525"/>
      <c r="AG1760" s="1525"/>
      <c r="AH1760" s="1525"/>
      <c r="AI1760" s="1525"/>
      <c r="AJ1760" s="1525"/>
      <c r="AK1760" s="1525"/>
      <c r="AL1760" s="1525"/>
      <c r="AM1760" s="1525"/>
      <c r="AN1760" s="1525"/>
      <c r="AO1760" s="1525"/>
      <c r="AP1760" s="1525"/>
      <c r="AQ1760" s="1525"/>
      <c r="AR1760" s="1525"/>
      <c r="AS1760" s="1525"/>
      <c r="AU1760" s="1525"/>
      <c r="AV1760" s="1295"/>
      <c r="AW1760" s="1525"/>
      <c r="AX1760" s="1525"/>
      <c r="AY1760" s="1525"/>
      <c r="AZ1760" s="1525"/>
      <c r="BA1760" s="1525"/>
      <c r="BB1760" s="1525"/>
      <c r="BC1760" s="1525"/>
      <c r="BD1760" s="1525"/>
      <c r="BE1760" s="1525"/>
      <c r="BF1760" s="1525"/>
      <c r="BG1760" s="1525"/>
      <c r="BH1760" s="1525"/>
      <c r="BI1760" s="1525"/>
      <c r="BJ1760" s="1525"/>
      <c r="BK1760" s="1525"/>
      <c r="BL1760" s="1525"/>
      <c r="BM1760" s="1525"/>
      <c r="BN1760" s="1525"/>
      <c r="BO1760" s="1525"/>
      <c r="BP1760" s="1525"/>
      <c r="BQ1760" s="1525"/>
      <c r="BR1760" s="1525"/>
      <c r="BS1760" s="1525"/>
      <c r="BT1760" s="1670"/>
      <c r="BV1760"/>
      <c r="BW1760" s="821"/>
    </row>
    <row r="1761" spans="2:75" ht="12.75" customHeight="1" x14ac:dyDescent="0.2">
      <c r="B1761" s="175">
        <f>B1760+1</f>
        <v>1</v>
      </c>
      <c r="C1761" s="220">
        <v>29</v>
      </c>
      <c r="D1761" s="170"/>
      <c r="E1761" s="447" t="s">
        <v>1276</v>
      </c>
      <c r="F1761" s="4" t="s">
        <v>1172</v>
      </c>
      <c r="G1761" s="825" t="s">
        <v>1954</v>
      </c>
      <c r="H1761" s="861">
        <v>3307</v>
      </c>
      <c r="I1761" s="272" t="s">
        <v>583</v>
      </c>
      <c r="J1761" s="170"/>
      <c r="K1761" s="170"/>
      <c r="L1761" s="950">
        <v>1</v>
      </c>
      <c r="M1761" s="861">
        <f t="shared" ref="M1761:M1781" si="1091">K1761+L1761</f>
        <v>1</v>
      </c>
      <c r="N1761" s="836" t="s">
        <v>1402</v>
      </c>
      <c r="O1761" s="1196">
        <v>19467</v>
      </c>
      <c r="P1761" s="1262">
        <f t="shared" ref="P1761:P1781" ca="1" si="1092">YEARFRAC(TODAY(),O1761)</f>
        <v>64.455555555555549</v>
      </c>
      <c r="Q1761" s="1148">
        <v>30000</v>
      </c>
      <c r="R1761" s="874">
        <f>Q1761*0.1</f>
        <v>3000</v>
      </c>
      <c r="S1761" s="876"/>
      <c r="T1761" s="884"/>
      <c r="U1761" s="884"/>
      <c r="V1761" s="884"/>
      <c r="W1761" s="876"/>
      <c r="X1761" s="1026">
        <f t="shared" ref="X1761:X1781" si="1093">(Q1761+R1761+S1761+T1761+U1761+V1761+W1761)*M1761</f>
        <v>33000</v>
      </c>
      <c r="Y1761" s="1512">
        <f t="shared" ref="Y1761:Y1766" si="1094">(T1761+U1761)*M1761/(X1761-M1761*(T1761+U1761))</f>
        <v>0</v>
      </c>
      <c r="Z1761" s="1741">
        <f t="shared" ref="Z1761:Z1781" si="1095">M1761*(1+Y1761)</f>
        <v>1</v>
      </c>
      <c r="AA1761" s="1749"/>
      <c r="AB1761" s="1810">
        <f t="shared" ref="AB1761:AB1781" si="1096">100*AA1761/Z1761</f>
        <v>0</v>
      </c>
      <c r="AC1761" s="876"/>
      <c r="AD1761" s="1295"/>
      <c r="AE1761" s="1525"/>
      <c r="AF1761" s="1525"/>
      <c r="AG1761" s="1525"/>
      <c r="AH1761" s="1525"/>
      <c r="AI1761" s="1525"/>
      <c r="AJ1761" s="1525"/>
      <c r="AK1761" s="1525"/>
      <c r="AL1761" s="1525"/>
      <c r="AM1761" s="1525"/>
      <c r="AN1761" s="1525"/>
      <c r="AO1761" s="1525"/>
      <c r="AP1761" s="1525"/>
      <c r="AQ1761" s="1525"/>
      <c r="AR1761" s="1525"/>
      <c r="AS1761" s="1525"/>
      <c r="AU1761" s="1525"/>
      <c r="AV1761" s="1291"/>
      <c r="AW1761" s="1292"/>
      <c r="AX1761" s="1292"/>
      <c r="AY1761" s="1292"/>
      <c r="AZ1761" s="1292"/>
      <c r="BA1761" s="1292"/>
      <c r="BB1761" s="1292"/>
      <c r="BC1761" s="1292"/>
      <c r="BD1761" s="1292"/>
      <c r="BE1761" s="1292"/>
      <c r="BF1761" s="1292"/>
      <c r="BG1761" s="1292"/>
      <c r="BH1761" s="1292"/>
      <c r="BI1761" s="1292"/>
      <c r="BJ1761" s="1292"/>
      <c r="BK1761" s="1292"/>
      <c r="BL1761" s="1292"/>
      <c r="BM1761" s="1292"/>
      <c r="BN1761" s="1292"/>
      <c r="BO1761" s="1292"/>
      <c r="BP1761" s="1292"/>
      <c r="BQ1761" s="1292"/>
      <c r="BR1761" s="1292"/>
      <c r="BS1761" s="1292"/>
      <c r="BT1761" s="1670">
        <f t="shared" ref="BT1761:BT1781" si="1097">SUM(AV1761:BS1761)</f>
        <v>0</v>
      </c>
      <c r="BW1761" s="825" t="s">
        <v>1954</v>
      </c>
    </row>
    <row r="1762" spans="2:75" ht="12.75" customHeight="1" x14ac:dyDescent="0.2">
      <c r="B1762" s="175">
        <f t="shared" ref="B1762:B1781" si="1098">B1761+1</f>
        <v>2</v>
      </c>
      <c r="C1762" s="219">
        <v>29</v>
      </c>
      <c r="E1762" s="12" t="s">
        <v>1276</v>
      </c>
      <c r="F1762" s="24" t="s">
        <v>465</v>
      </c>
      <c r="G1762" s="821" t="s">
        <v>1173</v>
      </c>
      <c r="H1762" s="858">
        <v>6836</v>
      </c>
      <c r="I1762" s="232" t="s">
        <v>583</v>
      </c>
      <c r="J1762" s="189"/>
      <c r="K1762" s="189"/>
      <c r="L1762" s="843">
        <v>1</v>
      </c>
      <c r="M1762" s="858">
        <f t="shared" si="1091"/>
        <v>1</v>
      </c>
      <c r="N1762" s="999" t="s">
        <v>1402</v>
      </c>
      <c r="O1762" s="1196">
        <v>20876</v>
      </c>
      <c r="P1762" s="1218">
        <f t="shared" ca="1" si="1092"/>
        <v>60.602777777777774</v>
      </c>
      <c r="Q1762" s="1148">
        <v>38000</v>
      </c>
      <c r="R1762" s="874">
        <f>Q1762*0.1</f>
        <v>3800</v>
      </c>
      <c r="S1762" s="875"/>
      <c r="T1762" s="875"/>
      <c r="U1762" s="875"/>
      <c r="V1762" s="875"/>
      <c r="W1762" s="1036"/>
      <c r="X1762" s="1026">
        <f t="shared" si="1093"/>
        <v>41800</v>
      </c>
      <c r="Y1762" s="1512">
        <f t="shared" si="1094"/>
        <v>0</v>
      </c>
      <c r="Z1762" s="1741">
        <f t="shared" si="1095"/>
        <v>1</v>
      </c>
      <c r="AA1762" s="1749"/>
      <c r="AB1762" s="1810">
        <f t="shared" si="1096"/>
        <v>0</v>
      </c>
      <c r="AC1762" s="876"/>
      <c r="AD1762" s="1295"/>
      <c r="AE1762" s="1525"/>
      <c r="AF1762" s="1525"/>
      <c r="AG1762" s="1525"/>
      <c r="AH1762" s="1525"/>
      <c r="AI1762" s="1525"/>
      <c r="AJ1762" s="1525"/>
      <c r="AK1762" s="1525"/>
      <c r="AL1762" s="1525"/>
      <c r="AM1762" s="1525"/>
      <c r="AN1762" s="1525"/>
      <c r="AO1762" s="1525"/>
      <c r="AP1762" s="1525"/>
      <c r="AQ1762" s="1525"/>
      <c r="AR1762" s="1525"/>
      <c r="AS1762" s="1525"/>
      <c r="AU1762" s="1525"/>
      <c r="AV1762" s="1291"/>
      <c r="AW1762" s="1292"/>
      <c r="AX1762" s="1292"/>
      <c r="AY1762" s="1292"/>
      <c r="AZ1762" s="1292"/>
      <c r="BA1762" s="1292"/>
      <c r="BB1762" s="1292"/>
      <c r="BC1762" s="1292"/>
      <c r="BD1762" s="1292"/>
      <c r="BE1762" s="1292"/>
      <c r="BF1762" s="1292"/>
      <c r="BG1762" s="1292"/>
      <c r="BH1762" s="1292"/>
      <c r="BI1762" s="1292"/>
      <c r="BJ1762" s="1292"/>
      <c r="BK1762" s="1292"/>
      <c r="BL1762" s="1292"/>
      <c r="BM1762" s="1292"/>
      <c r="BN1762" s="1292"/>
      <c r="BO1762" s="1292"/>
      <c r="BP1762" s="1292"/>
      <c r="BQ1762" s="1292"/>
      <c r="BR1762" s="1292"/>
      <c r="BS1762" s="1292"/>
      <c r="BT1762" s="1670">
        <f t="shared" si="1097"/>
        <v>0</v>
      </c>
      <c r="BW1762" s="821" t="s">
        <v>1173</v>
      </c>
    </row>
    <row r="1763" spans="2:75" ht="12.75" customHeight="1" x14ac:dyDescent="0.2">
      <c r="B1763" s="175">
        <f t="shared" si="1098"/>
        <v>3</v>
      </c>
      <c r="C1763" s="219">
        <v>47</v>
      </c>
      <c r="E1763" s="12" t="s">
        <v>1276</v>
      </c>
      <c r="F1763" s="4" t="s">
        <v>1152</v>
      </c>
      <c r="G1763" s="821" t="s">
        <v>1154</v>
      </c>
      <c r="H1763" s="858">
        <v>6702</v>
      </c>
      <c r="I1763" s="200" t="s">
        <v>1442</v>
      </c>
      <c r="J1763" s="189"/>
      <c r="K1763" s="189"/>
      <c r="L1763" s="858">
        <v>1</v>
      </c>
      <c r="M1763" s="858">
        <f t="shared" si="1091"/>
        <v>1</v>
      </c>
      <c r="N1763" s="999" t="s">
        <v>1402</v>
      </c>
      <c r="O1763" s="1196">
        <v>20924</v>
      </c>
      <c r="P1763" s="1218">
        <f t="shared" ca="1" si="1092"/>
        <v>60.466666666666669</v>
      </c>
      <c r="Q1763" s="1148">
        <v>31000</v>
      </c>
      <c r="R1763" s="874">
        <f>Q1763*0.1</f>
        <v>3100</v>
      </c>
      <c r="S1763" s="875"/>
      <c r="T1763" s="875"/>
      <c r="U1763" s="875"/>
      <c r="V1763" s="875"/>
      <c r="W1763" s="875"/>
      <c r="X1763" s="1026">
        <f t="shared" si="1093"/>
        <v>34100</v>
      </c>
      <c r="Y1763" s="1512">
        <f t="shared" si="1094"/>
        <v>0</v>
      </c>
      <c r="Z1763" s="1741">
        <f t="shared" si="1095"/>
        <v>1</v>
      </c>
      <c r="AA1763" s="1749"/>
      <c r="AB1763" s="1810">
        <f t="shared" si="1096"/>
        <v>0</v>
      </c>
      <c r="AC1763" s="876"/>
      <c r="AD1763" s="1295"/>
      <c r="AE1763" s="1525"/>
      <c r="AF1763" s="1525"/>
      <c r="AG1763" s="1525"/>
      <c r="AH1763" s="1525"/>
      <c r="AI1763" s="1525"/>
      <c r="AJ1763" s="1525"/>
      <c r="AK1763" s="1525"/>
      <c r="AL1763" s="1525"/>
      <c r="AM1763" s="1525"/>
      <c r="AN1763" s="1525"/>
      <c r="AO1763" s="1525"/>
      <c r="AP1763" s="1525"/>
      <c r="AQ1763" s="1525"/>
      <c r="AR1763" s="1525"/>
      <c r="AS1763" s="1525"/>
      <c r="AU1763" s="1525"/>
      <c r="AV1763" s="1291"/>
      <c r="AW1763" s="1292"/>
      <c r="AX1763" s="1292"/>
      <c r="AY1763" s="1292"/>
      <c r="AZ1763" s="1292"/>
      <c r="BA1763" s="1292"/>
      <c r="BB1763" s="1292"/>
      <c r="BC1763" s="1292"/>
      <c r="BD1763" s="1292"/>
      <c r="BE1763" s="1292"/>
      <c r="BF1763" s="1292"/>
      <c r="BG1763" s="1292"/>
      <c r="BH1763" s="1292"/>
      <c r="BI1763" s="1292"/>
      <c r="BJ1763" s="1292"/>
      <c r="BK1763" s="1292"/>
      <c r="BL1763" s="1292"/>
      <c r="BM1763" s="1292"/>
      <c r="BN1763" s="1292"/>
      <c r="BO1763" s="1292"/>
      <c r="BP1763" s="1292"/>
      <c r="BQ1763" s="1292"/>
      <c r="BR1763" s="1292"/>
      <c r="BS1763" s="1292"/>
      <c r="BT1763" s="1670">
        <f t="shared" si="1097"/>
        <v>0</v>
      </c>
      <c r="BW1763" s="821" t="s">
        <v>1154</v>
      </c>
    </row>
    <row r="1764" spans="2:75" ht="12.75" customHeight="1" x14ac:dyDescent="0.2">
      <c r="B1764" s="175">
        <f t="shared" si="1098"/>
        <v>4</v>
      </c>
      <c r="C1764" s="219">
        <v>47</v>
      </c>
      <c r="E1764" s="12" t="s">
        <v>1276</v>
      </c>
      <c r="F1764" s="4" t="s">
        <v>703</v>
      </c>
      <c r="G1764" s="821" t="s">
        <v>806</v>
      </c>
      <c r="H1764" s="858">
        <v>105043</v>
      </c>
      <c r="I1764" s="200" t="s">
        <v>1442</v>
      </c>
      <c r="J1764" s="224"/>
      <c r="K1764" s="189"/>
      <c r="L1764" s="858">
        <v>1</v>
      </c>
      <c r="M1764" s="858">
        <f t="shared" si="1091"/>
        <v>1</v>
      </c>
      <c r="N1764" s="999" t="s">
        <v>1402</v>
      </c>
      <c r="O1764" s="1196">
        <v>23317</v>
      </c>
      <c r="P1764" s="1218">
        <f t="shared" ca="1" si="1092"/>
        <v>53.916666666666664</v>
      </c>
      <c r="Q1764" s="1148">
        <v>28000</v>
      </c>
      <c r="R1764" s="874">
        <f>Q1764*0.1</f>
        <v>2800</v>
      </c>
      <c r="S1764" s="875"/>
      <c r="T1764" s="875"/>
      <c r="U1764" s="875"/>
      <c r="V1764" s="875"/>
      <c r="W1764" s="875"/>
      <c r="X1764" s="1026">
        <f t="shared" si="1093"/>
        <v>30800</v>
      </c>
      <c r="Y1764" s="1512">
        <f t="shared" si="1094"/>
        <v>0</v>
      </c>
      <c r="Z1764" s="1741">
        <f t="shared" si="1095"/>
        <v>1</v>
      </c>
      <c r="AA1764" s="1749"/>
      <c r="AB1764" s="1810">
        <f t="shared" si="1096"/>
        <v>0</v>
      </c>
      <c r="AC1764" s="876"/>
      <c r="AD1764" s="1295"/>
      <c r="AE1764" s="1525"/>
      <c r="AF1764" s="1525"/>
      <c r="AG1764" s="1525"/>
      <c r="AH1764" s="1525"/>
      <c r="AI1764" s="1525"/>
      <c r="AJ1764" s="1525"/>
      <c r="AK1764" s="1525"/>
      <c r="AL1764" s="1525"/>
      <c r="AM1764" s="1525"/>
      <c r="AN1764" s="1525"/>
      <c r="AO1764" s="1525"/>
      <c r="AP1764" s="1525"/>
      <c r="AQ1764" s="1525"/>
      <c r="AR1764" s="1525"/>
      <c r="AS1764" s="1525"/>
      <c r="AU1764" s="1525"/>
      <c r="AV1764" s="1291"/>
      <c r="AW1764" s="1292"/>
      <c r="AX1764" s="1292"/>
      <c r="AY1764" s="1292"/>
      <c r="AZ1764" s="1292"/>
      <c r="BA1764" s="1292"/>
      <c r="BB1764" s="1292"/>
      <c r="BC1764" s="1292"/>
      <c r="BD1764" s="1292"/>
      <c r="BE1764" s="1292"/>
      <c r="BF1764" s="1292"/>
      <c r="BG1764" s="1292"/>
      <c r="BH1764" s="1292"/>
      <c r="BI1764" s="1292"/>
      <c r="BJ1764" s="1292"/>
      <c r="BK1764" s="1292"/>
      <c r="BL1764" s="1292"/>
      <c r="BM1764" s="1292"/>
      <c r="BN1764" s="1292"/>
      <c r="BO1764" s="1292"/>
      <c r="BP1764" s="1292"/>
      <c r="BQ1764" s="1292"/>
      <c r="BR1764" s="1292"/>
      <c r="BS1764" s="1292"/>
      <c r="BT1764" s="1670">
        <f t="shared" si="1097"/>
        <v>0</v>
      </c>
      <c r="BW1764" s="821" t="s">
        <v>806</v>
      </c>
    </row>
    <row r="1765" spans="2:75" ht="12.75" customHeight="1" x14ac:dyDescent="0.2">
      <c r="B1765" s="175">
        <f t="shared" si="1098"/>
        <v>5</v>
      </c>
      <c r="C1765" s="219">
        <v>47</v>
      </c>
      <c r="E1765" s="12" t="s">
        <v>1276</v>
      </c>
      <c r="F1765" s="4" t="s">
        <v>1774</v>
      </c>
      <c r="G1765" s="821" t="s">
        <v>1812</v>
      </c>
      <c r="H1765" s="858">
        <v>160770</v>
      </c>
      <c r="I1765" s="200" t="s">
        <v>1442</v>
      </c>
      <c r="J1765" s="189"/>
      <c r="K1765" s="189"/>
      <c r="L1765" s="858">
        <v>1</v>
      </c>
      <c r="M1765" s="858">
        <f t="shared" si="1091"/>
        <v>1</v>
      </c>
      <c r="N1765" s="999" t="s">
        <v>892</v>
      </c>
      <c r="O1765" s="1196">
        <v>23508</v>
      </c>
      <c r="P1765" s="1218">
        <f t="shared" ca="1" si="1092"/>
        <v>53.391666666666666</v>
      </c>
      <c r="Q1765" s="1148">
        <v>30000</v>
      </c>
      <c r="R1765" s="874"/>
      <c r="S1765" s="875"/>
      <c r="T1765" s="875"/>
      <c r="U1765" s="875"/>
      <c r="V1765" s="875"/>
      <c r="W1765" s="875"/>
      <c r="X1765" s="1026">
        <f t="shared" si="1093"/>
        <v>30000</v>
      </c>
      <c r="Y1765" s="1512">
        <f t="shared" si="1094"/>
        <v>0</v>
      </c>
      <c r="Z1765" s="1741">
        <f t="shared" si="1095"/>
        <v>1</v>
      </c>
      <c r="AA1765" s="1749"/>
      <c r="AB1765" s="1810">
        <f t="shared" si="1096"/>
        <v>0</v>
      </c>
      <c r="AC1765" s="876"/>
      <c r="AD1765" s="1295"/>
      <c r="AE1765" s="1525"/>
      <c r="AF1765" s="1525"/>
      <c r="AG1765" s="1525"/>
      <c r="AH1765" s="1525"/>
      <c r="AI1765" s="1525"/>
      <c r="AJ1765" s="1525"/>
      <c r="AK1765" s="1525"/>
      <c r="AL1765" s="1525"/>
      <c r="AM1765" s="1525"/>
      <c r="AN1765" s="1525"/>
      <c r="AO1765" s="1525"/>
      <c r="AP1765" s="1525"/>
      <c r="AQ1765" s="1525"/>
      <c r="AR1765" s="1525"/>
      <c r="AS1765" s="1525"/>
      <c r="AU1765" s="1525"/>
      <c r="AV1765" s="1291"/>
      <c r="AW1765" s="1292"/>
      <c r="AX1765" s="1292"/>
      <c r="AY1765" s="1292"/>
      <c r="AZ1765" s="1292"/>
      <c r="BA1765" s="1292"/>
      <c r="BB1765" s="1292"/>
      <c r="BC1765" s="1292"/>
      <c r="BD1765" s="1292"/>
      <c r="BE1765" s="1292"/>
      <c r="BF1765" s="1292"/>
      <c r="BG1765" s="1292"/>
      <c r="BH1765" s="1292"/>
      <c r="BI1765" s="1292"/>
      <c r="BJ1765" s="1292"/>
      <c r="BK1765" s="1292"/>
      <c r="BL1765" s="1292"/>
      <c r="BM1765" s="1292"/>
      <c r="BN1765" s="1292"/>
      <c r="BO1765" s="1292"/>
      <c r="BP1765" s="1292"/>
      <c r="BQ1765" s="1292"/>
      <c r="BR1765" s="1292"/>
      <c r="BS1765" s="1292"/>
      <c r="BT1765" s="1670">
        <f t="shared" si="1097"/>
        <v>0</v>
      </c>
      <c r="BW1765" s="821" t="s">
        <v>1812</v>
      </c>
    </row>
    <row r="1766" spans="2:75" ht="12.75" customHeight="1" x14ac:dyDescent="0.2">
      <c r="B1766" s="175">
        <f t="shared" si="1098"/>
        <v>6</v>
      </c>
      <c r="C1766" s="219">
        <v>47</v>
      </c>
      <c r="E1766" s="12" t="s">
        <v>1276</v>
      </c>
      <c r="F1766" s="4" t="s">
        <v>1153</v>
      </c>
      <c r="G1766" s="821" t="s">
        <v>1156</v>
      </c>
      <c r="H1766" s="858">
        <v>6755</v>
      </c>
      <c r="I1766" s="200" t="s">
        <v>1442</v>
      </c>
      <c r="J1766" s="189"/>
      <c r="K1766" s="189"/>
      <c r="L1766" s="858">
        <v>1</v>
      </c>
      <c r="M1766" s="858">
        <f t="shared" si="1091"/>
        <v>1</v>
      </c>
      <c r="N1766" s="999" t="s">
        <v>1402</v>
      </c>
      <c r="O1766" s="1196">
        <v>19390</v>
      </c>
      <c r="P1766" s="1218">
        <f t="shared" ca="1" si="1092"/>
        <v>64.672222222222217</v>
      </c>
      <c r="Q1766" s="1148">
        <v>28000</v>
      </c>
      <c r="R1766" s="874">
        <f>Q1766*0.1</f>
        <v>2800</v>
      </c>
      <c r="S1766" s="875"/>
      <c r="T1766" s="875"/>
      <c r="U1766" s="875"/>
      <c r="V1766" s="875"/>
      <c r="W1766" s="876"/>
      <c r="X1766" s="1026">
        <f t="shared" si="1093"/>
        <v>30800</v>
      </c>
      <c r="Y1766" s="1512">
        <f t="shared" si="1094"/>
        <v>0</v>
      </c>
      <c r="Z1766" s="1741">
        <f t="shared" si="1095"/>
        <v>1</v>
      </c>
      <c r="AA1766" s="1749"/>
      <c r="AB1766" s="1810">
        <f t="shared" si="1096"/>
        <v>0</v>
      </c>
      <c r="AC1766" s="876"/>
      <c r="AD1766" s="1295"/>
      <c r="AE1766" s="1525"/>
      <c r="AF1766" s="1525"/>
      <c r="AG1766" s="1525"/>
      <c r="AH1766" s="1525"/>
      <c r="AI1766" s="1525"/>
      <c r="AJ1766" s="1525"/>
      <c r="AK1766" s="1525"/>
      <c r="AL1766" s="1525"/>
      <c r="AM1766" s="1525"/>
      <c r="AN1766" s="1525"/>
      <c r="AO1766" s="1525"/>
      <c r="AP1766" s="1525"/>
      <c r="AQ1766" s="1525"/>
      <c r="AR1766" s="1525"/>
      <c r="AS1766" s="1525"/>
      <c r="AU1766" s="1525"/>
      <c r="AV1766" s="1291"/>
      <c r="AW1766" s="1292"/>
      <c r="AX1766" s="1292"/>
      <c r="AY1766" s="1292"/>
      <c r="AZ1766" s="1292"/>
      <c r="BA1766" s="1292"/>
      <c r="BB1766" s="1292"/>
      <c r="BC1766" s="1292"/>
      <c r="BD1766" s="1292"/>
      <c r="BE1766" s="1292"/>
      <c r="BF1766" s="1292"/>
      <c r="BG1766" s="1292"/>
      <c r="BH1766" s="1292"/>
      <c r="BI1766" s="1292"/>
      <c r="BJ1766" s="1292"/>
      <c r="BK1766" s="1292"/>
      <c r="BL1766" s="1292"/>
      <c r="BM1766" s="1292"/>
      <c r="BN1766" s="1292"/>
      <c r="BO1766" s="1292"/>
      <c r="BP1766" s="1292"/>
      <c r="BQ1766" s="1292"/>
      <c r="BR1766" s="1292"/>
      <c r="BS1766" s="1292"/>
      <c r="BT1766" s="1670">
        <f t="shared" si="1097"/>
        <v>0</v>
      </c>
      <c r="BW1766" s="821" t="s">
        <v>1156</v>
      </c>
    </row>
    <row r="1767" spans="2:75" ht="12.75" customHeight="1" x14ac:dyDescent="0.2">
      <c r="B1767" s="175">
        <f t="shared" si="1098"/>
        <v>7</v>
      </c>
      <c r="C1767" s="219">
        <v>47</v>
      </c>
      <c r="E1767" s="12" t="s">
        <v>1276</v>
      </c>
      <c r="F1767" s="4" t="s">
        <v>1152</v>
      </c>
      <c r="G1767" s="821" t="s">
        <v>991</v>
      </c>
      <c r="H1767" s="858">
        <v>6741</v>
      </c>
      <c r="I1767" s="200" t="s">
        <v>1442</v>
      </c>
      <c r="J1767" s="189"/>
      <c r="K1767" s="189"/>
      <c r="L1767" s="858">
        <v>0.5</v>
      </c>
      <c r="M1767" s="858">
        <f t="shared" si="1091"/>
        <v>0.5</v>
      </c>
      <c r="N1767" s="999" t="s">
        <v>892</v>
      </c>
      <c r="O1767" s="1196">
        <v>13091</v>
      </c>
      <c r="P1767" s="1218">
        <f t="shared" ca="1" si="1092"/>
        <v>81.913888888888891</v>
      </c>
      <c r="Q1767" s="1148">
        <v>34800</v>
      </c>
      <c r="R1767" s="874"/>
      <c r="S1767" s="875"/>
      <c r="T1767" s="875"/>
      <c r="U1767" s="875"/>
      <c r="V1767" s="875"/>
      <c r="W1767" s="876">
        <f>ROUND((Q1767+R1767)*0.6,0)</f>
        <v>20880</v>
      </c>
      <c r="X1767" s="1026">
        <f t="shared" si="1093"/>
        <v>27840</v>
      </c>
      <c r="Y1767" s="1512">
        <f t="shared" ref="Y1767:Y1781" si="1099">(T1767+U1767+V1767+W1767)*M1767/(X1767-M1767*(T1767+U1767+V1767+W1767))</f>
        <v>0.6</v>
      </c>
      <c r="Z1767" s="1741">
        <f t="shared" si="1095"/>
        <v>0.8</v>
      </c>
      <c r="AA1767" s="1749"/>
      <c r="AB1767" s="1810">
        <f t="shared" si="1096"/>
        <v>0</v>
      </c>
      <c r="AC1767" s="876"/>
      <c r="AD1767" s="1295"/>
      <c r="AE1767" s="1525"/>
      <c r="AF1767" s="1525"/>
      <c r="AG1767" s="1525"/>
      <c r="AH1767" s="1525"/>
      <c r="AI1767" s="1525"/>
      <c r="AJ1767" s="1525"/>
      <c r="AK1767" s="1525"/>
      <c r="AL1767" s="1525"/>
      <c r="AM1767" s="1525"/>
      <c r="AN1767" s="1525"/>
      <c r="AO1767" s="1525"/>
      <c r="AP1767" s="1525"/>
      <c r="AQ1767" s="1525"/>
      <c r="AR1767" s="1525"/>
      <c r="AS1767" s="1525"/>
      <c r="AU1767" s="1525"/>
      <c r="AV1767" s="1291"/>
      <c r="AW1767" s="1292"/>
      <c r="AX1767" s="1292"/>
      <c r="AY1767" s="1292"/>
      <c r="AZ1767" s="1292"/>
      <c r="BA1767" s="1292"/>
      <c r="BB1767" s="1292"/>
      <c r="BC1767" s="1292"/>
      <c r="BD1767" s="1292"/>
      <c r="BE1767" s="1292"/>
      <c r="BF1767" s="1292"/>
      <c r="BG1767" s="1292"/>
      <c r="BH1767" s="1292"/>
      <c r="BI1767" s="1292"/>
      <c r="BJ1767" s="1292"/>
      <c r="BK1767" s="1292"/>
      <c r="BL1767" s="1292"/>
      <c r="BM1767" s="1292"/>
      <c r="BN1767" s="1292"/>
      <c r="BO1767" s="1292"/>
      <c r="BP1767" s="1292"/>
      <c r="BQ1767" s="1292"/>
      <c r="BR1767" s="1292"/>
      <c r="BS1767" s="1292"/>
      <c r="BT1767" s="1670">
        <f t="shared" si="1097"/>
        <v>0</v>
      </c>
      <c r="BW1767" s="821" t="s">
        <v>991</v>
      </c>
    </row>
    <row r="1768" spans="2:75" ht="12.75" customHeight="1" x14ac:dyDescent="0.2">
      <c r="B1768" s="175">
        <f t="shared" si="1098"/>
        <v>8</v>
      </c>
      <c r="C1768" s="219">
        <v>47</v>
      </c>
      <c r="E1768" s="12" t="s">
        <v>1276</v>
      </c>
      <c r="F1768" s="4" t="s">
        <v>522</v>
      </c>
      <c r="G1768" s="821" t="s">
        <v>1304</v>
      </c>
      <c r="H1768" s="858">
        <v>130141</v>
      </c>
      <c r="I1768" s="200" t="s">
        <v>1442</v>
      </c>
      <c r="J1768" s="189"/>
      <c r="K1768" s="189"/>
      <c r="L1768" s="858">
        <v>1</v>
      </c>
      <c r="M1768" s="858">
        <f t="shared" si="1091"/>
        <v>1</v>
      </c>
      <c r="N1768" s="999" t="s">
        <v>892</v>
      </c>
      <c r="O1768" s="1196">
        <v>33082</v>
      </c>
      <c r="P1768" s="1218">
        <f t="shared" ca="1" si="1092"/>
        <v>27.177777777777777</v>
      </c>
      <c r="Q1768" s="1148">
        <v>19000</v>
      </c>
      <c r="R1768" s="874"/>
      <c r="S1768" s="875"/>
      <c r="T1768" s="875"/>
      <c r="U1768" s="875"/>
      <c r="V1768" s="875"/>
      <c r="W1768" s="876"/>
      <c r="X1768" s="1026">
        <f t="shared" si="1093"/>
        <v>19000</v>
      </c>
      <c r="Y1768" s="1512">
        <f t="shared" si="1099"/>
        <v>0</v>
      </c>
      <c r="Z1768" s="1741">
        <f t="shared" si="1095"/>
        <v>1</v>
      </c>
      <c r="AA1768" s="1749"/>
      <c r="AB1768" s="1810">
        <f t="shared" si="1096"/>
        <v>0</v>
      </c>
      <c r="AC1768" s="876"/>
      <c r="AD1768" s="1295"/>
      <c r="AE1768" s="1525"/>
      <c r="AF1768" s="1525"/>
      <c r="AG1768" s="1525"/>
      <c r="AH1768" s="1525"/>
      <c r="AI1768" s="1525"/>
      <c r="AJ1768" s="1525"/>
      <c r="AK1768" s="1525"/>
      <c r="AL1768" s="1525"/>
      <c r="AM1768" s="1525"/>
      <c r="AN1768" s="1525"/>
      <c r="AO1768" s="1525"/>
      <c r="AP1768" s="1525"/>
      <c r="AQ1768" s="1525"/>
      <c r="AR1768" s="1525"/>
      <c r="AS1768" s="1525"/>
      <c r="AU1768" s="1525"/>
      <c r="AV1768" s="1291"/>
      <c r="AW1768" s="1292"/>
      <c r="AX1768" s="1292"/>
      <c r="AY1768" s="1292"/>
      <c r="AZ1768" s="1292"/>
      <c r="BA1768" s="1292"/>
      <c r="BB1768" s="1292"/>
      <c r="BC1768" s="1292"/>
      <c r="BD1768" s="1292"/>
      <c r="BE1768" s="1292"/>
      <c r="BF1768" s="1292"/>
      <c r="BG1768" s="1292"/>
      <c r="BH1768" s="1292"/>
      <c r="BI1768" s="1292"/>
      <c r="BJ1768" s="1292"/>
      <c r="BK1768" s="1292"/>
      <c r="BL1768" s="1292"/>
      <c r="BM1768" s="1292"/>
      <c r="BN1768" s="1292"/>
      <c r="BO1768" s="1292"/>
      <c r="BP1768" s="1292"/>
      <c r="BQ1768" s="1292"/>
      <c r="BR1768" s="1292"/>
      <c r="BS1768" s="1292"/>
      <c r="BT1768" s="1670">
        <f t="shared" si="1097"/>
        <v>0</v>
      </c>
      <c r="BW1768" s="821" t="s">
        <v>1304</v>
      </c>
    </row>
    <row r="1769" spans="2:75" ht="12.75" customHeight="1" x14ac:dyDescent="0.2">
      <c r="B1769" s="175">
        <f t="shared" si="1098"/>
        <v>9</v>
      </c>
      <c r="C1769" s="219">
        <v>47</v>
      </c>
      <c r="E1769" s="12" t="s">
        <v>1276</v>
      </c>
      <c r="F1769" s="4" t="s">
        <v>1813</v>
      </c>
      <c r="G1769" s="821" t="s">
        <v>1950</v>
      </c>
      <c r="H1769" s="1413">
        <v>154647</v>
      </c>
      <c r="I1769" s="200" t="s">
        <v>1442</v>
      </c>
      <c r="J1769" s="189"/>
      <c r="K1769" s="189"/>
      <c r="L1769" s="858">
        <v>1</v>
      </c>
      <c r="M1769" s="858">
        <f t="shared" si="1091"/>
        <v>1</v>
      </c>
      <c r="N1769" s="999" t="s">
        <v>892</v>
      </c>
      <c r="O1769" s="1196">
        <v>25789</v>
      </c>
      <c r="P1769" s="1218">
        <f t="shared" ca="1" si="1092"/>
        <v>47.147222222222226</v>
      </c>
      <c r="Q1769" s="1148">
        <v>24400</v>
      </c>
      <c r="R1769" s="874"/>
      <c r="S1769" s="875"/>
      <c r="T1769" s="875"/>
      <c r="U1769" s="875"/>
      <c r="V1769" s="875"/>
      <c r="W1769" s="876"/>
      <c r="X1769" s="1026">
        <f t="shared" si="1093"/>
        <v>24400</v>
      </c>
      <c r="Y1769" s="1512">
        <f t="shared" si="1099"/>
        <v>0</v>
      </c>
      <c r="Z1769" s="1741">
        <f t="shared" si="1095"/>
        <v>1</v>
      </c>
      <c r="AA1769" s="1749"/>
      <c r="AB1769" s="1810">
        <f t="shared" si="1096"/>
        <v>0</v>
      </c>
      <c r="AC1769" s="876"/>
      <c r="AD1769" s="1295"/>
      <c r="AE1769" s="1525"/>
      <c r="AF1769" s="1525"/>
      <c r="AG1769" s="1525"/>
      <c r="AH1769" s="1525"/>
      <c r="AI1769" s="1525"/>
      <c r="AJ1769" s="1525"/>
      <c r="AK1769" s="1525"/>
      <c r="AL1769" s="1525"/>
      <c r="AM1769" s="1525"/>
      <c r="AN1769" s="1525"/>
      <c r="AO1769" s="1525"/>
      <c r="AP1769" s="1525"/>
      <c r="AQ1769" s="1525"/>
      <c r="AR1769" s="1525"/>
      <c r="AS1769" s="1525"/>
      <c r="AU1769" s="1525"/>
      <c r="AV1769" s="1291"/>
      <c r="AW1769" s="1292"/>
      <c r="AX1769" s="1292"/>
      <c r="AY1769" s="1292"/>
      <c r="AZ1769" s="1292"/>
      <c r="BA1769" s="1292"/>
      <c r="BB1769" s="1292"/>
      <c r="BC1769" s="1292"/>
      <c r="BD1769" s="1292"/>
      <c r="BE1769" s="1292"/>
      <c r="BF1769" s="1292"/>
      <c r="BG1769" s="1292"/>
      <c r="BH1769" s="1292"/>
      <c r="BI1769" s="1292"/>
      <c r="BJ1769" s="1292"/>
      <c r="BK1769" s="1292"/>
      <c r="BL1769" s="1292"/>
      <c r="BM1769" s="1292"/>
      <c r="BN1769" s="1292"/>
      <c r="BO1769" s="1292"/>
      <c r="BP1769" s="1292"/>
      <c r="BQ1769" s="1292"/>
      <c r="BR1769" s="1292"/>
      <c r="BS1769" s="1292"/>
      <c r="BT1769" s="1670">
        <f t="shared" si="1097"/>
        <v>0</v>
      </c>
      <c r="BW1769" s="821" t="s">
        <v>1950</v>
      </c>
    </row>
    <row r="1770" spans="2:75" ht="12.75" customHeight="1" x14ac:dyDescent="0.2">
      <c r="B1770" s="175">
        <f t="shared" si="1098"/>
        <v>10</v>
      </c>
      <c r="C1770" s="219">
        <v>47</v>
      </c>
      <c r="E1770" s="12" t="s">
        <v>1276</v>
      </c>
      <c r="F1770" s="4" t="s">
        <v>1151</v>
      </c>
      <c r="G1770" s="825" t="s">
        <v>207</v>
      </c>
      <c r="H1770" s="858">
        <v>3282</v>
      </c>
      <c r="I1770" s="200" t="s">
        <v>1442</v>
      </c>
      <c r="J1770" s="189"/>
      <c r="K1770" s="189"/>
      <c r="L1770" s="858">
        <v>1</v>
      </c>
      <c r="M1770" s="858">
        <f t="shared" si="1091"/>
        <v>1</v>
      </c>
      <c r="N1770" s="999" t="s">
        <v>1402</v>
      </c>
      <c r="O1770" s="1196">
        <v>21143</v>
      </c>
      <c r="P1770" s="1218">
        <f t="shared" ca="1" si="1092"/>
        <v>59.869444444444447</v>
      </c>
      <c r="Q1770" s="1148">
        <v>29000</v>
      </c>
      <c r="R1770" s="874">
        <f>Q1770*0.1</f>
        <v>2900</v>
      </c>
      <c r="S1770" s="875"/>
      <c r="T1770" s="877"/>
      <c r="U1770" s="877"/>
      <c r="V1770" s="877"/>
      <c r="W1770" s="1036">
        <f>ROUND((Q1770+R1770)*0.15,0)</f>
        <v>4785</v>
      </c>
      <c r="X1770" s="1026">
        <f t="shared" si="1093"/>
        <v>36685</v>
      </c>
      <c r="Y1770" s="1512">
        <f t="shared" si="1099"/>
        <v>0.15</v>
      </c>
      <c r="Z1770" s="1741">
        <f t="shared" si="1095"/>
        <v>1.1499999999999999</v>
      </c>
      <c r="AA1770" s="1749"/>
      <c r="AB1770" s="1810">
        <f t="shared" si="1096"/>
        <v>0</v>
      </c>
      <c r="AC1770" s="876"/>
      <c r="AD1770" s="1295"/>
      <c r="AE1770" s="1525"/>
      <c r="AF1770" s="1525"/>
      <c r="AG1770" s="1525"/>
      <c r="AH1770" s="1525"/>
      <c r="AI1770" s="1525"/>
      <c r="AJ1770" s="1525"/>
      <c r="AK1770" s="1525"/>
      <c r="AL1770" s="1525"/>
      <c r="AM1770" s="1525"/>
      <c r="AN1770" s="1525"/>
      <c r="AO1770" s="1525"/>
      <c r="AP1770" s="1525"/>
      <c r="AQ1770" s="1525"/>
      <c r="AR1770" s="1525"/>
      <c r="AS1770" s="1525"/>
      <c r="AU1770" s="1525"/>
      <c r="AV1770" s="1291"/>
      <c r="AW1770" s="1292"/>
      <c r="AX1770" s="1292"/>
      <c r="AY1770" s="1292"/>
      <c r="AZ1770" s="1292"/>
      <c r="BA1770" s="1292"/>
      <c r="BB1770" s="1292"/>
      <c r="BC1770" s="1292"/>
      <c r="BD1770" s="1292"/>
      <c r="BE1770" s="1292"/>
      <c r="BF1770" s="1292"/>
      <c r="BG1770" s="1292"/>
      <c r="BH1770" s="1292"/>
      <c r="BI1770" s="1292"/>
      <c r="BJ1770" s="1292"/>
      <c r="BK1770" s="1292"/>
      <c r="BL1770" s="1292"/>
      <c r="BM1770" s="1292"/>
      <c r="BN1770" s="1292"/>
      <c r="BO1770" s="1292"/>
      <c r="BP1770" s="1292"/>
      <c r="BQ1770" s="1292"/>
      <c r="BR1770" s="1292"/>
      <c r="BS1770" s="1292"/>
      <c r="BT1770" s="1670">
        <f t="shared" si="1097"/>
        <v>0</v>
      </c>
      <c r="BW1770" s="825" t="s">
        <v>207</v>
      </c>
    </row>
    <row r="1771" spans="2:75" ht="12.75" customHeight="1" x14ac:dyDescent="0.2">
      <c r="B1771" s="175">
        <f t="shared" si="1098"/>
        <v>11</v>
      </c>
      <c r="C1771" s="219">
        <v>47</v>
      </c>
      <c r="E1771" s="12" t="s">
        <v>1276</v>
      </c>
      <c r="F1771" s="1" t="s">
        <v>58</v>
      </c>
      <c r="G1771" s="823" t="s">
        <v>59</v>
      </c>
      <c r="H1771" s="858">
        <v>114707</v>
      </c>
      <c r="I1771" s="200" t="s">
        <v>1442</v>
      </c>
      <c r="J1771" s="189"/>
      <c r="K1771" s="189"/>
      <c r="L1771" s="858">
        <v>0.5</v>
      </c>
      <c r="M1771" s="858">
        <f t="shared" si="1091"/>
        <v>0.5</v>
      </c>
      <c r="N1771" s="855" t="s">
        <v>892</v>
      </c>
      <c r="O1771" s="1196">
        <v>17025</v>
      </c>
      <c r="P1771" s="1218">
        <f t="shared" ca="1" si="1092"/>
        <v>71.141666666666666</v>
      </c>
      <c r="Q1771" s="1148">
        <v>28000</v>
      </c>
      <c r="R1771" s="874"/>
      <c r="S1771" s="875"/>
      <c r="T1771" s="877"/>
      <c r="U1771" s="877"/>
      <c r="V1771" s="877"/>
      <c r="W1771" s="875">
        <f>ROUND((Q1771+R1771)*0.1,0)</f>
        <v>2800</v>
      </c>
      <c r="X1771" s="1026">
        <f t="shared" si="1093"/>
        <v>15400</v>
      </c>
      <c r="Y1771" s="1512">
        <f t="shared" si="1099"/>
        <v>0.1</v>
      </c>
      <c r="Z1771" s="1741">
        <f t="shared" si="1095"/>
        <v>0.55000000000000004</v>
      </c>
      <c r="AA1771" s="1749"/>
      <c r="AB1771" s="1810">
        <f t="shared" si="1096"/>
        <v>0</v>
      </c>
      <c r="AC1771" s="876"/>
      <c r="AD1771" s="1295"/>
      <c r="AE1771" s="1525"/>
      <c r="AF1771" s="1525"/>
      <c r="AG1771" s="1525"/>
      <c r="AH1771" s="1525"/>
      <c r="AI1771" s="1525"/>
      <c r="AJ1771" s="1525"/>
      <c r="AK1771" s="1525"/>
      <c r="AL1771" s="1525"/>
      <c r="AM1771" s="1525"/>
      <c r="AN1771" s="1525"/>
      <c r="AO1771" s="1525"/>
      <c r="AP1771" s="1525"/>
      <c r="AQ1771" s="1525"/>
      <c r="AR1771" s="1525"/>
      <c r="AS1771" s="1525"/>
      <c r="AU1771" s="1525"/>
      <c r="AV1771" s="1291"/>
      <c r="AW1771" s="1292"/>
      <c r="AX1771" s="1292"/>
      <c r="AY1771" s="1292"/>
      <c r="AZ1771" s="1292"/>
      <c r="BA1771" s="1292"/>
      <c r="BB1771" s="1292"/>
      <c r="BC1771" s="1292"/>
      <c r="BD1771" s="1292"/>
      <c r="BE1771" s="1292"/>
      <c r="BF1771" s="1292"/>
      <c r="BG1771" s="1292"/>
      <c r="BH1771" s="1292"/>
      <c r="BI1771" s="1292"/>
      <c r="BJ1771" s="1292"/>
      <c r="BK1771" s="1292"/>
      <c r="BL1771" s="1292"/>
      <c r="BM1771" s="1292"/>
      <c r="BN1771" s="1292"/>
      <c r="BO1771" s="1292"/>
      <c r="BP1771" s="1292"/>
      <c r="BQ1771" s="1292"/>
      <c r="BR1771" s="1292"/>
      <c r="BS1771" s="1292"/>
      <c r="BT1771" s="1670">
        <f t="shared" si="1097"/>
        <v>0</v>
      </c>
      <c r="BW1771" s="823" t="s">
        <v>59</v>
      </c>
    </row>
    <row r="1772" spans="2:75" ht="12.75" customHeight="1" x14ac:dyDescent="0.2">
      <c r="B1772" s="175">
        <f t="shared" si="1098"/>
        <v>12</v>
      </c>
      <c r="C1772" s="219">
        <v>47</v>
      </c>
      <c r="E1772" s="12" t="s">
        <v>1276</v>
      </c>
      <c r="F1772" s="1" t="s">
        <v>704</v>
      </c>
      <c r="G1772" s="823" t="s">
        <v>992</v>
      </c>
      <c r="H1772" s="858">
        <v>3260</v>
      </c>
      <c r="I1772" s="200" t="s">
        <v>1442</v>
      </c>
      <c r="J1772" s="189"/>
      <c r="K1772" s="189"/>
      <c r="L1772" s="858">
        <v>1</v>
      </c>
      <c r="M1772" s="858">
        <f t="shared" si="1091"/>
        <v>1</v>
      </c>
      <c r="N1772" s="857" t="s">
        <v>892</v>
      </c>
      <c r="O1772" s="1196">
        <v>14153</v>
      </c>
      <c r="P1772" s="1218">
        <f t="shared" ca="1" si="1092"/>
        <v>79.00555555555556</v>
      </c>
      <c r="Q1772" s="1148">
        <v>32000</v>
      </c>
      <c r="R1772" s="874"/>
      <c r="S1772" s="875"/>
      <c r="T1772" s="877"/>
      <c r="U1772" s="877"/>
      <c r="V1772" s="877"/>
      <c r="W1772" s="875"/>
      <c r="X1772" s="1026">
        <f t="shared" si="1093"/>
        <v>32000</v>
      </c>
      <c r="Y1772" s="1512">
        <f t="shared" si="1099"/>
        <v>0</v>
      </c>
      <c r="Z1772" s="1741">
        <f t="shared" si="1095"/>
        <v>1</v>
      </c>
      <c r="AA1772" s="1749"/>
      <c r="AB1772" s="1810">
        <f t="shared" si="1096"/>
        <v>0</v>
      </c>
      <c r="AC1772" s="876"/>
      <c r="AD1772" s="1295"/>
      <c r="AE1772" s="1525"/>
      <c r="AF1772" s="1525"/>
      <c r="AG1772" s="1525"/>
      <c r="AH1772" s="1525"/>
      <c r="AI1772" s="1525"/>
      <c r="AJ1772" s="1525"/>
      <c r="AK1772" s="1525"/>
      <c r="AL1772" s="1525"/>
      <c r="AM1772" s="1525"/>
      <c r="AN1772" s="1525"/>
      <c r="AO1772" s="1525"/>
      <c r="AP1772" s="1525"/>
      <c r="AQ1772" s="1525"/>
      <c r="AR1772" s="1525"/>
      <c r="AS1772" s="1525"/>
      <c r="AU1772" s="1525"/>
      <c r="AV1772" s="1291"/>
      <c r="AW1772" s="1292"/>
      <c r="AX1772" s="1292"/>
      <c r="AY1772" s="1292"/>
      <c r="AZ1772" s="1292"/>
      <c r="BA1772" s="1292"/>
      <c r="BB1772" s="1292"/>
      <c r="BC1772" s="1292"/>
      <c r="BD1772" s="1292"/>
      <c r="BE1772" s="1292"/>
      <c r="BF1772" s="1292"/>
      <c r="BG1772" s="1292"/>
      <c r="BH1772" s="1292"/>
      <c r="BI1772" s="1292"/>
      <c r="BJ1772" s="1292"/>
      <c r="BK1772" s="1292"/>
      <c r="BL1772" s="1292"/>
      <c r="BM1772" s="1292"/>
      <c r="BN1772" s="1292"/>
      <c r="BO1772" s="1292"/>
      <c r="BP1772" s="1292"/>
      <c r="BQ1772" s="1292"/>
      <c r="BR1772" s="1292"/>
      <c r="BS1772" s="1292"/>
      <c r="BT1772" s="1670">
        <f t="shared" si="1097"/>
        <v>0</v>
      </c>
      <c r="BW1772" s="823" t="s">
        <v>992</v>
      </c>
    </row>
    <row r="1773" spans="2:75" ht="12.75" customHeight="1" x14ac:dyDescent="0.2">
      <c r="B1773" s="175">
        <f t="shared" si="1098"/>
        <v>13</v>
      </c>
      <c r="C1773" s="219">
        <v>18</v>
      </c>
      <c r="E1773" s="12" t="s">
        <v>1276</v>
      </c>
      <c r="F1773" s="67" t="s">
        <v>1157</v>
      </c>
      <c r="G1773" s="825" t="s">
        <v>82</v>
      </c>
      <c r="H1773" s="861">
        <v>95015</v>
      </c>
      <c r="I1773" s="197" t="s">
        <v>1442</v>
      </c>
      <c r="J1773" s="174"/>
      <c r="K1773" s="174"/>
      <c r="L1773" s="861">
        <v>1</v>
      </c>
      <c r="M1773" s="861">
        <f t="shared" si="1091"/>
        <v>1</v>
      </c>
      <c r="N1773" s="999" t="s">
        <v>1402</v>
      </c>
      <c r="O1773" s="1196">
        <v>20114</v>
      </c>
      <c r="P1773" s="1218">
        <f t="shared" ca="1" si="1092"/>
        <v>62.68611111111111</v>
      </c>
      <c r="Q1773" s="1148">
        <v>23000</v>
      </c>
      <c r="R1773" s="874">
        <f>Q1773*0.1</f>
        <v>2300</v>
      </c>
      <c r="S1773" s="875"/>
      <c r="T1773" s="875"/>
      <c r="U1773" s="875"/>
      <c r="V1773" s="875"/>
      <c r="W1773" s="875"/>
      <c r="X1773" s="1026">
        <f t="shared" si="1093"/>
        <v>25300</v>
      </c>
      <c r="Y1773" s="1512">
        <f t="shared" si="1099"/>
        <v>0</v>
      </c>
      <c r="Z1773" s="1741">
        <f t="shared" si="1095"/>
        <v>1</v>
      </c>
      <c r="AA1773" s="1749"/>
      <c r="AB1773" s="1810">
        <f t="shared" si="1096"/>
        <v>0</v>
      </c>
      <c r="AC1773" s="876"/>
      <c r="AD1773" s="1295"/>
      <c r="AE1773" s="1525"/>
      <c r="AF1773" s="1525"/>
      <c r="AG1773" s="1525"/>
      <c r="AH1773" s="1525"/>
      <c r="AI1773" s="1525"/>
      <c r="AJ1773" s="1525"/>
      <c r="AK1773" s="1525"/>
      <c r="AL1773" s="1525"/>
      <c r="AM1773" s="1525"/>
      <c r="AN1773" s="1525"/>
      <c r="AO1773" s="1525"/>
      <c r="AP1773" s="1525"/>
      <c r="AQ1773" s="1525"/>
      <c r="AR1773" s="1525"/>
      <c r="AS1773" s="1525"/>
      <c r="AU1773" s="1525"/>
      <c r="AV1773" s="1291"/>
      <c r="AW1773" s="1292"/>
      <c r="AX1773" s="1292"/>
      <c r="AY1773" s="1292"/>
      <c r="AZ1773" s="1292"/>
      <c r="BA1773" s="1292"/>
      <c r="BB1773" s="1292"/>
      <c r="BC1773" s="1292"/>
      <c r="BD1773" s="1292"/>
      <c r="BE1773" s="1292"/>
      <c r="BF1773" s="1292"/>
      <c r="BG1773" s="1292"/>
      <c r="BH1773" s="1292"/>
      <c r="BI1773" s="1292"/>
      <c r="BJ1773" s="1292"/>
      <c r="BK1773" s="1292"/>
      <c r="BL1773" s="1292"/>
      <c r="BM1773" s="1292"/>
      <c r="BN1773" s="1292"/>
      <c r="BO1773" s="1292"/>
      <c r="BP1773" s="1292"/>
      <c r="BQ1773" s="1292"/>
      <c r="BR1773" s="1292"/>
      <c r="BS1773" s="1292"/>
      <c r="BT1773" s="1670">
        <f t="shared" si="1097"/>
        <v>0</v>
      </c>
      <c r="BW1773" s="825" t="s">
        <v>82</v>
      </c>
    </row>
    <row r="1774" spans="2:75" ht="12.75" customHeight="1" x14ac:dyDescent="0.2">
      <c r="B1774" s="175">
        <f t="shared" si="1098"/>
        <v>14</v>
      </c>
      <c r="C1774" s="219">
        <v>18</v>
      </c>
      <c r="E1774" s="12" t="s">
        <v>1276</v>
      </c>
      <c r="F1774" s="67" t="s">
        <v>83</v>
      </c>
      <c r="G1774" s="825" t="s">
        <v>103</v>
      </c>
      <c r="H1774" s="861">
        <v>21993</v>
      </c>
      <c r="I1774" s="197" t="s">
        <v>1442</v>
      </c>
      <c r="J1774" s="189"/>
      <c r="K1774" s="189"/>
      <c r="L1774" s="861">
        <v>1</v>
      </c>
      <c r="M1774" s="861">
        <f t="shared" si="1091"/>
        <v>1</v>
      </c>
      <c r="N1774" s="999" t="s">
        <v>1402</v>
      </c>
      <c r="O1774" s="1196">
        <v>19725</v>
      </c>
      <c r="P1774" s="1218">
        <f t="shared" ca="1" si="1092"/>
        <v>63.75277777777778</v>
      </c>
      <c r="Q1774" s="1148">
        <v>23000</v>
      </c>
      <c r="R1774" s="874">
        <f>Q1774*0.1</f>
        <v>2300</v>
      </c>
      <c r="S1774" s="875"/>
      <c r="T1774" s="875"/>
      <c r="U1774" s="875"/>
      <c r="V1774" s="875"/>
      <c r="W1774" s="875">
        <f>ROUND((Q1774+R1774)*0.1,0)</f>
        <v>2530</v>
      </c>
      <c r="X1774" s="1026">
        <f t="shared" si="1093"/>
        <v>27830</v>
      </c>
      <c r="Y1774" s="1512">
        <f t="shared" si="1099"/>
        <v>0.1</v>
      </c>
      <c r="Z1774" s="1741">
        <f t="shared" si="1095"/>
        <v>1.1000000000000001</v>
      </c>
      <c r="AA1774" s="1749"/>
      <c r="AB1774" s="1810">
        <f t="shared" si="1096"/>
        <v>0</v>
      </c>
      <c r="AC1774" s="876"/>
      <c r="AD1774" s="1295"/>
      <c r="AE1774" s="1525"/>
      <c r="AF1774" s="1525"/>
      <c r="AG1774" s="1525"/>
      <c r="AH1774" s="1525"/>
      <c r="AI1774" s="1525"/>
      <c r="AJ1774" s="1525"/>
      <c r="AK1774" s="1525"/>
      <c r="AL1774" s="1525"/>
      <c r="AM1774" s="1525"/>
      <c r="AN1774" s="1525"/>
      <c r="AO1774" s="1525"/>
      <c r="AP1774" s="1525"/>
      <c r="AQ1774" s="1525"/>
      <c r="AR1774" s="1525"/>
      <c r="AS1774" s="1525"/>
      <c r="AU1774" s="1525"/>
      <c r="AV1774" s="1291"/>
      <c r="AW1774" s="1292"/>
      <c r="AX1774" s="1292"/>
      <c r="AY1774" s="1292"/>
      <c r="AZ1774" s="1292"/>
      <c r="BA1774" s="1292"/>
      <c r="BB1774" s="1292"/>
      <c r="BC1774" s="1292"/>
      <c r="BD1774" s="1292"/>
      <c r="BE1774" s="1292"/>
      <c r="BF1774" s="1292"/>
      <c r="BG1774" s="1292"/>
      <c r="BH1774" s="1292"/>
      <c r="BI1774" s="1292"/>
      <c r="BJ1774" s="1292"/>
      <c r="BK1774" s="1292"/>
      <c r="BL1774" s="1292"/>
      <c r="BM1774" s="1292"/>
      <c r="BN1774" s="1292"/>
      <c r="BO1774" s="1292"/>
      <c r="BP1774" s="1292"/>
      <c r="BQ1774" s="1292"/>
      <c r="BR1774" s="1292"/>
      <c r="BS1774" s="1292"/>
      <c r="BT1774" s="1670">
        <f t="shared" si="1097"/>
        <v>0</v>
      </c>
      <c r="BW1774" s="825" t="s">
        <v>103</v>
      </c>
    </row>
    <row r="1775" spans="2:75" ht="12.75" customHeight="1" x14ac:dyDescent="0.2">
      <c r="B1775" s="175">
        <f t="shared" si="1098"/>
        <v>15</v>
      </c>
      <c r="C1775" s="219">
        <v>18</v>
      </c>
      <c r="E1775" s="12" t="s">
        <v>1276</v>
      </c>
      <c r="F1775" t="s">
        <v>971</v>
      </c>
      <c r="G1775" s="821" t="s">
        <v>972</v>
      </c>
      <c r="H1775" s="858">
        <v>6840</v>
      </c>
      <c r="I1775" s="200" t="s">
        <v>1442</v>
      </c>
      <c r="J1775" s="189"/>
      <c r="K1775" s="189"/>
      <c r="L1775" s="858">
        <v>1</v>
      </c>
      <c r="M1775" s="858">
        <f t="shared" si="1091"/>
        <v>1</v>
      </c>
      <c r="N1775" s="999" t="s">
        <v>1402</v>
      </c>
      <c r="O1775" s="1196">
        <v>21313</v>
      </c>
      <c r="P1775" s="1218">
        <f t="shared" ca="1" si="1092"/>
        <v>59.4</v>
      </c>
      <c r="Q1775" s="1148">
        <v>32500</v>
      </c>
      <c r="R1775" s="874">
        <f>Q1775*0.1</f>
        <v>3250</v>
      </c>
      <c r="S1775" s="875"/>
      <c r="T1775" s="875"/>
      <c r="U1775" s="875"/>
      <c r="V1775" s="875"/>
      <c r="W1775" s="875"/>
      <c r="X1775" s="1026">
        <f t="shared" si="1093"/>
        <v>35750</v>
      </c>
      <c r="Y1775" s="1512">
        <f t="shared" si="1099"/>
        <v>0</v>
      </c>
      <c r="Z1775" s="1741">
        <f t="shared" si="1095"/>
        <v>1</v>
      </c>
      <c r="AA1775" s="1749"/>
      <c r="AB1775" s="1810">
        <f t="shared" si="1096"/>
        <v>0</v>
      </c>
      <c r="AC1775" s="876"/>
      <c r="AD1775" s="1295"/>
      <c r="AE1775" s="1525"/>
      <c r="AF1775" s="1525"/>
      <c r="AG1775" s="1525"/>
      <c r="AH1775" s="1525"/>
      <c r="AI1775" s="1525"/>
      <c r="AJ1775" s="1525"/>
      <c r="AK1775" s="1525"/>
      <c r="AL1775" s="1525"/>
      <c r="AM1775" s="1525"/>
      <c r="AN1775" s="1525"/>
      <c r="AO1775" s="1525"/>
      <c r="AP1775" s="1525"/>
      <c r="AQ1775" s="1525"/>
      <c r="AR1775" s="1525"/>
      <c r="AS1775" s="1525"/>
      <c r="AU1775" s="1525"/>
      <c r="AV1775" s="1291"/>
      <c r="AW1775" s="1292"/>
      <c r="AX1775" s="1292"/>
      <c r="AY1775" s="1292"/>
      <c r="AZ1775" s="1292"/>
      <c r="BA1775" s="1292"/>
      <c r="BB1775" s="1292"/>
      <c r="BC1775" s="1292"/>
      <c r="BD1775" s="1292"/>
      <c r="BE1775" s="1292"/>
      <c r="BF1775" s="1292"/>
      <c r="BG1775" s="1292"/>
      <c r="BH1775" s="1292"/>
      <c r="BI1775" s="1292"/>
      <c r="BJ1775" s="1292"/>
      <c r="BK1775" s="1292"/>
      <c r="BL1775" s="1292"/>
      <c r="BM1775" s="1292"/>
      <c r="BN1775" s="1292"/>
      <c r="BO1775" s="1292"/>
      <c r="BP1775" s="1292"/>
      <c r="BQ1775" s="1292"/>
      <c r="BR1775" s="1292"/>
      <c r="BS1775" s="1292"/>
      <c r="BT1775" s="1670">
        <f t="shared" si="1097"/>
        <v>0</v>
      </c>
      <c r="BW1775" s="821" t="s">
        <v>972</v>
      </c>
    </row>
    <row r="1776" spans="2:75" ht="12.75" customHeight="1" x14ac:dyDescent="0.2">
      <c r="B1776" s="175">
        <f t="shared" si="1098"/>
        <v>16</v>
      </c>
      <c r="C1776" s="219">
        <v>180</v>
      </c>
      <c r="E1776" s="12" t="s">
        <v>1276</v>
      </c>
      <c r="F1776" t="s">
        <v>1718</v>
      </c>
      <c r="G1776" s="821" t="s">
        <v>1717</v>
      </c>
      <c r="H1776" s="858">
        <v>150003</v>
      </c>
      <c r="I1776" s="200" t="s">
        <v>1442</v>
      </c>
      <c r="J1776" s="189"/>
      <c r="K1776" s="189"/>
      <c r="L1776" s="858">
        <v>1</v>
      </c>
      <c r="M1776" s="858">
        <f t="shared" si="1091"/>
        <v>1</v>
      </c>
      <c r="N1776" s="999"/>
      <c r="O1776" s="1196">
        <v>33378</v>
      </c>
      <c r="P1776" s="1218">
        <f t="shared" ca="1" si="1092"/>
        <v>26.366666666666667</v>
      </c>
      <c r="Q1776" s="1148">
        <v>24200</v>
      </c>
      <c r="R1776" s="874"/>
      <c r="S1776" s="875"/>
      <c r="T1776" s="875"/>
      <c r="U1776" s="875"/>
      <c r="V1776" s="875"/>
      <c r="W1776" s="875"/>
      <c r="X1776" s="1026">
        <f t="shared" si="1093"/>
        <v>24200</v>
      </c>
      <c r="Y1776" s="1512">
        <f t="shared" si="1099"/>
        <v>0</v>
      </c>
      <c r="Z1776" s="1741">
        <f t="shared" si="1095"/>
        <v>1</v>
      </c>
      <c r="AA1776" s="1749"/>
      <c r="AB1776" s="1810">
        <f t="shared" si="1096"/>
        <v>0</v>
      </c>
      <c r="AC1776" s="876"/>
      <c r="AD1776" s="1295"/>
      <c r="AE1776" s="1525"/>
      <c r="AF1776" s="1525"/>
      <c r="AG1776" s="1525"/>
      <c r="AH1776" s="1525"/>
      <c r="AI1776" s="1525"/>
      <c r="AJ1776" s="1525"/>
      <c r="AK1776" s="1525"/>
      <c r="AL1776" s="1525"/>
      <c r="AM1776" s="1525"/>
      <c r="AN1776" s="1525"/>
      <c r="AO1776" s="1525"/>
      <c r="AP1776" s="1525"/>
      <c r="AQ1776" s="1525"/>
      <c r="AR1776" s="1525"/>
      <c r="AS1776" s="1525"/>
      <c r="AU1776" s="1525"/>
      <c r="AV1776" s="1291"/>
      <c r="AW1776" s="1292"/>
      <c r="AX1776" s="1292"/>
      <c r="AY1776" s="1292"/>
      <c r="AZ1776" s="1292"/>
      <c r="BA1776" s="1292"/>
      <c r="BB1776" s="1292"/>
      <c r="BC1776" s="1292"/>
      <c r="BD1776" s="1292"/>
      <c r="BE1776" s="1292"/>
      <c r="BF1776" s="1292"/>
      <c r="BG1776" s="1292"/>
      <c r="BH1776" s="1292"/>
      <c r="BI1776" s="1292"/>
      <c r="BJ1776" s="1292"/>
      <c r="BK1776" s="1292"/>
      <c r="BL1776" s="1292"/>
      <c r="BM1776" s="1292"/>
      <c r="BN1776" s="1292"/>
      <c r="BO1776" s="1292"/>
      <c r="BP1776" s="1292"/>
      <c r="BQ1776" s="1292"/>
      <c r="BR1776" s="1292"/>
      <c r="BS1776" s="1292"/>
      <c r="BT1776" s="1670">
        <f t="shared" si="1097"/>
        <v>0</v>
      </c>
      <c r="BW1776" s="821" t="s">
        <v>1717</v>
      </c>
    </row>
    <row r="1777" spans="2:75" ht="12.75" customHeight="1" x14ac:dyDescent="0.2">
      <c r="B1777" s="175">
        <f t="shared" si="1098"/>
        <v>17</v>
      </c>
      <c r="C1777" s="219">
        <v>18</v>
      </c>
      <c r="E1777" s="12" t="s">
        <v>1276</v>
      </c>
      <c r="F1777" s="24" t="s">
        <v>61</v>
      </c>
      <c r="G1777" s="821" t="s">
        <v>619</v>
      </c>
      <c r="H1777" s="858">
        <v>293361</v>
      </c>
      <c r="I1777" s="200" t="s">
        <v>1442</v>
      </c>
      <c r="J1777" s="189"/>
      <c r="K1777" s="189"/>
      <c r="L1777" s="858">
        <v>1</v>
      </c>
      <c r="M1777" s="858">
        <f t="shared" si="1091"/>
        <v>1</v>
      </c>
      <c r="N1777" s="999" t="s">
        <v>1402</v>
      </c>
      <c r="O1777" s="1196">
        <v>22786</v>
      </c>
      <c r="P1777" s="1218">
        <f t="shared" ca="1" si="1092"/>
        <v>55.366666666666667</v>
      </c>
      <c r="Q1777" s="1148">
        <v>28000</v>
      </c>
      <c r="R1777" s="874">
        <f>Q1777*0.1</f>
        <v>2800</v>
      </c>
      <c r="S1777" s="875"/>
      <c r="T1777" s="875"/>
      <c r="U1777" s="875"/>
      <c r="V1777" s="875"/>
      <c r="W1777" s="875"/>
      <c r="X1777" s="1026">
        <f t="shared" si="1093"/>
        <v>30800</v>
      </c>
      <c r="Y1777" s="1512">
        <f t="shared" si="1099"/>
        <v>0</v>
      </c>
      <c r="Z1777" s="1741">
        <f t="shared" si="1095"/>
        <v>1</v>
      </c>
      <c r="AA1777" s="1749"/>
      <c r="AB1777" s="1810">
        <f t="shared" si="1096"/>
        <v>0</v>
      </c>
      <c r="AC1777" s="876"/>
      <c r="AD1777" s="1295"/>
      <c r="AE1777" s="1525"/>
      <c r="AF1777" s="1525"/>
      <c r="AG1777" s="1525"/>
      <c r="AH1777" s="1525"/>
      <c r="AI1777" s="1525"/>
      <c r="AJ1777" s="1525"/>
      <c r="AK1777" s="1525"/>
      <c r="AL1777" s="1525"/>
      <c r="AM1777" s="1525"/>
      <c r="AN1777" s="1525"/>
      <c r="AO1777" s="1525"/>
      <c r="AP1777" s="1525"/>
      <c r="AQ1777" s="1525"/>
      <c r="AR1777" s="1525"/>
      <c r="AS1777" s="1525"/>
      <c r="AU1777" s="1525"/>
      <c r="AV1777" s="1291"/>
      <c r="AW1777" s="1292"/>
      <c r="AX1777" s="1292"/>
      <c r="AY1777" s="1292"/>
      <c r="AZ1777" s="1292"/>
      <c r="BA1777" s="1292"/>
      <c r="BB1777" s="1292"/>
      <c r="BC1777" s="1292"/>
      <c r="BD1777" s="1292"/>
      <c r="BE1777" s="1292"/>
      <c r="BF1777" s="1292"/>
      <c r="BG1777" s="1292"/>
      <c r="BH1777" s="1292"/>
      <c r="BI1777" s="1292"/>
      <c r="BJ1777" s="1292"/>
      <c r="BK1777" s="1292"/>
      <c r="BL1777" s="1292"/>
      <c r="BM1777" s="1292"/>
      <c r="BN1777" s="1292"/>
      <c r="BO1777" s="1292"/>
      <c r="BP1777" s="1292"/>
      <c r="BQ1777" s="1292"/>
      <c r="BR1777" s="1292"/>
      <c r="BS1777" s="1292"/>
      <c r="BT1777" s="1670">
        <f t="shared" si="1097"/>
        <v>0</v>
      </c>
      <c r="BW1777" s="821" t="s">
        <v>619</v>
      </c>
    </row>
    <row r="1778" spans="2:75" ht="12.75" customHeight="1" x14ac:dyDescent="0.2">
      <c r="B1778" s="175">
        <f t="shared" si="1098"/>
        <v>18</v>
      </c>
      <c r="C1778" s="219">
        <v>18</v>
      </c>
      <c r="D1778" s="175"/>
      <c r="E1778" s="12" t="s">
        <v>1276</v>
      </c>
      <c r="F1778" s="24" t="s">
        <v>241</v>
      </c>
      <c r="G1778" s="821" t="s">
        <v>259</v>
      </c>
      <c r="H1778" s="858">
        <v>114897</v>
      </c>
      <c r="I1778" s="164" t="s">
        <v>1442</v>
      </c>
      <c r="L1778" s="858">
        <v>1</v>
      </c>
      <c r="M1778" s="858">
        <f t="shared" si="1091"/>
        <v>1</v>
      </c>
      <c r="N1778" s="999" t="s">
        <v>1402</v>
      </c>
      <c r="O1778" s="1196">
        <v>23239</v>
      </c>
      <c r="P1778" s="1218">
        <f t="shared" ca="1" si="1092"/>
        <v>54.12777777777778</v>
      </c>
      <c r="Q1778" s="1148">
        <v>28000</v>
      </c>
      <c r="R1778" s="874">
        <f>Q1778*0.1</f>
        <v>2800</v>
      </c>
      <c r="S1778" s="875"/>
      <c r="T1778" s="875"/>
      <c r="U1778" s="875"/>
      <c r="V1778" s="875"/>
      <c r="W1778" s="875"/>
      <c r="X1778" s="1026">
        <f t="shared" si="1093"/>
        <v>30800</v>
      </c>
      <c r="Y1778" s="1512">
        <f t="shared" si="1099"/>
        <v>0</v>
      </c>
      <c r="Z1778" s="1741">
        <f t="shared" si="1095"/>
        <v>1</v>
      </c>
      <c r="AA1778" s="1749"/>
      <c r="AB1778" s="1810">
        <f t="shared" si="1096"/>
        <v>0</v>
      </c>
      <c r="AC1778" s="876"/>
      <c r="AD1778" s="1295"/>
      <c r="AE1778" s="1525"/>
      <c r="AF1778" s="1525"/>
      <c r="AG1778" s="1525"/>
      <c r="AH1778" s="1525"/>
      <c r="AI1778" s="1525"/>
      <c r="AJ1778" s="1525"/>
      <c r="AK1778" s="1525"/>
      <c r="AL1778" s="1525"/>
      <c r="AM1778" s="1525"/>
      <c r="AN1778" s="1525"/>
      <c r="AO1778" s="1525"/>
      <c r="AP1778" s="1525"/>
      <c r="AQ1778" s="1525"/>
      <c r="AR1778" s="1525"/>
      <c r="AS1778" s="1525"/>
      <c r="AU1778" s="1525"/>
      <c r="AV1778" s="1291"/>
      <c r="AW1778" s="1292"/>
      <c r="AX1778" s="1292"/>
      <c r="AY1778" s="1292"/>
      <c r="AZ1778" s="1292"/>
      <c r="BA1778" s="1292"/>
      <c r="BB1778" s="1292"/>
      <c r="BC1778" s="1292"/>
      <c r="BD1778" s="1292"/>
      <c r="BE1778" s="1292"/>
      <c r="BF1778" s="1292"/>
      <c r="BG1778" s="1292"/>
      <c r="BH1778" s="1292"/>
      <c r="BI1778" s="1292"/>
      <c r="BJ1778" s="1292"/>
      <c r="BK1778" s="1292"/>
      <c r="BL1778" s="1292"/>
      <c r="BM1778" s="1292"/>
      <c r="BN1778" s="1292"/>
      <c r="BO1778" s="1292"/>
      <c r="BP1778" s="1292"/>
      <c r="BQ1778" s="1292"/>
      <c r="BR1778" s="1292"/>
      <c r="BS1778" s="1292"/>
      <c r="BT1778" s="1670">
        <f t="shared" si="1097"/>
        <v>0</v>
      </c>
      <c r="BW1778" s="821" t="s">
        <v>259</v>
      </c>
    </row>
    <row r="1779" spans="2:75" ht="12.75" customHeight="1" x14ac:dyDescent="0.2">
      <c r="B1779" s="175">
        <f t="shared" si="1098"/>
        <v>19</v>
      </c>
      <c r="C1779" s="219">
        <v>18</v>
      </c>
      <c r="D1779" s="175"/>
      <c r="E1779" s="12" t="s">
        <v>1276</v>
      </c>
      <c r="F1779" s="24" t="s">
        <v>1673</v>
      </c>
      <c r="G1779" s="823" t="s">
        <v>369</v>
      </c>
      <c r="H1779" s="858">
        <v>133864</v>
      </c>
      <c r="I1779" s="164" t="s">
        <v>1442</v>
      </c>
      <c r="L1779" s="858">
        <v>1</v>
      </c>
      <c r="M1779" s="858">
        <f t="shared" si="1091"/>
        <v>1</v>
      </c>
      <c r="N1779" s="999" t="s">
        <v>1402</v>
      </c>
      <c r="O1779" s="1196">
        <v>32356</v>
      </c>
      <c r="P1779" s="1218">
        <f t="shared" ca="1" si="1092"/>
        <v>29.169444444444444</v>
      </c>
      <c r="Q1779" s="1148">
        <v>26000</v>
      </c>
      <c r="R1779" s="874">
        <f>Q1779*0.1</f>
        <v>2600</v>
      </c>
      <c r="S1779" s="875"/>
      <c r="T1779" s="875"/>
      <c r="U1779" s="875"/>
      <c r="V1779" s="875"/>
      <c r="W1779" s="875"/>
      <c r="X1779" s="1026">
        <f t="shared" si="1093"/>
        <v>28600</v>
      </c>
      <c r="Y1779" s="1512">
        <f t="shared" si="1099"/>
        <v>0</v>
      </c>
      <c r="Z1779" s="1741">
        <f t="shared" si="1095"/>
        <v>1</v>
      </c>
      <c r="AA1779" s="1749"/>
      <c r="AB1779" s="1810">
        <f t="shared" si="1096"/>
        <v>0</v>
      </c>
      <c r="AC1779" s="876"/>
      <c r="AD1779" s="1295"/>
      <c r="AE1779" s="1525"/>
      <c r="AF1779" s="1525"/>
      <c r="AG1779" s="1525"/>
      <c r="AH1779" s="1525"/>
      <c r="AI1779" s="1525"/>
      <c r="AJ1779" s="1525"/>
      <c r="AK1779" s="1525"/>
      <c r="AL1779" s="1525"/>
      <c r="AM1779" s="1525"/>
      <c r="AN1779" s="1525"/>
      <c r="AO1779" s="1525"/>
      <c r="AP1779" s="1525"/>
      <c r="AQ1779" s="1525"/>
      <c r="AR1779" s="1525"/>
      <c r="AS1779" s="1525"/>
      <c r="AU1779" s="1525"/>
      <c r="AV1779" s="1291"/>
      <c r="AW1779" s="1292"/>
      <c r="AX1779" s="1292"/>
      <c r="AY1779" s="1292"/>
      <c r="AZ1779" s="1292"/>
      <c r="BA1779" s="1292"/>
      <c r="BB1779" s="1292"/>
      <c r="BC1779" s="1292"/>
      <c r="BD1779" s="1292"/>
      <c r="BE1779" s="1292"/>
      <c r="BF1779" s="1292"/>
      <c r="BG1779" s="1292"/>
      <c r="BH1779" s="1292"/>
      <c r="BI1779" s="1292"/>
      <c r="BJ1779" s="1292"/>
      <c r="BK1779" s="1292"/>
      <c r="BL1779" s="1292"/>
      <c r="BM1779" s="1292"/>
      <c r="BN1779" s="1292"/>
      <c r="BO1779" s="1292"/>
      <c r="BP1779" s="1292"/>
      <c r="BQ1779" s="1292"/>
      <c r="BR1779" s="1292"/>
      <c r="BS1779" s="1292"/>
      <c r="BT1779" s="1670">
        <f t="shared" si="1097"/>
        <v>0</v>
      </c>
      <c r="BW1779" s="823" t="s">
        <v>369</v>
      </c>
    </row>
    <row r="1780" spans="2:75" ht="12.75" customHeight="1" x14ac:dyDescent="0.2">
      <c r="B1780" s="175">
        <f t="shared" si="1098"/>
        <v>20</v>
      </c>
      <c r="C1780" s="219">
        <v>18</v>
      </c>
      <c r="D1780" s="175"/>
      <c r="E1780" s="12" t="s">
        <v>1276</v>
      </c>
      <c r="F1780" s="24" t="s">
        <v>1776</v>
      </c>
      <c r="G1780" s="823" t="s">
        <v>1775</v>
      </c>
      <c r="H1780" s="858">
        <v>154386</v>
      </c>
      <c r="I1780" s="164" t="s">
        <v>1442</v>
      </c>
      <c r="L1780" s="858">
        <v>0.5</v>
      </c>
      <c r="M1780" s="858">
        <f t="shared" si="1091"/>
        <v>0.5</v>
      </c>
      <c r="N1780" s="999"/>
      <c r="O1780" s="1196">
        <v>17870</v>
      </c>
      <c r="P1780" s="1218">
        <f t="shared" ca="1" si="1092"/>
        <v>68.830555555555549</v>
      </c>
      <c r="Q1780" s="1148">
        <v>32000</v>
      </c>
      <c r="R1780" s="874"/>
      <c r="S1780" s="875"/>
      <c r="T1780" s="875"/>
      <c r="U1780" s="875"/>
      <c r="V1780" s="875"/>
      <c r="W1780" s="875"/>
      <c r="X1780" s="1026">
        <f t="shared" si="1093"/>
        <v>16000</v>
      </c>
      <c r="Y1780" s="1512">
        <f t="shared" si="1099"/>
        <v>0</v>
      </c>
      <c r="Z1780" s="1741">
        <f t="shared" si="1095"/>
        <v>0.5</v>
      </c>
      <c r="AA1780" s="1749"/>
      <c r="AB1780" s="1810">
        <f t="shared" si="1096"/>
        <v>0</v>
      </c>
      <c r="AC1780" s="876"/>
      <c r="AD1780" s="1295"/>
      <c r="AE1780" s="1525"/>
      <c r="AF1780" s="1525"/>
      <c r="AG1780" s="1525"/>
      <c r="AH1780" s="1525"/>
      <c r="AI1780" s="1525"/>
      <c r="AJ1780" s="1525"/>
      <c r="AK1780" s="1525"/>
      <c r="AL1780" s="1525"/>
      <c r="AM1780" s="1525"/>
      <c r="AN1780" s="1525"/>
      <c r="AO1780" s="1525"/>
      <c r="AP1780" s="1525"/>
      <c r="AQ1780" s="1525"/>
      <c r="AR1780" s="1525"/>
      <c r="AS1780" s="1525"/>
      <c r="AU1780" s="1525"/>
      <c r="AV1780" s="1291"/>
      <c r="AW1780" s="1292"/>
      <c r="AX1780" s="1292"/>
      <c r="AY1780" s="1292"/>
      <c r="AZ1780" s="1292"/>
      <c r="BA1780" s="1292"/>
      <c r="BB1780" s="1292"/>
      <c r="BC1780" s="1292"/>
      <c r="BD1780" s="1292"/>
      <c r="BE1780" s="1292"/>
      <c r="BF1780" s="1292"/>
      <c r="BG1780" s="1292"/>
      <c r="BH1780" s="1292"/>
      <c r="BI1780" s="1292"/>
      <c r="BJ1780" s="1292"/>
      <c r="BK1780" s="1292"/>
      <c r="BL1780" s="1292"/>
      <c r="BM1780" s="1292"/>
      <c r="BN1780" s="1292"/>
      <c r="BO1780" s="1292"/>
      <c r="BP1780" s="1292"/>
      <c r="BQ1780" s="1292"/>
      <c r="BR1780" s="1292"/>
      <c r="BS1780" s="1292"/>
      <c r="BT1780" s="1670">
        <f t="shared" si="1097"/>
        <v>0</v>
      </c>
      <c r="BW1780" s="823" t="s">
        <v>1775</v>
      </c>
    </row>
    <row r="1781" spans="2:75" ht="12.75" customHeight="1" x14ac:dyDescent="0.2">
      <c r="B1781" s="175">
        <f t="shared" si="1098"/>
        <v>21</v>
      </c>
      <c r="C1781" s="219">
        <v>19</v>
      </c>
      <c r="E1781" s="12" t="s">
        <v>1276</v>
      </c>
      <c r="F1781" s="26" t="s">
        <v>104</v>
      </c>
      <c r="G1781" s="830" t="s">
        <v>1702</v>
      </c>
      <c r="H1781" s="873">
        <v>41149</v>
      </c>
      <c r="I1781" s="164" t="s">
        <v>1442</v>
      </c>
      <c r="J1781" s="195"/>
      <c r="K1781" s="195"/>
      <c r="L1781" s="873">
        <v>0.5</v>
      </c>
      <c r="M1781" s="873">
        <f t="shared" si="1091"/>
        <v>0.5</v>
      </c>
      <c r="N1781" s="1010" t="s">
        <v>1402</v>
      </c>
      <c r="O1781" s="1211">
        <v>20154</v>
      </c>
      <c r="P1781" s="1218">
        <f t="shared" ca="1" si="1092"/>
        <v>62.572222222222223</v>
      </c>
      <c r="Q1781" s="1071">
        <v>18500</v>
      </c>
      <c r="R1781" s="890">
        <f>Q1781*0.1</f>
        <v>1850</v>
      </c>
      <c r="S1781" s="891"/>
      <c r="T1781" s="891"/>
      <c r="U1781" s="891"/>
      <c r="V1781" s="891"/>
      <c r="W1781" s="891">
        <f>ROUND((Q1781+R1781)*0.65,0)</f>
        <v>13228</v>
      </c>
      <c r="X1781" s="1026">
        <f t="shared" si="1093"/>
        <v>16789</v>
      </c>
      <c r="Y1781" s="1512">
        <f t="shared" si="1099"/>
        <v>0.65002457002457004</v>
      </c>
      <c r="Z1781" s="1741">
        <f t="shared" si="1095"/>
        <v>0.82501228501228496</v>
      </c>
      <c r="AA1781" s="1749"/>
      <c r="AB1781" s="1810">
        <f t="shared" si="1096"/>
        <v>0</v>
      </c>
      <c r="AC1781" s="876"/>
      <c r="AD1781" s="1295"/>
      <c r="AE1781" s="1525"/>
      <c r="AF1781" s="1525"/>
      <c r="AG1781" s="1525"/>
      <c r="AH1781" s="1525"/>
      <c r="AI1781" s="1525"/>
      <c r="AJ1781" s="1525"/>
      <c r="AK1781" s="1525"/>
      <c r="AL1781" s="1525"/>
      <c r="AM1781" s="1525"/>
      <c r="AN1781" s="1525"/>
      <c r="AO1781" s="1525"/>
      <c r="AP1781" s="1525"/>
      <c r="AQ1781" s="1525"/>
      <c r="AR1781" s="1525"/>
      <c r="AS1781" s="1525"/>
      <c r="AU1781" s="1525"/>
      <c r="AV1781" s="1291"/>
      <c r="AW1781" s="1292"/>
      <c r="AX1781" s="1292"/>
      <c r="AY1781" s="1292"/>
      <c r="AZ1781" s="1292"/>
      <c r="BA1781" s="1292"/>
      <c r="BB1781" s="1292"/>
      <c r="BC1781" s="1292"/>
      <c r="BD1781" s="1292"/>
      <c r="BE1781" s="1292"/>
      <c r="BF1781" s="1292"/>
      <c r="BG1781" s="1292"/>
      <c r="BH1781" s="1292"/>
      <c r="BI1781" s="1292"/>
      <c r="BJ1781" s="1292"/>
      <c r="BK1781" s="1292"/>
      <c r="BL1781" s="1292"/>
      <c r="BM1781" s="1292"/>
      <c r="BN1781" s="1292"/>
      <c r="BO1781" s="1292"/>
      <c r="BP1781" s="1292"/>
      <c r="BQ1781" s="1292"/>
      <c r="BR1781" s="1292"/>
      <c r="BS1781" s="1292"/>
      <c r="BT1781" s="1670">
        <f t="shared" si="1097"/>
        <v>0</v>
      </c>
      <c r="BW1781" s="830" t="s">
        <v>1702</v>
      </c>
    </row>
    <row r="1782" spans="2:75" s="164" customFormat="1" ht="12.75" customHeight="1" x14ac:dyDescent="0.15">
      <c r="B1782" s="175"/>
      <c r="C1782" s="219" t="s">
        <v>1120</v>
      </c>
      <c r="F1782" s="4" t="s">
        <v>490</v>
      </c>
      <c r="G1782" s="825"/>
      <c r="H1782" s="1351" t="s">
        <v>1508</v>
      </c>
      <c r="I1782" s="197"/>
      <c r="J1782" s="174"/>
      <c r="K1782" s="446">
        <f>SUM(K1761:K1781)</f>
        <v>0</v>
      </c>
      <c r="L1782" s="892">
        <f>SUM(L1761:L1781)</f>
        <v>19</v>
      </c>
      <c r="M1782" s="892">
        <f>SUM(M1761:M1781)</f>
        <v>19</v>
      </c>
      <c r="N1782" s="836"/>
      <c r="O1782" s="1200"/>
      <c r="P1782" s="550"/>
      <c r="Q1782" s="1153"/>
      <c r="R1782" s="877"/>
      <c r="S1782" s="875"/>
      <c r="T1782" s="875"/>
      <c r="U1782" s="875"/>
      <c r="V1782" s="875"/>
      <c r="W1782" s="875"/>
      <c r="X1782" s="1026"/>
      <c r="Y1782" s="1335"/>
      <c r="Z1782" s="1335"/>
      <c r="AA1782" s="1775"/>
      <c r="AB1782" s="1812"/>
      <c r="AC1782" s="876"/>
      <c r="AD1782" s="1295"/>
      <c r="AE1782" s="1525"/>
      <c r="AF1782" s="1525"/>
      <c r="AG1782" s="1525"/>
      <c r="AH1782" s="1525"/>
      <c r="AI1782" s="1525"/>
      <c r="AJ1782" s="1525"/>
      <c r="AK1782" s="1525"/>
      <c r="AL1782" s="1525"/>
      <c r="AM1782" s="1525"/>
      <c r="AN1782" s="1525"/>
      <c r="AO1782" s="1525"/>
      <c r="AP1782" s="1525"/>
      <c r="AQ1782" s="1525"/>
      <c r="AR1782" s="1525"/>
      <c r="AS1782" s="1525"/>
      <c r="AU1782" s="1525"/>
      <c r="AV1782" s="1295"/>
      <c r="AW1782" s="1525"/>
      <c r="AX1782" s="1525"/>
      <c r="AY1782" s="1525"/>
      <c r="AZ1782" s="1525"/>
      <c r="BA1782" s="1525"/>
      <c r="BB1782" s="1525"/>
      <c r="BC1782" s="1525"/>
      <c r="BD1782" s="1525"/>
      <c r="BE1782" s="1525"/>
      <c r="BF1782" s="1525"/>
      <c r="BG1782" s="1525"/>
      <c r="BH1782" s="1525"/>
      <c r="BI1782" s="1525"/>
      <c r="BJ1782" s="1525"/>
      <c r="BK1782" s="1525"/>
      <c r="BL1782" s="1525"/>
      <c r="BM1782" s="1525"/>
      <c r="BN1782" s="1525"/>
      <c r="BO1782" s="1525"/>
      <c r="BP1782" s="1525"/>
      <c r="BQ1782" s="1525"/>
      <c r="BR1782" s="1525"/>
      <c r="BS1782" s="1525"/>
      <c r="BT1782" s="1670"/>
      <c r="BV1782"/>
      <c r="BW1782" s="825"/>
    </row>
    <row r="1783" spans="2:75" s="164" customFormat="1" ht="12.75" customHeight="1" x14ac:dyDescent="0.15">
      <c r="B1783" s="175"/>
      <c r="F1783" s="4"/>
      <c r="G1783" s="825"/>
      <c r="H1783" s="1347" t="s">
        <v>1508</v>
      </c>
      <c r="I1783" s="197"/>
      <c r="J1783" s="174"/>
      <c r="K1783" s="174"/>
      <c r="L1783" s="861"/>
      <c r="M1783" s="861"/>
      <c r="N1783" s="836"/>
      <c r="O1783" s="1200"/>
      <c r="P1783" s="550"/>
      <c r="Q1783" s="1148"/>
      <c r="R1783" s="874"/>
      <c r="S1783" s="875"/>
      <c r="T1783" s="875"/>
      <c r="U1783" s="875"/>
      <c r="V1783" s="875"/>
      <c r="W1783" s="875"/>
      <c r="X1783" s="1026"/>
      <c r="Y1783" s="1754"/>
      <c r="Z1783" s="1755"/>
      <c r="AA1783" s="1775"/>
      <c r="AB1783" s="1812"/>
      <c r="AC1783" s="876"/>
      <c r="AD1783" s="1295"/>
      <c r="AE1783" s="1525"/>
      <c r="AF1783" s="1525"/>
      <c r="AG1783" s="1525"/>
      <c r="AH1783" s="1525"/>
      <c r="AI1783" s="1525"/>
      <c r="AJ1783" s="1525"/>
      <c r="AK1783" s="1525"/>
      <c r="AL1783" s="1525"/>
      <c r="AM1783" s="1525"/>
      <c r="AN1783" s="1525"/>
      <c r="AO1783" s="1525"/>
      <c r="AP1783" s="1525"/>
      <c r="AQ1783" s="1525"/>
      <c r="AR1783" s="1525"/>
      <c r="AS1783" s="1525"/>
      <c r="AU1783" s="1525"/>
      <c r="AV1783" s="1295"/>
      <c r="AW1783" s="1525"/>
      <c r="AX1783" s="1525"/>
      <c r="AY1783" s="1525"/>
      <c r="AZ1783" s="1525"/>
      <c r="BA1783" s="1525"/>
      <c r="BB1783" s="1525"/>
      <c r="BC1783" s="1525"/>
      <c r="BD1783" s="1525"/>
      <c r="BE1783" s="1525"/>
      <c r="BF1783" s="1525"/>
      <c r="BG1783" s="1525"/>
      <c r="BH1783" s="1525"/>
      <c r="BI1783" s="1525"/>
      <c r="BJ1783" s="1525"/>
      <c r="BK1783" s="1525"/>
      <c r="BL1783" s="1525"/>
      <c r="BM1783" s="1525"/>
      <c r="BN1783" s="1525"/>
      <c r="BO1783" s="1525"/>
      <c r="BP1783" s="1525"/>
      <c r="BQ1783" s="1525"/>
      <c r="BR1783" s="1525"/>
      <c r="BS1783" s="1525"/>
      <c r="BT1783" s="1670"/>
      <c r="BV1783"/>
      <c r="BW1783" s="825"/>
    </row>
    <row r="1784" spans="2:75" s="164" customFormat="1" ht="12.75" customHeight="1" x14ac:dyDescent="0.15">
      <c r="B1784" s="175"/>
      <c r="F1784" s="21" t="s">
        <v>242</v>
      </c>
      <c r="G1784" s="821"/>
      <c r="H1784" s="1346" t="s">
        <v>1508</v>
      </c>
      <c r="I1784" s="200"/>
      <c r="J1784" s="189"/>
      <c r="K1784" s="189"/>
      <c r="L1784" s="858"/>
      <c r="M1784" s="858"/>
      <c r="N1784" s="857"/>
      <c r="O1784" s="1200"/>
      <c r="P1784" s="550"/>
      <c r="Q1784" s="1148"/>
      <c r="R1784" s="874"/>
      <c r="S1784" s="875"/>
      <c r="T1784" s="875"/>
      <c r="U1784" s="875"/>
      <c r="V1784" s="875"/>
      <c r="W1784" s="875"/>
      <c r="X1784" s="1026"/>
      <c r="Y1784" s="1754"/>
      <c r="Z1784" s="1755"/>
      <c r="AA1784" s="1775"/>
      <c r="AB1784" s="1812"/>
      <c r="AC1784" s="876"/>
      <c r="AD1784" s="1295"/>
      <c r="AE1784" s="1525"/>
      <c r="AF1784" s="1525"/>
      <c r="AG1784" s="1525"/>
      <c r="AH1784" s="1525"/>
      <c r="AI1784" s="1525"/>
      <c r="AJ1784" s="1525"/>
      <c r="AK1784" s="1525"/>
      <c r="AL1784" s="1525"/>
      <c r="AM1784" s="1525"/>
      <c r="AN1784" s="1525"/>
      <c r="AO1784" s="1525"/>
      <c r="AP1784" s="1525"/>
      <c r="AQ1784" s="1525"/>
      <c r="AR1784" s="1525"/>
      <c r="AS1784" s="1525"/>
      <c r="AU1784" s="1525"/>
      <c r="AV1784" s="1295"/>
      <c r="AW1784" s="1525"/>
      <c r="AX1784" s="1525"/>
      <c r="AY1784" s="1525"/>
      <c r="AZ1784" s="1525"/>
      <c r="BA1784" s="1525"/>
      <c r="BB1784" s="1525"/>
      <c r="BC1784" s="1525"/>
      <c r="BD1784" s="1525"/>
      <c r="BE1784" s="1525"/>
      <c r="BF1784" s="1525"/>
      <c r="BG1784" s="1525"/>
      <c r="BH1784" s="1525"/>
      <c r="BI1784" s="1525"/>
      <c r="BJ1784" s="1525"/>
      <c r="BK1784" s="1525"/>
      <c r="BL1784" s="1525"/>
      <c r="BM1784" s="1525"/>
      <c r="BN1784" s="1525"/>
      <c r="BO1784" s="1525"/>
      <c r="BP1784" s="1525"/>
      <c r="BQ1784" s="1525"/>
      <c r="BR1784" s="1525"/>
      <c r="BS1784" s="1525"/>
      <c r="BT1784" s="1670"/>
      <c r="BV1784"/>
      <c r="BW1784" s="821"/>
    </row>
    <row r="1785" spans="2:75" s="164" customFormat="1" ht="12.75" customHeight="1" x14ac:dyDescent="0.15">
      <c r="B1785" s="175"/>
      <c r="F1785" s="24" t="s">
        <v>244</v>
      </c>
      <c r="G1785" s="821"/>
      <c r="H1785" s="1346" t="s">
        <v>1508</v>
      </c>
      <c r="I1785" s="200"/>
      <c r="J1785" s="189"/>
      <c r="K1785" s="189"/>
      <c r="L1785" s="858"/>
      <c r="M1785" s="858"/>
      <c r="N1785" s="857"/>
      <c r="O1785" s="1200"/>
      <c r="P1785" s="550"/>
      <c r="Q1785" s="1148"/>
      <c r="R1785" s="874"/>
      <c r="S1785" s="875"/>
      <c r="T1785" s="875"/>
      <c r="U1785" s="875"/>
      <c r="V1785" s="875"/>
      <c r="W1785" s="875"/>
      <c r="X1785" s="1026"/>
      <c r="Y1785" s="1754"/>
      <c r="Z1785" s="1755"/>
      <c r="AA1785" s="1775"/>
      <c r="AB1785" s="1812"/>
      <c r="AC1785" s="876"/>
      <c r="AD1785" s="1295"/>
      <c r="AE1785" s="1525"/>
      <c r="AF1785" s="1525"/>
      <c r="AG1785" s="1525"/>
      <c r="AH1785" s="1525"/>
      <c r="AI1785" s="1525"/>
      <c r="AJ1785" s="1525"/>
      <c r="AK1785" s="1525"/>
      <c r="AL1785" s="1525"/>
      <c r="AM1785" s="1525"/>
      <c r="AN1785" s="1525"/>
      <c r="AO1785" s="1525"/>
      <c r="AP1785" s="1525"/>
      <c r="AQ1785" s="1525"/>
      <c r="AR1785" s="1525"/>
      <c r="AS1785" s="1525"/>
      <c r="AU1785" s="1525"/>
      <c r="AV1785" s="1295"/>
      <c r="AW1785" s="1525"/>
      <c r="AX1785" s="1525"/>
      <c r="AY1785" s="1525"/>
      <c r="AZ1785" s="1525"/>
      <c r="BA1785" s="1525"/>
      <c r="BB1785" s="1525"/>
      <c r="BC1785" s="1525"/>
      <c r="BD1785" s="1525"/>
      <c r="BE1785" s="1525"/>
      <c r="BF1785" s="1525"/>
      <c r="BG1785" s="1525"/>
      <c r="BH1785" s="1525"/>
      <c r="BI1785" s="1525"/>
      <c r="BJ1785" s="1525"/>
      <c r="BK1785" s="1525"/>
      <c r="BL1785" s="1525"/>
      <c r="BM1785" s="1525"/>
      <c r="BN1785" s="1525"/>
      <c r="BO1785" s="1525"/>
      <c r="BP1785" s="1525"/>
      <c r="BQ1785" s="1525"/>
      <c r="BR1785" s="1525"/>
      <c r="BS1785" s="1525"/>
      <c r="BT1785" s="1670"/>
      <c r="BV1785"/>
      <c r="BW1785" s="821"/>
    </row>
    <row r="1786" spans="2:75" s="164" customFormat="1" ht="12.75" customHeight="1" x14ac:dyDescent="0.15">
      <c r="B1786" s="175"/>
      <c r="F1786" s="24"/>
      <c r="G1786" s="821"/>
      <c r="H1786" s="1346" t="s">
        <v>1508</v>
      </c>
      <c r="I1786" s="200"/>
      <c r="J1786" s="189"/>
      <c r="K1786" s="189"/>
      <c r="L1786" s="858"/>
      <c r="M1786" s="858"/>
      <c r="N1786" s="857"/>
      <c r="O1786" s="1200"/>
      <c r="P1786" s="550"/>
      <c r="Q1786" s="1148"/>
      <c r="R1786" s="874"/>
      <c r="S1786" s="875"/>
      <c r="T1786" s="875"/>
      <c r="U1786" s="875"/>
      <c r="V1786" s="875"/>
      <c r="W1786" s="875"/>
      <c r="X1786" s="1026"/>
      <c r="Y1786" s="1754"/>
      <c r="Z1786" s="1755"/>
      <c r="AA1786" s="1775"/>
      <c r="AB1786" s="1812"/>
      <c r="AC1786" s="876"/>
      <c r="AD1786" s="1295"/>
      <c r="AE1786" s="1525"/>
      <c r="AF1786" s="1525"/>
      <c r="AG1786" s="1525"/>
      <c r="AH1786" s="1525"/>
      <c r="AI1786" s="1525"/>
      <c r="AJ1786" s="1525"/>
      <c r="AK1786" s="1525"/>
      <c r="AL1786" s="1525"/>
      <c r="AM1786" s="1525"/>
      <c r="AN1786" s="1525"/>
      <c r="AO1786" s="1525"/>
      <c r="AP1786" s="1525"/>
      <c r="AQ1786" s="1525"/>
      <c r="AR1786" s="1525"/>
      <c r="AS1786" s="1525"/>
      <c r="AU1786" s="1525"/>
      <c r="AV1786" s="1295"/>
      <c r="AW1786" s="1525"/>
      <c r="AX1786" s="1525"/>
      <c r="AY1786" s="1525"/>
      <c r="AZ1786" s="1525"/>
      <c r="BA1786" s="1525"/>
      <c r="BB1786" s="1525"/>
      <c r="BC1786" s="1525"/>
      <c r="BD1786" s="1525"/>
      <c r="BE1786" s="1525"/>
      <c r="BF1786" s="1525"/>
      <c r="BG1786" s="1525"/>
      <c r="BH1786" s="1525"/>
      <c r="BI1786" s="1525"/>
      <c r="BJ1786" s="1525"/>
      <c r="BK1786" s="1525"/>
      <c r="BL1786" s="1525"/>
      <c r="BM1786" s="1525"/>
      <c r="BN1786" s="1525"/>
      <c r="BO1786" s="1525"/>
      <c r="BP1786" s="1525"/>
      <c r="BQ1786" s="1525"/>
      <c r="BR1786" s="1525"/>
      <c r="BS1786" s="1525"/>
      <c r="BT1786" s="1670"/>
      <c r="BV1786"/>
      <c r="BW1786" s="821"/>
    </row>
    <row r="1787" spans="2:75" ht="12.75" customHeight="1" x14ac:dyDescent="0.2">
      <c r="B1787" s="175">
        <f t="shared" ref="B1787:B1788" si="1100">B1786+1</f>
        <v>1</v>
      </c>
      <c r="C1787" s="219">
        <v>29</v>
      </c>
      <c r="D1787" s="170"/>
      <c r="E1787" s="12" t="s">
        <v>1276</v>
      </c>
      <c r="F1787" s="24" t="s">
        <v>465</v>
      </c>
      <c r="G1787" s="821" t="s">
        <v>1953</v>
      </c>
      <c r="H1787" s="858">
        <v>155911</v>
      </c>
      <c r="I1787" s="200" t="s">
        <v>583</v>
      </c>
      <c r="J1787" s="189"/>
      <c r="K1787" s="189"/>
      <c r="L1787" s="858">
        <v>1</v>
      </c>
      <c r="M1787" s="858">
        <v>1</v>
      </c>
      <c r="N1787" s="857" t="s">
        <v>1402</v>
      </c>
      <c r="O1787" s="1196">
        <v>19614</v>
      </c>
      <c r="P1787" s="1218">
        <f t="shared" ref="P1787" ca="1" si="1101">YEARFRAC(TODAY(),O1787)</f>
        <v>64.055555555555557</v>
      </c>
      <c r="Q1787" s="1148">
        <v>35000</v>
      </c>
      <c r="R1787" s="874">
        <f>Q1787*0.1</f>
        <v>3500</v>
      </c>
      <c r="S1787" s="875"/>
      <c r="T1787" s="875"/>
      <c r="U1787" s="875"/>
      <c r="V1787" s="875"/>
      <c r="W1787" s="875"/>
      <c r="X1787" s="1026">
        <f t="shared" ref="X1787:X1799" si="1102">(Q1787+R1787+S1787+T1787+U1787+V1787+W1787)*M1787</f>
        <v>38500</v>
      </c>
      <c r="Y1787" s="1512">
        <f t="shared" ref="Y1787:Y1799" si="1103">(T1787+U1787+V1787+W1787)*M1787/(X1787-M1787*(T1787+U1787+V1787+W1787))</f>
        <v>0</v>
      </c>
      <c r="Z1787" s="1741"/>
      <c r="AA1787" s="1750"/>
      <c r="AB1787" s="1760"/>
      <c r="AC1787" s="224"/>
      <c r="AD1787" s="170"/>
      <c r="AE1787" s="170"/>
      <c r="AF1787" s="170"/>
      <c r="AG1787" s="170"/>
      <c r="AH1787" s="170"/>
      <c r="AI1787" s="170"/>
      <c r="AJ1787" s="170"/>
      <c r="AK1787" s="170"/>
      <c r="AL1787" s="170"/>
      <c r="AM1787" s="170"/>
      <c r="AN1787" s="170"/>
      <c r="AO1787" s="170"/>
      <c r="AP1787" s="1572"/>
      <c r="AQ1787" s="224"/>
      <c r="AR1787" s="210"/>
      <c r="AS1787" s="224"/>
      <c r="AU1787" s="224"/>
      <c r="AV1787" s="1292"/>
      <c r="BT1787" s="1671"/>
      <c r="BV1787" s="224"/>
      <c r="BW1787" s="224"/>
    </row>
    <row r="1788" spans="2:75" ht="12.75" customHeight="1" x14ac:dyDescent="0.2">
      <c r="B1788" s="175">
        <f t="shared" si="1100"/>
        <v>2</v>
      </c>
      <c r="C1788" s="219">
        <v>41</v>
      </c>
      <c r="E1788" s="12" t="s">
        <v>1276</v>
      </c>
      <c r="F1788" s="24" t="s">
        <v>572</v>
      </c>
      <c r="G1788" s="821" t="s">
        <v>120</v>
      </c>
      <c r="H1788" s="858">
        <v>121862</v>
      </c>
      <c r="I1788" s="200" t="s">
        <v>1442</v>
      </c>
      <c r="J1788" s="189"/>
      <c r="K1788" s="189"/>
      <c r="L1788" s="858">
        <v>1</v>
      </c>
      <c r="M1788" s="858">
        <v>1</v>
      </c>
      <c r="N1788" s="857" t="s">
        <v>1402</v>
      </c>
      <c r="O1788" s="1196">
        <v>31266</v>
      </c>
      <c r="P1788" s="1218">
        <f t="shared" ref="P1788:P1799" ca="1" si="1104">YEARFRAC(TODAY(),O1788)</f>
        <v>32.152777777777779</v>
      </c>
      <c r="Q1788" s="1148">
        <v>28900</v>
      </c>
      <c r="R1788" s="874">
        <f>Q1788*0.1</f>
        <v>2890</v>
      </c>
      <c r="S1788" s="875"/>
      <c r="T1788" s="875"/>
      <c r="U1788" s="875"/>
      <c r="V1788" s="875"/>
      <c r="W1788" s="1036"/>
      <c r="X1788" s="1026">
        <f t="shared" si="1102"/>
        <v>31790</v>
      </c>
      <c r="Y1788" s="1512">
        <f t="shared" si="1103"/>
        <v>0</v>
      </c>
      <c r="Z1788" s="1741">
        <f t="shared" ref="Z1788:Z1799" si="1105">M1788*(1+Y1788)</f>
        <v>1</v>
      </c>
      <c r="AA1788" s="1749"/>
      <c r="AB1788" s="1810">
        <f t="shared" ref="AB1788:AB1799" si="1106">100*AA1788/Z1788</f>
        <v>0</v>
      </c>
      <c r="AC1788" s="876"/>
      <c r="AD1788" s="1295"/>
      <c r="AE1788" s="1525"/>
      <c r="AF1788" s="1525"/>
      <c r="AG1788" s="1525"/>
      <c r="AH1788" s="1525"/>
      <c r="AI1788" s="1525"/>
      <c r="AJ1788" s="1525"/>
      <c r="AK1788" s="1525"/>
      <c r="AL1788" s="1525"/>
      <c r="AM1788" s="1525"/>
      <c r="AN1788" s="1525"/>
      <c r="AO1788" s="1525"/>
      <c r="AP1788" s="1525"/>
      <c r="AQ1788" s="1525"/>
      <c r="AR1788" s="1525"/>
      <c r="AS1788" s="1525"/>
      <c r="AU1788" s="1525"/>
      <c r="AV1788" s="1291"/>
      <c r="AW1788" s="1292"/>
      <c r="AX1788" s="1292"/>
      <c r="AY1788" s="1292"/>
      <c r="AZ1788" s="1292"/>
      <c r="BA1788" s="1292"/>
      <c r="BB1788" s="1292"/>
      <c r="BC1788" s="1292"/>
      <c r="BD1788" s="1292"/>
      <c r="BE1788" s="1292"/>
      <c r="BF1788" s="1292"/>
      <c r="BG1788" s="1292"/>
      <c r="BH1788" s="1292"/>
      <c r="BI1788" s="1292"/>
      <c r="BJ1788" s="1292"/>
      <c r="BK1788" s="1292"/>
      <c r="BL1788" s="1292"/>
      <c r="BM1788" s="1292"/>
      <c r="BN1788" s="1292"/>
      <c r="BO1788" s="1292"/>
      <c r="BP1788" s="1292"/>
      <c r="BQ1788" s="1292"/>
      <c r="BR1788" s="1292"/>
      <c r="BS1788" s="1292"/>
      <c r="BT1788" s="1670">
        <f t="shared" ref="BT1788:BT1799" si="1107">SUM(AV1788:BS1788)</f>
        <v>0</v>
      </c>
      <c r="BW1788" s="821" t="s">
        <v>120</v>
      </c>
    </row>
    <row r="1789" spans="2:75" ht="12.75" customHeight="1" x14ac:dyDescent="0.2">
      <c r="B1789" s="175">
        <f t="shared" ref="B1789:B1799" si="1108">B1788+1</f>
        <v>3</v>
      </c>
      <c r="C1789" s="219">
        <v>41</v>
      </c>
      <c r="E1789" s="12" t="s">
        <v>1276</v>
      </c>
      <c r="F1789" s="24" t="s">
        <v>572</v>
      </c>
      <c r="G1789" s="859" t="s">
        <v>211</v>
      </c>
      <c r="H1789" s="858">
        <v>62437</v>
      </c>
      <c r="I1789" s="200" t="s">
        <v>1442</v>
      </c>
      <c r="J1789" s="189"/>
      <c r="K1789" s="189"/>
      <c r="L1789" s="858">
        <v>1</v>
      </c>
      <c r="M1789" s="858">
        <f t="shared" ref="M1789:M1799" si="1109">K1789+L1789</f>
        <v>1</v>
      </c>
      <c r="N1789" s="999" t="s">
        <v>1402</v>
      </c>
      <c r="O1789" s="1196">
        <v>23242</v>
      </c>
      <c r="P1789" s="1218">
        <f t="shared" ca="1" si="1104"/>
        <v>54.119444444444447</v>
      </c>
      <c r="Q1789" s="1148">
        <v>23000</v>
      </c>
      <c r="R1789" s="874">
        <f>Q1789*0.1</f>
        <v>2300</v>
      </c>
      <c r="S1789" s="875"/>
      <c r="T1789" s="877"/>
      <c r="U1789" s="877"/>
      <c r="V1789" s="877"/>
      <c r="W1789" s="875"/>
      <c r="X1789" s="1026">
        <f t="shared" si="1102"/>
        <v>25300</v>
      </c>
      <c r="Y1789" s="1512">
        <f t="shared" si="1103"/>
        <v>0</v>
      </c>
      <c r="Z1789" s="1741">
        <f t="shared" si="1105"/>
        <v>1</v>
      </c>
      <c r="AA1789" s="1749"/>
      <c r="AB1789" s="1810">
        <f t="shared" si="1106"/>
        <v>0</v>
      </c>
      <c r="AC1789" s="876"/>
      <c r="AD1789" s="1295"/>
      <c r="AE1789" s="1525"/>
      <c r="AF1789" s="1525"/>
      <c r="AG1789" s="1525"/>
      <c r="AH1789" s="1525"/>
      <c r="AI1789" s="1525"/>
      <c r="AJ1789" s="1525"/>
      <c r="AK1789" s="1525"/>
      <c r="AL1789" s="1525"/>
      <c r="AM1789" s="1525"/>
      <c r="AN1789" s="1525"/>
      <c r="AO1789" s="1525"/>
      <c r="AP1789" s="1525"/>
      <c r="AQ1789" s="1525"/>
      <c r="AR1789" s="1525"/>
      <c r="AS1789" s="1525"/>
      <c r="AU1789" s="1525"/>
      <c r="AV1789" s="1291"/>
      <c r="AW1789" s="1292"/>
      <c r="AX1789" s="1292"/>
      <c r="AY1789" s="1292"/>
      <c r="AZ1789" s="1292"/>
      <c r="BA1789" s="1292"/>
      <c r="BB1789" s="1292"/>
      <c r="BC1789" s="1292"/>
      <c r="BD1789" s="1292"/>
      <c r="BE1789" s="1292"/>
      <c r="BF1789" s="1292"/>
      <c r="BG1789" s="1292"/>
      <c r="BH1789" s="1292"/>
      <c r="BI1789" s="1292"/>
      <c r="BJ1789" s="1292"/>
      <c r="BK1789" s="1292"/>
      <c r="BL1789" s="1292"/>
      <c r="BM1789" s="1292"/>
      <c r="BN1789" s="1292"/>
      <c r="BO1789" s="1292"/>
      <c r="BP1789" s="1292"/>
      <c r="BQ1789" s="1292"/>
      <c r="BR1789" s="1292"/>
      <c r="BS1789" s="1292"/>
      <c r="BT1789" s="1670">
        <f t="shared" si="1107"/>
        <v>0</v>
      </c>
      <c r="BW1789" s="859" t="s">
        <v>211</v>
      </c>
    </row>
    <row r="1790" spans="2:75" ht="12.75" customHeight="1" x14ac:dyDescent="0.2">
      <c r="B1790" s="175">
        <f t="shared" si="1108"/>
        <v>4</v>
      </c>
      <c r="C1790" s="219">
        <v>41</v>
      </c>
      <c r="E1790" s="12" t="s">
        <v>1276</v>
      </c>
      <c r="F1790" s="24" t="s">
        <v>572</v>
      </c>
      <c r="G1790" s="859" t="s">
        <v>397</v>
      </c>
      <c r="H1790" s="858">
        <v>223551</v>
      </c>
      <c r="I1790" s="200" t="s">
        <v>1442</v>
      </c>
      <c r="J1790" s="189"/>
      <c r="K1790" s="189"/>
      <c r="L1790" s="858">
        <v>1</v>
      </c>
      <c r="M1790" s="858">
        <f t="shared" si="1109"/>
        <v>1</v>
      </c>
      <c r="N1790" s="999" t="s">
        <v>1326</v>
      </c>
      <c r="O1790" s="1196">
        <v>30833</v>
      </c>
      <c r="P1790" s="1218">
        <f t="shared" ca="1" si="1104"/>
        <v>33.338888888888889</v>
      </c>
      <c r="Q1790" s="1148">
        <v>31500</v>
      </c>
      <c r="R1790" s="874">
        <f>Q1790*0.1</f>
        <v>3150</v>
      </c>
      <c r="S1790" s="875"/>
      <c r="T1790" s="875"/>
      <c r="U1790" s="875"/>
      <c r="V1790" s="875"/>
      <c r="W1790" s="1036"/>
      <c r="X1790" s="1026">
        <f t="shared" si="1102"/>
        <v>34650</v>
      </c>
      <c r="Y1790" s="1512">
        <f t="shared" si="1103"/>
        <v>0</v>
      </c>
      <c r="Z1790" s="1741">
        <f t="shared" si="1105"/>
        <v>1</v>
      </c>
      <c r="AA1790" s="1749"/>
      <c r="AB1790" s="1810">
        <f t="shared" si="1106"/>
        <v>0</v>
      </c>
      <c r="AC1790" s="876"/>
      <c r="AD1790" s="1295"/>
      <c r="AE1790" s="1525"/>
      <c r="AF1790" s="1525"/>
      <c r="AG1790" s="1525"/>
      <c r="AH1790" s="1525"/>
      <c r="AI1790" s="1525"/>
      <c r="AJ1790" s="1525"/>
      <c r="AK1790" s="1525"/>
      <c r="AL1790" s="1525"/>
      <c r="AM1790" s="1525"/>
      <c r="AN1790" s="1525"/>
      <c r="AO1790" s="1525"/>
      <c r="AP1790" s="1525"/>
      <c r="AQ1790" s="1525"/>
      <c r="AR1790" s="1525"/>
      <c r="AS1790" s="1525"/>
      <c r="AU1790" s="1525"/>
      <c r="AV1790" s="1291"/>
      <c r="AW1790" s="1292"/>
      <c r="AX1790" s="1292"/>
      <c r="AY1790" s="1292"/>
      <c r="AZ1790" s="1292"/>
      <c r="BA1790" s="1292"/>
      <c r="BB1790" s="1292"/>
      <c r="BC1790" s="1292"/>
      <c r="BD1790" s="1292"/>
      <c r="BE1790" s="1292"/>
      <c r="BF1790" s="1292"/>
      <c r="BG1790" s="1292"/>
      <c r="BH1790" s="1292"/>
      <c r="BI1790" s="1292"/>
      <c r="BJ1790" s="1292"/>
      <c r="BK1790" s="1292"/>
      <c r="BL1790" s="1292"/>
      <c r="BM1790" s="1292"/>
      <c r="BN1790" s="1292"/>
      <c r="BO1790" s="1292"/>
      <c r="BP1790" s="1292"/>
      <c r="BQ1790" s="1292"/>
      <c r="BR1790" s="1292"/>
      <c r="BS1790" s="1292"/>
      <c r="BT1790" s="1670">
        <f t="shared" si="1107"/>
        <v>0</v>
      </c>
      <c r="BW1790" s="859" t="s">
        <v>397</v>
      </c>
    </row>
    <row r="1791" spans="2:75" ht="12.75" customHeight="1" x14ac:dyDescent="0.2">
      <c r="B1791" s="175">
        <f t="shared" si="1108"/>
        <v>5</v>
      </c>
      <c r="C1791" s="220">
        <v>41</v>
      </c>
      <c r="D1791" s="170"/>
      <c r="E1791" s="447" t="s">
        <v>1276</v>
      </c>
      <c r="F1791" s="4" t="s">
        <v>705</v>
      </c>
      <c r="G1791" s="862" t="s">
        <v>399</v>
      </c>
      <c r="H1791" s="861">
        <v>41443</v>
      </c>
      <c r="I1791" s="197" t="s">
        <v>1442</v>
      </c>
      <c r="J1791" s="174"/>
      <c r="K1791" s="174"/>
      <c r="L1791" s="861">
        <v>1</v>
      </c>
      <c r="M1791" s="861">
        <f t="shared" si="1109"/>
        <v>1</v>
      </c>
      <c r="N1791" s="836" t="s">
        <v>1326</v>
      </c>
      <c r="O1791" s="1196">
        <v>23480</v>
      </c>
      <c r="P1791" s="1262">
        <f t="shared" ca="1" si="1104"/>
        <v>53.469444444444441</v>
      </c>
      <c r="Q1791" s="1148">
        <v>27500</v>
      </c>
      <c r="R1791" s="874"/>
      <c r="S1791" s="876"/>
      <c r="T1791" s="876"/>
      <c r="U1791" s="876"/>
      <c r="V1791" s="876"/>
      <c r="W1791" s="876"/>
      <c r="X1791" s="1026">
        <f t="shared" si="1102"/>
        <v>27500</v>
      </c>
      <c r="Y1791" s="1512">
        <f t="shared" si="1103"/>
        <v>0</v>
      </c>
      <c r="Z1791" s="1741">
        <f t="shared" si="1105"/>
        <v>1</v>
      </c>
      <c r="AA1791" s="1749"/>
      <c r="AB1791" s="1810">
        <f t="shared" si="1106"/>
        <v>0</v>
      </c>
      <c r="AC1791" s="876"/>
      <c r="AD1791" s="1295"/>
      <c r="AE1791" s="1525"/>
      <c r="AF1791" s="1525"/>
      <c r="AG1791" s="1525"/>
      <c r="AH1791" s="1525"/>
      <c r="AI1791" s="1525"/>
      <c r="AJ1791" s="1525"/>
      <c r="AK1791" s="1525"/>
      <c r="AL1791" s="1525"/>
      <c r="AM1791" s="1525"/>
      <c r="AN1791" s="1525"/>
      <c r="AO1791" s="1525"/>
      <c r="AP1791" s="1525"/>
      <c r="AQ1791" s="1525"/>
      <c r="AR1791" s="1525"/>
      <c r="AS1791" s="1525"/>
      <c r="AU1791" s="1525"/>
      <c r="AV1791" s="1291"/>
      <c r="AW1791" s="1292"/>
      <c r="AX1791" s="1292"/>
      <c r="AY1791" s="1292"/>
      <c r="AZ1791" s="1292"/>
      <c r="BA1791" s="1292"/>
      <c r="BB1791" s="1292"/>
      <c r="BC1791" s="1292"/>
      <c r="BD1791" s="1292"/>
      <c r="BE1791" s="1292"/>
      <c r="BF1791" s="1292"/>
      <c r="BG1791" s="1292"/>
      <c r="BH1791" s="1292"/>
      <c r="BI1791" s="1292"/>
      <c r="BJ1791" s="1292"/>
      <c r="BK1791" s="1292"/>
      <c r="BL1791" s="1292"/>
      <c r="BM1791" s="1292"/>
      <c r="BN1791" s="1292"/>
      <c r="BO1791" s="1292"/>
      <c r="BP1791" s="1292"/>
      <c r="BQ1791" s="1292"/>
      <c r="BR1791" s="1292"/>
      <c r="BS1791" s="1292"/>
      <c r="BT1791" s="1670">
        <f t="shared" si="1107"/>
        <v>0</v>
      </c>
      <c r="BW1791" s="862" t="s">
        <v>399</v>
      </c>
    </row>
    <row r="1792" spans="2:75" ht="12.75" customHeight="1" x14ac:dyDescent="0.2">
      <c r="B1792" s="175">
        <f t="shared" si="1108"/>
        <v>6</v>
      </c>
      <c r="C1792" s="219">
        <v>41</v>
      </c>
      <c r="E1792" s="12" t="s">
        <v>1276</v>
      </c>
      <c r="F1792" s="24" t="s">
        <v>706</v>
      </c>
      <c r="G1792" s="821" t="s">
        <v>401</v>
      </c>
      <c r="H1792" s="858">
        <v>6751</v>
      </c>
      <c r="I1792" s="200" t="s">
        <v>1442</v>
      </c>
      <c r="J1792" s="189"/>
      <c r="K1792" s="189"/>
      <c r="L1792" s="858">
        <v>1</v>
      </c>
      <c r="M1792" s="858">
        <f t="shared" si="1109"/>
        <v>1</v>
      </c>
      <c r="N1792" s="831" t="s">
        <v>892</v>
      </c>
      <c r="O1792" s="1196">
        <v>18033</v>
      </c>
      <c r="P1792" s="1218">
        <f t="shared" ca="1" si="1104"/>
        <v>68.38055555555556</v>
      </c>
      <c r="Q1792" s="1148">
        <v>27000</v>
      </c>
      <c r="R1792" s="874"/>
      <c r="S1792" s="875"/>
      <c r="T1792" s="875"/>
      <c r="U1792" s="875"/>
      <c r="V1792" s="875"/>
      <c r="W1792" s="875"/>
      <c r="X1792" s="1026">
        <f t="shared" si="1102"/>
        <v>27000</v>
      </c>
      <c r="Y1792" s="1512">
        <f t="shared" si="1103"/>
        <v>0</v>
      </c>
      <c r="Z1792" s="1741">
        <f t="shared" si="1105"/>
        <v>1</v>
      </c>
      <c r="AA1792" s="1749"/>
      <c r="AB1792" s="1810">
        <f t="shared" si="1106"/>
        <v>0</v>
      </c>
      <c r="AC1792" s="876"/>
      <c r="AD1792" s="1295"/>
      <c r="AE1792" s="1525"/>
      <c r="AF1792" s="1525"/>
      <c r="AG1792" s="1525"/>
      <c r="AH1792" s="1525"/>
      <c r="AI1792" s="1525"/>
      <c r="AJ1792" s="1525"/>
      <c r="AK1792" s="1525"/>
      <c r="AL1792" s="1525"/>
      <c r="AM1792" s="1525"/>
      <c r="AN1792" s="1525"/>
      <c r="AO1792" s="1525"/>
      <c r="AP1792" s="1525"/>
      <c r="AQ1792" s="1525"/>
      <c r="AR1792" s="1525"/>
      <c r="AS1792" s="1525"/>
      <c r="AU1792" s="1525"/>
      <c r="AV1792" s="1291"/>
      <c r="AW1792" s="1292"/>
      <c r="AX1792" s="1292"/>
      <c r="AY1792" s="1292"/>
      <c r="AZ1792" s="1292"/>
      <c r="BA1792" s="1292"/>
      <c r="BB1792" s="1292"/>
      <c r="BC1792" s="1292"/>
      <c r="BD1792" s="1292"/>
      <c r="BE1792" s="1292"/>
      <c r="BF1792" s="1292"/>
      <c r="BG1792" s="1292"/>
      <c r="BH1792" s="1292"/>
      <c r="BI1792" s="1292"/>
      <c r="BJ1792" s="1292"/>
      <c r="BK1792" s="1292"/>
      <c r="BL1792" s="1292"/>
      <c r="BM1792" s="1292"/>
      <c r="BN1792" s="1292"/>
      <c r="BO1792" s="1292"/>
      <c r="BP1792" s="1292"/>
      <c r="BQ1792" s="1292"/>
      <c r="BR1792" s="1292"/>
      <c r="BS1792" s="1292"/>
      <c r="BT1792" s="1670">
        <f t="shared" si="1107"/>
        <v>0</v>
      </c>
      <c r="BW1792" s="821" t="s">
        <v>401</v>
      </c>
    </row>
    <row r="1793" spans="2:75" ht="12.75" customHeight="1" x14ac:dyDescent="0.2">
      <c r="B1793" s="175">
        <f t="shared" si="1108"/>
        <v>7</v>
      </c>
      <c r="C1793" s="219">
        <v>41</v>
      </c>
      <c r="E1793" s="12" t="s">
        <v>1276</v>
      </c>
      <c r="F1793" s="24" t="s">
        <v>572</v>
      </c>
      <c r="G1793" s="821" t="s">
        <v>51</v>
      </c>
      <c r="H1793" s="858">
        <v>124992</v>
      </c>
      <c r="I1793" s="200" t="s">
        <v>1442</v>
      </c>
      <c r="J1793" s="189"/>
      <c r="K1793" s="189"/>
      <c r="L1793" s="858">
        <v>1</v>
      </c>
      <c r="M1793" s="858">
        <f t="shared" si="1109"/>
        <v>1</v>
      </c>
      <c r="N1793" s="857" t="s">
        <v>1402</v>
      </c>
      <c r="O1793" s="1196">
        <v>25062</v>
      </c>
      <c r="P1793" s="1218">
        <f t="shared" ca="1" si="1104"/>
        <v>49.138888888888886</v>
      </c>
      <c r="Q1793" s="1148">
        <v>27000</v>
      </c>
      <c r="R1793" s="874">
        <f>Q1793*0.1</f>
        <v>2700</v>
      </c>
      <c r="S1793" s="875"/>
      <c r="T1793" s="875"/>
      <c r="U1793" s="875"/>
      <c r="V1793" s="875"/>
      <c r="W1793" s="875"/>
      <c r="X1793" s="1026">
        <f t="shared" si="1102"/>
        <v>29700</v>
      </c>
      <c r="Y1793" s="1512">
        <f t="shared" si="1103"/>
        <v>0</v>
      </c>
      <c r="Z1793" s="1741">
        <f t="shared" si="1105"/>
        <v>1</v>
      </c>
      <c r="AA1793" s="1749"/>
      <c r="AB1793" s="1810">
        <f t="shared" si="1106"/>
        <v>0</v>
      </c>
      <c r="AC1793" s="876"/>
      <c r="AD1793" s="1295"/>
      <c r="AE1793" s="1525"/>
      <c r="AF1793" s="1525"/>
      <c r="AG1793" s="1525"/>
      <c r="AH1793" s="1525"/>
      <c r="AI1793" s="1525"/>
      <c r="AJ1793" s="1525"/>
      <c r="AK1793" s="1525"/>
      <c r="AL1793" s="1525"/>
      <c r="AM1793" s="1525"/>
      <c r="AN1793" s="1525"/>
      <c r="AO1793" s="1525"/>
      <c r="AP1793" s="1525"/>
      <c r="AQ1793" s="1525"/>
      <c r="AR1793" s="1525"/>
      <c r="AS1793" s="1525"/>
      <c r="AU1793" s="1525"/>
      <c r="AV1793" s="1291"/>
      <c r="AW1793" s="1292"/>
      <c r="AX1793" s="1292"/>
      <c r="AY1793" s="1292"/>
      <c r="AZ1793" s="1292"/>
      <c r="BA1793" s="1292"/>
      <c r="BB1793" s="1292"/>
      <c r="BC1793" s="1292"/>
      <c r="BD1793" s="1292"/>
      <c r="BE1793" s="1292"/>
      <c r="BF1793" s="1292"/>
      <c r="BG1793" s="1292"/>
      <c r="BH1793" s="1292"/>
      <c r="BI1793" s="1292"/>
      <c r="BJ1793" s="1292"/>
      <c r="BK1793" s="1292"/>
      <c r="BL1793" s="1292"/>
      <c r="BM1793" s="1292"/>
      <c r="BN1793" s="1292"/>
      <c r="BO1793" s="1292"/>
      <c r="BP1793" s="1292"/>
      <c r="BQ1793" s="1292"/>
      <c r="BR1793" s="1292"/>
      <c r="BS1793" s="1292"/>
      <c r="BT1793" s="1670">
        <f t="shared" si="1107"/>
        <v>0</v>
      </c>
      <c r="BW1793" s="821" t="s">
        <v>51</v>
      </c>
    </row>
    <row r="1794" spans="2:75" ht="12.75" customHeight="1" x14ac:dyDescent="0.2">
      <c r="B1794" s="175">
        <f t="shared" si="1108"/>
        <v>8</v>
      </c>
      <c r="C1794" s="220">
        <v>41</v>
      </c>
      <c r="D1794" s="170"/>
      <c r="E1794" s="447" t="s">
        <v>1276</v>
      </c>
      <c r="F1794" s="4" t="s">
        <v>705</v>
      </c>
      <c r="G1794" s="825" t="s">
        <v>609</v>
      </c>
      <c r="H1794" s="861">
        <v>6794</v>
      </c>
      <c r="I1794" s="197" t="s">
        <v>1442</v>
      </c>
      <c r="J1794" s="174"/>
      <c r="K1794" s="174"/>
      <c r="L1794" s="861">
        <v>1</v>
      </c>
      <c r="M1794" s="861">
        <f t="shared" si="1109"/>
        <v>1</v>
      </c>
      <c r="N1794" s="836" t="s">
        <v>892</v>
      </c>
      <c r="O1794" s="1196">
        <v>19190</v>
      </c>
      <c r="P1794" s="1262">
        <f t="shared" ca="1" si="1104"/>
        <v>65.213888888888889</v>
      </c>
      <c r="Q1794" s="1148">
        <v>25000</v>
      </c>
      <c r="R1794" s="874"/>
      <c r="S1794" s="876"/>
      <c r="T1794" s="876"/>
      <c r="U1794" s="876"/>
      <c r="V1794" s="876"/>
      <c r="W1794" s="876"/>
      <c r="X1794" s="1026">
        <f t="shared" si="1102"/>
        <v>25000</v>
      </c>
      <c r="Y1794" s="1512">
        <f t="shared" si="1103"/>
        <v>0</v>
      </c>
      <c r="Z1794" s="1741">
        <f t="shared" si="1105"/>
        <v>1</v>
      </c>
      <c r="AA1794" s="1749"/>
      <c r="AB1794" s="1810">
        <f t="shared" si="1106"/>
        <v>0</v>
      </c>
      <c r="AC1794" s="876"/>
      <c r="AD1794" s="1295"/>
      <c r="AE1794" s="1525"/>
      <c r="AF1794" s="1525"/>
      <c r="AG1794" s="1525"/>
      <c r="AH1794" s="1525"/>
      <c r="AI1794" s="1525"/>
      <c r="AJ1794" s="1525"/>
      <c r="AK1794" s="1525"/>
      <c r="AL1794" s="1525"/>
      <c r="AM1794" s="1525"/>
      <c r="AN1794" s="1525"/>
      <c r="AO1794" s="1525"/>
      <c r="AP1794" s="1525"/>
      <c r="AQ1794" s="1525"/>
      <c r="AR1794" s="1525"/>
      <c r="AS1794" s="1525"/>
      <c r="AU1794" s="1525"/>
      <c r="AV1794" s="1291"/>
      <c r="AW1794" s="1292"/>
      <c r="AX1794" s="1292"/>
      <c r="AY1794" s="1292"/>
      <c r="AZ1794" s="1292"/>
      <c r="BA1794" s="1292"/>
      <c r="BB1794" s="1292"/>
      <c r="BC1794" s="1292"/>
      <c r="BD1794" s="1292"/>
      <c r="BE1794" s="1292"/>
      <c r="BF1794" s="1292"/>
      <c r="BG1794" s="1292"/>
      <c r="BH1794" s="1292"/>
      <c r="BI1794" s="1292"/>
      <c r="BJ1794" s="1292"/>
      <c r="BK1794" s="1292"/>
      <c r="BL1794" s="1292"/>
      <c r="BM1794" s="1292"/>
      <c r="BN1794" s="1292"/>
      <c r="BO1794" s="1292"/>
      <c r="BP1794" s="1292"/>
      <c r="BQ1794" s="1292"/>
      <c r="BR1794" s="1292"/>
      <c r="BS1794" s="1292"/>
      <c r="BT1794" s="1670">
        <f t="shared" si="1107"/>
        <v>0</v>
      </c>
      <c r="BW1794" s="825" t="s">
        <v>609</v>
      </c>
    </row>
    <row r="1795" spans="2:75" ht="12.75" customHeight="1" x14ac:dyDescent="0.2">
      <c r="B1795" s="175">
        <f t="shared" si="1108"/>
        <v>9</v>
      </c>
      <c r="C1795" s="219">
        <v>41</v>
      </c>
      <c r="E1795" s="12" t="s">
        <v>1276</v>
      </c>
      <c r="F1795" s="24" t="s">
        <v>400</v>
      </c>
      <c r="G1795" s="823" t="s">
        <v>402</v>
      </c>
      <c r="H1795" s="858">
        <v>6806</v>
      </c>
      <c r="I1795" s="200" t="s">
        <v>1442</v>
      </c>
      <c r="J1795" s="189"/>
      <c r="K1795" s="189"/>
      <c r="L1795" s="858">
        <v>1</v>
      </c>
      <c r="M1795" s="858">
        <f t="shared" si="1109"/>
        <v>1</v>
      </c>
      <c r="N1795" s="999" t="s">
        <v>1326</v>
      </c>
      <c r="O1795" s="1196">
        <v>15200</v>
      </c>
      <c r="P1795" s="1218">
        <f t="shared" ca="1" si="1104"/>
        <v>76.138888888888886</v>
      </c>
      <c r="Q1795" s="1148">
        <v>40000</v>
      </c>
      <c r="R1795" s="874">
        <f>Q1795*0.1</f>
        <v>4000</v>
      </c>
      <c r="S1795" s="875"/>
      <c r="T1795" s="875"/>
      <c r="U1795" s="875"/>
      <c r="V1795" s="875"/>
      <c r="W1795" s="875"/>
      <c r="X1795" s="1026">
        <f t="shared" si="1102"/>
        <v>44000</v>
      </c>
      <c r="Y1795" s="1512">
        <f t="shared" si="1103"/>
        <v>0</v>
      </c>
      <c r="Z1795" s="1741">
        <f t="shared" si="1105"/>
        <v>1</v>
      </c>
      <c r="AA1795" s="1749"/>
      <c r="AB1795" s="1810">
        <f t="shared" si="1106"/>
        <v>0</v>
      </c>
      <c r="AC1795" s="876"/>
      <c r="AD1795" s="1295"/>
      <c r="AE1795" s="1525"/>
      <c r="AF1795" s="1525"/>
      <c r="AG1795" s="1525"/>
      <c r="AH1795" s="1525"/>
      <c r="AI1795" s="1525"/>
      <c r="AJ1795" s="1525"/>
      <c r="AK1795" s="1525"/>
      <c r="AL1795" s="1525"/>
      <c r="AM1795" s="1525"/>
      <c r="AN1795" s="1525"/>
      <c r="AO1795" s="1525"/>
      <c r="AP1795" s="1525"/>
      <c r="AQ1795" s="1525"/>
      <c r="AR1795" s="1525"/>
      <c r="AS1795" s="1525"/>
      <c r="AU1795" s="1525"/>
      <c r="AV1795" s="1291"/>
      <c r="AW1795" s="1292"/>
      <c r="AX1795" s="1292"/>
      <c r="AY1795" s="1292"/>
      <c r="AZ1795" s="1292"/>
      <c r="BA1795" s="1292"/>
      <c r="BB1795" s="1292"/>
      <c r="BC1795" s="1292"/>
      <c r="BD1795" s="1292"/>
      <c r="BE1795" s="1292"/>
      <c r="BF1795" s="1292"/>
      <c r="BG1795" s="1292"/>
      <c r="BH1795" s="1292"/>
      <c r="BI1795" s="1292"/>
      <c r="BJ1795" s="1292"/>
      <c r="BK1795" s="1292"/>
      <c r="BL1795" s="1292"/>
      <c r="BM1795" s="1292"/>
      <c r="BN1795" s="1292"/>
      <c r="BO1795" s="1292"/>
      <c r="BP1795" s="1292"/>
      <c r="BQ1795" s="1292"/>
      <c r="BR1795" s="1292"/>
      <c r="BS1795" s="1292"/>
      <c r="BT1795" s="1670">
        <f t="shared" si="1107"/>
        <v>0</v>
      </c>
      <c r="BW1795" s="823" t="s">
        <v>402</v>
      </c>
    </row>
    <row r="1796" spans="2:75" ht="12.75" customHeight="1" x14ac:dyDescent="0.2">
      <c r="B1796" s="175">
        <f t="shared" si="1108"/>
        <v>10</v>
      </c>
      <c r="C1796" s="219">
        <v>41</v>
      </c>
      <c r="E1796" s="12" t="s">
        <v>1276</v>
      </c>
      <c r="F1796" s="24" t="s">
        <v>60</v>
      </c>
      <c r="G1796" s="859" t="s">
        <v>1115</v>
      </c>
      <c r="H1796" s="858">
        <v>113179</v>
      </c>
      <c r="I1796" s="200" t="s">
        <v>1442</v>
      </c>
      <c r="J1796" s="189"/>
      <c r="K1796" s="189"/>
      <c r="L1796" s="858">
        <v>1</v>
      </c>
      <c r="M1796" s="858">
        <f t="shared" si="1109"/>
        <v>1</v>
      </c>
      <c r="N1796" s="999" t="s">
        <v>1402</v>
      </c>
      <c r="O1796" s="1196">
        <v>33691</v>
      </c>
      <c r="P1796" s="1218">
        <f t="shared" ca="1" si="1104"/>
        <v>25.511111111111113</v>
      </c>
      <c r="Q1796" s="1148">
        <v>22000</v>
      </c>
      <c r="R1796" s="874">
        <f>Q1796*0.1</f>
        <v>2200</v>
      </c>
      <c r="S1796" s="875"/>
      <c r="T1796" s="875"/>
      <c r="U1796" s="875"/>
      <c r="V1796" s="875"/>
      <c r="W1796" s="875">
        <f>(Q1796+R1796)*0.1</f>
        <v>2420</v>
      </c>
      <c r="X1796" s="1026">
        <f t="shared" si="1102"/>
        <v>26620</v>
      </c>
      <c r="Y1796" s="1512">
        <f t="shared" si="1103"/>
        <v>0.1</v>
      </c>
      <c r="Z1796" s="1741">
        <f t="shared" si="1105"/>
        <v>1.1000000000000001</v>
      </c>
      <c r="AA1796" s="1749"/>
      <c r="AB1796" s="1810">
        <f t="shared" si="1106"/>
        <v>0</v>
      </c>
      <c r="AC1796" s="876"/>
      <c r="AD1796" s="1295"/>
      <c r="AE1796" s="1525"/>
      <c r="AF1796" s="1525"/>
      <c r="AG1796" s="1525"/>
      <c r="AH1796" s="1525"/>
      <c r="AI1796" s="1525"/>
      <c r="AJ1796" s="1525"/>
      <c r="AK1796" s="1525"/>
      <c r="AL1796" s="1525"/>
      <c r="AM1796" s="1525"/>
      <c r="AN1796" s="1525"/>
      <c r="AO1796" s="1525"/>
      <c r="AP1796" s="1525"/>
      <c r="AQ1796" s="1525"/>
      <c r="AR1796" s="1525"/>
      <c r="AS1796" s="1525"/>
      <c r="AU1796" s="1525"/>
      <c r="AV1796" s="1291"/>
      <c r="AW1796" s="1292"/>
      <c r="AX1796" s="1292"/>
      <c r="AY1796" s="1292"/>
      <c r="AZ1796" s="1292"/>
      <c r="BA1796" s="1292"/>
      <c r="BB1796" s="1292"/>
      <c r="BC1796" s="1292"/>
      <c r="BD1796" s="1292"/>
      <c r="BE1796" s="1292"/>
      <c r="BF1796" s="1292"/>
      <c r="BG1796" s="1292"/>
      <c r="BH1796" s="1292"/>
      <c r="BI1796" s="1292"/>
      <c r="BJ1796" s="1292"/>
      <c r="BK1796" s="1292"/>
      <c r="BL1796" s="1292"/>
      <c r="BM1796" s="1292"/>
      <c r="BN1796" s="1292"/>
      <c r="BO1796" s="1292"/>
      <c r="BP1796" s="1292"/>
      <c r="BQ1796" s="1292"/>
      <c r="BR1796" s="1292"/>
      <c r="BS1796" s="1292"/>
      <c r="BT1796" s="1670">
        <f t="shared" si="1107"/>
        <v>0</v>
      </c>
      <c r="BW1796" s="859" t="s">
        <v>1115</v>
      </c>
    </row>
    <row r="1797" spans="2:75" ht="12.75" customHeight="1" x14ac:dyDescent="0.2">
      <c r="B1797" s="175">
        <f t="shared" si="1108"/>
        <v>11</v>
      </c>
      <c r="C1797" s="219">
        <v>41</v>
      </c>
      <c r="E1797" s="12" t="s">
        <v>1276</v>
      </c>
      <c r="F1797" s="24" t="s">
        <v>398</v>
      </c>
      <c r="G1797" s="821" t="s">
        <v>1674</v>
      </c>
      <c r="H1797" s="858">
        <v>140931</v>
      </c>
      <c r="I1797" s="200" t="s">
        <v>1442</v>
      </c>
      <c r="J1797" s="189"/>
      <c r="K1797" s="189"/>
      <c r="L1797" s="841">
        <v>1</v>
      </c>
      <c r="M1797" s="858">
        <f t="shared" si="1109"/>
        <v>1</v>
      </c>
      <c r="N1797" s="999" t="s">
        <v>1402</v>
      </c>
      <c r="O1797" s="1196">
        <v>20015</v>
      </c>
      <c r="P1797" s="1218">
        <f t="shared" ca="1" si="1104"/>
        <v>62.955555555555556</v>
      </c>
      <c r="Q1797" s="1148">
        <v>28000</v>
      </c>
      <c r="R1797" s="874">
        <f>Q1797*0.1</f>
        <v>2800</v>
      </c>
      <c r="S1797" s="875"/>
      <c r="T1797" s="875"/>
      <c r="U1797" s="875"/>
      <c r="V1797" s="875"/>
      <c r="W1797" s="875"/>
      <c r="X1797" s="1026">
        <f t="shared" si="1102"/>
        <v>30800</v>
      </c>
      <c r="Y1797" s="1512">
        <f t="shared" si="1103"/>
        <v>0</v>
      </c>
      <c r="Z1797" s="1741">
        <f t="shared" si="1105"/>
        <v>1</v>
      </c>
      <c r="AA1797" s="1749"/>
      <c r="AB1797" s="1810">
        <f t="shared" si="1106"/>
        <v>0</v>
      </c>
      <c r="AC1797" s="876"/>
      <c r="AD1797" s="1295"/>
      <c r="AE1797" s="1525"/>
      <c r="AF1797" s="1525"/>
      <c r="AG1797" s="1525"/>
      <c r="AH1797" s="1525"/>
      <c r="AI1797" s="1525"/>
      <c r="AJ1797" s="1525"/>
      <c r="AK1797" s="1525"/>
      <c r="AL1797" s="1525"/>
      <c r="AM1797" s="1525"/>
      <c r="AN1797" s="1525"/>
      <c r="AO1797" s="1525"/>
      <c r="AP1797" s="1525"/>
      <c r="AQ1797" s="1525"/>
      <c r="AR1797" s="1525"/>
      <c r="AS1797" s="1525"/>
      <c r="AU1797" s="1525"/>
      <c r="AV1797" s="1291"/>
      <c r="AW1797" s="1292"/>
      <c r="AX1797" s="1292"/>
      <c r="AY1797" s="1292"/>
      <c r="AZ1797" s="1292"/>
      <c r="BA1797" s="1292"/>
      <c r="BB1797" s="1292"/>
      <c r="BC1797" s="1292"/>
      <c r="BD1797" s="1292"/>
      <c r="BE1797" s="1292"/>
      <c r="BF1797" s="1292"/>
      <c r="BG1797" s="1292"/>
      <c r="BH1797" s="1292"/>
      <c r="BI1797" s="1292"/>
      <c r="BJ1797" s="1292"/>
      <c r="BK1797" s="1292"/>
      <c r="BL1797" s="1292"/>
      <c r="BM1797" s="1292"/>
      <c r="BN1797" s="1292"/>
      <c r="BO1797" s="1292"/>
      <c r="BP1797" s="1292"/>
      <c r="BQ1797" s="1292"/>
      <c r="BR1797" s="1292"/>
      <c r="BS1797" s="1292"/>
      <c r="BT1797" s="1670">
        <f t="shared" si="1107"/>
        <v>0</v>
      </c>
      <c r="BW1797" s="821" t="s">
        <v>1674</v>
      </c>
    </row>
    <row r="1798" spans="2:75" ht="12.75" customHeight="1" x14ac:dyDescent="0.2">
      <c r="B1798" s="175">
        <f t="shared" si="1108"/>
        <v>12</v>
      </c>
      <c r="C1798" s="219">
        <v>41</v>
      </c>
      <c r="E1798" s="12" t="s">
        <v>1276</v>
      </c>
      <c r="F1798" s="24" t="s">
        <v>582</v>
      </c>
      <c r="G1798" s="821" t="s">
        <v>788</v>
      </c>
      <c r="H1798" s="858">
        <v>101820</v>
      </c>
      <c r="I1798" s="200" t="s">
        <v>1442</v>
      </c>
      <c r="J1798" s="189"/>
      <c r="K1798" s="189"/>
      <c r="L1798" s="858">
        <v>1</v>
      </c>
      <c r="M1798" s="858">
        <f t="shared" si="1109"/>
        <v>1</v>
      </c>
      <c r="N1798" s="836" t="s">
        <v>1402</v>
      </c>
      <c r="O1798" s="1196">
        <v>27158</v>
      </c>
      <c r="P1798" s="1218">
        <f t="shared" ca="1" si="1104"/>
        <v>43.397222222222226</v>
      </c>
      <c r="Q1798" s="1148">
        <v>27000</v>
      </c>
      <c r="R1798" s="874">
        <f>Q1798*0.1</f>
        <v>2700</v>
      </c>
      <c r="S1798" s="875"/>
      <c r="T1798" s="877"/>
      <c r="U1798" s="877"/>
      <c r="V1798" s="877"/>
      <c r="W1798" s="875"/>
      <c r="X1798" s="1026">
        <f t="shared" si="1102"/>
        <v>29700</v>
      </c>
      <c r="Y1798" s="1512">
        <f t="shared" si="1103"/>
        <v>0</v>
      </c>
      <c r="Z1798" s="1741">
        <f t="shared" si="1105"/>
        <v>1</v>
      </c>
      <c r="AA1798" s="1749"/>
      <c r="AB1798" s="1810">
        <f t="shared" si="1106"/>
        <v>0</v>
      </c>
      <c r="AC1798" s="876"/>
      <c r="AD1798" s="1295"/>
      <c r="AE1798" s="1525"/>
      <c r="AF1798" s="1525"/>
      <c r="AG1798" s="1525"/>
      <c r="AH1798" s="1525"/>
      <c r="AI1798" s="1525"/>
      <c r="AJ1798" s="1525"/>
      <c r="AK1798" s="1525"/>
      <c r="AL1798" s="1525"/>
      <c r="AM1798" s="1525"/>
      <c r="AN1798" s="1525"/>
      <c r="AO1798" s="1525"/>
      <c r="AP1798" s="1525"/>
      <c r="AQ1798" s="1525"/>
      <c r="AR1798" s="1525"/>
      <c r="AS1798" s="1525"/>
      <c r="AU1798" s="1525"/>
      <c r="AV1798" s="1291"/>
      <c r="AW1798" s="1292"/>
      <c r="AX1798" s="1292"/>
      <c r="AY1798" s="1292"/>
      <c r="AZ1798" s="1292"/>
      <c r="BA1798" s="1292"/>
      <c r="BB1798" s="1292"/>
      <c r="BC1798" s="1292"/>
      <c r="BD1798" s="1292"/>
      <c r="BE1798" s="1292"/>
      <c r="BF1798" s="1292"/>
      <c r="BG1798" s="1292"/>
      <c r="BH1798" s="1292"/>
      <c r="BI1798" s="1292"/>
      <c r="BJ1798" s="1292"/>
      <c r="BK1798" s="1292"/>
      <c r="BL1798" s="1292"/>
      <c r="BM1798" s="1292"/>
      <c r="BN1798" s="1292"/>
      <c r="BO1798" s="1292"/>
      <c r="BP1798" s="1292"/>
      <c r="BQ1798" s="1292"/>
      <c r="BR1798" s="1292"/>
      <c r="BS1798" s="1292"/>
      <c r="BT1798" s="1670">
        <f t="shared" si="1107"/>
        <v>0</v>
      </c>
      <c r="BW1798" s="821" t="s">
        <v>788</v>
      </c>
    </row>
    <row r="1799" spans="2:75" ht="12.75" customHeight="1" x14ac:dyDescent="0.2">
      <c r="B1799" s="175">
        <f t="shared" si="1108"/>
        <v>13</v>
      </c>
      <c r="C1799" s="219">
        <v>19</v>
      </c>
      <c r="E1799" s="12" t="s">
        <v>1276</v>
      </c>
      <c r="F1799" s="26" t="s">
        <v>104</v>
      </c>
      <c r="G1799" s="830" t="s">
        <v>1701</v>
      </c>
      <c r="H1799" s="873">
        <v>144816</v>
      </c>
      <c r="I1799" s="196" t="s">
        <v>1442</v>
      </c>
      <c r="J1799" s="195"/>
      <c r="K1799" s="195"/>
      <c r="L1799" s="873">
        <v>0.5</v>
      </c>
      <c r="M1799" s="873">
        <f t="shared" si="1109"/>
        <v>0.5</v>
      </c>
      <c r="N1799" s="1010" t="s">
        <v>1402</v>
      </c>
      <c r="O1799" s="1211">
        <v>24403</v>
      </c>
      <c r="P1799" s="1218">
        <f t="shared" ca="1" si="1104"/>
        <v>50.94166666666667</v>
      </c>
      <c r="Q1799" s="1071">
        <v>18500</v>
      </c>
      <c r="R1799" s="874">
        <f>Q1799*0.1</f>
        <v>1850</v>
      </c>
      <c r="S1799" s="891"/>
      <c r="T1799" s="891"/>
      <c r="U1799" s="891"/>
      <c r="V1799" s="891"/>
      <c r="W1799" s="891">
        <f>ROUND((Q1799+R1799)*0.65,0)</f>
        <v>13228</v>
      </c>
      <c r="X1799" s="1026">
        <f t="shared" si="1102"/>
        <v>16789</v>
      </c>
      <c r="Y1799" s="1512">
        <f t="shared" si="1103"/>
        <v>0.65002457002457004</v>
      </c>
      <c r="Z1799" s="1741">
        <f t="shared" si="1105"/>
        <v>0.82501228501228496</v>
      </c>
      <c r="AA1799" s="1749"/>
      <c r="AB1799" s="1810">
        <f t="shared" si="1106"/>
        <v>0</v>
      </c>
      <c r="AC1799" s="876"/>
      <c r="AD1799" s="1295"/>
      <c r="AE1799" s="1525"/>
      <c r="AF1799" s="1525"/>
      <c r="AG1799" s="1525"/>
      <c r="AH1799" s="1525"/>
      <c r="AI1799" s="1525"/>
      <c r="AJ1799" s="1525"/>
      <c r="AK1799" s="1525"/>
      <c r="AL1799" s="1525"/>
      <c r="AM1799" s="1525"/>
      <c r="AN1799" s="1525"/>
      <c r="AO1799" s="1525"/>
      <c r="AP1799" s="1525"/>
      <c r="AQ1799" s="1525"/>
      <c r="AR1799" s="1525"/>
      <c r="AS1799" s="1525"/>
      <c r="AU1799" s="1525"/>
      <c r="AV1799" s="1291"/>
      <c r="AW1799" s="1292"/>
      <c r="AX1799" s="1292"/>
      <c r="AY1799" s="1292"/>
      <c r="AZ1799" s="1292"/>
      <c r="BA1799" s="1292"/>
      <c r="BB1799" s="1292"/>
      <c r="BC1799" s="1292"/>
      <c r="BD1799" s="1292"/>
      <c r="BE1799" s="1292"/>
      <c r="BF1799" s="1292"/>
      <c r="BG1799" s="1292"/>
      <c r="BH1799" s="1292"/>
      <c r="BI1799" s="1292"/>
      <c r="BJ1799" s="1292"/>
      <c r="BK1799" s="1292"/>
      <c r="BL1799" s="1292"/>
      <c r="BM1799" s="1292"/>
      <c r="BN1799" s="1292"/>
      <c r="BO1799" s="1292"/>
      <c r="BP1799" s="1292"/>
      <c r="BQ1799" s="1292"/>
      <c r="BR1799" s="1292"/>
      <c r="BS1799" s="1292"/>
      <c r="BT1799" s="1670">
        <f t="shared" si="1107"/>
        <v>0</v>
      </c>
      <c r="BW1799" s="830" t="s">
        <v>1701</v>
      </c>
    </row>
    <row r="1800" spans="2:75" s="164" customFormat="1" ht="12.75" customHeight="1" x14ac:dyDescent="0.15">
      <c r="B1800" s="175"/>
      <c r="G1800" s="799"/>
      <c r="H1800" s="1355" t="s">
        <v>1508</v>
      </c>
      <c r="L1800" s="799"/>
      <c r="M1800" s="799"/>
      <c r="N1800" s="799"/>
      <c r="O1800" s="1200"/>
      <c r="P1800" s="550"/>
      <c r="Q1800" s="1188"/>
      <c r="R1800" s="799"/>
      <c r="S1800" s="799"/>
      <c r="T1800" s="799"/>
      <c r="U1800" s="799"/>
      <c r="V1800" s="799"/>
      <c r="W1800" s="799"/>
      <c r="X1800" s="1026"/>
      <c r="Y1800" s="1754"/>
      <c r="Z1800" s="1755"/>
      <c r="AA1800" s="1775"/>
      <c r="AB1800" s="1814"/>
      <c r="AC1800" s="876"/>
      <c r="AD1800" s="1295"/>
      <c r="AE1800" s="1525"/>
      <c r="AF1800" s="1525"/>
      <c r="AG1800" s="1525"/>
      <c r="AH1800" s="1525"/>
      <c r="AI1800" s="1525"/>
      <c r="AJ1800" s="1525"/>
      <c r="AK1800" s="1525"/>
      <c r="AL1800" s="1525"/>
      <c r="AM1800" s="1525"/>
      <c r="AN1800" s="1525"/>
      <c r="AO1800" s="1525"/>
      <c r="AP1800" s="1525"/>
      <c r="AQ1800" s="1525"/>
      <c r="AR1800" s="1525"/>
      <c r="AS1800" s="1525"/>
      <c r="AU1800" s="1525"/>
      <c r="AV1800" s="1295"/>
      <c r="AW1800" s="1525"/>
      <c r="AX1800" s="1525"/>
      <c r="AY1800" s="1525"/>
      <c r="AZ1800" s="1525"/>
      <c r="BA1800" s="1525"/>
      <c r="BB1800" s="1525"/>
      <c r="BC1800" s="1525"/>
      <c r="BD1800" s="1525"/>
      <c r="BE1800" s="1525"/>
      <c r="BF1800" s="1525"/>
      <c r="BG1800" s="1525"/>
      <c r="BH1800" s="1525"/>
      <c r="BI1800" s="1525"/>
      <c r="BJ1800" s="1525"/>
      <c r="BK1800" s="1525"/>
      <c r="BL1800" s="1525"/>
      <c r="BM1800" s="1525"/>
      <c r="BN1800" s="1525"/>
      <c r="BO1800" s="1525"/>
      <c r="BP1800" s="1525"/>
      <c r="BQ1800" s="1525"/>
      <c r="BR1800" s="1525"/>
      <c r="BS1800" s="1525"/>
      <c r="BT1800" s="1670"/>
      <c r="BV1800"/>
      <c r="BW1800" s="799"/>
    </row>
    <row r="1801" spans="2:75" s="164" customFormat="1" ht="12.75" customHeight="1" x14ac:dyDescent="0.15">
      <c r="B1801" s="175"/>
      <c r="C1801" s="219" t="s">
        <v>1120</v>
      </c>
      <c r="F1801" s="24" t="s">
        <v>491</v>
      </c>
      <c r="G1801" s="821"/>
      <c r="H1801" s="1361" t="s">
        <v>1508</v>
      </c>
      <c r="I1801" s="200"/>
      <c r="J1801" s="189"/>
      <c r="K1801" s="448">
        <f>SUM(K1787:K1800)</f>
        <v>0</v>
      </c>
      <c r="L1801" s="902">
        <f>SUM(L1787:L1800)</f>
        <v>12.5</v>
      </c>
      <c r="M1801" s="902">
        <f>SUM(M1787:M1800)</f>
        <v>12.5</v>
      </c>
      <c r="N1801" s="857"/>
      <c r="O1801" s="1200"/>
      <c r="P1801" s="550"/>
      <c r="Q1801" s="1153"/>
      <c r="R1801" s="877"/>
      <c r="S1801" s="875"/>
      <c r="T1801" s="875"/>
      <c r="U1801" s="875"/>
      <c r="V1801" s="875"/>
      <c r="W1801" s="875"/>
      <c r="X1801" s="1026"/>
      <c r="Y1801" s="1335"/>
      <c r="Z1801" s="1335"/>
      <c r="AA1801" s="1775"/>
      <c r="AB1801" s="1814"/>
      <c r="AC1801" s="876"/>
      <c r="AD1801" s="1295"/>
      <c r="AE1801" s="1525"/>
      <c r="AF1801" s="1525"/>
      <c r="AG1801" s="1525"/>
      <c r="AH1801" s="1525"/>
      <c r="AI1801" s="1525"/>
      <c r="AJ1801" s="1525"/>
      <c r="AK1801" s="1525"/>
      <c r="AL1801" s="1525"/>
      <c r="AM1801" s="1525"/>
      <c r="AN1801" s="1525"/>
      <c r="AO1801" s="1525"/>
      <c r="AP1801" s="1525"/>
      <c r="AQ1801" s="1525"/>
      <c r="AR1801" s="1525"/>
      <c r="AS1801" s="1525"/>
      <c r="AU1801" s="1525"/>
      <c r="AV1801" s="1295"/>
      <c r="AW1801" s="1525"/>
      <c r="AX1801" s="1525"/>
      <c r="AY1801" s="1525"/>
      <c r="AZ1801" s="1525"/>
      <c r="BA1801" s="1525"/>
      <c r="BB1801" s="1525"/>
      <c r="BC1801" s="1525"/>
      <c r="BD1801" s="1525"/>
      <c r="BE1801" s="1525"/>
      <c r="BF1801" s="1525"/>
      <c r="BG1801" s="1525"/>
      <c r="BH1801" s="1525"/>
      <c r="BI1801" s="1525"/>
      <c r="BJ1801" s="1525"/>
      <c r="BK1801" s="1525"/>
      <c r="BL1801" s="1525"/>
      <c r="BM1801" s="1525"/>
      <c r="BN1801" s="1525"/>
      <c r="BO1801" s="1525"/>
      <c r="BP1801" s="1525"/>
      <c r="BQ1801" s="1525"/>
      <c r="BR1801" s="1525"/>
      <c r="BS1801" s="1525"/>
      <c r="BT1801" s="1670"/>
      <c r="BV1801"/>
      <c r="BW1801" s="821"/>
    </row>
    <row r="1802" spans="2:75" s="164" customFormat="1" ht="12.75" customHeight="1" x14ac:dyDescent="0.15">
      <c r="B1802" s="175"/>
      <c r="F1802" s="24"/>
      <c r="G1802" s="821"/>
      <c r="H1802" s="1346" t="s">
        <v>1508</v>
      </c>
      <c r="I1802" s="200"/>
      <c r="J1802" s="189"/>
      <c r="K1802" s="189"/>
      <c r="L1802" s="858"/>
      <c r="M1802" s="858"/>
      <c r="N1802" s="857"/>
      <c r="O1802" s="1200"/>
      <c r="P1802" s="550"/>
      <c r="Q1802" s="1148"/>
      <c r="R1802" s="874"/>
      <c r="S1802" s="875"/>
      <c r="T1802" s="875"/>
      <c r="U1802" s="875"/>
      <c r="V1802" s="875"/>
      <c r="W1802" s="875"/>
      <c r="X1802" s="1026"/>
      <c r="Y1802" s="1754"/>
      <c r="Z1802" s="1755"/>
      <c r="AA1802" s="1775"/>
      <c r="AB1802" s="1814"/>
      <c r="AC1802" s="876"/>
      <c r="AD1802" s="1295"/>
      <c r="AE1802" s="1525"/>
      <c r="AF1802" s="1525"/>
      <c r="AG1802" s="1525"/>
      <c r="AH1802" s="1525"/>
      <c r="AI1802" s="1525"/>
      <c r="AJ1802" s="1525"/>
      <c r="AK1802" s="1525"/>
      <c r="AL1802" s="1525"/>
      <c r="AM1802" s="1525"/>
      <c r="AN1802" s="1525"/>
      <c r="AO1802" s="1525"/>
      <c r="AP1802" s="1525"/>
      <c r="AQ1802" s="1525"/>
      <c r="AR1802" s="1525"/>
      <c r="AS1802" s="1525"/>
      <c r="AU1802" s="1525"/>
      <c r="AV1802" s="1295"/>
      <c r="AW1802" s="1525"/>
      <c r="AX1802" s="1525"/>
      <c r="AY1802" s="1525"/>
      <c r="AZ1802" s="1525"/>
      <c r="BA1802" s="1525"/>
      <c r="BB1802" s="1525"/>
      <c r="BC1802" s="1525"/>
      <c r="BD1802" s="1525"/>
      <c r="BE1802" s="1525"/>
      <c r="BF1802" s="1525"/>
      <c r="BG1802" s="1525"/>
      <c r="BH1802" s="1525"/>
      <c r="BI1802" s="1525"/>
      <c r="BJ1802" s="1525"/>
      <c r="BK1802" s="1525"/>
      <c r="BL1802" s="1525"/>
      <c r="BM1802" s="1525"/>
      <c r="BN1802" s="1525"/>
      <c r="BO1802" s="1525"/>
      <c r="BP1802" s="1525"/>
      <c r="BQ1802" s="1525"/>
      <c r="BR1802" s="1525"/>
      <c r="BS1802" s="1525"/>
      <c r="BT1802" s="1670"/>
      <c r="BV1802"/>
      <c r="BW1802" s="821"/>
    </row>
    <row r="1803" spans="2:75" s="164" customFormat="1" ht="12.75" customHeight="1" x14ac:dyDescent="0.15">
      <c r="B1803" s="175"/>
      <c r="F1803" s="21" t="s">
        <v>577</v>
      </c>
      <c r="G1803" s="1017"/>
      <c r="H1803" s="1346" t="s">
        <v>1508</v>
      </c>
      <c r="I1803" s="200"/>
      <c r="J1803" s="189"/>
      <c r="K1803" s="189"/>
      <c r="L1803" s="858"/>
      <c r="M1803" s="858"/>
      <c r="N1803" s="857"/>
      <c r="O1803" s="1200"/>
      <c r="P1803" s="550"/>
      <c r="Q1803" s="1148"/>
      <c r="R1803" s="874"/>
      <c r="S1803" s="875"/>
      <c r="T1803" s="875"/>
      <c r="U1803" s="875"/>
      <c r="V1803" s="875"/>
      <c r="W1803" s="875"/>
      <c r="X1803" s="1026"/>
      <c r="Y1803" s="1754"/>
      <c r="Z1803" s="1755"/>
      <c r="AA1803" s="1775"/>
      <c r="AB1803" s="1814"/>
      <c r="AC1803" s="876"/>
      <c r="AD1803" s="1295"/>
      <c r="AE1803" s="1525"/>
      <c r="AF1803" s="1525"/>
      <c r="AG1803" s="1525"/>
      <c r="AH1803" s="1525"/>
      <c r="AI1803" s="1525"/>
      <c r="AJ1803" s="1525"/>
      <c r="AK1803" s="1525"/>
      <c r="AL1803" s="1525"/>
      <c r="AM1803" s="1525"/>
      <c r="AN1803" s="1525"/>
      <c r="AO1803" s="1525"/>
      <c r="AP1803" s="1525"/>
      <c r="AQ1803" s="1525"/>
      <c r="AR1803" s="1525"/>
      <c r="AS1803" s="1525"/>
      <c r="AU1803" s="1525"/>
      <c r="AV1803" s="1295"/>
      <c r="AW1803" s="1525"/>
      <c r="AX1803" s="1525"/>
      <c r="AY1803" s="1525"/>
      <c r="AZ1803" s="1525"/>
      <c r="BA1803" s="1525"/>
      <c r="BB1803" s="1525"/>
      <c r="BC1803" s="1525"/>
      <c r="BD1803" s="1525"/>
      <c r="BE1803" s="1525"/>
      <c r="BF1803" s="1525"/>
      <c r="BG1803" s="1525"/>
      <c r="BH1803" s="1525"/>
      <c r="BI1803" s="1525"/>
      <c r="BJ1803" s="1525"/>
      <c r="BK1803" s="1525"/>
      <c r="BL1803" s="1525"/>
      <c r="BM1803" s="1525"/>
      <c r="BN1803" s="1525"/>
      <c r="BO1803" s="1525"/>
      <c r="BP1803" s="1525"/>
      <c r="BQ1803" s="1525"/>
      <c r="BR1803" s="1525"/>
      <c r="BS1803" s="1525"/>
      <c r="BT1803" s="1670"/>
      <c r="BV1803"/>
      <c r="BW1803" s="1017"/>
    </row>
    <row r="1804" spans="2:75" s="164" customFormat="1" ht="12.75" customHeight="1" x14ac:dyDescent="0.15">
      <c r="B1804" s="175"/>
      <c r="F1804" s="24" t="s">
        <v>662</v>
      </c>
      <c r="G1804" s="821"/>
      <c r="H1804" s="1346" t="s">
        <v>1508</v>
      </c>
      <c r="I1804" s="200"/>
      <c r="J1804" s="189"/>
      <c r="K1804" s="189"/>
      <c r="L1804" s="858"/>
      <c r="M1804" s="858"/>
      <c r="N1804" s="857"/>
      <c r="O1804" s="1200"/>
      <c r="P1804" s="550"/>
      <c r="Q1804" s="1148"/>
      <c r="R1804" s="874"/>
      <c r="S1804" s="875"/>
      <c r="T1804" s="875"/>
      <c r="U1804" s="875"/>
      <c r="V1804" s="875"/>
      <c r="W1804" s="875"/>
      <c r="X1804" s="1026"/>
      <c r="Y1804" s="1754"/>
      <c r="Z1804" s="1755"/>
      <c r="AA1804" s="1775"/>
      <c r="AB1804" s="1814"/>
      <c r="AC1804" s="876"/>
      <c r="AD1804" s="1295"/>
      <c r="AE1804" s="1525"/>
      <c r="AF1804" s="1525"/>
      <c r="AG1804" s="1525"/>
      <c r="AH1804" s="1525"/>
      <c r="AI1804" s="1525"/>
      <c r="AJ1804" s="1525"/>
      <c r="AK1804" s="1525"/>
      <c r="AL1804" s="1525"/>
      <c r="AM1804" s="1525"/>
      <c r="AN1804" s="1525"/>
      <c r="AO1804" s="1525"/>
      <c r="AP1804" s="1525"/>
      <c r="AQ1804" s="1525"/>
      <c r="AR1804" s="1525"/>
      <c r="AS1804" s="1525"/>
      <c r="AU1804" s="1525"/>
      <c r="AV1804" s="1295"/>
      <c r="AW1804" s="1525"/>
      <c r="AX1804" s="1525"/>
      <c r="AY1804" s="1525"/>
      <c r="AZ1804" s="1525"/>
      <c r="BA1804" s="1525"/>
      <c r="BB1804" s="1525"/>
      <c r="BC1804" s="1525"/>
      <c r="BD1804" s="1525"/>
      <c r="BE1804" s="1525"/>
      <c r="BF1804" s="1525"/>
      <c r="BG1804" s="1525"/>
      <c r="BH1804" s="1525"/>
      <c r="BI1804" s="1525"/>
      <c r="BJ1804" s="1525"/>
      <c r="BK1804" s="1525"/>
      <c r="BL1804" s="1525"/>
      <c r="BM1804" s="1525"/>
      <c r="BN1804" s="1525"/>
      <c r="BO1804" s="1525"/>
      <c r="BP1804" s="1525"/>
      <c r="BQ1804" s="1525"/>
      <c r="BR1804" s="1525"/>
      <c r="BS1804" s="1525"/>
      <c r="BT1804" s="1670"/>
      <c r="BV1804"/>
      <c r="BW1804" s="821"/>
    </row>
    <row r="1805" spans="2:75" s="164" customFormat="1" ht="12.75" customHeight="1" x14ac:dyDescent="0.15">
      <c r="B1805" s="175"/>
      <c r="F1805" s="4"/>
      <c r="G1805" s="844"/>
      <c r="H1805" s="1347" t="s">
        <v>1508</v>
      </c>
      <c r="I1805" s="197"/>
      <c r="J1805" s="189"/>
      <c r="K1805" s="174"/>
      <c r="L1805" s="861"/>
      <c r="M1805" s="861"/>
      <c r="N1805" s="836"/>
      <c r="O1805" s="1200"/>
      <c r="P1805" s="550"/>
      <c r="Q1805" s="1148"/>
      <c r="R1805" s="874"/>
      <c r="S1805" s="875"/>
      <c r="T1805" s="875"/>
      <c r="U1805" s="875"/>
      <c r="V1805" s="875"/>
      <c r="W1805" s="875"/>
      <c r="X1805" s="1026"/>
      <c r="Y1805" s="1754"/>
      <c r="Z1805" s="1755"/>
      <c r="AA1805" s="1775"/>
      <c r="AB1805" s="1814"/>
      <c r="AC1805" s="876"/>
      <c r="AD1805" s="1295"/>
      <c r="AE1805" s="1525"/>
      <c r="AF1805" s="1525"/>
      <c r="AG1805" s="1525"/>
      <c r="AH1805" s="1525"/>
      <c r="AI1805" s="1525"/>
      <c r="AJ1805" s="1525"/>
      <c r="AK1805" s="1525"/>
      <c r="AL1805" s="1525"/>
      <c r="AM1805" s="1525"/>
      <c r="AN1805" s="1525"/>
      <c r="AO1805" s="1525"/>
      <c r="AP1805" s="1525"/>
      <c r="AQ1805" s="1525"/>
      <c r="AR1805" s="1525"/>
      <c r="AS1805" s="1525"/>
      <c r="AU1805" s="1525"/>
      <c r="AV1805" s="1295"/>
      <c r="AW1805" s="1525"/>
      <c r="AX1805" s="1525"/>
      <c r="AY1805" s="1525"/>
      <c r="AZ1805" s="1525"/>
      <c r="BA1805" s="1525"/>
      <c r="BB1805" s="1525"/>
      <c r="BC1805" s="1525"/>
      <c r="BD1805" s="1525"/>
      <c r="BE1805" s="1525"/>
      <c r="BF1805" s="1525"/>
      <c r="BG1805" s="1525"/>
      <c r="BH1805" s="1525"/>
      <c r="BI1805" s="1525"/>
      <c r="BJ1805" s="1525"/>
      <c r="BK1805" s="1525"/>
      <c r="BL1805" s="1525"/>
      <c r="BM1805" s="1525"/>
      <c r="BN1805" s="1525"/>
      <c r="BO1805" s="1525"/>
      <c r="BP1805" s="1525"/>
      <c r="BQ1805" s="1525"/>
      <c r="BR1805" s="1525"/>
      <c r="BS1805" s="1525"/>
      <c r="BT1805" s="1670"/>
      <c r="BV1805"/>
      <c r="BW1805" s="844"/>
    </row>
    <row r="1806" spans="2:75" ht="12.75" customHeight="1" x14ac:dyDescent="0.2">
      <c r="B1806" s="175">
        <f t="shared" ref="B1806:B1810" si="1110">B1805+1</f>
        <v>1</v>
      </c>
      <c r="C1806" s="220">
        <v>14</v>
      </c>
      <c r="D1806" s="170"/>
      <c r="E1806" s="447" t="s">
        <v>1276</v>
      </c>
      <c r="F1806" s="4" t="s">
        <v>270</v>
      </c>
      <c r="G1806" s="825" t="s">
        <v>663</v>
      </c>
      <c r="H1806" s="861">
        <v>27731</v>
      </c>
      <c r="I1806" s="197" t="s">
        <v>583</v>
      </c>
      <c r="J1806" s="174"/>
      <c r="K1806" s="174"/>
      <c r="L1806" s="861">
        <v>0.5</v>
      </c>
      <c r="M1806" s="861">
        <f>K1806+L1806</f>
        <v>0.5</v>
      </c>
      <c r="N1806" s="836" t="s">
        <v>892</v>
      </c>
      <c r="O1806" s="1196">
        <v>17605</v>
      </c>
      <c r="P1806" s="1262">
        <f ca="1">YEARFRAC(TODAY(),O1806)</f>
        <v>69.552777777777777</v>
      </c>
      <c r="Q1806" s="1148">
        <v>22600</v>
      </c>
      <c r="R1806" s="874">
        <f>Q1806*0.1</f>
        <v>2260</v>
      </c>
      <c r="S1806" s="876"/>
      <c r="T1806" s="876"/>
      <c r="U1806" s="876"/>
      <c r="V1806" s="876"/>
      <c r="W1806" s="1026"/>
      <c r="X1806" s="1026">
        <f>(Q1806+R1806+S1806+T1806+U1806+V1806+W1806)*M1806</f>
        <v>12430</v>
      </c>
      <c r="Y1806" s="1512">
        <f>(T1806+U1806)*M1806/(X1806-M1806*(T1806+U1806))</f>
        <v>0</v>
      </c>
      <c r="Z1806" s="1741">
        <f>M1806*(1+Y1806)</f>
        <v>0.5</v>
      </c>
      <c r="AA1806" s="1749"/>
      <c r="AB1806" s="1810">
        <f t="shared" ref="AB1806:AB1810" si="1111">100*AA1806/Z1806</f>
        <v>0</v>
      </c>
      <c r="AC1806" s="876"/>
      <c r="AD1806" s="1295"/>
      <c r="AE1806" s="1525"/>
      <c r="AF1806" s="1525"/>
      <c r="AG1806" s="1525"/>
      <c r="AH1806" s="1525"/>
      <c r="AI1806" s="1525"/>
      <c r="AJ1806" s="1525"/>
      <c r="AK1806" s="1525"/>
      <c r="AL1806" s="1525"/>
      <c r="AM1806" s="1525"/>
      <c r="AN1806" s="1525"/>
      <c r="AO1806" s="1525"/>
      <c r="AP1806" s="1525"/>
      <c r="AQ1806" s="1525"/>
      <c r="AR1806" s="1525"/>
      <c r="AS1806" s="1525"/>
      <c r="AU1806" s="1525"/>
      <c r="AV1806" s="1291"/>
      <c r="AW1806" s="1292"/>
      <c r="AX1806" s="1292"/>
      <c r="AY1806" s="1292"/>
      <c r="AZ1806" s="1292"/>
      <c r="BA1806" s="1292"/>
      <c r="BB1806" s="1292"/>
      <c r="BC1806" s="1292"/>
      <c r="BD1806" s="1292"/>
      <c r="BE1806" s="1292"/>
      <c r="BF1806" s="1292"/>
      <c r="BG1806" s="1292"/>
      <c r="BH1806" s="1292"/>
      <c r="BI1806" s="1292"/>
      <c r="BJ1806" s="1292"/>
      <c r="BK1806" s="1292"/>
      <c r="BL1806" s="1292"/>
      <c r="BM1806" s="1292"/>
      <c r="BN1806" s="1292"/>
      <c r="BO1806" s="1292"/>
      <c r="BP1806" s="1292"/>
      <c r="BQ1806" s="1292"/>
      <c r="BR1806" s="1292"/>
      <c r="BS1806" s="1292"/>
      <c r="BT1806" s="1670">
        <f t="shared" ref="BT1806:BT1810" si="1112">SUM(AV1806:BS1806)</f>
        <v>0</v>
      </c>
      <c r="BW1806" s="825" t="s">
        <v>663</v>
      </c>
    </row>
    <row r="1807" spans="2:75" ht="12.75" customHeight="1" x14ac:dyDescent="0.2">
      <c r="B1807" s="175">
        <f t="shared" si="1110"/>
        <v>2</v>
      </c>
      <c r="C1807" s="219">
        <v>18</v>
      </c>
      <c r="E1807" s="12" t="s">
        <v>1276</v>
      </c>
      <c r="F1807" t="s">
        <v>747</v>
      </c>
      <c r="G1807" s="821" t="s">
        <v>748</v>
      </c>
      <c r="H1807" s="858">
        <v>214969</v>
      </c>
      <c r="I1807" s="200" t="s">
        <v>1442</v>
      </c>
      <c r="J1807" s="189"/>
      <c r="K1807" s="189"/>
      <c r="L1807" s="858">
        <v>0.5</v>
      </c>
      <c r="M1807" s="858">
        <f>K1807+L1807</f>
        <v>0.5</v>
      </c>
      <c r="N1807" s="999" t="s">
        <v>1402</v>
      </c>
      <c r="O1807" s="1196">
        <v>15862</v>
      </c>
      <c r="P1807" s="1218">
        <f ca="1">YEARFRAC(TODAY(),O1807)</f>
        <v>74.325000000000003</v>
      </c>
      <c r="Q1807" s="1148">
        <v>19100</v>
      </c>
      <c r="R1807" s="874">
        <f>Q1807*0.1</f>
        <v>1910</v>
      </c>
      <c r="S1807" s="875"/>
      <c r="T1807" s="875"/>
      <c r="U1807" s="875"/>
      <c r="V1807" s="875"/>
      <c r="W1807" s="1036">
        <f>ROUND((Q1807+R1807)*0.34,0)</f>
        <v>7143</v>
      </c>
      <c r="X1807" s="1026">
        <f>(Q1807+R1807+S1807+T1807+U1807+V1807+W1807)*M1807</f>
        <v>14076.5</v>
      </c>
      <c r="Y1807" s="1512">
        <f>(T1807+U1807)*M1807/(X1807-M1807*(T1807+U1807))</f>
        <v>0</v>
      </c>
      <c r="Z1807" s="1741">
        <f>M1807*(1+Y1807)</f>
        <v>0.5</v>
      </c>
      <c r="AA1807" s="1749"/>
      <c r="AB1807" s="1810">
        <f t="shared" si="1111"/>
        <v>0</v>
      </c>
      <c r="AC1807" s="876"/>
      <c r="AD1807" s="1295"/>
      <c r="AE1807" s="1525"/>
      <c r="AF1807" s="1525"/>
      <c r="AG1807" s="1525"/>
      <c r="AH1807" s="1525"/>
      <c r="AI1807" s="1525"/>
      <c r="AJ1807" s="1525"/>
      <c r="AK1807" s="1525"/>
      <c r="AL1807" s="1525"/>
      <c r="AM1807" s="1525"/>
      <c r="AN1807" s="1525"/>
      <c r="AO1807" s="1525"/>
      <c r="AP1807" s="1525"/>
      <c r="AQ1807" s="1525"/>
      <c r="AR1807" s="1525"/>
      <c r="AS1807" s="1525"/>
      <c r="AU1807" s="1525"/>
      <c r="AV1807" s="1291"/>
      <c r="AW1807" s="1292"/>
      <c r="AX1807" s="1292"/>
      <c r="AY1807" s="1292"/>
      <c r="AZ1807" s="1292"/>
      <c r="BA1807" s="1292"/>
      <c r="BB1807" s="1292"/>
      <c r="BC1807" s="1292"/>
      <c r="BD1807" s="1292"/>
      <c r="BE1807" s="1292"/>
      <c r="BF1807" s="1292"/>
      <c r="BG1807" s="1292"/>
      <c r="BH1807" s="1292"/>
      <c r="BI1807" s="1292"/>
      <c r="BJ1807" s="1292"/>
      <c r="BK1807" s="1292"/>
      <c r="BL1807" s="1292"/>
      <c r="BM1807" s="1292"/>
      <c r="BN1807" s="1292"/>
      <c r="BO1807" s="1292"/>
      <c r="BP1807" s="1292"/>
      <c r="BQ1807" s="1292"/>
      <c r="BR1807" s="1292"/>
      <c r="BS1807" s="1292"/>
      <c r="BT1807" s="1670">
        <f t="shared" si="1112"/>
        <v>0</v>
      </c>
      <c r="BW1807" s="821" t="s">
        <v>748</v>
      </c>
    </row>
    <row r="1808" spans="2:75" ht="12.75" customHeight="1" x14ac:dyDescent="0.2">
      <c r="B1808" s="175">
        <f t="shared" si="1110"/>
        <v>3</v>
      </c>
      <c r="C1808" s="219">
        <v>18</v>
      </c>
      <c r="E1808" s="12" t="s">
        <v>1276</v>
      </c>
      <c r="F1808" s="30" t="s">
        <v>707</v>
      </c>
      <c r="G1808" s="825" t="s">
        <v>1383</v>
      </c>
      <c r="H1808" s="858">
        <v>6703</v>
      </c>
      <c r="I1808" s="200" t="s">
        <v>1442</v>
      </c>
      <c r="J1808" s="189"/>
      <c r="K1808" s="189"/>
      <c r="L1808" s="858">
        <v>0.5</v>
      </c>
      <c r="M1808" s="858">
        <f>K1808+L1808</f>
        <v>0.5</v>
      </c>
      <c r="N1808" s="999" t="s">
        <v>1402</v>
      </c>
      <c r="O1808" s="1196">
        <v>20702</v>
      </c>
      <c r="P1808" s="1218">
        <f ca="1">YEARFRAC(TODAY(),O1808)</f>
        <v>61.077777777777776</v>
      </c>
      <c r="Q1808" s="1148">
        <v>14700</v>
      </c>
      <c r="R1808" s="874">
        <f>Q1808*0.1</f>
        <v>1470</v>
      </c>
      <c r="S1808" s="875"/>
      <c r="T1808" s="875"/>
      <c r="U1808" s="875"/>
      <c r="V1808" s="875"/>
      <c r="W1808" s="1036">
        <f>ROUNDUP((Q1808+R1808)*0.34,0)</f>
        <v>5498</v>
      </c>
      <c r="X1808" s="1026">
        <f>(Q1808+R1808+S1808+T1808+U1808+V1808+W1808)*M1808</f>
        <v>10834</v>
      </c>
      <c r="Y1808" s="1512">
        <f>(T1808+U1808)*M1808/(X1808-M1808*(T1808+U1808))</f>
        <v>0</v>
      </c>
      <c r="Z1808" s="1741">
        <f>M1808*(1+Y1808)</f>
        <v>0.5</v>
      </c>
      <c r="AA1808" s="1749"/>
      <c r="AB1808" s="1810">
        <f t="shared" si="1111"/>
        <v>0</v>
      </c>
      <c r="AC1808" s="876"/>
      <c r="AD1808" s="1295"/>
      <c r="AE1808" s="1525"/>
      <c r="AF1808" s="1525"/>
      <c r="AG1808" s="1525"/>
      <c r="AH1808" s="1525"/>
      <c r="AI1808" s="1525"/>
      <c r="AJ1808" s="1525"/>
      <c r="AK1808" s="1525"/>
      <c r="AL1808" s="1525"/>
      <c r="AM1808" s="1525"/>
      <c r="AN1808" s="1525"/>
      <c r="AO1808" s="1525"/>
      <c r="AP1808" s="1525"/>
      <c r="AQ1808" s="1525"/>
      <c r="AR1808" s="1525"/>
      <c r="AS1808" s="1525"/>
      <c r="AU1808" s="1525"/>
      <c r="AV1808" s="1291"/>
      <c r="AW1808" s="1292"/>
      <c r="AX1808" s="1292"/>
      <c r="AY1808" s="1292"/>
      <c r="AZ1808" s="1292"/>
      <c r="BA1808" s="1292"/>
      <c r="BB1808" s="1292"/>
      <c r="BC1808" s="1292"/>
      <c r="BD1808" s="1292"/>
      <c r="BE1808" s="1292"/>
      <c r="BF1808" s="1292"/>
      <c r="BG1808" s="1292"/>
      <c r="BH1808" s="1292"/>
      <c r="BI1808" s="1292"/>
      <c r="BJ1808" s="1292"/>
      <c r="BK1808" s="1292"/>
      <c r="BL1808" s="1292"/>
      <c r="BM1808" s="1292"/>
      <c r="BN1808" s="1292"/>
      <c r="BO1808" s="1292"/>
      <c r="BP1808" s="1292"/>
      <c r="BQ1808" s="1292"/>
      <c r="BR1808" s="1292"/>
      <c r="BS1808" s="1292"/>
      <c r="BT1808" s="1670">
        <f t="shared" si="1112"/>
        <v>0</v>
      </c>
      <c r="BW1808" s="825" t="s">
        <v>1383</v>
      </c>
    </row>
    <row r="1809" spans="2:75" ht="12.75" customHeight="1" x14ac:dyDescent="0.2">
      <c r="B1809" s="175">
        <f t="shared" si="1110"/>
        <v>4</v>
      </c>
      <c r="C1809" s="219">
        <v>18</v>
      </c>
      <c r="E1809" s="12" t="s">
        <v>1276</v>
      </c>
      <c r="F1809" s="23" t="s">
        <v>611</v>
      </c>
      <c r="G1809" s="844" t="s">
        <v>1946</v>
      </c>
      <c r="H1809" s="1436">
        <v>162544</v>
      </c>
      <c r="I1809" s="197" t="s">
        <v>1442</v>
      </c>
      <c r="J1809" s="174"/>
      <c r="K1809" s="174"/>
      <c r="L1809" s="950">
        <v>1</v>
      </c>
      <c r="M1809" s="950">
        <v>1</v>
      </c>
      <c r="N1809" s="831" t="s">
        <v>1402</v>
      </c>
      <c r="O1809" s="1196">
        <v>36785</v>
      </c>
      <c r="P1809" s="1218">
        <f ca="1">YEARFRAC(TODAY(),O1809)</f>
        <v>17.044444444444444</v>
      </c>
      <c r="Q1809" s="1148">
        <v>16000</v>
      </c>
      <c r="R1809" s="874">
        <f>Q1809*0.1</f>
        <v>1600</v>
      </c>
      <c r="S1809" s="876"/>
      <c r="T1809" s="876"/>
      <c r="U1809" s="876"/>
      <c r="V1809" s="876"/>
      <c r="W1809" s="876">
        <f>ROUND((Q1809+R1809)*0.4,0)</f>
        <v>7040</v>
      </c>
      <c r="X1809" s="1026">
        <f>(Q1809+R1809+S1809+T1809+U1809+V1809+W1809)*M1809</f>
        <v>24640</v>
      </c>
      <c r="Y1809" s="1512">
        <f>(T1809+U1809)*M1809/(X1809-M1809*(T1809+U1809))</f>
        <v>0</v>
      </c>
      <c r="Z1809" s="1741">
        <f>M1809*(1+Y1809)</f>
        <v>1</v>
      </c>
      <c r="AA1809" s="1749"/>
      <c r="AB1809" s="1810">
        <f t="shared" si="1111"/>
        <v>0</v>
      </c>
      <c r="AC1809" s="876"/>
      <c r="AD1809" s="1295"/>
      <c r="AE1809" s="1525"/>
      <c r="AF1809" s="1525"/>
      <c r="AG1809" s="1525"/>
      <c r="AH1809" s="1525"/>
      <c r="AI1809" s="1525"/>
      <c r="AJ1809" s="1525"/>
      <c r="AK1809" s="1525"/>
      <c r="AL1809" s="1525"/>
      <c r="AM1809" s="1525"/>
      <c r="AN1809" s="1525"/>
      <c r="AO1809" s="1525"/>
      <c r="AP1809" s="1525"/>
      <c r="AQ1809" s="1525"/>
      <c r="AR1809" s="1525"/>
      <c r="AS1809" s="1525"/>
      <c r="AU1809" s="1525"/>
      <c r="AV1809" s="1291"/>
      <c r="AW1809" s="1292"/>
      <c r="AX1809" s="1292"/>
      <c r="AY1809" s="1292"/>
      <c r="AZ1809" s="1292"/>
      <c r="BA1809" s="1292"/>
      <c r="BB1809" s="1292"/>
      <c r="BC1809" s="1292"/>
      <c r="BD1809" s="1292"/>
      <c r="BE1809" s="1292"/>
      <c r="BF1809" s="1292"/>
      <c r="BG1809" s="1292"/>
      <c r="BH1809" s="1292"/>
      <c r="BI1809" s="1292"/>
      <c r="BJ1809" s="1292"/>
      <c r="BK1809" s="1292"/>
      <c r="BL1809" s="1292"/>
      <c r="BM1809" s="1292"/>
      <c r="BN1809" s="1292"/>
      <c r="BO1809" s="1292"/>
      <c r="BP1809" s="1292"/>
      <c r="BQ1809" s="1292"/>
      <c r="BR1809" s="1292"/>
      <c r="BS1809" s="1292"/>
      <c r="BT1809" s="1670">
        <f t="shared" si="1112"/>
        <v>0</v>
      </c>
      <c r="BW1809" s="844" t="s">
        <v>1946</v>
      </c>
    </row>
    <row r="1810" spans="2:75" ht="12.75" customHeight="1" x14ac:dyDescent="0.2">
      <c r="B1810" s="175">
        <f t="shared" si="1110"/>
        <v>5</v>
      </c>
      <c r="C1810" s="219">
        <v>18</v>
      </c>
      <c r="E1810" s="12" t="s">
        <v>1276</v>
      </c>
      <c r="F1810" s="42" t="s">
        <v>1466</v>
      </c>
      <c r="G1810" s="912" t="s">
        <v>1387</v>
      </c>
      <c r="H1810" s="873">
        <v>260906</v>
      </c>
      <c r="I1810" s="196" t="s">
        <v>1442</v>
      </c>
      <c r="J1810" s="195"/>
      <c r="K1810" s="195"/>
      <c r="L1810" s="873">
        <v>1</v>
      </c>
      <c r="M1810" s="873">
        <f>K1810+L1810</f>
        <v>1</v>
      </c>
      <c r="N1810" s="1010" t="s">
        <v>1402</v>
      </c>
      <c r="O1810" s="1211">
        <v>25410</v>
      </c>
      <c r="P1810" s="1218">
        <f ca="1">YEARFRAC(TODAY(),O1810)</f>
        <v>48.18333333333333</v>
      </c>
      <c r="Q1810" s="1071">
        <v>17000</v>
      </c>
      <c r="R1810" s="890">
        <f>Q1810*0.1</f>
        <v>1700</v>
      </c>
      <c r="S1810" s="891"/>
      <c r="T1810" s="891"/>
      <c r="U1810" s="891"/>
      <c r="V1810" s="891"/>
      <c r="W1810" s="891"/>
      <c r="X1810" s="1026">
        <f>(Q1810+R1810+S1810+T1810+U1810+V1810+W1810)*M1810</f>
        <v>18700</v>
      </c>
      <c r="Y1810" s="1512">
        <f>(T1810+U1810)*M1810/(X1810-M1810*(T1810+U1810))</f>
        <v>0</v>
      </c>
      <c r="Z1810" s="1741">
        <f>M1810*(1+Y1810)</f>
        <v>1</v>
      </c>
      <c r="AA1810" s="1749"/>
      <c r="AB1810" s="1810">
        <f t="shared" si="1111"/>
        <v>0</v>
      </c>
      <c r="AC1810" s="876"/>
      <c r="AD1810" s="1295"/>
      <c r="AE1810" s="1525"/>
      <c r="AF1810" s="1525"/>
      <c r="AG1810" s="1525"/>
      <c r="AH1810" s="1525"/>
      <c r="AI1810" s="1525"/>
      <c r="AJ1810" s="1525"/>
      <c r="AK1810" s="1525"/>
      <c r="AL1810" s="1525"/>
      <c r="AM1810" s="1525"/>
      <c r="AN1810" s="1525"/>
      <c r="AO1810" s="1525"/>
      <c r="AP1810" s="1525"/>
      <c r="AQ1810" s="1525"/>
      <c r="AR1810" s="1525"/>
      <c r="AS1810" s="1525"/>
      <c r="AU1810" s="1525"/>
      <c r="AV1810" s="1291"/>
      <c r="AW1810" s="1292"/>
      <c r="AX1810" s="1292"/>
      <c r="AY1810" s="1292"/>
      <c r="AZ1810" s="1292"/>
      <c r="BA1810" s="1292"/>
      <c r="BB1810" s="1292"/>
      <c r="BC1810" s="1292"/>
      <c r="BD1810" s="1292"/>
      <c r="BE1810" s="1292"/>
      <c r="BF1810" s="1292"/>
      <c r="BG1810" s="1292"/>
      <c r="BH1810" s="1292"/>
      <c r="BI1810" s="1292"/>
      <c r="BJ1810" s="1292"/>
      <c r="BK1810" s="1292"/>
      <c r="BL1810" s="1292"/>
      <c r="BM1810" s="1292"/>
      <c r="BN1810" s="1292"/>
      <c r="BO1810" s="1292"/>
      <c r="BP1810" s="1292"/>
      <c r="BQ1810" s="1292"/>
      <c r="BR1810" s="1292"/>
      <c r="BS1810" s="1292"/>
      <c r="BT1810" s="1670">
        <f t="shared" si="1112"/>
        <v>0</v>
      </c>
      <c r="BW1810" s="912" t="s">
        <v>1387</v>
      </c>
    </row>
    <row r="1811" spans="2:75" s="164" customFormat="1" ht="12.75" customHeight="1" x14ac:dyDescent="0.15">
      <c r="B1811" s="175"/>
      <c r="C1811" s="219" t="s">
        <v>1120</v>
      </c>
      <c r="F1811" s="4" t="s">
        <v>492</v>
      </c>
      <c r="G1811" s="825"/>
      <c r="H1811" s="1361" t="s">
        <v>1508</v>
      </c>
      <c r="I1811" s="200"/>
      <c r="J1811" s="189"/>
      <c r="K1811" s="448">
        <f>SUM(K1806:K1810)</f>
        <v>0</v>
      </c>
      <c r="L1811" s="902">
        <f>SUM(L1806:L1810)</f>
        <v>3.5</v>
      </c>
      <c r="M1811" s="902">
        <f>SUM(M1806:M1810)</f>
        <v>3.5</v>
      </c>
      <c r="N1811" s="836"/>
      <c r="O1811" s="1200"/>
      <c r="P1811" s="550"/>
      <c r="Q1811" s="1153"/>
      <c r="R1811" s="877"/>
      <c r="S1811" s="875"/>
      <c r="T1811" s="875"/>
      <c r="U1811" s="875"/>
      <c r="V1811" s="875"/>
      <c r="W1811" s="875"/>
      <c r="X1811" s="1026"/>
      <c r="Y1811" s="1335"/>
      <c r="Z1811" s="1335"/>
      <c r="AA1811" s="1775"/>
      <c r="AB1811" s="1814"/>
      <c r="AC1811" s="876"/>
      <c r="AD1811" s="1295"/>
      <c r="AE1811" s="1525"/>
      <c r="AF1811" s="1525"/>
      <c r="AG1811" s="1525"/>
      <c r="AH1811" s="1525"/>
      <c r="AI1811" s="1525"/>
      <c r="AJ1811" s="1525"/>
      <c r="AK1811" s="1525"/>
      <c r="AL1811" s="1525"/>
      <c r="AM1811" s="1525"/>
      <c r="AN1811" s="1525"/>
      <c r="AO1811" s="1525"/>
      <c r="AP1811" s="1525"/>
      <c r="AQ1811" s="1525"/>
      <c r="AR1811" s="1525"/>
      <c r="AS1811" s="1525"/>
      <c r="AU1811" s="1525"/>
      <c r="AV1811" s="1295"/>
      <c r="AW1811" s="1525"/>
      <c r="AX1811" s="1525"/>
      <c r="AY1811" s="1525"/>
      <c r="AZ1811" s="1525"/>
      <c r="BA1811" s="1525"/>
      <c r="BB1811" s="1525"/>
      <c r="BC1811" s="1525"/>
      <c r="BD1811" s="1525"/>
      <c r="BE1811" s="1525"/>
      <c r="BF1811" s="1525"/>
      <c r="BG1811" s="1525"/>
      <c r="BH1811" s="1525"/>
      <c r="BI1811" s="1525"/>
      <c r="BJ1811" s="1525"/>
      <c r="BK1811" s="1525"/>
      <c r="BL1811" s="1525"/>
      <c r="BM1811" s="1525"/>
      <c r="BN1811" s="1525"/>
      <c r="BO1811" s="1525"/>
      <c r="BP1811" s="1525"/>
      <c r="BQ1811" s="1525"/>
      <c r="BR1811" s="1525"/>
      <c r="BS1811" s="1525"/>
      <c r="BT1811" s="1670"/>
      <c r="BV1811"/>
      <c r="BW1811" s="825"/>
    </row>
    <row r="1812" spans="2:75" s="164" customFormat="1" ht="12.75" customHeight="1" x14ac:dyDescent="0.15">
      <c r="B1812" s="175"/>
      <c r="F1812" s="4"/>
      <c r="G1812" s="825"/>
      <c r="H1812" s="1341" t="s">
        <v>1508</v>
      </c>
      <c r="I1812" s="200"/>
      <c r="J1812" s="189"/>
      <c r="K1812" s="189"/>
      <c r="L1812" s="843"/>
      <c r="M1812" s="843"/>
      <c r="N1812" s="836"/>
      <c r="O1812" s="1200"/>
      <c r="P1812" s="550"/>
      <c r="Q1812" s="1148"/>
      <c r="R1812" s="874"/>
      <c r="S1812" s="875"/>
      <c r="T1812" s="875"/>
      <c r="U1812" s="875"/>
      <c r="V1812" s="875"/>
      <c r="W1812" s="875"/>
      <c r="X1812" s="1026"/>
      <c r="Y1812" s="1754"/>
      <c r="Z1812" s="1755"/>
      <c r="AA1812" s="1775"/>
      <c r="AB1812" s="1814"/>
      <c r="AC1812" s="876"/>
      <c r="AD1812" s="1295"/>
      <c r="AE1812" s="1525"/>
      <c r="AF1812" s="1525"/>
      <c r="AG1812" s="1525"/>
      <c r="AH1812" s="1525"/>
      <c r="AI1812" s="1525"/>
      <c r="AJ1812" s="1525"/>
      <c r="AK1812" s="1525"/>
      <c r="AL1812" s="1525"/>
      <c r="AM1812" s="1525"/>
      <c r="AN1812" s="1525"/>
      <c r="AO1812" s="1525"/>
      <c r="AP1812" s="1525"/>
      <c r="AQ1812" s="1525"/>
      <c r="AR1812" s="1525"/>
      <c r="AS1812" s="1525"/>
      <c r="AU1812" s="1525"/>
      <c r="AV1812" s="1295"/>
      <c r="AW1812" s="1525"/>
      <c r="AX1812" s="1525"/>
      <c r="AY1812" s="1525"/>
      <c r="AZ1812" s="1525"/>
      <c r="BA1812" s="1525"/>
      <c r="BB1812" s="1525"/>
      <c r="BC1812" s="1525"/>
      <c r="BD1812" s="1525"/>
      <c r="BE1812" s="1525"/>
      <c r="BF1812" s="1525"/>
      <c r="BG1812" s="1525"/>
      <c r="BH1812" s="1525"/>
      <c r="BI1812" s="1525"/>
      <c r="BJ1812" s="1525"/>
      <c r="BK1812" s="1525"/>
      <c r="BL1812" s="1525"/>
      <c r="BM1812" s="1525"/>
      <c r="BN1812" s="1525"/>
      <c r="BO1812" s="1525"/>
      <c r="BP1812" s="1525"/>
      <c r="BQ1812" s="1525"/>
      <c r="BR1812" s="1525"/>
      <c r="BS1812" s="1525"/>
      <c r="BT1812" s="1670"/>
      <c r="BV1812"/>
      <c r="BW1812" s="825"/>
    </row>
    <row r="1813" spans="2:75" s="164" customFormat="1" ht="12.75" customHeight="1" x14ac:dyDescent="0.15">
      <c r="B1813" s="175"/>
      <c r="F1813" s="21" t="s">
        <v>1388</v>
      </c>
      <c r="G1813" s="1017"/>
      <c r="H1813" s="1341" t="s">
        <v>1508</v>
      </c>
      <c r="I1813" s="200"/>
      <c r="J1813" s="189"/>
      <c r="K1813" s="189"/>
      <c r="L1813" s="843"/>
      <c r="M1813" s="843"/>
      <c r="N1813" s="836"/>
      <c r="O1813" s="1200"/>
      <c r="P1813" s="550"/>
      <c r="Q1813" s="1148"/>
      <c r="R1813" s="874"/>
      <c r="S1813" s="875"/>
      <c r="T1813" s="875"/>
      <c r="U1813" s="875"/>
      <c r="V1813" s="875"/>
      <c r="W1813" s="875"/>
      <c r="X1813" s="1026"/>
      <c r="Y1813" s="1754"/>
      <c r="Z1813" s="1755"/>
      <c r="AA1813" s="1775"/>
      <c r="AB1813" s="1814"/>
      <c r="AC1813" s="876"/>
      <c r="AD1813" s="1295"/>
      <c r="AE1813" s="1525"/>
      <c r="AF1813" s="1525"/>
      <c r="AG1813" s="1525"/>
      <c r="AH1813" s="1525"/>
      <c r="AI1813" s="1525"/>
      <c r="AJ1813" s="1525"/>
      <c r="AK1813" s="1525"/>
      <c r="AL1813" s="1525"/>
      <c r="AM1813" s="1525"/>
      <c r="AN1813" s="1525"/>
      <c r="AO1813" s="1525"/>
      <c r="AP1813" s="1525"/>
      <c r="AQ1813" s="1525"/>
      <c r="AR1813" s="1525"/>
      <c r="AS1813" s="1525"/>
      <c r="AU1813" s="1525"/>
      <c r="AV1813" s="1295"/>
      <c r="AW1813" s="1525"/>
      <c r="AX1813" s="1525"/>
      <c r="AY1813" s="1525"/>
      <c r="AZ1813" s="1525"/>
      <c r="BA1813" s="1525"/>
      <c r="BB1813" s="1525"/>
      <c r="BC1813" s="1525"/>
      <c r="BD1813" s="1525"/>
      <c r="BE1813" s="1525"/>
      <c r="BF1813" s="1525"/>
      <c r="BG1813" s="1525"/>
      <c r="BH1813" s="1525"/>
      <c r="BI1813" s="1525"/>
      <c r="BJ1813" s="1525"/>
      <c r="BK1813" s="1525"/>
      <c r="BL1813" s="1525"/>
      <c r="BM1813" s="1525"/>
      <c r="BN1813" s="1525"/>
      <c r="BO1813" s="1525"/>
      <c r="BP1813" s="1525"/>
      <c r="BQ1813" s="1525"/>
      <c r="BR1813" s="1525"/>
      <c r="BS1813" s="1525"/>
      <c r="BT1813" s="1670"/>
      <c r="BV1813"/>
      <c r="BW1813" s="1017"/>
    </row>
    <row r="1814" spans="2:75" s="164" customFormat="1" ht="12.75" customHeight="1" x14ac:dyDescent="0.15">
      <c r="B1814" s="175"/>
      <c r="F1814" s="24" t="s">
        <v>1389</v>
      </c>
      <c r="G1814" s="799"/>
      <c r="H1814" s="1341" t="s">
        <v>1508</v>
      </c>
      <c r="I1814" s="200"/>
      <c r="J1814" s="189"/>
      <c r="K1814" s="189"/>
      <c r="L1814" s="843"/>
      <c r="M1814" s="843"/>
      <c r="N1814" s="836"/>
      <c r="O1814" s="1200"/>
      <c r="P1814" s="550"/>
      <c r="Q1814" s="1148"/>
      <c r="R1814" s="874"/>
      <c r="S1814" s="875"/>
      <c r="T1814" s="875"/>
      <c r="U1814" s="875"/>
      <c r="V1814" s="875"/>
      <c r="W1814" s="875"/>
      <c r="X1814" s="1026"/>
      <c r="Y1814" s="1754"/>
      <c r="Z1814" s="1755"/>
      <c r="AA1814" s="1775"/>
      <c r="AB1814" s="1814"/>
      <c r="AC1814" s="876"/>
      <c r="AD1814" s="1295"/>
      <c r="AE1814" s="1525"/>
      <c r="AF1814" s="1525"/>
      <c r="AG1814" s="1525"/>
      <c r="AH1814" s="1525"/>
      <c r="AI1814" s="1525"/>
      <c r="AJ1814" s="1525"/>
      <c r="AK1814" s="1525"/>
      <c r="AL1814" s="1525"/>
      <c r="AM1814" s="1525"/>
      <c r="AN1814" s="1525"/>
      <c r="AO1814" s="1525"/>
      <c r="AP1814" s="1525"/>
      <c r="AQ1814" s="1525"/>
      <c r="AR1814" s="1525"/>
      <c r="AS1814" s="1525"/>
      <c r="AU1814" s="1525"/>
      <c r="AV1814" s="1295"/>
      <c r="AW1814" s="1525"/>
      <c r="AX1814" s="1525"/>
      <c r="AY1814" s="1525"/>
      <c r="AZ1814" s="1525"/>
      <c r="BA1814" s="1525"/>
      <c r="BB1814" s="1525"/>
      <c r="BC1814" s="1525"/>
      <c r="BD1814" s="1525"/>
      <c r="BE1814" s="1525"/>
      <c r="BF1814" s="1525"/>
      <c r="BG1814" s="1525"/>
      <c r="BH1814" s="1525"/>
      <c r="BI1814" s="1525"/>
      <c r="BJ1814" s="1525"/>
      <c r="BK1814" s="1525"/>
      <c r="BL1814" s="1525"/>
      <c r="BM1814" s="1525"/>
      <c r="BN1814" s="1525"/>
      <c r="BO1814" s="1525"/>
      <c r="BP1814" s="1525"/>
      <c r="BQ1814" s="1525"/>
      <c r="BR1814" s="1525"/>
      <c r="BS1814" s="1525"/>
      <c r="BT1814" s="1670"/>
      <c r="BV1814"/>
      <c r="BW1814" s="799"/>
    </row>
    <row r="1815" spans="2:75" s="164" customFormat="1" ht="12.75" customHeight="1" x14ac:dyDescent="0.15">
      <c r="B1815" s="175"/>
      <c r="F1815" s="4"/>
      <c r="G1815" s="825"/>
      <c r="H1815" s="1341" t="s">
        <v>1508</v>
      </c>
      <c r="I1815" s="200"/>
      <c r="J1815" s="189"/>
      <c r="K1815" s="189"/>
      <c r="L1815" s="843"/>
      <c r="M1815" s="843"/>
      <c r="N1815" s="836"/>
      <c r="O1815" s="1200"/>
      <c r="P1815" s="550"/>
      <c r="Q1815" s="1148"/>
      <c r="R1815" s="874"/>
      <c r="S1815" s="875"/>
      <c r="T1815" s="875"/>
      <c r="U1815" s="875"/>
      <c r="V1815" s="875"/>
      <c r="W1815" s="875"/>
      <c r="X1815" s="1026"/>
      <c r="Y1815" s="1754"/>
      <c r="Z1815" s="1755"/>
      <c r="AA1815" s="1775"/>
      <c r="AB1815" s="1814"/>
      <c r="AC1815" s="876"/>
      <c r="AD1815" s="1295"/>
      <c r="AE1815" s="1525"/>
      <c r="AF1815" s="1525"/>
      <c r="AG1815" s="1525"/>
      <c r="AH1815" s="1525"/>
      <c r="AI1815" s="1525"/>
      <c r="AJ1815" s="1525"/>
      <c r="AK1815" s="1525"/>
      <c r="AL1815" s="1525"/>
      <c r="AM1815" s="1525"/>
      <c r="AN1815" s="1525"/>
      <c r="AO1815" s="1525"/>
      <c r="AP1815" s="1525"/>
      <c r="AQ1815" s="1525"/>
      <c r="AR1815" s="1525"/>
      <c r="AS1815" s="1525"/>
      <c r="AU1815" s="1525"/>
      <c r="AV1815" s="1295"/>
      <c r="AW1815" s="1525"/>
      <c r="AX1815" s="1525"/>
      <c r="AY1815" s="1525"/>
      <c r="AZ1815" s="1525"/>
      <c r="BA1815" s="1525"/>
      <c r="BB1815" s="1525"/>
      <c r="BC1815" s="1525"/>
      <c r="BD1815" s="1525"/>
      <c r="BE1815" s="1525"/>
      <c r="BF1815" s="1525"/>
      <c r="BG1815" s="1525"/>
      <c r="BH1815" s="1525"/>
      <c r="BI1815" s="1525"/>
      <c r="BJ1815" s="1525"/>
      <c r="BK1815" s="1525"/>
      <c r="BL1815" s="1525"/>
      <c r="BM1815" s="1525"/>
      <c r="BN1815" s="1525"/>
      <c r="BO1815" s="1525"/>
      <c r="BP1815" s="1525"/>
      <c r="BQ1815" s="1525"/>
      <c r="BR1815" s="1525"/>
      <c r="BS1815" s="1525"/>
      <c r="BT1815" s="1670"/>
      <c r="BV1815"/>
      <c r="BW1815" s="825"/>
    </row>
    <row r="1816" spans="2:75" ht="12.75" customHeight="1" x14ac:dyDescent="0.2">
      <c r="B1816" s="175">
        <f>B1815+1</f>
        <v>1</v>
      </c>
      <c r="C1816" s="219">
        <v>29</v>
      </c>
      <c r="E1816" s="12" t="s">
        <v>1276</v>
      </c>
      <c r="F1816" t="s">
        <v>1172</v>
      </c>
      <c r="G1816" s="821" t="s">
        <v>1390</v>
      </c>
      <c r="H1816" s="858">
        <v>6822</v>
      </c>
      <c r="I1816" s="200" t="s">
        <v>161</v>
      </c>
      <c r="J1816" s="189"/>
      <c r="K1816" s="174"/>
      <c r="L1816" s="861">
        <v>1</v>
      </c>
      <c r="M1816" s="858">
        <f>K1816+L1816</f>
        <v>1</v>
      </c>
      <c r="N1816" s="999" t="s">
        <v>1326</v>
      </c>
      <c r="O1816" s="1196">
        <v>12808</v>
      </c>
      <c r="P1816" s="1218">
        <f t="shared" ref="P1816:P1822" ca="1" si="1113">YEARFRAC(TODAY(),O1816)</f>
        <v>82.688888888888883</v>
      </c>
      <c r="Q1816" s="1148">
        <v>36000</v>
      </c>
      <c r="R1816" s="874">
        <f>Q1816*0.1</f>
        <v>3600</v>
      </c>
      <c r="S1816" s="875"/>
      <c r="T1816" s="875"/>
      <c r="U1816" s="875"/>
      <c r="V1816" s="875"/>
      <c r="W1816" s="875"/>
      <c r="X1816" s="1026">
        <f t="shared" ref="X1816:X1822" si="1114">(Q1816+R1816+S1816+T1816+U1816+V1816+W1816)*M1816</f>
        <v>39600</v>
      </c>
      <c r="Y1816" s="1512">
        <f t="shared" ref="Y1816:Y1822" si="1115">(T1816+U1816+V1816+W1816)*M1816/(X1816-M1816*(T1816+U1816+V1816+W1816))</f>
        <v>0</v>
      </c>
      <c r="Z1816" s="1741">
        <f t="shared" ref="Z1816:Z1822" si="1116">M1816*(1+Y1816)</f>
        <v>1</v>
      </c>
      <c r="AA1816" s="1749"/>
      <c r="AB1816" s="1810">
        <f t="shared" ref="AB1816" si="1117">100*AA1816/Z1816</f>
        <v>0</v>
      </c>
      <c r="AC1816" s="876"/>
      <c r="AD1816" s="1295"/>
      <c r="AE1816" s="1525"/>
      <c r="AF1816" s="1525"/>
      <c r="AG1816" s="1525"/>
      <c r="AH1816" s="1525"/>
      <c r="AI1816" s="1525"/>
      <c r="AJ1816" s="1525"/>
      <c r="AK1816" s="1525"/>
      <c r="AL1816" s="1525"/>
      <c r="AM1816" s="1525"/>
      <c r="AN1816" s="1525"/>
      <c r="AO1816" s="1525"/>
      <c r="AP1816" s="1525"/>
      <c r="AQ1816" s="1525"/>
      <c r="AR1816" s="1525"/>
      <c r="AS1816" s="1525"/>
      <c r="AU1816" s="1525"/>
      <c r="AV1816" s="1291"/>
      <c r="AW1816" s="1292"/>
      <c r="AX1816" s="1292"/>
      <c r="AY1816" s="1292"/>
      <c r="AZ1816" s="1292"/>
      <c r="BA1816" s="1292"/>
      <c r="BB1816" s="1292"/>
      <c r="BC1816" s="1292"/>
      <c r="BD1816" s="1292"/>
      <c r="BE1816" s="1292"/>
      <c r="BF1816" s="1292"/>
      <c r="BG1816" s="1292"/>
      <c r="BH1816" s="1292"/>
      <c r="BI1816" s="1292"/>
      <c r="BJ1816" s="1292"/>
      <c r="BK1816" s="1292"/>
      <c r="BL1816" s="1292"/>
      <c r="BM1816" s="1292"/>
      <c r="BN1816" s="1292"/>
      <c r="BO1816" s="1292"/>
      <c r="BP1816" s="1292"/>
      <c r="BQ1816" s="1292"/>
      <c r="BR1816" s="1292"/>
      <c r="BS1816" s="1292"/>
      <c r="BT1816" s="1670">
        <f t="shared" ref="BT1816:BT1822" si="1118">SUM(AV1816:BS1816)</f>
        <v>0</v>
      </c>
      <c r="BW1816" s="821" t="s">
        <v>1390</v>
      </c>
    </row>
    <row r="1817" spans="2:75" ht="12.75" customHeight="1" x14ac:dyDescent="0.2">
      <c r="B1817" s="175">
        <f>B1816+1</f>
        <v>2</v>
      </c>
      <c r="C1817" s="219">
        <v>41</v>
      </c>
      <c r="E1817" s="12" t="s">
        <v>1276</v>
      </c>
      <c r="F1817" s="4" t="s">
        <v>1510</v>
      </c>
      <c r="G1817" s="821" t="s">
        <v>1512</v>
      </c>
      <c r="H1817" s="858">
        <v>114590</v>
      </c>
      <c r="I1817" s="200" t="s">
        <v>1442</v>
      </c>
      <c r="J1817" s="189"/>
      <c r="K1817" s="174"/>
      <c r="L1817" s="861">
        <v>1</v>
      </c>
      <c r="M1817" s="858">
        <v>1</v>
      </c>
      <c r="N1817" s="999" t="s">
        <v>1326</v>
      </c>
      <c r="O1817" s="1196">
        <v>20845</v>
      </c>
      <c r="P1817" s="1218">
        <f t="shared" ca="1" si="1113"/>
        <v>60.68611111111111</v>
      </c>
      <c r="Q1817" s="1148">
        <v>30000</v>
      </c>
      <c r="R1817" s="874">
        <f>Q1817*0.1</f>
        <v>3000</v>
      </c>
      <c r="S1817" s="875"/>
      <c r="T1817" s="875"/>
      <c r="U1817" s="875"/>
      <c r="V1817" s="875"/>
      <c r="W1817" s="1036">
        <f>ROUNDUP((Q1817+R1817)*0.1,0)</f>
        <v>3300</v>
      </c>
      <c r="X1817" s="1026">
        <f t="shared" si="1114"/>
        <v>36300</v>
      </c>
      <c r="Y1817" s="1512">
        <f t="shared" si="1115"/>
        <v>0.1</v>
      </c>
      <c r="Z1817" s="1741">
        <f t="shared" si="1116"/>
        <v>1.1000000000000001</v>
      </c>
      <c r="AA1817" s="1749"/>
      <c r="AB1817" s="1810">
        <f t="shared" ref="AB1817:AB1822" si="1119">100*AA1817/Z1817</f>
        <v>0</v>
      </c>
      <c r="AC1817" s="876"/>
      <c r="AD1817" s="1295"/>
      <c r="AE1817" s="1525"/>
      <c r="AF1817" s="1525"/>
      <c r="AG1817" s="1525"/>
      <c r="AH1817" s="1525"/>
      <c r="AI1817" s="1525"/>
      <c r="AJ1817" s="1525"/>
      <c r="AK1817" s="1525"/>
      <c r="AL1817" s="1525"/>
      <c r="AM1817" s="1525"/>
      <c r="AN1817" s="1525"/>
      <c r="AO1817" s="1525"/>
      <c r="AP1817" s="1525"/>
      <c r="AQ1817" s="1525"/>
      <c r="AR1817" s="1525"/>
      <c r="AS1817" s="1525"/>
      <c r="AU1817" s="1525"/>
      <c r="AV1817" s="1291"/>
      <c r="AW1817" s="1292"/>
      <c r="AX1817" s="1292"/>
      <c r="AY1817" s="1292"/>
      <c r="AZ1817" s="1292"/>
      <c r="BA1817" s="1292"/>
      <c r="BB1817" s="1292"/>
      <c r="BC1817" s="1292"/>
      <c r="BD1817" s="1292"/>
      <c r="BE1817" s="1292"/>
      <c r="BF1817" s="1292"/>
      <c r="BG1817" s="1292"/>
      <c r="BH1817" s="1292"/>
      <c r="BI1817" s="1292"/>
      <c r="BJ1817" s="1292"/>
      <c r="BK1817" s="1292"/>
      <c r="BL1817" s="1292"/>
      <c r="BM1817" s="1292"/>
      <c r="BN1817" s="1292"/>
      <c r="BO1817" s="1292"/>
      <c r="BP1817" s="1292"/>
      <c r="BQ1817" s="1292"/>
      <c r="BR1817" s="1292"/>
      <c r="BS1817" s="1292"/>
      <c r="BT1817" s="1670">
        <f t="shared" si="1118"/>
        <v>0</v>
      </c>
      <c r="BW1817" s="821" t="s">
        <v>1512</v>
      </c>
    </row>
    <row r="1818" spans="2:75" ht="12.75" customHeight="1" x14ac:dyDescent="0.2">
      <c r="B1818" s="175">
        <f t="shared" ref="B1818:B1822" si="1120">B1817+1</f>
        <v>3</v>
      </c>
      <c r="C1818" s="219">
        <v>41</v>
      </c>
      <c r="E1818" s="12" t="s">
        <v>1276</v>
      </c>
      <c r="F1818" s="4" t="s">
        <v>1391</v>
      </c>
      <c r="G1818" s="821" t="s">
        <v>576</v>
      </c>
      <c r="H1818" s="858">
        <v>66570</v>
      </c>
      <c r="I1818" s="200" t="s">
        <v>1442</v>
      </c>
      <c r="J1818" s="189"/>
      <c r="K1818" s="189"/>
      <c r="L1818" s="861">
        <v>1</v>
      </c>
      <c r="M1818" s="858">
        <f>K1818+L1818</f>
        <v>1</v>
      </c>
      <c r="N1818" s="999" t="s">
        <v>1326</v>
      </c>
      <c r="O1818" s="1196">
        <v>21916</v>
      </c>
      <c r="P1818" s="1218">
        <f t="shared" ca="1" si="1113"/>
        <v>57.75277777777778</v>
      </c>
      <c r="Q1818" s="1148">
        <v>30000</v>
      </c>
      <c r="R1818" s="874">
        <f>Q1818*0.1</f>
        <v>3000</v>
      </c>
      <c r="S1818" s="875"/>
      <c r="T1818" s="875"/>
      <c r="U1818" s="875"/>
      <c r="V1818" s="875"/>
      <c r="W1818" s="1036">
        <f>ROUNDUP((Q1818+R1818)*0.2,0)</f>
        <v>6600</v>
      </c>
      <c r="X1818" s="1026">
        <f t="shared" si="1114"/>
        <v>39600</v>
      </c>
      <c r="Y1818" s="1512">
        <f t="shared" si="1115"/>
        <v>0.2</v>
      </c>
      <c r="Z1818" s="1741">
        <f t="shared" si="1116"/>
        <v>1.2</v>
      </c>
      <c r="AA1818" s="1749"/>
      <c r="AB1818" s="1810">
        <f t="shared" si="1119"/>
        <v>0</v>
      </c>
      <c r="AC1818" s="876"/>
      <c r="AD1818" s="1295"/>
      <c r="AE1818" s="1525"/>
      <c r="AF1818" s="1525"/>
      <c r="AG1818" s="1525"/>
      <c r="AH1818" s="1525"/>
      <c r="AI1818" s="1525"/>
      <c r="AJ1818" s="1525"/>
      <c r="AK1818" s="1525"/>
      <c r="AL1818" s="1525"/>
      <c r="AM1818" s="1525"/>
      <c r="AN1818" s="1525"/>
      <c r="AO1818" s="1525"/>
      <c r="AP1818" s="1525"/>
      <c r="AQ1818" s="1525"/>
      <c r="AR1818" s="1525"/>
      <c r="AS1818" s="1525"/>
      <c r="AU1818" s="1525"/>
      <c r="AV1818" s="1291"/>
      <c r="AW1818" s="1292"/>
      <c r="AX1818" s="1292"/>
      <c r="AY1818" s="1292"/>
      <c r="AZ1818" s="1292"/>
      <c r="BA1818" s="1292"/>
      <c r="BB1818" s="1292"/>
      <c r="BC1818" s="1292"/>
      <c r="BD1818" s="1292"/>
      <c r="BE1818" s="1292"/>
      <c r="BF1818" s="1292"/>
      <c r="BG1818" s="1292"/>
      <c r="BH1818" s="1292"/>
      <c r="BI1818" s="1292"/>
      <c r="BJ1818" s="1292"/>
      <c r="BK1818" s="1292"/>
      <c r="BL1818" s="1292"/>
      <c r="BM1818" s="1292"/>
      <c r="BN1818" s="1292"/>
      <c r="BO1818" s="1292"/>
      <c r="BP1818" s="1292"/>
      <c r="BQ1818" s="1292"/>
      <c r="BR1818" s="1292"/>
      <c r="BS1818" s="1292"/>
      <c r="BT1818" s="1670">
        <f t="shared" si="1118"/>
        <v>0</v>
      </c>
      <c r="BW1818" s="821" t="s">
        <v>576</v>
      </c>
    </row>
    <row r="1819" spans="2:75" ht="12.75" customHeight="1" x14ac:dyDescent="0.2">
      <c r="B1819" s="175">
        <f t="shared" si="1120"/>
        <v>4</v>
      </c>
      <c r="C1819" s="219">
        <v>41</v>
      </c>
      <c r="E1819" s="12" t="s">
        <v>1276</v>
      </c>
      <c r="F1819" t="s">
        <v>1511</v>
      </c>
      <c r="G1819" s="821" t="s">
        <v>612</v>
      </c>
      <c r="H1819" s="858">
        <v>96376</v>
      </c>
      <c r="I1819" s="200" t="s">
        <v>1442</v>
      </c>
      <c r="J1819" s="189"/>
      <c r="K1819" s="189"/>
      <c r="L1819" s="861">
        <v>1</v>
      </c>
      <c r="M1819" s="858">
        <f>K1819+L1819</f>
        <v>1</v>
      </c>
      <c r="N1819" s="999" t="s">
        <v>416</v>
      </c>
      <c r="O1819" s="1196">
        <v>17691</v>
      </c>
      <c r="P1819" s="1218">
        <f t="shared" ca="1" si="1113"/>
        <v>69.319444444444443</v>
      </c>
      <c r="Q1819" s="1148">
        <v>28000</v>
      </c>
      <c r="R1819" s="874">
        <f>Q1819*0.15</f>
        <v>4200</v>
      </c>
      <c r="S1819" s="875"/>
      <c r="T1819" s="875"/>
      <c r="U1819" s="875"/>
      <c r="V1819" s="875"/>
      <c r="W1819" s="1036">
        <f>ROUNDUP((Q1819+R1819)*0.1,0)</f>
        <v>3220</v>
      </c>
      <c r="X1819" s="1026">
        <f t="shared" si="1114"/>
        <v>35420</v>
      </c>
      <c r="Y1819" s="1512">
        <f t="shared" si="1115"/>
        <v>0.1</v>
      </c>
      <c r="Z1819" s="1741">
        <f t="shared" si="1116"/>
        <v>1.1000000000000001</v>
      </c>
      <c r="AA1819" s="1749"/>
      <c r="AB1819" s="1810">
        <f t="shared" si="1119"/>
        <v>0</v>
      </c>
      <c r="AC1819" s="876"/>
      <c r="AD1819" s="1295"/>
      <c r="AE1819" s="1525"/>
      <c r="AF1819" s="1525"/>
      <c r="AG1819" s="1525"/>
      <c r="AH1819" s="1525"/>
      <c r="AI1819" s="1525"/>
      <c r="AJ1819" s="1525"/>
      <c r="AK1819" s="1525"/>
      <c r="AL1819" s="1525"/>
      <c r="AM1819" s="1525"/>
      <c r="AN1819" s="1525"/>
      <c r="AO1819" s="1525"/>
      <c r="AP1819" s="1525"/>
      <c r="AQ1819" s="1525"/>
      <c r="AR1819" s="1525"/>
      <c r="AS1819" s="1525"/>
      <c r="AU1819" s="1525"/>
      <c r="AV1819" s="1291"/>
      <c r="AW1819" s="1292"/>
      <c r="AX1819" s="1292"/>
      <c r="AY1819" s="1292"/>
      <c r="AZ1819" s="1292"/>
      <c r="BA1819" s="1292"/>
      <c r="BB1819" s="1292"/>
      <c r="BC1819" s="1292"/>
      <c r="BD1819" s="1292"/>
      <c r="BE1819" s="1292"/>
      <c r="BF1819" s="1292"/>
      <c r="BG1819" s="1292"/>
      <c r="BH1819" s="1292"/>
      <c r="BI1819" s="1292"/>
      <c r="BJ1819" s="1292"/>
      <c r="BK1819" s="1292"/>
      <c r="BL1819" s="1292"/>
      <c r="BM1819" s="1292"/>
      <c r="BN1819" s="1292"/>
      <c r="BO1819" s="1292"/>
      <c r="BP1819" s="1292"/>
      <c r="BQ1819" s="1292"/>
      <c r="BR1819" s="1292"/>
      <c r="BS1819" s="1292"/>
      <c r="BT1819" s="1670">
        <f t="shared" si="1118"/>
        <v>0</v>
      </c>
      <c r="BW1819" s="821" t="s">
        <v>612</v>
      </c>
    </row>
    <row r="1820" spans="2:75" ht="12.75" customHeight="1" x14ac:dyDescent="0.2">
      <c r="B1820" s="175">
        <f t="shared" si="1120"/>
        <v>5</v>
      </c>
      <c r="C1820" s="219">
        <v>18</v>
      </c>
      <c r="E1820" s="12" t="s">
        <v>1276</v>
      </c>
      <c r="F1820" t="s">
        <v>1467</v>
      </c>
      <c r="G1820" s="821" t="s">
        <v>1116</v>
      </c>
      <c r="H1820" s="858">
        <v>112484</v>
      </c>
      <c r="I1820" s="200" t="s">
        <v>1442</v>
      </c>
      <c r="J1820" s="189"/>
      <c r="K1820" s="189"/>
      <c r="L1820" s="861">
        <v>1</v>
      </c>
      <c r="M1820" s="858">
        <v>1</v>
      </c>
      <c r="N1820" s="999" t="s">
        <v>1326</v>
      </c>
      <c r="O1820" s="1196">
        <v>26456</v>
      </c>
      <c r="P1820" s="1218">
        <f t="shared" ca="1" si="1113"/>
        <v>45.322222222222223</v>
      </c>
      <c r="Q1820" s="1148">
        <v>27000</v>
      </c>
      <c r="R1820" s="874">
        <f>Q1820*0.1</f>
        <v>2700</v>
      </c>
      <c r="S1820" s="875"/>
      <c r="T1820" s="875"/>
      <c r="U1820" s="875"/>
      <c r="V1820" s="875"/>
      <c r="W1820" s="1036"/>
      <c r="X1820" s="1026">
        <f t="shared" si="1114"/>
        <v>29700</v>
      </c>
      <c r="Y1820" s="1512">
        <f t="shared" si="1115"/>
        <v>0</v>
      </c>
      <c r="Z1820" s="1741">
        <f t="shared" si="1116"/>
        <v>1</v>
      </c>
      <c r="AA1820" s="1749"/>
      <c r="AB1820" s="1810">
        <f t="shared" si="1119"/>
        <v>0</v>
      </c>
      <c r="AC1820" s="876"/>
      <c r="AD1820" s="1295"/>
      <c r="AE1820" s="1525"/>
      <c r="AF1820" s="1525"/>
      <c r="AG1820" s="1525"/>
      <c r="AH1820" s="1525"/>
      <c r="AI1820" s="1525"/>
      <c r="AJ1820" s="1525"/>
      <c r="AK1820" s="1525"/>
      <c r="AL1820" s="1525"/>
      <c r="AM1820" s="1525"/>
      <c r="AN1820" s="1525"/>
      <c r="AO1820" s="1525"/>
      <c r="AP1820" s="1525"/>
      <c r="AQ1820" s="1525"/>
      <c r="AR1820" s="1525"/>
      <c r="AS1820" s="1525"/>
      <c r="AU1820" s="1525"/>
      <c r="AV1820" s="1291"/>
      <c r="AW1820" s="1292"/>
      <c r="AX1820" s="1292"/>
      <c r="AY1820" s="1292"/>
      <c r="AZ1820" s="1292"/>
      <c r="BA1820" s="1292"/>
      <c r="BB1820" s="1292"/>
      <c r="BC1820" s="1292"/>
      <c r="BD1820" s="1292"/>
      <c r="BE1820" s="1292"/>
      <c r="BF1820" s="1292"/>
      <c r="BG1820" s="1292"/>
      <c r="BH1820" s="1292"/>
      <c r="BI1820" s="1292"/>
      <c r="BJ1820" s="1292"/>
      <c r="BK1820" s="1292"/>
      <c r="BL1820" s="1292"/>
      <c r="BM1820" s="1292"/>
      <c r="BN1820" s="1292"/>
      <c r="BO1820" s="1292"/>
      <c r="BP1820" s="1292"/>
      <c r="BQ1820" s="1292"/>
      <c r="BR1820" s="1292"/>
      <c r="BS1820" s="1292"/>
      <c r="BT1820" s="1670">
        <f t="shared" si="1118"/>
        <v>0</v>
      </c>
      <c r="BW1820" s="821" t="s">
        <v>1116</v>
      </c>
    </row>
    <row r="1821" spans="2:75" ht="12.75" customHeight="1" x14ac:dyDescent="0.2">
      <c r="B1821" s="175">
        <f t="shared" si="1120"/>
        <v>6</v>
      </c>
      <c r="C1821" s="219">
        <v>18</v>
      </c>
      <c r="E1821" s="12" t="s">
        <v>1276</v>
      </c>
      <c r="F1821" t="s">
        <v>52</v>
      </c>
      <c r="G1821" s="844" t="s">
        <v>135</v>
      </c>
      <c r="H1821" s="950">
        <v>115148</v>
      </c>
      <c r="I1821" s="197" t="s">
        <v>1442</v>
      </c>
      <c r="J1821" s="174"/>
      <c r="K1821" s="174"/>
      <c r="L1821" s="950">
        <v>1</v>
      </c>
      <c r="M1821" s="950">
        <v>1</v>
      </c>
      <c r="N1821" s="999" t="s">
        <v>1326</v>
      </c>
      <c r="O1821" s="1196">
        <v>32464</v>
      </c>
      <c r="P1821" s="1218">
        <f t="shared" ca="1" si="1113"/>
        <v>28.875</v>
      </c>
      <c r="Q1821" s="1148">
        <v>24000</v>
      </c>
      <c r="R1821" s="1035">
        <f>Q1821*0.1</f>
        <v>2400</v>
      </c>
      <c r="S1821" s="876"/>
      <c r="T1821" s="876"/>
      <c r="U1821" s="876"/>
      <c r="V1821" s="876"/>
      <c r="W1821" s="1036">
        <f>ROUNDUP((Q1821+R1821)*0.12,0)</f>
        <v>3168</v>
      </c>
      <c r="X1821" s="1026">
        <f t="shared" si="1114"/>
        <v>29568</v>
      </c>
      <c r="Y1821" s="1512">
        <f t="shared" si="1115"/>
        <v>0.12</v>
      </c>
      <c r="Z1821" s="1741">
        <f t="shared" si="1116"/>
        <v>1.1200000000000001</v>
      </c>
      <c r="AA1821" s="1749"/>
      <c r="AB1821" s="1810">
        <f t="shared" si="1119"/>
        <v>0</v>
      </c>
      <c r="AC1821" s="876"/>
      <c r="AD1821" s="1295"/>
      <c r="AE1821" s="1525"/>
      <c r="AF1821" s="1525"/>
      <c r="AG1821" s="1525"/>
      <c r="AH1821" s="1525"/>
      <c r="AI1821" s="1525"/>
      <c r="AJ1821" s="1525"/>
      <c r="AK1821" s="1525"/>
      <c r="AL1821" s="1525"/>
      <c r="AM1821" s="1525"/>
      <c r="AN1821" s="1525"/>
      <c r="AO1821" s="1525"/>
      <c r="AP1821" s="1525"/>
      <c r="AQ1821" s="1525"/>
      <c r="AR1821" s="1525"/>
      <c r="AS1821" s="1525"/>
      <c r="AU1821" s="1525"/>
      <c r="AV1821" s="1291"/>
      <c r="AW1821" s="1292"/>
      <c r="AX1821" s="1292"/>
      <c r="AY1821" s="1292"/>
      <c r="AZ1821" s="1292"/>
      <c r="BA1821" s="1292"/>
      <c r="BB1821" s="1292"/>
      <c r="BC1821" s="1292"/>
      <c r="BD1821" s="1292"/>
      <c r="BE1821" s="1292"/>
      <c r="BF1821" s="1292"/>
      <c r="BG1821" s="1292"/>
      <c r="BH1821" s="1292"/>
      <c r="BI1821" s="1292"/>
      <c r="BJ1821" s="1292"/>
      <c r="BK1821" s="1292"/>
      <c r="BL1821" s="1292"/>
      <c r="BM1821" s="1292"/>
      <c r="BN1821" s="1292"/>
      <c r="BO1821" s="1292"/>
      <c r="BP1821" s="1292"/>
      <c r="BQ1821" s="1292"/>
      <c r="BR1821" s="1292"/>
      <c r="BS1821" s="1292"/>
      <c r="BT1821" s="1670">
        <f t="shared" si="1118"/>
        <v>0</v>
      </c>
      <c r="BW1821" s="844" t="s">
        <v>135</v>
      </c>
    </row>
    <row r="1822" spans="2:75" ht="12.75" customHeight="1" x14ac:dyDescent="0.2">
      <c r="B1822" s="175">
        <f t="shared" si="1120"/>
        <v>7</v>
      </c>
      <c r="C1822" s="219">
        <v>18</v>
      </c>
      <c r="E1822" s="12" t="s">
        <v>1276</v>
      </c>
      <c r="F1822" t="s">
        <v>52</v>
      </c>
      <c r="G1822" s="894" t="s">
        <v>948</v>
      </c>
      <c r="H1822" s="951">
        <v>115147</v>
      </c>
      <c r="I1822" s="196" t="s">
        <v>1442</v>
      </c>
      <c r="J1822" s="195"/>
      <c r="K1822" s="195"/>
      <c r="L1822" s="951">
        <v>1</v>
      </c>
      <c r="M1822" s="951">
        <v>1</v>
      </c>
      <c r="N1822" s="958" t="s">
        <v>1326</v>
      </c>
      <c r="O1822" s="1211">
        <v>33665</v>
      </c>
      <c r="P1822" s="1218">
        <f t="shared" ca="1" si="1113"/>
        <v>25.583333333333332</v>
      </c>
      <c r="Q1822" s="1071">
        <v>24000</v>
      </c>
      <c r="R1822" s="1075">
        <f>Q1822*0.1</f>
        <v>2400</v>
      </c>
      <c r="S1822" s="891"/>
      <c r="T1822" s="891"/>
      <c r="U1822" s="891"/>
      <c r="V1822" s="891"/>
      <c r="W1822" s="1036">
        <f>ROUNDUP((Q1822+R1822)*0.12,0)</f>
        <v>3168</v>
      </c>
      <c r="X1822" s="1026">
        <f t="shared" si="1114"/>
        <v>29568</v>
      </c>
      <c r="Y1822" s="1512">
        <f t="shared" si="1115"/>
        <v>0.12</v>
      </c>
      <c r="Z1822" s="1741">
        <f t="shared" si="1116"/>
        <v>1.1200000000000001</v>
      </c>
      <c r="AA1822" s="1749"/>
      <c r="AB1822" s="1810">
        <f t="shared" si="1119"/>
        <v>0</v>
      </c>
      <c r="AC1822" s="876"/>
      <c r="AD1822" s="1295"/>
      <c r="AE1822" s="1525"/>
      <c r="AF1822" s="1525"/>
      <c r="AG1822" s="1525"/>
      <c r="AH1822" s="1525"/>
      <c r="AI1822" s="1525"/>
      <c r="AJ1822" s="1525"/>
      <c r="AK1822" s="1525"/>
      <c r="AL1822" s="1525"/>
      <c r="AM1822" s="1525"/>
      <c r="AN1822" s="1525"/>
      <c r="AO1822" s="1525"/>
      <c r="AP1822" s="1525"/>
      <c r="AQ1822" s="1525"/>
      <c r="AR1822" s="1525"/>
      <c r="AS1822" s="1525"/>
      <c r="AU1822" s="1525"/>
      <c r="AV1822" s="1291"/>
      <c r="AW1822" s="1292"/>
      <c r="AX1822" s="1292"/>
      <c r="AY1822" s="1292"/>
      <c r="AZ1822" s="1292"/>
      <c r="BA1822" s="1292"/>
      <c r="BB1822" s="1292"/>
      <c r="BC1822" s="1292"/>
      <c r="BD1822" s="1292"/>
      <c r="BE1822" s="1292"/>
      <c r="BF1822" s="1292"/>
      <c r="BG1822" s="1292"/>
      <c r="BH1822" s="1292"/>
      <c r="BI1822" s="1292"/>
      <c r="BJ1822" s="1292"/>
      <c r="BK1822" s="1292"/>
      <c r="BL1822" s="1292"/>
      <c r="BM1822" s="1292"/>
      <c r="BN1822" s="1292"/>
      <c r="BO1822" s="1292"/>
      <c r="BP1822" s="1292"/>
      <c r="BQ1822" s="1292"/>
      <c r="BR1822" s="1292"/>
      <c r="BS1822" s="1292"/>
      <c r="BT1822" s="1670">
        <f t="shared" si="1118"/>
        <v>0</v>
      </c>
      <c r="BW1822" s="894" t="s">
        <v>948</v>
      </c>
    </row>
    <row r="1823" spans="2:75" s="164" customFormat="1" ht="12.75" customHeight="1" x14ac:dyDescent="0.15">
      <c r="B1823" s="175"/>
      <c r="C1823" s="219" t="s">
        <v>1120</v>
      </c>
      <c r="F1823" s="37" t="s">
        <v>506</v>
      </c>
      <c r="G1823" s="834"/>
      <c r="H1823" s="1351" t="s">
        <v>1508</v>
      </c>
      <c r="I1823" s="197"/>
      <c r="J1823" s="174"/>
      <c r="K1823" s="446">
        <f>SUM(K1816:K1820)</f>
        <v>0</v>
      </c>
      <c r="L1823" s="892">
        <f>SUM(L1816:L1822)</f>
        <v>7</v>
      </c>
      <c r="M1823" s="892">
        <f>SUM(M1816:M1822)</f>
        <v>7</v>
      </c>
      <c r="N1823" s="832"/>
      <c r="O1823" s="1200"/>
      <c r="P1823" s="550"/>
      <c r="Q1823" s="1153"/>
      <c r="R1823" s="877"/>
      <c r="S1823" s="875"/>
      <c r="T1823" s="875"/>
      <c r="U1823" s="875"/>
      <c r="V1823" s="875"/>
      <c r="W1823" s="875"/>
      <c r="X1823" s="1026"/>
      <c r="Y1823" s="875"/>
      <c r="Z1823" s="875"/>
      <c r="AA1823" s="1775"/>
      <c r="AB1823" s="1812"/>
      <c r="AC1823" s="876"/>
      <c r="AD1823" s="1295"/>
      <c r="AE1823" s="1525"/>
      <c r="AF1823" s="1525"/>
      <c r="AG1823" s="1525"/>
      <c r="AH1823" s="1525"/>
      <c r="AI1823" s="1525"/>
      <c r="AJ1823" s="1525"/>
      <c r="AK1823" s="1525"/>
      <c r="AL1823" s="1525"/>
      <c r="AM1823" s="1525"/>
      <c r="AN1823" s="1525"/>
      <c r="AO1823" s="1525"/>
      <c r="AP1823" s="1525"/>
      <c r="AQ1823" s="1525"/>
      <c r="AR1823" s="1525"/>
      <c r="AS1823" s="1525"/>
      <c r="AU1823" s="1525"/>
      <c r="AV1823" s="1295"/>
      <c r="AW1823" s="1525"/>
      <c r="AX1823" s="1525"/>
      <c r="AY1823" s="1525"/>
      <c r="AZ1823" s="1525"/>
      <c r="BA1823" s="1525"/>
      <c r="BB1823" s="1525"/>
      <c r="BC1823" s="1525"/>
      <c r="BD1823" s="1525"/>
      <c r="BE1823" s="1525"/>
      <c r="BF1823" s="1525"/>
      <c r="BG1823" s="1525"/>
      <c r="BH1823" s="1525"/>
      <c r="BI1823" s="1525"/>
      <c r="BJ1823" s="1525"/>
      <c r="BK1823" s="1525"/>
      <c r="BL1823" s="1525"/>
      <c r="BM1823" s="1525"/>
      <c r="BN1823" s="1525"/>
      <c r="BO1823" s="1525"/>
      <c r="BP1823" s="1525"/>
      <c r="BQ1823" s="1525"/>
      <c r="BR1823" s="1525"/>
      <c r="BS1823" s="1525"/>
      <c r="BT1823" s="1670"/>
      <c r="BV1823"/>
      <c r="BW1823" s="834"/>
    </row>
    <row r="1824" spans="2:75" s="164" customFormat="1" ht="12.75" customHeight="1" x14ac:dyDescent="0.15">
      <c r="B1824" s="175"/>
      <c r="C1824" s="707" t="s">
        <v>344</v>
      </c>
      <c r="D1824" s="590" t="s">
        <v>346</v>
      </c>
      <c r="E1824" s="691" t="s">
        <v>1276</v>
      </c>
      <c r="F1824" s="710" t="s">
        <v>365</v>
      </c>
      <c r="G1824" s="863">
        <f>COUNTA(G1730:G1823)</f>
        <v>63</v>
      </c>
      <c r="H1824" s="1399" t="s">
        <v>1508</v>
      </c>
      <c r="I1824" s="587"/>
      <c r="J1824" s="588"/>
      <c r="K1824" s="711">
        <f>K1734+K1743+K1756+K1782+K1801+K1811+K1823</f>
        <v>0</v>
      </c>
      <c r="L1824" s="1003">
        <f>L1734+L1743+L1756+L1782+L1801+L1811+L1823</f>
        <v>57.5</v>
      </c>
      <c r="M1824" s="1003">
        <f>M1734+M1743+M1756+M1782+M1801+M1811+M1823</f>
        <v>57.5</v>
      </c>
      <c r="N1824" s="840"/>
      <c r="O1824" s="840"/>
      <c r="P1824" s="1220"/>
      <c r="Q1824" s="1154"/>
      <c r="R1824" s="887"/>
      <c r="S1824" s="880"/>
      <c r="T1824" s="880"/>
      <c r="U1824" s="880"/>
      <c r="V1824" s="880"/>
      <c r="W1824" s="880"/>
      <c r="X1824" s="1276">
        <f>SUM(X1730:X1823)</f>
        <v>1844582.5</v>
      </c>
      <c r="Y1824" s="1276"/>
      <c r="Z1824" s="1665">
        <f t="shared" ref="Z1824:AA1824" si="1121">SUM(Z1730:Z1823)</f>
        <v>59.64151561685653</v>
      </c>
      <c r="AA1824" s="1276">
        <f t="shared" si="1121"/>
        <v>0</v>
      </c>
      <c r="AB1824" s="1813">
        <f t="shared" ref="AB1824" si="1122">100*AA1824/Z1824</f>
        <v>0</v>
      </c>
      <c r="AC1824" s="1721"/>
      <c r="AD1824" s="1295"/>
      <c r="AE1824" s="1525"/>
      <c r="AF1824" s="1525"/>
      <c r="AG1824" s="1525"/>
      <c r="AH1824" s="1525"/>
      <c r="AI1824" s="1525"/>
      <c r="AJ1824" s="1525"/>
      <c r="AK1824" s="1525"/>
      <c r="AL1824" s="1525"/>
      <c r="AM1824" s="1525"/>
      <c r="AN1824" s="1525"/>
      <c r="AO1824" s="1525"/>
      <c r="AP1824" s="1525"/>
      <c r="AQ1824" s="1525"/>
      <c r="AR1824" s="1525"/>
      <c r="AS1824" s="1525"/>
      <c r="AU1824" s="1525"/>
      <c r="AV1824" s="1295"/>
      <c r="AW1824" s="1525"/>
      <c r="AX1824" s="1525"/>
      <c r="AY1824" s="1525"/>
      <c r="AZ1824" s="1525"/>
      <c r="BA1824" s="1525"/>
      <c r="BB1824" s="1525"/>
      <c r="BC1824" s="1525"/>
      <c r="BD1824" s="1525"/>
      <c r="BE1824" s="1525"/>
      <c r="BF1824" s="1525"/>
      <c r="BG1824" s="1525"/>
      <c r="BH1824" s="1525"/>
      <c r="BI1824" s="1525"/>
      <c r="BJ1824" s="1525"/>
      <c r="BK1824" s="1525"/>
      <c r="BL1824" s="1525"/>
      <c r="BM1824" s="1525"/>
      <c r="BN1824" s="1525"/>
      <c r="BO1824" s="1525"/>
      <c r="BP1824" s="1525"/>
      <c r="BQ1824" s="1525"/>
      <c r="BR1824" s="1525"/>
      <c r="BS1824" s="1525"/>
      <c r="BT1824" s="1670"/>
      <c r="BV1824"/>
      <c r="BW1824" s="839"/>
    </row>
    <row r="1825" spans="2:75" s="164" customFormat="1" ht="12.75" customHeight="1" x14ac:dyDescent="0.15">
      <c r="B1825" s="175"/>
      <c r="C1825" s="429" t="s">
        <v>136</v>
      </c>
      <c r="D1825" s="423"/>
      <c r="E1825" s="424" t="s">
        <v>1276</v>
      </c>
      <c r="F1825" s="424" t="s">
        <v>893</v>
      </c>
      <c r="G1825" s="867"/>
      <c r="H1825" s="1349" t="s">
        <v>1508</v>
      </c>
      <c r="I1825" s="426"/>
      <c r="J1825" s="425"/>
      <c r="K1825" s="425"/>
      <c r="L1825" s="866"/>
      <c r="M1825" s="866"/>
      <c r="N1825" s="926"/>
      <c r="O1825" s="926"/>
      <c r="P1825" s="1247"/>
      <c r="Q1825" s="1158"/>
      <c r="R1825" s="1027"/>
      <c r="S1825" s="1028"/>
      <c r="T1825" s="1028"/>
      <c r="U1825" s="1028"/>
      <c r="V1825" s="1028"/>
      <c r="W1825" s="1028"/>
      <c r="X1825" s="1697">
        <v>59150</v>
      </c>
      <c r="Y1825" s="1028"/>
      <c r="Z1825" s="1028"/>
      <c r="AA1825" s="1775"/>
      <c r="AB1825" s="1812"/>
      <c r="AC1825" s="876"/>
      <c r="AD1825" s="1295"/>
      <c r="AE1825" s="1525"/>
      <c r="AF1825" s="1525"/>
      <c r="AG1825" s="1525"/>
      <c r="AH1825" s="1525"/>
      <c r="AI1825" s="1525"/>
      <c r="AJ1825" s="1525"/>
      <c r="AK1825" s="1525"/>
      <c r="AL1825" s="1525"/>
      <c r="AM1825" s="1525"/>
      <c r="AN1825" s="1525"/>
      <c r="AO1825" s="1525"/>
      <c r="AP1825" s="1525"/>
      <c r="AQ1825" s="1525"/>
      <c r="AR1825" s="1525"/>
      <c r="AS1825" s="1525"/>
      <c r="AU1825" s="1525"/>
      <c r="AV1825" s="1295"/>
      <c r="AW1825" s="1525"/>
      <c r="AX1825" s="1525"/>
      <c r="AY1825" s="1525"/>
      <c r="AZ1825" s="1525"/>
      <c r="BA1825" s="1525"/>
      <c r="BB1825" s="1525"/>
      <c r="BC1825" s="1525"/>
      <c r="BD1825" s="1525"/>
      <c r="BE1825" s="1525"/>
      <c r="BF1825" s="1525"/>
      <c r="BG1825" s="1525"/>
      <c r="BH1825" s="1525"/>
      <c r="BI1825" s="1525"/>
      <c r="BJ1825" s="1525"/>
      <c r="BK1825" s="1525"/>
      <c r="BL1825" s="1525"/>
      <c r="BM1825" s="1525"/>
      <c r="BN1825" s="1525"/>
      <c r="BO1825" s="1525"/>
      <c r="BP1825" s="1525"/>
      <c r="BQ1825" s="1525"/>
      <c r="BR1825" s="1525"/>
      <c r="BS1825" s="1525"/>
      <c r="BT1825" s="1670"/>
      <c r="BV1825"/>
      <c r="BW1825" s="867"/>
    </row>
    <row r="1826" spans="2:75" s="164" customFormat="1" ht="12.75" customHeight="1" thickBot="1" x14ac:dyDescent="0.2">
      <c r="B1826" s="175"/>
      <c r="C1826" s="1440" t="s">
        <v>794</v>
      </c>
      <c r="D1826" s="1441"/>
      <c r="E1826" s="1442" t="s">
        <v>1276</v>
      </c>
      <c r="F1826" s="1442" t="s">
        <v>884</v>
      </c>
      <c r="G1826" s="1443"/>
      <c r="H1826" s="1444" t="s">
        <v>1508</v>
      </c>
      <c r="I1826" s="1445"/>
      <c r="J1826" s="1446"/>
      <c r="K1826" s="1446"/>
      <c r="L1826" s="1447"/>
      <c r="M1826" s="1447"/>
      <c r="N1826" s="1448"/>
      <c r="O1826" s="1448"/>
      <c r="P1826" s="1484"/>
      <c r="Q1826" s="1450"/>
      <c r="R1826" s="1451"/>
      <c r="S1826" s="1452"/>
      <c r="T1826" s="1452"/>
      <c r="U1826" s="1452"/>
      <c r="V1826" s="1452"/>
      <c r="W1826" s="1452"/>
      <c r="X1826" s="1706"/>
      <c r="Y1826" s="1452"/>
      <c r="Z1826" s="1452"/>
      <c r="AA1826" s="1775"/>
      <c r="AB1826" s="1819"/>
      <c r="AC1826" s="876"/>
      <c r="AD1826" s="1291"/>
      <c r="AE1826" s="1292"/>
      <c r="AF1826" s="1292"/>
      <c r="AG1826" s="1292"/>
      <c r="AH1826" s="1292"/>
      <c r="AI1826" s="1292"/>
      <c r="AJ1826" s="1292"/>
      <c r="AK1826" s="1292"/>
      <c r="AL1826" s="1292"/>
      <c r="AM1826" s="1292"/>
      <c r="AN1826" s="1292"/>
      <c r="AO1826" s="1292"/>
      <c r="AP1826" s="1292"/>
      <c r="AQ1826" s="1292"/>
      <c r="AR1826" s="1292"/>
      <c r="AS1826" s="1292"/>
      <c r="AT1826" s="210"/>
      <c r="AU1826" s="1292"/>
      <c r="AV1826" s="1291"/>
      <c r="AW1826" s="1292"/>
      <c r="AX1826" s="1292"/>
      <c r="AY1826" s="1292"/>
      <c r="AZ1826" s="1292"/>
      <c r="BA1826" s="1292"/>
      <c r="BB1826" s="1292"/>
      <c r="BC1826" s="1292"/>
      <c r="BD1826" s="1292"/>
      <c r="BE1826" s="1292"/>
      <c r="BF1826" s="1292"/>
      <c r="BG1826" s="1292"/>
      <c r="BH1826" s="1292"/>
      <c r="BI1826" s="1292"/>
      <c r="BJ1826" s="1292"/>
      <c r="BK1826" s="1292"/>
      <c r="BL1826" s="1292"/>
      <c r="BM1826" s="1292"/>
      <c r="BN1826" s="1292"/>
      <c r="BO1826" s="1292"/>
      <c r="BP1826" s="1292"/>
      <c r="BQ1826" s="1292"/>
      <c r="BR1826" s="1292"/>
      <c r="BS1826" s="1292"/>
      <c r="BT1826" s="1670"/>
      <c r="BV1826"/>
      <c r="BW1826" s="1443"/>
    </row>
    <row r="1827" spans="2:75" s="164" customFormat="1" ht="13.5" customHeight="1" thickBot="1" x14ac:dyDescent="0.2">
      <c r="B1827" s="175"/>
      <c r="C1827" s="712" t="s">
        <v>139</v>
      </c>
      <c r="D1827" s="713" t="s">
        <v>346</v>
      </c>
      <c r="E1827" s="714" t="s">
        <v>969</v>
      </c>
      <c r="F1827" s="436" t="s">
        <v>507</v>
      </c>
      <c r="G1827" s="963">
        <f>G1678+G1724+G1824</f>
        <v>94</v>
      </c>
      <c r="H1827" s="1381" t="s">
        <v>1508</v>
      </c>
      <c r="I1827" s="340"/>
      <c r="J1827" s="339"/>
      <c r="K1827" s="341">
        <f>K1678+K1724+K1824</f>
        <v>0</v>
      </c>
      <c r="L1827" s="963">
        <f>L1678+L1724+L1824</f>
        <v>87</v>
      </c>
      <c r="M1827" s="963">
        <f>M1678+M1724+M1824</f>
        <v>87</v>
      </c>
      <c r="N1827" s="1018"/>
      <c r="O1827" s="1018"/>
      <c r="P1827" s="1269"/>
      <c r="Q1827" s="1189"/>
      <c r="R1827" s="1076"/>
      <c r="S1827" s="1060"/>
      <c r="T1827" s="1060"/>
      <c r="U1827" s="1060"/>
      <c r="V1827" s="1060"/>
      <c r="W1827" s="1060"/>
      <c r="X1827" s="1280">
        <f>X1824+X1724+X1678</f>
        <v>2899032.5</v>
      </c>
      <c r="Y1827" s="1280"/>
      <c r="Z1827" s="1826">
        <f t="shared" ref="Z1827" si="1123">Z1824+Z1724+Z1678</f>
        <v>90.580346830013028</v>
      </c>
      <c r="AA1827" s="1825">
        <f>AA1824+AA1724+AA1678</f>
        <v>20.6</v>
      </c>
      <c r="AB1827" s="1813">
        <f t="shared" ref="AB1827" si="1124">100*AA1827/Z1827</f>
        <v>22.742240144717975</v>
      </c>
      <c r="AC1827" s="1721"/>
      <c r="AD1827" s="1291"/>
      <c r="AE1827" s="1292"/>
      <c r="AF1827" s="1292"/>
      <c r="AG1827" s="1292"/>
      <c r="AH1827" s="1292"/>
      <c r="AI1827" s="1292"/>
      <c r="AJ1827" s="1292"/>
      <c r="AK1827" s="1292"/>
      <c r="AL1827" s="1292"/>
      <c r="AM1827" s="1292"/>
      <c r="AN1827" s="1292"/>
      <c r="AO1827" s="1292"/>
      <c r="AP1827" s="1292"/>
      <c r="AQ1827" s="1292"/>
      <c r="AR1827" s="1292"/>
      <c r="AS1827" s="1292"/>
      <c r="AT1827" s="210"/>
      <c r="AU1827" s="1292"/>
      <c r="AV1827" s="1291"/>
      <c r="AW1827" s="1292"/>
      <c r="AX1827" s="1292"/>
      <c r="AY1827" s="1292"/>
      <c r="AZ1827" s="1292"/>
      <c r="BA1827" s="1292"/>
      <c r="BB1827" s="1292"/>
      <c r="BC1827" s="1292"/>
      <c r="BD1827" s="1292"/>
      <c r="BE1827" s="1292"/>
      <c r="BF1827" s="1292"/>
      <c r="BG1827" s="1292"/>
      <c r="BH1827" s="1292"/>
      <c r="BI1827" s="1292"/>
      <c r="BJ1827" s="1292"/>
      <c r="BK1827" s="1292"/>
      <c r="BL1827" s="1292"/>
      <c r="BM1827" s="1292"/>
      <c r="BN1827" s="1292"/>
      <c r="BO1827" s="1292"/>
      <c r="BP1827" s="1292"/>
      <c r="BQ1827" s="1292"/>
      <c r="BR1827" s="1292"/>
      <c r="BS1827" s="1292"/>
      <c r="BT1827" s="1670"/>
      <c r="BV1827"/>
      <c r="BW1827" s="1018"/>
    </row>
    <row r="1828" spans="2:75" s="164" customFormat="1" ht="13.5" customHeight="1" x14ac:dyDescent="0.15">
      <c r="B1828" s="175"/>
      <c r="C1828" s="715" t="s">
        <v>1132</v>
      </c>
      <c r="D1828" s="715"/>
      <c r="E1828" s="716"/>
      <c r="F1828" s="717" t="s">
        <v>893</v>
      </c>
      <c r="G1828" s="937"/>
      <c r="H1828" s="1362" t="s">
        <v>1508</v>
      </c>
      <c r="I1828" s="718"/>
      <c r="J1828" s="719"/>
      <c r="K1828" s="719"/>
      <c r="L1828" s="903"/>
      <c r="M1828" s="903"/>
      <c r="N1828" s="956"/>
      <c r="O1828" s="956"/>
      <c r="P1828" s="1270"/>
      <c r="Q1828" s="1156"/>
      <c r="R1828" s="1039"/>
      <c r="S1828" s="1040"/>
      <c r="T1828" s="1040"/>
      <c r="U1828" s="1040"/>
      <c r="V1828" s="1040"/>
      <c r="W1828" s="1040"/>
      <c r="X1828" s="1695">
        <f>X1825+X1725+X1679</f>
        <v>134100</v>
      </c>
      <c r="Y1828" s="1040"/>
      <c r="Z1828" s="1040"/>
      <c r="AA1828" s="1775"/>
      <c r="AB1828" s="1812"/>
      <c r="AC1828" s="876"/>
      <c r="AD1828" s="1291"/>
      <c r="AE1828" s="1292"/>
      <c r="AF1828" s="1292"/>
      <c r="AG1828" s="1292"/>
      <c r="AH1828" s="1292"/>
      <c r="AI1828" s="1292"/>
      <c r="AJ1828" s="1292"/>
      <c r="AK1828" s="1292"/>
      <c r="AL1828" s="1292"/>
      <c r="AM1828" s="1292"/>
      <c r="AN1828" s="1292"/>
      <c r="AO1828" s="1292"/>
      <c r="AP1828" s="1292"/>
      <c r="AQ1828" s="1292"/>
      <c r="AR1828" s="1292"/>
      <c r="AS1828" s="1292"/>
      <c r="AT1828" s="210"/>
      <c r="AU1828" s="1292"/>
      <c r="AV1828" s="1291"/>
      <c r="AW1828" s="1292"/>
      <c r="AX1828" s="1292"/>
      <c r="AY1828" s="1292"/>
      <c r="AZ1828" s="1292"/>
      <c r="BA1828" s="1292"/>
      <c r="BB1828" s="1292"/>
      <c r="BC1828" s="1292"/>
      <c r="BD1828" s="1292"/>
      <c r="BE1828" s="1292"/>
      <c r="BF1828" s="1292"/>
      <c r="BG1828" s="1292"/>
      <c r="BH1828" s="1292"/>
      <c r="BI1828" s="1292"/>
      <c r="BJ1828" s="1292"/>
      <c r="BK1828" s="1292"/>
      <c r="BL1828" s="1292"/>
      <c r="BM1828" s="1292"/>
      <c r="BN1828" s="1292"/>
      <c r="BO1828" s="1292"/>
      <c r="BP1828" s="1292"/>
      <c r="BQ1828" s="1292"/>
      <c r="BR1828" s="1292"/>
      <c r="BS1828" s="1292"/>
      <c r="BT1828" s="1670"/>
      <c r="BV1828"/>
      <c r="BW1828" s="937"/>
    </row>
    <row r="1829" spans="2:75" s="164" customFormat="1" ht="12.75" customHeight="1" x14ac:dyDescent="0.15">
      <c r="B1829" s="175"/>
      <c r="C1829" s="520" t="s">
        <v>793</v>
      </c>
      <c r="D1829" s="1485"/>
      <c r="E1829" s="1486"/>
      <c r="F1829" s="1495" t="s">
        <v>884</v>
      </c>
      <c r="G1829" s="1496"/>
      <c r="H1829" s="1474" t="s">
        <v>1508</v>
      </c>
      <c r="I1829" s="1497"/>
      <c r="J1829" s="1498"/>
      <c r="K1829" s="1498"/>
      <c r="L1829" s="1478"/>
      <c r="M1829" s="1478"/>
      <c r="N1829" s="1448"/>
      <c r="O1829" s="1448"/>
      <c r="P1829" s="1484"/>
      <c r="Q1829" s="1480"/>
      <c r="R1829" s="1481"/>
      <c r="S1829" s="1452"/>
      <c r="T1829" s="1452"/>
      <c r="U1829" s="1452"/>
      <c r="V1829" s="1452"/>
      <c r="W1829" s="1452"/>
      <c r="X1829" s="1706"/>
      <c r="Y1829" s="1508"/>
      <c r="Z1829" s="1508"/>
      <c r="AA1829" s="1775"/>
      <c r="AB1829" s="1819"/>
      <c r="AC1829" s="876"/>
      <c r="AD1829" s="1291"/>
      <c r="AE1829" s="1292"/>
      <c r="AF1829" s="1292"/>
      <c r="AG1829" s="1292"/>
      <c r="AH1829" s="1292"/>
      <c r="AI1829" s="1292"/>
      <c r="AJ1829" s="1292"/>
      <c r="AK1829" s="1292"/>
      <c r="AL1829" s="1292"/>
      <c r="AM1829" s="1292"/>
      <c r="AN1829" s="1292"/>
      <c r="AO1829" s="1292"/>
      <c r="AP1829" s="1292"/>
      <c r="AQ1829" s="1292"/>
      <c r="AR1829" s="1292"/>
      <c r="AS1829" s="1292"/>
      <c r="AT1829" s="210"/>
      <c r="AU1829" s="1292"/>
      <c r="AV1829" s="1291"/>
      <c r="AW1829" s="1292"/>
      <c r="AX1829" s="1292"/>
      <c r="AY1829" s="1292"/>
      <c r="AZ1829" s="1292"/>
      <c r="BA1829" s="1292"/>
      <c r="BB1829" s="1292"/>
      <c r="BC1829" s="1292"/>
      <c r="BD1829" s="1292"/>
      <c r="BE1829" s="1292"/>
      <c r="BF1829" s="1292"/>
      <c r="BG1829" s="1292"/>
      <c r="BH1829" s="1292"/>
      <c r="BI1829" s="1292"/>
      <c r="BJ1829" s="1292"/>
      <c r="BK1829" s="1292"/>
      <c r="BL1829" s="1292"/>
      <c r="BM1829" s="1292"/>
      <c r="BN1829" s="1292"/>
      <c r="BO1829" s="1292"/>
      <c r="BP1829" s="1292"/>
      <c r="BQ1829" s="1292"/>
      <c r="BR1829" s="1292"/>
      <c r="BS1829" s="1292"/>
      <c r="BT1829" s="1670"/>
      <c r="BV1829"/>
      <c r="BW1829" s="1496"/>
    </row>
    <row r="1830" spans="2:75" s="164" customFormat="1" ht="15" customHeight="1" x14ac:dyDescent="0.15">
      <c r="B1830" s="175"/>
      <c r="F1830" s="2"/>
      <c r="G1830" s="855"/>
      <c r="H1830" s="1364"/>
      <c r="I1830" s="259"/>
      <c r="J1830" s="302"/>
      <c r="K1830" s="302"/>
      <c r="L1830" s="841"/>
      <c r="M1830" s="841"/>
      <c r="N1830" s="948"/>
      <c r="O1830" s="1200"/>
      <c r="P1830" s="550"/>
      <c r="Q1830" s="1148"/>
      <c r="R1830" s="874"/>
      <c r="S1830" s="875"/>
      <c r="T1830" s="875"/>
      <c r="U1830" s="875"/>
      <c r="V1830" s="875"/>
      <c r="W1830" s="875"/>
      <c r="X1830" s="1026"/>
      <c r="Y1830" s="881"/>
      <c r="Z1830" s="881"/>
      <c r="AA1830" s="1775"/>
      <c r="AB1830" s="1812"/>
      <c r="AC1830" s="1026"/>
      <c r="AD1830" s="1295"/>
      <c r="AE1830" s="1525"/>
      <c r="AF1830" s="1525"/>
      <c r="AG1830" s="1525"/>
      <c r="AH1830" s="1525"/>
      <c r="AI1830" s="1525"/>
      <c r="AJ1830" s="1525"/>
      <c r="AK1830" s="1525"/>
      <c r="AL1830" s="1525"/>
      <c r="AM1830" s="1525"/>
      <c r="AN1830" s="1525"/>
      <c r="AO1830" s="1525"/>
      <c r="AP1830" s="1525"/>
      <c r="AQ1830" s="1525"/>
      <c r="AR1830" s="1525"/>
      <c r="AS1830" s="1525"/>
      <c r="AU1830" s="1525"/>
      <c r="AV1830" s="1295"/>
      <c r="AW1830" s="1525"/>
      <c r="AX1830" s="1525"/>
      <c r="AY1830" s="1525"/>
      <c r="AZ1830" s="1525"/>
      <c r="BA1830" s="1525"/>
      <c r="BB1830" s="1525"/>
      <c r="BC1830" s="1525"/>
      <c r="BD1830" s="1525"/>
      <c r="BE1830" s="1525"/>
      <c r="BF1830" s="1525"/>
      <c r="BG1830" s="1525"/>
      <c r="BH1830" s="1525"/>
      <c r="BI1830" s="1525"/>
      <c r="BJ1830" s="1525"/>
      <c r="BK1830" s="1525"/>
      <c r="BL1830" s="1525"/>
      <c r="BM1830" s="1525"/>
      <c r="BN1830" s="1525"/>
      <c r="BO1830" s="1525"/>
      <c r="BP1830" s="1525"/>
      <c r="BQ1830" s="1525"/>
      <c r="BR1830" s="1525"/>
      <c r="BS1830" s="1525"/>
      <c r="BT1830" s="1670"/>
      <c r="BV1830"/>
      <c r="BW1830" s="855"/>
    </row>
    <row r="1831" spans="2:75" s="164" customFormat="1" ht="12.75" customHeight="1" x14ac:dyDescent="0.15">
      <c r="B1831" s="175"/>
      <c r="C1831" s="1578"/>
      <c r="D1831" s="1579"/>
      <c r="E1831" s="1580"/>
      <c r="F1831" s="1581" t="s">
        <v>2054</v>
      </c>
      <c r="G1831" s="1582"/>
      <c r="H1831" s="1583"/>
      <c r="I1831" s="1584"/>
      <c r="J1831" s="1585"/>
      <c r="K1831" s="1585"/>
      <c r="L1831" s="1583"/>
      <c r="M1831" s="1583"/>
      <c r="N1831" s="1586"/>
      <c r="O1831" s="1586"/>
      <c r="P1831" s="1587"/>
      <c r="Q1831" s="1588"/>
      <c r="R1831" s="1589"/>
      <c r="S1831" s="1590"/>
      <c r="T1831" s="1590"/>
      <c r="U1831" s="1590"/>
      <c r="V1831" s="1590"/>
      <c r="W1831" s="1590"/>
      <c r="X1831" s="1692"/>
      <c r="Y1831" s="1590"/>
      <c r="Z1831" s="1574"/>
      <c r="AA1831" s="1763"/>
      <c r="AB1831" s="550"/>
      <c r="AC1831" s="224"/>
      <c r="AD1831" s="170"/>
      <c r="AE1831" s="170"/>
      <c r="AF1831" s="170"/>
      <c r="AG1831" s="170"/>
      <c r="AH1831" s="170"/>
      <c r="AI1831" s="170"/>
      <c r="AJ1831" s="170"/>
      <c r="AK1831" s="170"/>
      <c r="AL1831" s="170"/>
      <c r="AM1831" s="170"/>
      <c r="AN1831" s="170"/>
      <c r="AO1831" s="170"/>
      <c r="AP1831" s="1572"/>
      <c r="AV1831" s="553"/>
      <c r="BT1831" s="1672"/>
    </row>
    <row r="1832" spans="2:75" s="164" customFormat="1" ht="12.75" customHeight="1" x14ac:dyDescent="0.15">
      <c r="B1832" s="175"/>
      <c r="C1832" s="1578"/>
      <c r="D1832" s="1579"/>
      <c r="E1832" s="1580"/>
      <c r="F1832" s="1581" t="s">
        <v>2055</v>
      </c>
      <c r="G1832" s="1582"/>
      <c r="H1832" s="1583"/>
      <c r="I1832" s="1584"/>
      <c r="J1832" s="1585"/>
      <c r="K1832" s="1585"/>
      <c r="L1832" s="1583"/>
      <c r="M1832" s="1583"/>
      <c r="N1832" s="1586"/>
      <c r="O1832" s="1586"/>
      <c r="P1832" s="1587"/>
      <c r="Q1832" s="1588"/>
      <c r="R1832" s="1589"/>
      <c r="S1832" s="1590"/>
      <c r="T1832" s="1590"/>
      <c r="U1832" s="1590"/>
      <c r="V1832" s="1590"/>
      <c r="W1832" s="1590"/>
      <c r="X1832" s="1692"/>
      <c r="Y1832" s="1590"/>
      <c r="Z1832" s="1574"/>
      <c r="AA1832" s="1763"/>
      <c r="AB1832" s="550"/>
      <c r="AC1832" s="224"/>
      <c r="AD1832" s="170"/>
      <c r="AE1832" s="170"/>
      <c r="AF1832" s="170"/>
      <c r="AG1832" s="170"/>
      <c r="AH1832" s="170"/>
      <c r="AI1832" s="170"/>
      <c r="AJ1832" s="170"/>
      <c r="AK1832" s="170"/>
      <c r="AL1832" s="170"/>
      <c r="AM1832" s="170"/>
      <c r="AN1832" s="170"/>
      <c r="AO1832" s="170"/>
      <c r="AP1832" s="1572"/>
      <c r="AV1832" s="553"/>
      <c r="BT1832" s="1672"/>
    </row>
    <row r="1833" spans="2:75" s="164" customFormat="1" ht="12.75" customHeight="1" x14ac:dyDescent="0.15">
      <c r="B1833" s="175"/>
      <c r="C1833" s="1578"/>
      <c r="D1833" s="1579"/>
      <c r="E1833" s="1580"/>
      <c r="F1833" s="1581"/>
      <c r="G1833" s="1582"/>
      <c r="H1833" s="1583"/>
      <c r="I1833" s="1584"/>
      <c r="J1833" s="1585"/>
      <c r="K1833" s="1585"/>
      <c r="L1833" s="1583"/>
      <c r="M1833" s="1583"/>
      <c r="N1833" s="1586"/>
      <c r="O1833" s="1586"/>
      <c r="P1833" s="1587"/>
      <c r="Q1833" s="1588"/>
      <c r="R1833" s="1589"/>
      <c r="S1833" s="1590"/>
      <c r="T1833" s="1590"/>
      <c r="U1833" s="1590"/>
      <c r="V1833" s="1590"/>
      <c r="W1833" s="1590"/>
      <c r="X1833" s="1692"/>
      <c r="Y1833" s="1590"/>
      <c r="Z1833" s="1574"/>
      <c r="AA1833" s="1763"/>
      <c r="AB1833" s="550"/>
      <c r="AC1833" s="224"/>
      <c r="AD1833" s="170"/>
      <c r="AE1833" s="170"/>
      <c r="AF1833" s="170"/>
      <c r="AG1833" s="170"/>
      <c r="AH1833" s="170"/>
      <c r="AI1833" s="170"/>
      <c r="AJ1833" s="170"/>
      <c r="AK1833" s="170"/>
      <c r="AL1833" s="170"/>
      <c r="AM1833" s="170"/>
      <c r="AN1833" s="170"/>
      <c r="AO1833" s="170"/>
      <c r="AP1833" s="1572"/>
      <c r="AV1833" s="553"/>
      <c r="BT1833" s="1672"/>
    </row>
    <row r="1834" spans="2:75" s="164" customFormat="1" ht="12.75" customHeight="1" x14ac:dyDescent="0.15">
      <c r="B1834" s="175"/>
      <c r="C1834" s="1578"/>
      <c r="D1834" s="1579"/>
      <c r="E1834" s="1580"/>
      <c r="F1834" s="1581" t="s">
        <v>2056</v>
      </c>
      <c r="G1834" s="1582"/>
      <c r="H1834" s="1583"/>
      <c r="I1834" s="1584"/>
      <c r="J1834" s="1585"/>
      <c r="K1834" s="1585"/>
      <c r="L1834" s="1583"/>
      <c r="M1834" s="1583"/>
      <c r="N1834" s="1586"/>
      <c r="O1834" s="1586"/>
      <c r="P1834" s="1587"/>
      <c r="Q1834" s="1588"/>
      <c r="R1834" s="1589"/>
      <c r="S1834" s="1590"/>
      <c r="T1834" s="1590"/>
      <c r="U1834" s="1590"/>
      <c r="V1834" s="1590"/>
      <c r="W1834" s="1590"/>
      <c r="X1834" s="1692"/>
      <c r="Y1834" s="1590"/>
      <c r="Z1834" s="1574"/>
      <c r="AA1834" s="1763"/>
      <c r="AB1834" s="550"/>
      <c r="AC1834" s="224"/>
      <c r="AD1834" s="170"/>
      <c r="AE1834" s="170"/>
      <c r="AF1834" s="170"/>
      <c r="AG1834" s="170"/>
      <c r="AH1834" s="170"/>
      <c r="AI1834" s="170"/>
      <c r="AJ1834" s="170"/>
      <c r="AK1834" s="170"/>
      <c r="AL1834" s="170"/>
      <c r="AM1834" s="170"/>
      <c r="AN1834" s="170"/>
      <c r="AO1834" s="170"/>
      <c r="AP1834" s="1572"/>
      <c r="AV1834" s="553"/>
      <c r="BT1834" s="1672"/>
    </row>
    <row r="1835" spans="2:75" ht="12.75" customHeight="1" x14ac:dyDescent="0.2">
      <c r="B1835" s="175">
        <f t="shared" ref="B1835:B1843" si="1125">B1834+1</f>
        <v>1</v>
      </c>
      <c r="C1835" s="219">
        <v>10</v>
      </c>
      <c r="D1835" s="170"/>
      <c r="E1835" s="12" t="s">
        <v>2057</v>
      </c>
      <c r="F1835" s="4" t="s">
        <v>824</v>
      </c>
      <c r="G1835" s="856" t="s">
        <v>2058</v>
      </c>
      <c r="H1835" s="858">
        <v>164318</v>
      </c>
      <c r="I1835" s="172" t="s">
        <v>583</v>
      </c>
      <c r="J1835" s="168"/>
      <c r="K1835" s="168"/>
      <c r="L1835" s="858">
        <v>1</v>
      </c>
      <c r="M1835" s="858">
        <v>1</v>
      </c>
      <c r="N1835" s="857" t="s">
        <v>892</v>
      </c>
      <c r="O1835" s="1196">
        <v>23228</v>
      </c>
      <c r="P1835" s="1218">
        <f t="shared" ref="P1835:P1843" ca="1" si="1126">YEARFRAC(TODAY(),O1835)</f>
        <v>54.158333333333331</v>
      </c>
      <c r="Q1835" s="1148">
        <v>50000</v>
      </c>
      <c r="R1835" s="874"/>
      <c r="S1835" s="875"/>
      <c r="T1835" s="877">
        <v>5000</v>
      </c>
      <c r="U1835" s="877"/>
      <c r="V1835" s="877"/>
      <c r="W1835" s="875"/>
      <c r="X1835" s="1026">
        <f t="shared" ref="X1835:X1843" si="1127">(Q1835+R1835+S1835+T1835+U1835+V1835+W1835)*M1835</f>
        <v>55000</v>
      </c>
      <c r="Y1835" s="1512">
        <f t="shared" ref="Y1835:Y1862" si="1128">(T1835+U1835+V1835+W1835)*M1835/(X1835-M1835*(T1835+U1835+V1835+W1835))</f>
        <v>0.1</v>
      </c>
      <c r="Z1835" s="1741">
        <f t="shared" ref="Z1835:Z1862" si="1129">M1835*(1+Y1835)</f>
        <v>1.1000000000000001</v>
      </c>
      <c r="AA1835" s="1750"/>
      <c r="AB1835" s="1760"/>
      <c r="AC1835" s="224"/>
      <c r="AD1835" s="170"/>
      <c r="AE1835" s="170"/>
      <c r="AF1835" s="170"/>
      <c r="AG1835" s="170"/>
      <c r="AH1835" s="170"/>
      <c r="AI1835" s="170"/>
      <c r="AJ1835" s="170"/>
      <c r="AK1835" s="170"/>
      <c r="AL1835" s="170"/>
      <c r="AM1835" s="170"/>
      <c r="AN1835" s="170"/>
      <c r="AO1835" s="170"/>
      <c r="AP1835" s="1572"/>
      <c r="AQ1835" s="224"/>
      <c r="AR1835" s="210"/>
      <c r="AS1835" s="224"/>
      <c r="AU1835" s="224"/>
      <c r="AV1835" s="1292"/>
      <c r="BT1835" s="1671"/>
      <c r="BV1835" s="224"/>
      <c r="BW1835" s="224"/>
    </row>
    <row r="1836" spans="2:75" ht="12.75" customHeight="1" x14ac:dyDescent="0.2">
      <c r="B1836" s="175">
        <f t="shared" si="1125"/>
        <v>2</v>
      </c>
      <c r="C1836" s="219">
        <v>12</v>
      </c>
      <c r="D1836" s="170"/>
      <c r="E1836" s="12" t="s">
        <v>2057</v>
      </c>
      <c r="F1836" s="24" t="s">
        <v>1235</v>
      </c>
      <c r="G1836" s="856" t="s">
        <v>869</v>
      </c>
      <c r="H1836" s="858">
        <v>103893</v>
      </c>
      <c r="I1836" s="200" t="s">
        <v>583</v>
      </c>
      <c r="J1836" s="189"/>
      <c r="K1836" s="189"/>
      <c r="L1836" s="858">
        <v>1</v>
      </c>
      <c r="M1836" s="858">
        <v>1</v>
      </c>
      <c r="N1836" s="855" t="s">
        <v>892</v>
      </c>
      <c r="O1836" s="1196">
        <v>22049</v>
      </c>
      <c r="P1836" s="1218">
        <f t="shared" ca="1" si="1126"/>
        <v>57.386111111111113</v>
      </c>
      <c r="Q1836" s="1148">
        <v>36800</v>
      </c>
      <c r="R1836" s="874"/>
      <c r="S1836" s="875"/>
      <c r="T1836" s="877">
        <v>7000</v>
      </c>
      <c r="U1836" s="1137">
        <v>7500</v>
      </c>
      <c r="V1836" s="875"/>
      <c r="W1836" s="875"/>
      <c r="X1836" s="1026">
        <f t="shared" si="1127"/>
        <v>51300</v>
      </c>
      <c r="Y1836" s="1512">
        <f t="shared" si="1128"/>
        <v>0.39402173913043476</v>
      </c>
      <c r="Z1836" s="1741">
        <f t="shared" si="1129"/>
        <v>1.3940217391304348</v>
      </c>
      <c r="AA1836" s="1750"/>
      <c r="AB1836" s="1760"/>
      <c r="AC1836" s="224"/>
      <c r="AD1836" s="170"/>
      <c r="AE1836" s="170"/>
      <c r="AF1836" s="170"/>
      <c r="AG1836" s="170"/>
      <c r="AH1836" s="170"/>
      <c r="AI1836" s="170"/>
      <c r="AJ1836" s="170"/>
      <c r="AK1836" s="170"/>
      <c r="AL1836" s="170"/>
      <c r="AM1836" s="170"/>
      <c r="AN1836" s="170"/>
      <c r="AO1836" s="170"/>
      <c r="AP1836" s="1572"/>
      <c r="AQ1836" s="224"/>
      <c r="AR1836" s="210"/>
      <c r="AS1836" s="224"/>
      <c r="AU1836" s="224"/>
      <c r="AV1836" s="1292"/>
      <c r="BT1836" s="1671"/>
      <c r="BV1836" s="224"/>
      <c r="BW1836" s="224"/>
    </row>
    <row r="1837" spans="2:75" ht="12.75" customHeight="1" x14ac:dyDescent="0.2">
      <c r="B1837" s="175">
        <f t="shared" si="1125"/>
        <v>3</v>
      </c>
      <c r="C1837" s="219">
        <v>13</v>
      </c>
      <c r="D1837" s="170"/>
      <c r="E1837" s="12" t="s">
        <v>2057</v>
      </c>
      <c r="F1837" s="4" t="s">
        <v>792</v>
      </c>
      <c r="G1837" s="856" t="s">
        <v>1836</v>
      </c>
      <c r="H1837" s="858">
        <v>6565</v>
      </c>
      <c r="I1837" s="172" t="s">
        <v>583</v>
      </c>
      <c r="J1837" s="168"/>
      <c r="K1837" s="168"/>
      <c r="L1837" s="841">
        <v>1</v>
      </c>
      <c r="M1837" s="858">
        <f>K1837+L1837</f>
        <v>1</v>
      </c>
      <c r="N1837" s="857" t="s">
        <v>892</v>
      </c>
      <c r="O1837" s="1196">
        <v>20191</v>
      </c>
      <c r="P1837" s="1218">
        <f t="shared" ca="1" si="1126"/>
        <v>62.472222222222221</v>
      </c>
      <c r="Q1837" s="1148">
        <v>32800</v>
      </c>
      <c r="R1837" s="874"/>
      <c r="S1837" s="875"/>
      <c r="T1837" s="875">
        <v>2600</v>
      </c>
      <c r="U1837" s="1137">
        <v>2500</v>
      </c>
      <c r="V1837" s="875"/>
      <c r="W1837" s="875"/>
      <c r="X1837" s="1026">
        <f t="shared" si="1127"/>
        <v>37900</v>
      </c>
      <c r="Y1837" s="1512">
        <f t="shared" si="1128"/>
        <v>0.15548780487804878</v>
      </c>
      <c r="Z1837" s="1741">
        <f t="shared" si="1129"/>
        <v>1.1554878048780488</v>
      </c>
      <c r="AA1837" s="1750"/>
      <c r="AB1837" s="1760"/>
      <c r="AC1837" s="224"/>
      <c r="AD1837" s="170"/>
      <c r="AE1837" s="170"/>
      <c r="AF1837" s="170"/>
      <c r="AG1837" s="170"/>
      <c r="AH1837" s="170"/>
      <c r="AI1837" s="170"/>
      <c r="AJ1837" s="170"/>
      <c r="AK1837" s="170"/>
      <c r="AL1837" s="170"/>
      <c r="AM1837" s="170"/>
      <c r="AN1837" s="170"/>
      <c r="AO1837" s="170"/>
      <c r="AP1837" s="1572"/>
      <c r="AQ1837" s="224"/>
      <c r="AR1837" s="210"/>
      <c r="AS1837" s="224"/>
      <c r="AU1837" s="224"/>
      <c r="AV1837" s="1292"/>
      <c r="BT1837" s="1671"/>
      <c r="BV1837" s="224"/>
      <c r="BW1837" s="224"/>
    </row>
    <row r="1838" spans="2:75" ht="12.75" customHeight="1" x14ac:dyDescent="0.2">
      <c r="B1838" s="175">
        <f t="shared" si="1125"/>
        <v>4</v>
      </c>
      <c r="C1838" s="219">
        <v>14</v>
      </c>
      <c r="D1838" s="170"/>
      <c r="E1838" s="12" t="s">
        <v>2057</v>
      </c>
      <c r="F1838" s="24" t="s">
        <v>626</v>
      </c>
      <c r="G1838" s="913" t="s">
        <v>1385</v>
      </c>
      <c r="H1838" s="858">
        <v>111580</v>
      </c>
      <c r="I1838" s="197" t="s">
        <v>583</v>
      </c>
      <c r="J1838" s="174"/>
      <c r="K1838" s="174"/>
      <c r="L1838" s="861">
        <v>1</v>
      </c>
      <c r="M1838" s="858">
        <f>K1838+L1838</f>
        <v>1</v>
      </c>
      <c r="N1838" s="836" t="s">
        <v>892</v>
      </c>
      <c r="O1838" s="1196">
        <v>30606</v>
      </c>
      <c r="P1838" s="1218">
        <f t="shared" ca="1" si="1126"/>
        <v>33.958333333333336</v>
      </c>
      <c r="Q1838" s="1148">
        <v>26400</v>
      </c>
      <c r="R1838" s="874"/>
      <c r="S1838" s="875"/>
      <c r="T1838" s="875"/>
      <c r="U1838" s="875"/>
      <c r="V1838" s="875"/>
      <c r="W1838" s="875"/>
      <c r="X1838" s="1026">
        <f t="shared" si="1127"/>
        <v>26400</v>
      </c>
      <c r="Y1838" s="1512">
        <f t="shared" si="1128"/>
        <v>0</v>
      </c>
      <c r="Z1838" s="1741">
        <f t="shared" si="1129"/>
        <v>1</v>
      </c>
      <c r="AA1838" s="1750"/>
      <c r="AB1838" s="1760"/>
      <c r="AC1838" s="224"/>
      <c r="AD1838" s="170"/>
      <c r="AE1838" s="170"/>
      <c r="AF1838" s="170"/>
      <c r="AG1838" s="170"/>
      <c r="AH1838" s="170"/>
      <c r="AI1838" s="170"/>
      <c r="AJ1838" s="170"/>
      <c r="AK1838" s="170"/>
      <c r="AL1838" s="170"/>
      <c r="AM1838" s="170"/>
      <c r="AN1838" s="170"/>
      <c r="AO1838" s="170"/>
      <c r="AP1838" s="1572"/>
      <c r="AQ1838" s="224"/>
      <c r="AR1838" s="210"/>
      <c r="AS1838" s="224"/>
      <c r="AU1838" s="224"/>
      <c r="AV1838" s="1292"/>
      <c r="BT1838" s="1671"/>
      <c r="BV1838" s="224"/>
      <c r="BW1838" s="224"/>
    </row>
    <row r="1839" spans="2:75" ht="12.75" customHeight="1" x14ac:dyDescent="0.2">
      <c r="B1839" s="175">
        <f t="shared" si="1125"/>
        <v>5</v>
      </c>
      <c r="C1839" s="219">
        <v>14</v>
      </c>
      <c r="D1839" s="170"/>
      <c r="E1839" s="12" t="s">
        <v>2057</v>
      </c>
      <c r="F1839" s="24" t="s">
        <v>626</v>
      </c>
      <c r="G1839" s="856" t="s">
        <v>452</v>
      </c>
      <c r="H1839" s="858">
        <v>103447</v>
      </c>
      <c r="I1839" s="200" t="s">
        <v>583</v>
      </c>
      <c r="J1839" s="189"/>
      <c r="K1839" s="189"/>
      <c r="L1839" s="858">
        <v>1</v>
      </c>
      <c r="M1839" s="858">
        <f>K1839+L1839</f>
        <v>1</v>
      </c>
      <c r="N1839" s="855" t="s">
        <v>892</v>
      </c>
      <c r="O1839" s="1196">
        <v>28486</v>
      </c>
      <c r="P1839" s="1218">
        <f t="shared" ca="1" si="1126"/>
        <v>39.763888888888886</v>
      </c>
      <c r="Q1839" s="1148">
        <v>30200</v>
      </c>
      <c r="R1839" s="874"/>
      <c r="S1839" s="875"/>
      <c r="T1839" s="875"/>
      <c r="U1839" s="875">
        <v>2500</v>
      </c>
      <c r="V1839" s="875"/>
      <c r="W1839" s="875"/>
      <c r="X1839" s="1026">
        <f t="shared" si="1127"/>
        <v>32700</v>
      </c>
      <c r="Y1839" s="1512">
        <f t="shared" si="1128"/>
        <v>8.2781456953642391E-2</v>
      </c>
      <c r="Z1839" s="1741">
        <f t="shared" si="1129"/>
        <v>1.0827814569536425</v>
      </c>
      <c r="AA1839" s="1750"/>
      <c r="AB1839" s="1760"/>
      <c r="AC1839" s="224"/>
      <c r="AD1839" s="170"/>
      <c r="AE1839" s="170"/>
      <c r="AF1839" s="170"/>
      <c r="AG1839" s="170"/>
      <c r="AH1839" s="170"/>
      <c r="AI1839" s="170"/>
      <c r="AJ1839" s="170"/>
      <c r="AK1839" s="170"/>
      <c r="AL1839" s="170"/>
      <c r="AM1839" s="170"/>
      <c r="AN1839" s="170"/>
      <c r="AO1839" s="170"/>
      <c r="AP1839" s="1572"/>
      <c r="AQ1839" s="224"/>
      <c r="AR1839" s="210"/>
      <c r="AS1839" s="224"/>
      <c r="AU1839" s="224"/>
      <c r="AV1839" s="1292"/>
      <c r="BT1839" s="1671"/>
      <c r="BV1839" s="224"/>
      <c r="BW1839" s="224"/>
    </row>
    <row r="1840" spans="2:75" ht="12.75" customHeight="1" x14ac:dyDescent="0.2">
      <c r="B1840" s="175">
        <f t="shared" si="1125"/>
        <v>6</v>
      </c>
      <c r="C1840" s="219">
        <v>14</v>
      </c>
      <c r="D1840" s="170"/>
      <c r="E1840" s="12" t="s">
        <v>2057</v>
      </c>
      <c r="F1840" s="24" t="s">
        <v>626</v>
      </c>
      <c r="G1840" s="856" t="s">
        <v>370</v>
      </c>
      <c r="H1840" s="858">
        <v>133232</v>
      </c>
      <c r="I1840" s="200" t="s">
        <v>583</v>
      </c>
      <c r="J1840" s="189"/>
      <c r="K1840" s="189"/>
      <c r="L1840" s="858">
        <v>1</v>
      </c>
      <c r="M1840" s="858">
        <f>K1840+L1840</f>
        <v>1</v>
      </c>
      <c r="N1840" s="855" t="s">
        <v>892</v>
      </c>
      <c r="O1840" s="1196">
        <v>27793</v>
      </c>
      <c r="P1840" s="1218">
        <f t="shared" ca="1" si="1126"/>
        <v>41.663888888888891</v>
      </c>
      <c r="Q1840" s="1148">
        <v>31000</v>
      </c>
      <c r="R1840" s="874"/>
      <c r="S1840" s="875"/>
      <c r="T1840" s="875">
        <v>2500</v>
      </c>
      <c r="U1840" s="875">
        <v>3000</v>
      </c>
      <c r="V1840" s="875"/>
      <c r="W1840" s="875"/>
      <c r="X1840" s="1026">
        <f t="shared" si="1127"/>
        <v>36500</v>
      </c>
      <c r="Y1840" s="1512">
        <f t="shared" si="1128"/>
        <v>0.17741935483870969</v>
      </c>
      <c r="Z1840" s="1741">
        <f t="shared" si="1129"/>
        <v>1.1774193548387097</v>
      </c>
      <c r="AA1840" s="1750"/>
      <c r="AB1840" s="1760"/>
      <c r="AC1840" s="224"/>
      <c r="AD1840" s="170"/>
      <c r="AE1840" s="170"/>
      <c r="AF1840" s="170"/>
      <c r="AG1840" s="170"/>
      <c r="AH1840" s="170"/>
      <c r="AI1840" s="170"/>
      <c r="AJ1840" s="170"/>
      <c r="AK1840" s="170"/>
      <c r="AL1840" s="170"/>
      <c r="AM1840" s="170"/>
      <c r="AN1840" s="170"/>
      <c r="AO1840" s="170"/>
      <c r="AP1840" s="1572"/>
      <c r="AQ1840" s="224"/>
      <c r="AR1840" s="210"/>
      <c r="AS1840" s="224"/>
      <c r="AU1840" s="224"/>
      <c r="AV1840" s="1292"/>
      <c r="BT1840" s="1671"/>
      <c r="BV1840" s="224"/>
      <c r="BW1840" s="224"/>
    </row>
    <row r="1841" spans="2:75" ht="12.75" customHeight="1" x14ac:dyDescent="0.2">
      <c r="B1841" s="175">
        <f t="shared" si="1125"/>
        <v>7</v>
      </c>
      <c r="C1841" s="219">
        <v>14</v>
      </c>
      <c r="D1841" s="170"/>
      <c r="E1841" s="12" t="s">
        <v>2057</v>
      </c>
      <c r="F1841" s="24" t="s">
        <v>626</v>
      </c>
      <c r="G1841" s="856" t="s">
        <v>1642</v>
      </c>
      <c r="H1841" s="858">
        <v>263548</v>
      </c>
      <c r="I1841" s="200" t="s">
        <v>583</v>
      </c>
      <c r="J1841" s="189"/>
      <c r="K1841" s="189"/>
      <c r="L1841" s="858">
        <v>1</v>
      </c>
      <c r="M1841" s="858">
        <f t="shared" ref="M1841:M1842" si="1130">K1841+L1841</f>
        <v>1</v>
      </c>
      <c r="N1841" s="855" t="s">
        <v>892</v>
      </c>
      <c r="O1841" s="1196">
        <v>30946</v>
      </c>
      <c r="P1841" s="1218">
        <f t="shared" ca="1" si="1126"/>
        <v>33.030555555555559</v>
      </c>
      <c r="Q1841" s="1148">
        <v>33200</v>
      </c>
      <c r="R1841" s="874"/>
      <c r="S1841" s="875"/>
      <c r="T1841" s="875"/>
      <c r="U1841" s="875">
        <v>7000</v>
      </c>
      <c r="V1841" s="875"/>
      <c r="W1841" s="875"/>
      <c r="X1841" s="1026">
        <f t="shared" si="1127"/>
        <v>40200</v>
      </c>
      <c r="Y1841" s="1512">
        <f t="shared" si="1128"/>
        <v>0.21084337349397592</v>
      </c>
      <c r="Z1841" s="1741">
        <f t="shared" si="1129"/>
        <v>1.2108433734939759</v>
      </c>
      <c r="AA1841" s="1750"/>
      <c r="AB1841" s="1760"/>
      <c r="AC1841" s="224"/>
      <c r="AD1841" s="170"/>
      <c r="AE1841" s="170"/>
      <c r="AF1841" s="170"/>
      <c r="AG1841" s="170"/>
      <c r="AH1841" s="170"/>
      <c r="AI1841" s="170"/>
      <c r="AJ1841" s="170"/>
      <c r="AK1841" s="170"/>
      <c r="AL1841" s="170"/>
      <c r="AM1841" s="170"/>
      <c r="AN1841" s="170"/>
      <c r="AO1841" s="170"/>
      <c r="AP1841" s="1572"/>
      <c r="AQ1841" s="224"/>
      <c r="AR1841" s="210"/>
      <c r="AS1841" s="224"/>
      <c r="AU1841" s="224"/>
      <c r="AV1841" s="1292"/>
      <c r="BT1841" s="1671"/>
      <c r="BV1841" s="224"/>
      <c r="BW1841" s="224"/>
    </row>
    <row r="1842" spans="2:75" ht="12.75" customHeight="1" x14ac:dyDescent="0.2">
      <c r="B1842" s="175">
        <f t="shared" si="1125"/>
        <v>8</v>
      </c>
      <c r="C1842" s="219">
        <v>14</v>
      </c>
      <c r="D1842" s="170"/>
      <c r="E1842" s="12" t="s">
        <v>2057</v>
      </c>
      <c r="F1842" s="4" t="s">
        <v>626</v>
      </c>
      <c r="G1842" s="913" t="s">
        <v>1704</v>
      </c>
      <c r="H1842" s="858">
        <v>125075</v>
      </c>
      <c r="I1842" s="197" t="s">
        <v>583</v>
      </c>
      <c r="J1842" s="174"/>
      <c r="K1842" s="174"/>
      <c r="L1842" s="861">
        <v>1</v>
      </c>
      <c r="M1842" s="858">
        <f t="shared" si="1130"/>
        <v>1</v>
      </c>
      <c r="N1842" s="836" t="s">
        <v>892</v>
      </c>
      <c r="O1842" s="1196">
        <v>33101</v>
      </c>
      <c r="P1842" s="1218">
        <f t="shared" ca="1" si="1126"/>
        <v>27.127777777777776</v>
      </c>
      <c r="Q1842" s="1148">
        <v>26200</v>
      </c>
      <c r="R1842" s="874"/>
      <c r="S1842" s="875"/>
      <c r="T1842" s="1137">
        <v>19900</v>
      </c>
      <c r="U1842" s="875">
        <v>4000</v>
      </c>
      <c r="V1842" s="875"/>
      <c r="W1842" s="875"/>
      <c r="X1842" s="1026">
        <f t="shared" si="1127"/>
        <v>50100</v>
      </c>
      <c r="Y1842" s="1512">
        <f t="shared" si="1128"/>
        <v>0.91221374045801529</v>
      </c>
      <c r="Z1842" s="1741">
        <f t="shared" si="1129"/>
        <v>1.9122137404580153</v>
      </c>
      <c r="AA1842" s="1750"/>
      <c r="AB1842" s="1760"/>
      <c r="AC1842" s="224"/>
      <c r="AD1842" s="170"/>
      <c r="AE1842" s="170"/>
      <c r="AF1842" s="170"/>
      <c r="AG1842" s="170"/>
      <c r="AH1842" s="170"/>
      <c r="AI1842" s="170"/>
      <c r="AJ1842" s="170"/>
      <c r="AK1842" s="170"/>
      <c r="AL1842" s="170"/>
      <c r="AM1842" s="170"/>
      <c r="AN1842" s="170"/>
      <c r="AO1842" s="170"/>
      <c r="AP1842" s="1572"/>
      <c r="AQ1842" s="224"/>
      <c r="AR1842" s="210"/>
      <c r="AS1842" s="224"/>
      <c r="AU1842" s="224"/>
      <c r="AV1842" s="1292"/>
      <c r="BT1842" s="1671"/>
      <c r="BV1842" s="224"/>
      <c r="BW1842" s="224"/>
    </row>
    <row r="1843" spans="2:75" ht="12.75" customHeight="1" x14ac:dyDescent="0.2">
      <c r="B1843" s="175">
        <f t="shared" si="1125"/>
        <v>9</v>
      </c>
      <c r="C1843" s="219">
        <v>14</v>
      </c>
      <c r="D1843" s="170"/>
      <c r="E1843" s="12" t="s">
        <v>2057</v>
      </c>
      <c r="F1843" s="4" t="s">
        <v>626</v>
      </c>
      <c r="G1843" s="913" t="s">
        <v>1012</v>
      </c>
      <c r="H1843" s="858">
        <v>6570</v>
      </c>
      <c r="I1843" s="197" t="s">
        <v>583</v>
      </c>
      <c r="J1843" s="174"/>
      <c r="K1843" s="174"/>
      <c r="L1843" s="861">
        <v>1</v>
      </c>
      <c r="M1843" s="858">
        <f>K1843+L1843</f>
        <v>1</v>
      </c>
      <c r="N1843" s="836" t="s">
        <v>892</v>
      </c>
      <c r="O1843" s="1196">
        <v>20961</v>
      </c>
      <c r="P1843" s="1218">
        <f t="shared" ca="1" si="1126"/>
        <v>60.363888888888887</v>
      </c>
      <c r="Q1843" s="1148">
        <v>35400</v>
      </c>
      <c r="R1843" s="874"/>
      <c r="S1843" s="875"/>
      <c r="T1843" s="1137">
        <v>5800</v>
      </c>
      <c r="U1843" s="875">
        <v>3000</v>
      </c>
      <c r="V1843" s="875"/>
      <c r="W1843" s="875"/>
      <c r="X1843" s="1026">
        <f t="shared" si="1127"/>
        <v>44200</v>
      </c>
      <c r="Y1843" s="1512">
        <f t="shared" si="1128"/>
        <v>0.24858757062146894</v>
      </c>
      <c r="Z1843" s="1741">
        <f t="shared" si="1129"/>
        <v>1.2485875706214689</v>
      </c>
      <c r="AA1843" s="1750"/>
      <c r="AB1843" s="1760"/>
      <c r="AC1843" s="224"/>
      <c r="AD1843" s="170"/>
      <c r="AE1843" s="170"/>
      <c r="AF1843" s="170"/>
      <c r="AG1843" s="170"/>
      <c r="AH1843" s="170"/>
      <c r="AI1843" s="170"/>
      <c r="AJ1843" s="170"/>
      <c r="AK1843" s="170"/>
      <c r="AL1843" s="170"/>
      <c r="AM1843" s="170"/>
      <c r="AN1843" s="170"/>
      <c r="AO1843" s="170"/>
      <c r="AP1843" s="1572"/>
      <c r="AQ1843" s="224"/>
      <c r="AR1843" s="210"/>
      <c r="AS1843" s="224"/>
      <c r="AU1843" s="224"/>
      <c r="AV1843" s="1292"/>
      <c r="BT1843" s="1671"/>
      <c r="BV1843" s="224"/>
      <c r="BW1843" s="224"/>
    </row>
    <row r="1844" spans="2:75" s="164" customFormat="1" ht="12.75" customHeight="1" x14ac:dyDescent="0.15">
      <c r="B1844" s="175"/>
      <c r="C1844" s="219" t="s">
        <v>1120</v>
      </c>
      <c r="D1844" s="170"/>
      <c r="F1844" s="325" t="s">
        <v>1289</v>
      </c>
      <c r="G1844" s="1591"/>
      <c r="H1844" s="903" t="s">
        <v>1508</v>
      </c>
      <c r="I1844" s="331"/>
      <c r="J1844" s="329"/>
      <c r="K1844" s="449">
        <f>SUM(K1837:K1841)</f>
        <v>0</v>
      </c>
      <c r="L1844" s="903">
        <f>SUM(L1835:L1843)</f>
        <v>9</v>
      </c>
      <c r="M1844" s="903">
        <f>SUM(M1835:M1843)</f>
        <v>9</v>
      </c>
      <c r="N1844" s="1592"/>
      <c r="O1844" s="1593"/>
      <c r="P1844" s="1594"/>
      <c r="Q1844" s="1153"/>
      <c r="R1844" s="877"/>
      <c r="S1844" s="875"/>
      <c r="T1844" s="875"/>
      <c r="U1844" s="875"/>
      <c r="V1844" s="875"/>
      <c r="W1844" s="875"/>
      <c r="X1844" s="1692"/>
      <c r="Y1844" s="1754"/>
      <c r="Z1844" s="1755"/>
      <c r="AA1844" s="1750"/>
      <c r="AB1844" s="550"/>
      <c r="AC1844" s="224"/>
      <c r="AD1844" s="170"/>
      <c r="AE1844" s="170"/>
      <c r="AF1844" s="170"/>
      <c r="AG1844" s="170"/>
      <c r="AH1844" s="170"/>
      <c r="AI1844" s="170"/>
      <c r="AJ1844" s="170"/>
      <c r="AK1844" s="170"/>
      <c r="AL1844" s="170"/>
      <c r="AM1844" s="170"/>
      <c r="AN1844" s="170"/>
      <c r="AO1844" s="170"/>
      <c r="AP1844" s="1572"/>
      <c r="AV1844" s="553"/>
      <c r="BT1844" s="1672"/>
    </row>
    <row r="1845" spans="2:75" s="164" customFormat="1" ht="12.75" customHeight="1" x14ac:dyDescent="0.15">
      <c r="B1845" s="175"/>
      <c r="C1845" s="1578"/>
      <c r="D1845" s="1579"/>
      <c r="E1845" s="1580"/>
      <c r="F1845" s="1581"/>
      <c r="G1845" s="1582"/>
      <c r="H1845" s="1583"/>
      <c r="I1845" s="1584"/>
      <c r="J1845" s="1585"/>
      <c r="K1845" s="1585"/>
      <c r="L1845" s="1583"/>
      <c r="M1845" s="1583"/>
      <c r="N1845" s="1586"/>
      <c r="O1845" s="1586"/>
      <c r="P1845" s="1587"/>
      <c r="Q1845" s="1588"/>
      <c r="R1845" s="1589"/>
      <c r="S1845" s="1590"/>
      <c r="T1845" s="1590"/>
      <c r="U1845" s="1590"/>
      <c r="V1845" s="1590"/>
      <c r="W1845" s="1590"/>
      <c r="X1845" s="1692"/>
      <c r="Y1845" s="1754"/>
      <c r="Z1845" s="1755"/>
      <c r="AA1845" s="1750"/>
      <c r="AB1845" s="550"/>
      <c r="AC1845" s="224"/>
      <c r="AD1845" s="170"/>
      <c r="AE1845" s="170"/>
      <c r="AF1845" s="170"/>
      <c r="AG1845" s="170"/>
      <c r="AH1845" s="170"/>
      <c r="AI1845" s="170"/>
      <c r="AJ1845" s="170"/>
      <c r="AK1845" s="170"/>
      <c r="AL1845" s="170"/>
      <c r="AM1845" s="170"/>
      <c r="AN1845" s="170"/>
      <c r="AO1845" s="170"/>
      <c r="AP1845" s="1572"/>
      <c r="AV1845" s="553"/>
      <c r="BT1845" s="1672"/>
    </row>
    <row r="1846" spans="2:75" s="164" customFormat="1" ht="12.75" customHeight="1" x14ac:dyDescent="0.15">
      <c r="B1846" s="175"/>
      <c r="C1846" s="1578"/>
      <c r="D1846" s="1579"/>
      <c r="E1846" s="1580"/>
      <c r="F1846" s="1581" t="s">
        <v>2059</v>
      </c>
      <c r="G1846" s="1582"/>
      <c r="H1846" s="1583"/>
      <c r="I1846" s="1584"/>
      <c r="J1846" s="1585"/>
      <c r="K1846" s="1585"/>
      <c r="L1846" s="1583"/>
      <c r="M1846" s="1583"/>
      <c r="N1846" s="1586"/>
      <c r="O1846" s="1586"/>
      <c r="P1846" s="1587"/>
      <c r="Q1846" s="1588"/>
      <c r="R1846" s="1589"/>
      <c r="S1846" s="1590"/>
      <c r="T1846" s="1590"/>
      <c r="U1846" s="1590"/>
      <c r="V1846" s="1590"/>
      <c r="W1846" s="1590"/>
      <c r="X1846" s="1692"/>
      <c r="Y1846" s="1754"/>
      <c r="Z1846" s="1755"/>
      <c r="AA1846" s="1750"/>
      <c r="AB1846" s="550"/>
      <c r="AC1846" s="224"/>
      <c r="AD1846" s="170"/>
      <c r="AE1846" s="170"/>
      <c r="AF1846" s="170"/>
      <c r="AG1846" s="170"/>
      <c r="AH1846" s="170"/>
      <c r="AI1846" s="170"/>
      <c r="AJ1846" s="170"/>
      <c r="AK1846" s="170"/>
      <c r="AL1846" s="170"/>
      <c r="AM1846" s="170"/>
      <c r="AN1846" s="170"/>
      <c r="AO1846" s="170"/>
      <c r="AP1846" s="1572"/>
      <c r="AV1846" s="553"/>
      <c r="BT1846" s="1672"/>
    </row>
    <row r="1847" spans="2:75" ht="12.75" customHeight="1" x14ac:dyDescent="0.2">
      <c r="B1847" s="175">
        <f t="shared" ref="B1847:B1850" si="1131">B1846+1</f>
        <v>1</v>
      </c>
      <c r="C1847" s="219">
        <v>10</v>
      </c>
      <c r="D1847" s="170"/>
      <c r="E1847" s="12" t="s">
        <v>2057</v>
      </c>
      <c r="F1847" s="4" t="s">
        <v>824</v>
      </c>
      <c r="G1847" s="856" t="s">
        <v>1703</v>
      </c>
      <c r="H1847" s="858">
        <v>145080</v>
      </c>
      <c r="I1847" s="172" t="s">
        <v>583</v>
      </c>
      <c r="J1847" s="168"/>
      <c r="K1847" s="168"/>
      <c r="L1847" s="858">
        <v>1</v>
      </c>
      <c r="M1847" s="858">
        <v>1</v>
      </c>
      <c r="N1847" s="857" t="s">
        <v>892</v>
      </c>
      <c r="O1847" s="1196">
        <v>31903</v>
      </c>
      <c r="P1847" s="1218">
        <f ca="1">YEARFRAC(TODAY(),O1847)</f>
        <v>30.405555555555555</v>
      </c>
      <c r="Q1847" s="1148">
        <v>50000</v>
      </c>
      <c r="R1847" s="874"/>
      <c r="S1847" s="875"/>
      <c r="T1847" s="877">
        <v>5000</v>
      </c>
      <c r="U1847" s="877">
        <v>19000</v>
      </c>
      <c r="V1847" s="877"/>
      <c r="W1847" s="875"/>
      <c r="X1847" s="1026">
        <f t="shared" ref="X1847:X1850" si="1132">(Q1847+R1847+S1847+T1847+U1847+V1847+W1847)*M1847</f>
        <v>74000</v>
      </c>
      <c r="Y1847" s="1512">
        <f t="shared" si="1128"/>
        <v>0.48</v>
      </c>
      <c r="Z1847" s="1741">
        <f t="shared" si="1129"/>
        <v>1.48</v>
      </c>
      <c r="AA1847" s="1750"/>
      <c r="AB1847" s="1760"/>
      <c r="AC1847" s="224"/>
      <c r="AD1847" s="170"/>
      <c r="AE1847" s="170"/>
      <c r="AF1847" s="170"/>
      <c r="AG1847" s="170"/>
      <c r="AH1847" s="170"/>
      <c r="AI1847" s="170"/>
      <c r="AJ1847" s="170"/>
      <c r="AK1847" s="170"/>
      <c r="AL1847" s="170"/>
      <c r="AM1847" s="170"/>
      <c r="AN1847" s="170"/>
      <c r="AO1847" s="170"/>
      <c r="AP1847" s="1572"/>
      <c r="AQ1847" s="224"/>
      <c r="AR1847" s="210"/>
      <c r="AS1847" s="224"/>
      <c r="AU1847" s="224"/>
      <c r="AV1847" s="1292"/>
      <c r="BT1847" s="1671"/>
      <c r="BV1847" s="224"/>
      <c r="BW1847" s="224"/>
    </row>
    <row r="1848" spans="2:75" ht="12.75" customHeight="1" x14ac:dyDescent="0.2">
      <c r="B1848" s="175">
        <f t="shared" si="1131"/>
        <v>2</v>
      </c>
      <c r="C1848" s="219">
        <v>12</v>
      </c>
      <c r="D1848" s="170"/>
      <c r="E1848" s="12" t="s">
        <v>2057</v>
      </c>
      <c r="F1848" s="24" t="s">
        <v>2060</v>
      </c>
      <c r="G1848" s="856" t="s">
        <v>1226</v>
      </c>
      <c r="H1848" s="858">
        <v>3520</v>
      </c>
      <c r="I1848" s="200" t="s">
        <v>583</v>
      </c>
      <c r="J1848" s="189"/>
      <c r="K1848" s="189"/>
      <c r="L1848" s="858">
        <v>1</v>
      </c>
      <c r="M1848" s="858">
        <f>K1848+L1848</f>
        <v>1</v>
      </c>
      <c r="N1848" s="855" t="s">
        <v>892</v>
      </c>
      <c r="O1848" s="1196">
        <v>16904</v>
      </c>
      <c r="P1848" s="1218">
        <f ca="1">YEARFRAC(TODAY(),O1848)</f>
        <v>71.472222222222229</v>
      </c>
      <c r="Q1848" s="1148">
        <v>49500</v>
      </c>
      <c r="R1848" s="874"/>
      <c r="S1848" s="875"/>
      <c r="T1848" s="877">
        <v>4000</v>
      </c>
      <c r="U1848" s="877">
        <v>7000</v>
      </c>
      <c r="V1848" s="877"/>
      <c r="W1848" s="875"/>
      <c r="X1848" s="1026">
        <f t="shared" si="1132"/>
        <v>60500</v>
      </c>
      <c r="Y1848" s="1512">
        <f t="shared" si="1128"/>
        <v>0.22222222222222221</v>
      </c>
      <c r="Z1848" s="1741">
        <f t="shared" si="1129"/>
        <v>1.2222222222222223</v>
      </c>
      <c r="AA1848" s="1750"/>
      <c r="AB1848" s="1760"/>
      <c r="AC1848" s="224"/>
      <c r="AD1848" s="170"/>
      <c r="AE1848" s="170"/>
      <c r="AF1848" s="170"/>
      <c r="AG1848" s="170"/>
      <c r="AH1848" s="170"/>
      <c r="AI1848" s="170"/>
      <c r="AJ1848" s="170"/>
      <c r="AK1848" s="170"/>
      <c r="AL1848" s="170"/>
      <c r="AM1848" s="170"/>
      <c r="AN1848" s="170"/>
      <c r="AO1848" s="170"/>
      <c r="AP1848" s="1572"/>
      <c r="AQ1848" s="224"/>
      <c r="AR1848" s="210"/>
      <c r="AS1848" s="224"/>
      <c r="AU1848" s="224"/>
      <c r="AV1848" s="1292"/>
      <c r="BT1848" s="1671"/>
      <c r="BV1848" s="224"/>
      <c r="BW1848" s="224"/>
    </row>
    <row r="1849" spans="2:75" ht="12.75" customHeight="1" x14ac:dyDescent="0.2">
      <c r="B1849" s="175">
        <f t="shared" si="1131"/>
        <v>3</v>
      </c>
      <c r="C1849" s="219">
        <v>12</v>
      </c>
      <c r="D1849" s="170"/>
      <c r="E1849" s="12" t="s">
        <v>2057</v>
      </c>
      <c r="F1849" s="24" t="s">
        <v>2060</v>
      </c>
      <c r="G1849" s="856" t="s">
        <v>1505</v>
      </c>
      <c r="H1849" s="858">
        <v>3587</v>
      </c>
      <c r="I1849" s="200" t="s">
        <v>583</v>
      </c>
      <c r="J1849" s="189"/>
      <c r="K1849" s="189"/>
      <c r="L1849" s="858">
        <v>1</v>
      </c>
      <c r="M1849" s="858">
        <f>K1849+L1849</f>
        <v>1</v>
      </c>
      <c r="N1849" s="855" t="s">
        <v>892</v>
      </c>
      <c r="O1849" s="1196">
        <v>17586</v>
      </c>
      <c r="P1849" s="1218">
        <f ca="1">YEARFRAC(TODAY(),O1849)</f>
        <v>69.608333333333334</v>
      </c>
      <c r="Q1849" s="1148">
        <v>49500</v>
      </c>
      <c r="R1849" s="874"/>
      <c r="S1849" s="875"/>
      <c r="T1849" s="877">
        <v>3000</v>
      </c>
      <c r="U1849" s="877">
        <v>3000</v>
      </c>
      <c r="V1849" s="875"/>
      <c r="W1849" s="875"/>
      <c r="X1849" s="1026">
        <f t="shared" si="1132"/>
        <v>55500</v>
      </c>
      <c r="Y1849" s="1512">
        <f t="shared" si="1128"/>
        <v>0.12121212121212122</v>
      </c>
      <c r="Z1849" s="1741">
        <f t="shared" si="1129"/>
        <v>1.1212121212121211</v>
      </c>
      <c r="AA1849" s="1750"/>
      <c r="AB1849" s="1760"/>
      <c r="AC1849" s="224"/>
      <c r="AD1849" s="170"/>
      <c r="AE1849" s="170"/>
      <c r="AF1849" s="170"/>
      <c r="AG1849" s="170"/>
      <c r="AH1849" s="170"/>
      <c r="AI1849" s="170"/>
      <c r="AJ1849" s="170"/>
      <c r="AK1849" s="170"/>
      <c r="AL1849" s="170"/>
      <c r="AM1849" s="170"/>
      <c r="AN1849" s="170"/>
      <c r="AO1849" s="170"/>
      <c r="AP1849" s="1572"/>
      <c r="AQ1849" s="224"/>
      <c r="AR1849" s="210"/>
      <c r="AS1849" s="224"/>
      <c r="AU1849" s="224"/>
      <c r="AV1849" s="1292"/>
      <c r="BT1849" s="1671"/>
      <c r="BV1849" s="224"/>
      <c r="BW1849" s="224"/>
    </row>
    <row r="1850" spans="2:75" ht="12.75" customHeight="1" x14ac:dyDescent="0.2">
      <c r="B1850" s="175">
        <f t="shared" si="1131"/>
        <v>4</v>
      </c>
      <c r="C1850" s="219">
        <v>13</v>
      </c>
      <c r="D1850" s="447"/>
      <c r="E1850" s="12" t="s">
        <v>2057</v>
      </c>
      <c r="F1850" s="4" t="s">
        <v>2061</v>
      </c>
      <c r="G1850" s="913" t="s">
        <v>1011</v>
      </c>
      <c r="H1850" s="858">
        <v>203180</v>
      </c>
      <c r="I1850" s="172" t="s">
        <v>583</v>
      </c>
      <c r="J1850" s="168"/>
      <c r="K1850" s="168"/>
      <c r="L1850" s="858">
        <v>1</v>
      </c>
      <c r="M1850" s="858">
        <v>1</v>
      </c>
      <c r="N1850" s="836" t="s">
        <v>892</v>
      </c>
      <c r="O1850" s="1196">
        <v>28634</v>
      </c>
      <c r="P1850" s="1218">
        <f ca="1">YEARFRAC(TODAY(),O1850)</f>
        <v>39.355555555555554</v>
      </c>
      <c r="Q1850" s="1148">
        <v>39600</v>
      </c>
      <c r="R1850" s="874"/>
      <c r="S1850" s="875"/>
      <c r="T1850" s="1137">
        <v>4500</v>
      </c>
      <c r="U1850" s="875">
        <v>3000</v>
      </c>
      <c r="V1850" s="875"/>
      <c r="W1850" s="875"/>
      <c r="X1850" s="1026">
        <f t="shared" si="1132"/>
        <v>47100</v>
      </c>
      <c r="Y1850" s="1512">
        <f t="shared" si="1128"/>
        <v>0.18939393939393939</v>
      </c>
      <c r="Z1850" s="1741">
        <f t="shared" si="1129"/>
        <v>1.1893939393939394</v>
      </c>
      <c r="AA1850" s="1750"/>
      <c r="AB1850" s="1760"/>
      <c r="AC1850" s="224"/>
      <c r="AD1850" s="170"/>
      <c r="AE1850" s="170"/>
      <c r="AF1850" s="170"/>
      <c r="AG1850" s="170"/>
      <c r="AH1850" s="170"/>
      <c r="AI1850" s="170"/>
      <c r="AJ1850" s="170"/>
      <c r="AK1850" s="170"/>
      <c r="AL1850" s="170"/>
      <c r="AM1850" s="170"/>
      <c r="AN1850" s="170"/>
      <c r="AO1850" s="170"/>
      <c r="AP1850" s="1572"/>
      <c r="AQ1850" s="224"/>
      <c r="AR1850" s="210"/>
      <c r="AS1850" s="224"/>
      <c r="AU1850" s="224"/>
      <c r="AV1850" s="1292"/>
      <c r="BT1850" s="1671"/>
      <c r="BV1850" s="224"/>
      <c r="BW1850" s="224"/>
    </row>
    <row r="1851" spans="2:75" s="164" customFormat="1" ht="12.75" customHeight="1" x14ac:dyDescent="0.15">
      <c r="B1851" s="175"/>
      <c r="C1851" s="219" t="s">
        <v>1120</v>
      </c>
      <c r="D1851" s="170"/>
      <c r="F1851" s="325" t="s">
        <v>1602</v>
      </c>
      <c r="G1851" s="1591"/>
      <c r="H1851" s="903" t="s">
        <v>1508</v>
      </c>
      <c r="I1851" s="331"/>
      <c r="J1851" s="329"/>
      <c r="K1851" s="449">
        <f>SUM(K1844:K1848)</f>
        <v>0</v>
      </c>
      <c r="L1851" s="903">
        <f>SUM(L1847:L1850)</f>
        <v>4</v>
      </c>
      <c r="M1851" s="903">
        <f>SUM(M1847:M1850)</f>
        <v>4</v>
      </c>
      <c r="N1851" s="1592"/>
      <c r="O1851" s="1593"/>
      <c r="P1851" s="1594"/>
      <c r="Q1851" s="1153"/>
      <c r="R1851" s="877"/>
      <c r="S1851" s="875"/>
      <c r="T1851" s="875"/>
      <c r="U1851" s="875"/>
      <c r="V1851" s="875"/>
      <c r="W1851" s="875"/>
      <c r="X1851" s="1692"/>
      <c r="Y1851" s="1754"/>
      <c r="Z1851" s="1755"/>
      <c r="AA1851" s="1750"/>
      <c r="AB1851" s="550"/>
      <c r="AC1851" s="224"/>
      <c r="AD1851" s="170"/>
      <c r="AE1851" s="170"/>
      <c r="AF1851" s="170"/>
      <c r="AG1851" s="170"/>
      <c r="AH1851" s="170"/>
      <c r="AI1851" s="170"/>
      <c r="AJ1851" s="170"/>
      <c r="AK1851" s="170"/>
      <c r="AL1851" s="170"/>
      <c r="AM1851" s="170"/>
      <c r="AN1851" s="170"/>
      <c r="AO1851" s="170"/>
      <c r="AP1851" s="1572"/>
      <c r="AV1851" s="553"/>
      <c r="BT1851" s="1672"/>
    </row>
    <row r="1852" spans="2:75" s="164" customFormat="1" ht="12.75" customHeight="1" x14ac:dyDescent="0.15">
      <c r="B1852" s="175"/>
      <c r="C1852" s="1578"/>
      <c r="D1852" s="1579"/>
      <c r="E1852" s="1580"/>
      <c r="F1852" s="1581"/>
      <c r="G1852" s="1582"/>
      <c r="H1852" s="1583"/>
      <c r="I1852" s="1584"/>
      <c r="J1852" s="1585"/>
      <c r="K1852" s="1585"/>
      <c r="L1852" s="1583"/>
      <c r="M1852" s="1583"/>
      <c r="N1852" s="1586"/>
      <c r="O1852" s="1586"/>
      <c r="P1852" s="1587"/>
      <c r="Q1852" s="1588"/>
      <c r="R1852" s="1589"/>
      <c r="S1852" s="1590"/>
      <c r="T1852" s="1590"/>
      <c r="U1852" s="1590"/>
      <c r="V1852" s="1590"/>
      <c r="W1852" s="1590"/>
      <c r="X1852" s="1692"/>
      <c r="Y1852" s="1754"/>
      <c r="Z1852" s="1755"/>
      <c r="AA1852" s="1750"/>
      <c r="AB1852" s="550"/>
      <c r="AC1852" s="224"/>
      <c r="AD1852" s="170"/>
      <c r="AE1852" s="170"/>
      <c r="AF1852" s="170"/>
      <c r="AG1852" s="170"/>
      <c r="AH1852" s="170"/>
      <c r="AI1852" s="170"/>
      <c r="AJ1852" s="170"/>
      <c r="AK1852" s="170"/>
      <c r="AL1852" s="170"/>
      <c r="AM1852" s="170"/>
      <c r="AN1852" s="170"/>
      <c r="AO1852" s="170"/>
      <c r="AP1852" s="1572"/>
      <c r="AV1852" s="553"/>
      <c r="BT1852" s="1672"/>
    </row>
    <row r="1853" spans="2:75" s="164" customFormat="1" ht="12.75" customHeight="1" x14ac:dyDescent="0.15">
      <c r="B1853" s="175"/>
      <c r="C1853" s="1578"/>
      <c r="D1853" s="1579"/>
      <c r="E1853" s="1580"/>
      <c r="F1853" s="1581"/>
      <c r="G1853" s="1582"/>
      <c r="H1853" s="1583"/>
      <c r="I1853" s="1584"/>
      <c r="J1853" s="1585"/>
      <c r="K1853" s="1585"/>
      <c r="L1853" s="1583"/>
      <c r="M1853" s="1583"/>
      <c r="N1853" s="1586"/>
      <c r="O1853" s="1586"/>
      <c r="P1853" s="1587"/>
      <c r="Q1853" s="1588"/>
      <c r="R1853" s="1589"/>
      <c r="S1853" s="1590"/>
      <c r="T1853" s="1590"/>
      <c r="U1853" s="1590"/>
      <c r="V1853" s="1590"/>
      <c r="W1853" s="1590"/>
      <c r="X1853" s="1692"/>
      <c r="Y1853" s="1754"/>
      <c r="Z1853" s="1755"/>
      <c r="AA1853" s="1750"/>
      <c r="AB1853" s="550"/>
      <c r="AC1853" s="224"/>
      <c r="AD1853" s="170"/>
      <c r="AE1853" s="170"/>
      <c r="AF1853" s="170"/>
      <c r="AG1853" s="170"/>
      <c r="AH1853" s="170"/>
      <c r="AI1853" s="170"/>
      <c r="AJ1853" s="170"/>
      <c r="AK1853" s="170"/>
      <c r="AL1853" s="170"/>
      <c r="AM1853" s="170"/>
      <c r="AN1853" s="170"/>
      <c r="AO1853" s="170"/>
      <c r="AP1853" s="1572"/>
      <c r="AV1853" s="553"/>
      <c r="BT1853" s="1672"/>
    </row>
    <row r="1854" spans="2:75" s="164" customFormat="1" ht="12.75" customHeight="1" x14ac:dyDescent="0.15">
      <c r="B1854" s="175"/>
      <c r="C1854" s="1578"/>
      <c r="D1854" s="1579"/>
      <c r="E1854" s="1580"/>
      <c r="F1854" s="1581" t="s">
        <v>2062</v>
      </c>
      <c r="G1854" s="1582"/>
      <c r="H1854" s="1583"/>
      <c r="I1854" s="1584"/>
      <c r="J1854" s="1585"/>
      <c r="K1854" s="1585"/>
      <c r="L1854" s="1583"/>
      <c r="M1854" s="1583"/>
      <c r="N1854" s="1586"/>
      <c r="O1854" s="1586"/>
      <c r="P1854" s="1587"/>
      <c r="Q1854" s="1588"/>
      <c r="R1854" s="1589"/>
      <c r="S1854" s="1590"/>
      <c r="T1854" s="1590"/>
      <c r="U1854" s="1590"/>
      <c r="V1854" s="1590"/>
      <c r="W1854" s="1590"/>
      <c r="X1854" s="1692"/>
      <c r="Y1854" s="1754"/>
      <c r="Z1854" s="1755"/>
      <c r="AA1854" s="1750"/>
      <c r="AB1854" s="550"/>
      <c r="AC1854" s="224"/>
      <c r="AD1854" s="170"/>
      <c r="AE1854" s="170"/>
      <c r="AF1854" s="170"/>
      <c r="AG1854" s="170"/>
      <c r="AH1854" s="170"/>
      <c r="AI1854" s="170"/>
      <c r="AJ1854" s="170"/>
      <c r="AK1854" s="170"/>
      <c r="AL1854" s="170"/>
      <c r="AM1854" s="170"/>
      <c r="AN1854" s="170"/>
      <c r="AO1854" s="170"/>
      <c r="AP1854" s="1572"/>
      <c r="AV1854" s="553"/>
      <c r="BT1854" s="1672"/>
    </row>
    <row r="1855" spans="2:75" ht="12.75" customHeight="1" x14ac:dyDescent="0.2">
      <c r="B1855" s="175">
        <f t="shared" ref="B1855:B1862" si="1133">B1854+1</f>
        <v>1</v>
      </c>
      <c r="C1855" s="219">
        <v>10</v>
      </c>
      <c r="D1855" s="170"/>
      <c r="E1855" s="12" t="s">
        <v>2057</v>
      </c>
      <c r="F1855" s="4" t="s">
        <v>824</v>
      </c>
      <c r="G1855" s="856" t="s">
        <v>2063</v>
      </c>
      <c r="H1855" s="858">
        <v>164621</v>
      </c>
      <c r="I1855" s="172" t="s">
        <v>583</v>
      </c>
      <c r="J1855" s="168"/>
      <c r="K1855" s="168"/>
      <c r="L1855" s="858">
        <v>1</v>
      </c>
      <c r="M1855" s="858">
        <v>1</v>
      </c>
      <c r="N1855" s="857" t="s">
        <v>892</v>
      </c>
      <c r="O1855" s="1196">
        <v>25635</v>
      </c>
      <c r="P1855" s="1218">
        <f ca="1">YEARFRAC(TODAY(),O1855)</f>
        <v>47.56666666666667</v>
      </c>
      <c r="Q1855" s="1148">
        <v>50000</v>
      </c>
      <c r="R1855" s="874"/>
      <c r="S1855" s="875"/>
      <c r="T1855" s="877">
        <v>5000</v>
      </c>
      <c r="U1855" s="877"/>
      <c r="V1855" s="877"/>
      <c r="W1855" s="875"/>
      <c r="X1855" s="1026">
        <f t="shared" ref="X1855:X1859" si="1134">(Q1855+R1855+S1855+T1855+U1855+V1855+W1855)*M1855</f>
        <v>55000</v>
      </c>
      <c r="Y1855" s="1512">
        <f t="shared" si="1128"/>
        <v>0.1</v>
      </c>
      <c r="Z1855" s="1741">
        <f t="shared" si="1129"/>
        <v>1.1000000000000001</v>
      </c>
      <c r="AA1855" s="1750"/>
      <c r="AB1855" s="1760"/>
      <c r="AC1855" s="224"/>
      <c r="AD1855" s="170"/>
      <c r="AE1855" s="170"/>
      <c r="AF1855" s="170"/>
      <c r="AG1855" s="170"/>
      <c r="AH1855" s="170"/>
      <c r="AI1855" s="170"/>
      <c r="AJ1855" s="170"/>
      <c r="AK1855" s="170"/>
      <c r="AL1855" s="170"/>
      <c r="AM1855" s="170"/>
      <c r="AN1855" s="170"/>
      <c r="AO1855" s="170"/>
      <c r="AP1855" s="1572"/>
      <c r="AQ1855" s="224"/>
      <c r="AR1855" s="210"/>
      <c r="AS1855" s="224"/>
      <c r="AU1855" s="224"/>
      <c r="AV1855" s="1292"/>
      <c r="BT1855" s="1671"/>
      <c r="BV1855" s="224"/>
      <c r="BW1855" s="224"/>
    </row>
    <row r="1856" spans="2:75" ht="12.75" customHeight="1" x14ac:dyDescent="0.2">
      <c r="B1856" s="175">
        <f t="shared" si="1133"/>
        <v>2</v>
      </c>
      <c r="C1856" s="219">
        <v>14</v>
      </c>
      <c r="D1856" s="170"/>
      <c r="E1856" s="12" t="s">
        <v>2057</v>
      </c>
      <c r="F1856" s="24" t="s">
        <v>1235</v>
      </c>
      <c r="G1856" s="913" t="s">
        <v>403</v>
      </c>
      <c r="H1856" s="858">
        <v>3315</v>
      </c>
      <c r="I1856" s="197" t="s">
        <v>583</v>
      </c>
      <c r="J1856" s="174"/>
      <c r="K1856" s="174"/>
      <c r="L1856" s="861">
        <v>1</v>
      </c>
      <c r="M1856" s="858">
        <f>K1856+L1856</f>
        <v>1</v>
      </c>
      <c r="N1856" s="836" t="s">
        <v>892</v>
      </c>
      <c r="O1856" s="1196">
        <v>19737</v>
      </c>
      <c r="P1856" s="1218">
        <f ca="1">YEARFRAC(TODAY(),O1856)</f>
        <v>63.719444444444441</v>
      </c>
      <c r="Q1856" s="1148">
        <v>29800</v>
      </c>
      <c r="R1856" s="874"/>
      <c r="S1856" s="875"/>
      <c r="T1856" s="877">
        <v>5000</v>
      </c>
      <c r="U1856" s="877">
        <v>4000</v>
      </c>
      <c r="V1856" s="877"/>
      <c r="W1856" s="875"/>
      <c r="X1856" s="1026">
        <f t="shared" si="1134"/>
        <v>38800</v>
      </c>
      <c r="Y1856" s="1512">
        <f t="shared" si="1128"/>
        <v>0.30201342281879195</v>
      </c>
      <c r="Z1856" s="1741">
        <f t="shared" si="1129"/>
        <v>1.3020134228187921</v>
      </c>
      <c r="AA1856" s="1750"/>
      <c r="AB1856" s="1760"/>
      <c r="AC1856" s="224"/>
      <c r="AD1856" s="170"/>
      <c r="AE1856" s="170"/>
      <c r="AF1856" s="170"/>
      <c r="AG1856" s="170"/>
      <c r="AH1856" s="170"/>
      <c r="AI1856" s="170"/>
      <c r="AJ1856" s="170"/>
      <c r="AK1856" s="170"/>
      <c r="AL1856" s="170"/>
      <c r="AM1856" s="170"/>
      <c r="AN1856" s="170"/>
      <c r="AO1856" s="170"/>
      <c r="AP1856" s="1572"/>
      <c r="AQ1856" s="224"/>
      <c r="AR1856" s="210"/>
      <c r="AS1856" s="224"/>
      <c r="AU1856" s="224"/>
      <c r="AV1856" s="1292"/>
      <c r="BT1856" s="1671"/>
      <c r="BV1856" s="224"/>
      <c r="BW1856" s="224"/>
    </row>
    <row r="1857" spans="2:75" ht="12.75" customHeight="1" x14ac:dyDescent="0.2">
      <c r="B1857" s="175">
        <f t="shared" si="1133"/>
        <v>3</v>
      </c>
      <c r="C1857" s="219">
        <v>14</v>
      </c>
      <c r="D1857" s="170"/>
      <c r="E1857" s="12" t="s">
        <v>2057</v>
      </c>
      <c r="F1857" s="24" t="s">
        <v>1272</v>
      </c>
      <c r="G1857" s="913" t="s">
        <v>1645</v>
      </c>
      <c r="H1857" s="858">
        <v>3315</v>
      </c>
      <c r="I1857" s="197" t="s">
        <v>583</v>
      </c>
      <c r="J1857" s="174"/>
      <c r="K1857" s="174"/>
      <c r="L1857" s="861">
        <v>1</v>
      </c>
      <c r="M1857" s="858">
        <f>K1857+L1857</f>
        <v>1</v>
      </c>
      <c r="N1857" s="836" t="s">
        <v>892</v>
      </c>
      <c r="O1857" s="1196">
        <v>19737</v>
      </c>
      <c r="P1857" s="1218">
        <f ca="1">YEARFRAC(TODAY(),O1857)</f>
        <v>63.719444444444441</v>
      </c>
      <c r="Q1857" s="1148">
        <v>29800</v>
      </c>
      <c r="R1857" s="874"/>
      <c r="S1857" s="875"/>
      <c r="T1857" s="877">
        <v>5000</v>
      </c>
      <c r="U1857" s="877">
        <v>4000</v>
      </c>
      <c r="V1857" s="877"/>
      <c r="W1857" s="875"/>
      <c r="X1857" s="1026">
        <f t="shared" si="1134"/>
        <v>38800</v>
      </c>
      <c r="Y1857" s="1512">
        <f t="shared" si="1128"/>
        <v>0.30201342281879195</v>
      </c>
      <c r="Z1857" s="1741">
        <f t="shared" si="1129"/>
        <v>1.3020134228187921</v>
      </c>
      <c r="AA1857" s="1750"/>
      <c r="AB1857" s="1760"/>
      <c r="AC1857" s="224"/>
      <c r="AD1857" s="170"/>
      <c r="AE1857" s="170"/>
      <c r="AF1857" s="170"/>
      <c r="AG1857" s="170"/>
      <c r="AH1857" s="170"/>
      <c r="AI1857" s="170"/>
      <c r="AJ1857" s="170"/>
      <c r="AK1857" s="170"/>
      <c r="AL1857" s="170"/>
      <c r="AM1857" s="170"/>
      <c r="AN1857" s="170"/>
      <c r="AO1857" s="170"/>
      <c r="AP1857" s="1572"/>
      <c r="AQ1857" s="224"/>
      <c r="AR1857" s="210"/>
      <c r="AS1857" s="224"/>
      <c r="AU1857" s="224"/>
      <c r="AV1857" s="1292"/>
      <c r="BT1857" s="1671"/>
      <c r="BV1857" s="224"/>
      <c r="BW1857" s="224"/>
    </row>
    <row r="1858" spans="2:75" ht="12.75" customHeight="1" x14ac:dyDescent="0.2">
      <c r="B1858" s="175">
        <f t="shared" si="1133"/>
        <v>4</v>
      </c>
      <c r="C1858" s="219">
        <v>14</v>
      </c>
      <c r="D1858" s="170"/>
      <c r="E1858" s="12" t="s">
        <v>2057</v>
      </c>
      <c r="F1858" s="24" t="s">
        <v>626</v>
      </c>
      <c r="G1858" s="913" t="s">
        <v>2064</v>
      </c>
      <c r="H1858" s="858">
        <v>170850</v>
      </c>
      <c r="I1858" s="197" t="s">
        <v>583</v>
      </c>
      <c r="J1858" s="174"/>
      <c r="K1858" s="174"/>
      <c r="L1858" s="861">
        <v>1</v>
      </c>
      <c r="M1858" s="858">
        <f>K1858+L1858</f>
        <v>1</v>
      </c>
      <c r="N1858" s="836" t="s">
        <v>892</v>
      </c>
      <c r="O1858" s="1196">
        <v>30182</v>
      </c>
      <c r="P1858" s="1218">
        <f ca="1">YEARFRAC(TODAY(),O1858)</f>
        <v>35.119444444444447</v>
      </c>
      <c r="Q1858" s="1148">
        <v>25000</v>
      </c>
      <c r="R1858" s="874"/>
      <c r="S1858" s="875"/>
      <c r="T1858" s="877"/>
      <c r="U1858" s="877"/>
      <c r="V1858" s="877"/>
      <c r="W1858" s="875"/>
      <c r="X1858" s="1026">
        <f t="shared" si="1134"/>
        <v>25000</v>
      </c>
      <c r="Y1858" s="1512">
        <f t="shared" si="1128"/>
        <v>0</v>
      </c>
      <c r="Z1858" s="1741">
        <f t="shared" si="1129"/>
        <v>1</v>
      </c>
      <c r="AA1858" s="1750"/>
      <c r="AB1858" s="1760"/>
      <c r="AC1858" s="224"/>
      <c r="AD1858" s="170"/>
      <c r="AE1858" s="170"/>
      <c r="AF1858" s="170"/>
      <c r="AG1858" s="170"/>
      <c r="AH1858" s="170"/>
      <c r="AI1858" s="170"/>
      <c r="AJ1858" s="170"/>
      <c r="AK1858" s="170"/>
      <c r="AL1858" s="170"/>
      <c r="AM1858" s="170"/>
      <c r="AN1858" s="170"/>
      <c r="AO1858" s="170"/>
      <c r="AP1858" s="1572"/>
      <c r="AQ1858" s="224"/>
      <c r="AR1858" s="210"/>
      <c r="AS1858" s="224"/>
      <c r="AU1858" s="224"/>
      <c r="AV1858" s="1292"/>
      <c r="BT1858" s="1671"/>
      <c r="BV1858" s="224"/>
      <c r="BW1858" s="224"/>
    </row>
    <row r="1859" spans="2:75" ht="12.75" customHeight="1" x14ac:dyDescent="0.2">
      <c r="B1859" s="175">
        <f t="shared" si="1133"/>
        <v>5</v>
      </c>
      <c r="C1859" s="219">
        <v>14</v>
      </c>
      <c r="D1859" s="170"/>
      <c r="E1859" s="12" t="s">
        <v>2057</v>
      </c>
      <c r="F1859" s="24" t="s">
        <v>626</v>
      </c>
      <c r="G1859" s="913" t="s">
        <v>383</v>
      </c>
      <c r="H1859" s="858">
        <v>3315</v>
      </c>
      <c r="I1859" s="197" t="s">
        <v>583</v>
      </c>
      <c r="J1859" s="174"/>
      <c r="K1859" s="174"/>
      <c r="L1859" s="861">
        <v>1</v>
      </c>
      <c r="M1859" s="858">
        <f>K1859+L1859</f>
        <v>1</v>
      </c>
      <c r="N1859" s="836" t="s">
        <v>892</v>
      </c>
      <c r="O1859" s="1196">
        <v>19737</v>
      </c>
      <c r="P1859" s="1218">
        <f ca="1">YEARFRAC(TODAY(),O1859)</f>
        <v>63.719444444444441</v>
      </c>
      <c r="Q1859" s="1148">
        <v>29800</v>
      </c>
      <c r="R1859" s="874"/>
      <c r="S1859" s="875"/>
      <c r="T1859" s="877">
        <v>5000</v>
      </c>
      <c r="U1859" s="877">
        <v>4000</v>
      </c>
      <c r="V1859" s="877"/>
      <c r="W1859" s="875"/>
      <c r="X1859" s="1026">
        <f t="shared" si="1134"/>
        <v>38800</v>
      </c>
      <c r="Y1859" s="1512">
        <f t="shared" si="1128"/>
        <v>0.30201342281879195</v>
      </c>
      <c r="Z1859" s="1741">
        <f t="shared" si="1129"/>
        <v>1.3020134228187921</v>
      </c>
      <c r="AA1859" s="1750"/>
      <c r="AB1859" s="1760"/>
      <c r="AC1859" s="224"/>
      <c r="AD1859" s="170"/>
      <c r="AE1859" s="170"/>
      <c r="AF1859" s="170"/>
      <c r="AG1859" s="170"/>
      <c r="AH1859" s="170"/>
      <c r="AI1859" s="170"/>
      <c r="AJ1859" s="170"/>
      <c r="AK1859" s="170"/>
      <c r="AL1859" s="170"/>
      <c r="AM1859" s="170"/>
      <c r="AN1859" s="170"/>
      <c r="AO1859" s="170"/>
      <c r="AP1859" s="1572"/>
      <c r="AQ1859" s="224"/>
      <c r="AR1859" s="210"/>
      <c r="AS1859" s="224"/>
      <c r="AU1859" s="224"/>
      <c r="AV1859" s="1292"/>
      <c r="BT1859" s="1671"/>
      <c r="BV1859" s="224"/>
      <c r="BW1859" s="224"/>
    </row>
    <row r="1860" spans="2:75" ht="12.75" customHeight="1" x14ac:dyDescent="0.2">
      <c r="B1860" s="175"/>
      <c r="C1860" s="219"/>
      <c r="D1860" s="170"/>
      <c r="E1860" s="12"/>
      <c r="F1860" s="24"/>
      <c r="G1860" s="913"/>
      <c r="H1860" s="858"/>
      <c r="I1860" s="197"/>
      <c r="J1860" s="174"/>
      <c r="K1860" s="174"/>
      <c r="L1860" s="861"/>
      <c r="M1860" s="858"/>
      <c r="N1860" s="836"/>
      <c r="O1860" s="1196"/>
      <c r="P1860" s="1218"/>
      <c r="Q1860" s="1148"/>
      <c r="R1860" s="874"/>
      <c r="S1860" s="875"/>
      <c r="T1860" s="877"/>
      <c r="U1860" s="877"/>
      <c r="V1860" s="877"/>
      <c r="W1860" s="875"/>
      <c r="X1860" s="1692"/>
      <c r="Y1860" s="1754"/>
      <c r="Z1860" s="1755"/>
      <c r="AA1860" s="1750"/>
      <c r="AB1860" s="1760"/>
      <c r="AC1860" s="224"/>
      <c r="AD1860" s="170"/>
      <c r="AE1860" s="170"/>
      <c r="AF1860" s="170"/>
      <c r="AG1860" s="170"/>
      <c r="AH1860" s="170"/>
      <c r="AI1860" s="170"/>
      <c r="AJ1860" s="170"/>
      <c r="AK1860" s="170"/>
      <c r="AL1860" s="170"/>
      <c r="AM1860" s="170"/>
      <c r="AN1860" s="170"/>
      <c r="AO1860" s="170"/>
      <c r="AP1860" s="1572"/>
      <c r="AQ1860" s="224"/>
      <c r="AR1860" s="210"/>
      <c r="AS1860" s="224"/>
      <c r="AU1860" s="224"/>
      <c r="AV1860" s="1292"/>
      <c r="BT1860" s="1671"/>
      <c r="BV1860" s="224"/>
      <c r="BW1860" s="224"/>
    </row>
    <row r="1861" spans="2:75" s="164" customFormat="1" ht="12.75" customHeight="1" x14ac:dyDescent="0.15">
      <c r="B1861" s="175"/>
      <c r="C1861" s="219"/>
      <c r="D1861" s="170"/>
      <c r="F1861" s="37" t="s">
        <v>436</v>
      </c>
      <c r="G1861" s="913"/>
      <c r="H1861" s="861" t="s">
        <v>1508</v>
      </c>
      <c r="I1861" s="180"/>
      <c r="J1861" s="173"/>
      <c r="K1861" s="192"/>
      <c r="L1861" s="861"/>
      <c r="M1861" s="861"/>
      <c r="N1861" s="836"/>
      <c r="O1861" s="1200"/>
      <c r="P1861" s="550"/>
      <c r="Q1861" s="1153"/>
      <c r="R1861" s="877"/>
      <c r="S1861" s="875"/>
      <c r="T1861" s="875"/>
      <c r="U1861" s="875"/>
      <c r="V1861" s="875"/>
      <c r="W1861" s="875"/>
      <c r="X1861" s="1692"/>
      <c r="Y1861" s="1754"/>
      <c r="Z1861" s="1755"/>
      <c r="AA1861" s="1750"/>
      <c r="AB1861" s="550"/>
      <c r="AC1861" s="224"/>
      <c r="AD1861" s="170"/>
      <c r="AE1861" s="170"/>
      <c r="AF1861" s="170"/>
      <c r="AG1861" s="170"/>
      <c r="AH1861" s="170"/>
      <c r="AI1861" s="170"/>
      <c r="AJ1861" s="170"/>
      <c r="AK1861" s="170"/>
      <c r="AL1861" s="170"/>
      <c r="AM1861" s="170"/>
      <c r="AN1861" s="170"/>
      <c r="AO1861" s="170"/>
      <c r="AP1861" s="1595"/>
      <c r="AV1861" s="553"/>
      <c r="BT1861" s="1672"/>
    </row>
    <row r="1862" spans="2:75" s="164" customFormat="1" ht="12.75" customHeight="1" x14ac:dyDescent="0.2">
      <c r="B1862" s="175">
        <f t="shared" si="1133"/>
        <v>1</v>
      </c>
      <c r="C1862" s="219">
        <v>14</v>
      </c>
      <c r="D1862" s="170"/>
      <c r="E1862" s="12" t="s">
        <v>2057</v>
      </c>
      <c r="F1862" s="37" t="s">
        <v>1158</v>
      </c>
      <c r="G1862" s="913" t="s">
        <v>1815</v>
      </c>
      <c r="H1862" s="861">
        <v>160844</v>
      </c>
      <c r="I1862" s="180" t="s">
        <v>583</v>
      </c>
      <c r="J1862" s="173"/>
      <c r="K1862" s="192">
        <v>1</v>
      </c>
      <c r="L1862" s="861"/>
      <c r="M1862" s="861">
        <v>1</v>
      </c>
      <c r="N1862" s="836" t="s">
        <v>892</v>
      </c>
      <c r="O1862" s="1196">
        <v>29096</v>
      </c>
      <c r="P1862" s="1218">
        <f ca="1">YEARFRAC(TODAY(),O1862)</f>
        <v>38.091666666666669</v>
      </c>
      <c r="Q1862" s="1153">
        <v>30000</v>
      </c>
      <c r="R1862" s="877"/>
      <c r="S1862" s="875"/>
      <c r="T1862" s="875"/>
      <c r="U1862" s="875"/>
      <c r="V1862" s="875"/>
      <c r="W1862" s="875"/>
      <c r="X1862" s="1026">
        <f t="shared" ref="X1862" si="1135">(Q1862+R1862+S1862+T1862+U1862+V1862+W1862)*M1862</f>
        <v>30000</v>
      </c>
      <c r="Y1862" s="1512">
        <f t="shared" si="1128"/>
        <v>0</v>
      </c>
      <c r="Z1862" s="1741">
        <f t="shared" si="1129"/>
        <v>1</v>
      </c>
      <c r="AA1862" s="1750"/>
      <c r="AB1862" s="550"/>
      <c r="AC1862" s="224"/>
      <c r="AD1862" s="170"/>
      <c r="AE1862" s="170"/>
      <c r="AF1862" s="170"/>
      <c r="AG1862" s="170"/>
      <c r="AH1862" s="170"/>
      <c r="AI1862" s="170"/>
      <c r="AJ1862" s="170"/>
      <c r="AK1862" s="170"/>
      <c r="AL1862" s="170"/>
      <c r="AM1862" s="170"/>
      <c r="AN1862" s="170"/>
      <c r="AO1862" s="170"/>
      <c r="AP1862" s="1595"/>
      <c r="AV1862" s="553"/>
      <c r="BT1862" s="1672"/>
    </row>
    <row r="1863" spans="2:75" s="164" customFormat="1" ht="12.75" customHeight="1" x14ac:dyDescent="0.15">
      <c r="B1863" s="175"/>
      <c r="C1863" s="1578"/>
      <c r="D1863" s="1579"/>
      <c r="E1863" s="1580"/>
      <c r="F1863" s="1581"/>
      <c r="G1863" s="1582"/>
      <c r="H1863" s="1583"/>
      <c r="I1863" s="1584"/>
      <c r="J1863" s="1585"/>
      <c r="K1863" s="1585"/>
      <c r="L1863" s="1583"/>
      <c r="M1863" s="1583"/>
      <c r="N1863" s="1586"/>
      <c r="O1863" s="1586"/>
      <c r="P1863" s="1587"/>
      <c r="Q1863" s="1588"/>
      <c r="R1863" s="1589"/>
      <c r="S1863" s="1590"/>
      <c r="T1863" s="1590"/>
      <c r="U1863" s="1590"/>
      <c r="V1863" s="1590"/>
      <c r="W1863" s="1590"/>
      <c r="X1863" s="1692"/>
      <c r="Y1863" s="1590"/>
      <c r="Z1863" s="1574"/>
      <c r="AA1863" s="1750"/>
      <c r="AB1863" s="550"/>
      <c r="AC1863" s="224"/>
      <c r="AD1863" s="170"/>
      <c r="AE1863" s="170"/>
      <c r="AF1863" s="170"/>
      <c r="AG1863" s="170"/>
      <c r="AH1863" s="170"/>
      <c r="AI1863" s="170"/>
      <c r="AJ1863" s="170"/>
      <c r="AK1863" s="170"/>
      <c r="AL1863" s="170"/>
      <c r="AM1863" s="170"/>
      <c r="AN1863" s="170"/>
      <c r="AO1863" s="170"/>
      <c r="AP1863" s="1572"/>
      <c r="AV1863" s="553"/>
      <c r="BT1863" s="1672"/>
    </row>
    <row r="1864" spans="2:75" s="164" customFormat="1" ht="12.75" customHeight="1" x14ac:dyDescent="0.15">
      <c r="B1864" s="175"/>
      <c r="C1864" s="219" t="s">
        <v>1120</v>
      </c>
      <c r="D1864" s="170"/>
      <c r="F1864" s="325" t="s">
        <v>2065</v>
      </c>
      <c r="G1864" s="834"/>
      <c r="H1864" s="892" t="s">
        <v>1508</v>
      </c>
      <c r="I1864" s="197"/>
      <c r="J1864" s="174"/>
      <c r="K1864" s="446">
        <f>SUM(K1855:K1863)</f>
        <v>1</v>
      </c>
      <c r="L1864" s="892">
        <f>SUM(L1855:L1863)</f>
        <v>5</v>
      </c>
      <c r="M1864" s="892">
        <f>SUM(M1855:M1863)</f>
        <v>6</v>
      </c>
      <c r="N1864" s="832"/>
      <c r="O1864" s="1200"/>
      <c r="P1864" s="550"/>
      <c r="Q1864" s="1153"/>
      <c r="R1864" s="877"/>
      <c r="S1864" s="875"/>
      <c r="T1864" s="875"/>
      <c r="U1864" s="875"/>
      <c r="V1864" s="875"/>
      <c r="W1864" s="875"/>
      <c r="X1864" s="1692"/>
      <c r="Y1864" s="876"/>
      <c r="Z1864" s="1574"/>
      <c r="AA1864" s="1750"/>
      <c r="AB1864" s="550"/>
      <c r="AC1864" s="224"/>
      <c r="AD1864" s="170"/>
      <c r="AE1864" s="170"/>
      <c r="AF1864" s="170"/>
      <c r="AG1864" s="170"/>
      <c r="AH1864" s="170"/>
      <c r="AI1864" s="170"/>
      <c r="AJ1864" s="170"/>
      <c r="AK1864" s="170"/>
      <c r="AL1864" s="170"/>
      <c r="AM1864" s="170"/>
      <c r="AN1864" s="170"/>
      <c r="AO1864" s="170"/>
      <c r="AP1864" s="1572"/>
      <c r="AV1864" s="553"/>
      <c r="BT1864" s="1672"/>
    </row>
    <row r="1865" spans="2:75" s="164" customFormat="1" ht="12.75" customHeight="1" x14ac:dyDescent="0.15">
      <c r="B1865" s="175"/>
      <c r="C1865" s="1780" t="s">
        <v>139</v>
      </c>
      <c r="D1865" s="1596" t="s">
        <v>346</v>
      </c>
      <c r="E1865" s="1597" t="s">
        <v>2057</v>
      </c>
      <c r="F1865" s="383" t="s">
        <v>2066</v>
      </c>
      <c r="G1865" s="863">
        <f>COUNTA(G1834:G1864)</f>
        <v>19</v>
      </c>
      <c r="H1865" s="1003" t="s">
        <v>1508</v>
      </c>
      <c r="I1865" s="1598"/>
      <c r="J1865" s="1599"/>
      <c r="K1865" s="1600">
        <f>K1761+K1771+K1785+K1811+K1830+K1840+K1864</f>
        <v>1</v>
      </c>
      <c r="L1865" s="1003">
        <f>L1844+L1851+L1864</f>
        <v>18</v>
      </c>
      <c r="M1865" s="1003">
        <f>M1864+M1851+M1844</f>
        <v>19</v>
      </c>
      <c r="N1865" s="840"/>
      <c r="O1865" s="840"/>
      <c r="P1865" s="1220"/>
      <c r="Q1865" s="1154"/>
      <c r="R1865" s="887"/>
      <c r="S1865" s="880"/>
      <c r="T1865" s="880"/>
      <c r="U1865" s="880"/>
      <c r="V1865" s="880"/>
      <c r="W1865" s="880"/>
      <c r="X1865" s="1276">
        <f>SUM(X1835:X1863)</f>
        <v>837800</v>
      </c>
      <c r="Y1865" s="1276"/>
      <c r="Z1865" s="1665">
        <f t="shared" ref="Z1865:AA1865" si="1136">SUM(Z1835:Z1863)</f>
        <v>23.300223591658959</v>
      </c>
      <c r="AA1865" s="1840">
        <f t="shared" si="1136"/>
        <v>0</v>
      </c>
      <c r="AB1865" s="1813">
        <f t="shared" ref="AB1865" si="1137">100*AA1865/Z1865</f>
        <v>0</v>
      </c>
      <c r="AC1865" s="224"/>
      <c r="AD1865" s="170"/>
      <c r="AE1865" s="170"/>
      <c r="AF1865" s="170"/>
      <c r="AG1865" s="170"/>
      <c r="AH1865" s="170"/>
      <c r="AI1865" s="170"/>
      <c r="AJ1865" s="170"/>
      <c r="AK1865" s="170"/>
      <c r="AL1865" s="170"/>
      <c r="AM1865" s="170"/>
      <c r="AN1865" s="170"/>
      <c r="AO1865" s="170"/>
      <c r="AP1865" s="1572"/>
      <c r="AV1865" s="553"/>
      <c r="BT1865" s="1672"/>
    </row>
    <row r="1866" spans="2:75" s="164" customFormat="1" ht="12.75" customHeight="1" x14ac:dyDescent="0.15">
      <c r="B1866" s="175"/>
      <c r="C1866" s="429" t="s">
        <v>1132</v>
      </c>
      <c r="D1866" s="423"/>
      <c r="E1866" s="1601" t="s">
        <v>2057</v>
      </c>
      <c r="F1866" s="424" t="s">
        <v>893</v>
      </c>
      <c r="G1866" s="867"/>
      <c r="H1866" s="866" t="s">
        <v>1508</v>
      </c>
      <c r="I1866" s="426"/>
      <c r="J1866" s="425"/>
      <c r="K1866" s="425"/>
      <c r="L1866" s="866"/>
      <c r="M1866" s="866"/>
      <c r="N1866" s="926"/>
      <c r="O1866" s="926"/>
      <c r="P1866" s="1247"/>
      <c r="Q1866" s="1158"/>
      <c r="R1866" s="1027"/>
      <c r="S1866" s="1028"/>
      <c r="T1866" s="1028"/>
      <c r="U1866" s="1028"/>
      <c r="V1866" s="1028"/>
      <c r="W1866" s="1028"/>
      <c r="X1866" s="1028"/>
      <c r="Y1866" s="1028"/>
      <c r="Z1866" s="1574"/>
      <c r="AA1866" s="1750"/>
      <c r="AB1866" s="550"/>
      <c r="AC1866" s="224"/>
      <c r="AD1866" s="170"/>
      <c r="AE1866" s="170"/>
      <c r="AF1866" s="170"/>
      <c r="AG1866" s="170"/>
      <c r="AH1866" s="170"/>
      <c r="AI1866" s="170"/>
      <c r="AJ1866" s="170"/>
      <c r="AK1866" s="170"/>
      <c r="AL1866" s="170"/>
      <c r="AM1866" s="170"/>
      <c r="AN1866" s="170"/>
      <c r="AO1866" s="170"/>
      <c r="AP1866" s="1572"/>
      <c r="AV1866" s="553"/>
      <c r="BT1866" s="1672"/>
    </row>
    <row r="1867" spans="2:75" s="164" customFormat="1" ht="12.75" customHeight="1" x14ac:dyDescent="0.15">
      <c r="B1867" s="175"/>
      <c r="C1867" s="520" t="s">
        <v>793</v>
      </c>
      <c r="D1867" s="1602"/>
      <c r="E1867" s="1603" t="s">
        <v>2057</v>
      </c>
      <c r="F1867" s="517" t="s">
        <v>884</v>
      </c>
      <c r="G1867" s="1014"/>
      <c r="H1867" s="851" t="s">
        <v>1508</v>
      </c>
      <c r="I1867" s="518"/>
      <c r="J1867" s="519"/>
      <c r="K1867" s="519"/>
      <c r="L1867" s="851"/>
      <c r="M1867" s="851"/>
      <c r="N1867" s="850"/>
      <c r="O1867" s="850"/>
      <c r="P1867" s="1267"/>
      <c r="Q1867" s="1604"/>
      <c r="R1867" s="1605"/>
      <c r="S1867" s="1038"/>
      <c r="T1867" s="1038"/>
      <c r="U1867" s="1038"/>
      <c r="V1867" s="1038"/>
      <c r="W1867" s="1038"/>
      <c r="X1867" s="1038"/>
      <c r="Y1867" s="1038"/>
      <c r="Z1867" s="1574"/>
      <c r="AA1867" s="1750"/>
      <c r="AB1867" s="550"/>
      <c r="AC1867" s="224"/>
      <c r="AD1867" s="170"/>
      <c r="AE1867" s="170"/>
      <c r="AF1867" s="170"/>
      <c r="AG1867" s="170"/>
      <c r="AH1867" s="170"/>
      <c r="AI1867" s="170"/>
      <c r="AJ1867" s="170"/>
      <c r="AK1867" s="170"/>
      <c r="AL1867" s="170"/>
      <c r="AM1867" s="170"/>
      <c r="AN1867" s="170"/>
      <c r="AO1867" s="170"/>
      <c r="AP1867" s="1572"/>
      <c r="AV1867" s="553"/>
      <c r="BT1867" s="1672"/>
    </row>
    <row r="1868" spans="2:75" s="164" customFormat="1" ht="12.75" customHeight="1" x14ac:dyDescent="0.15">
      <c r="B1868" s="175"/>
      <c r="C1868" s="1578"/>
      <c r="D1868" s="1606"/>
      <c r="E1868" s="447"/>
      <c r="F1868" s="1607"/>
      <c r="G1868" s="1608"/>
      <c r="H1868" s="1609"/>
      <c r="I1868" s="1610"/>
      <c r="J1868" s="1611"/>
      <c r="K1868" s="1611"/>
      <c r="L1868" s="1609"/>
      <c r="M1868" s="1609"/>
      <c r="N1868" s="1586"/>
      <c r="O1868" s="1586"/>
      <c r="P1868" s="1587"/>
      <c r="Q1868" s="1153"/>
      <c r="R1868" s="884"/>
      <c r="S1868" s="876"/>
      <c r="T1868" s="876"/>
      <c r="U1868" s="876"/>
      <c r="V1868" s="876"/>
      <c r="W1868" s="876"/>
      <c r="X1868" s="1293"/>
      <c r="Y1868" s="1030"/>
      <c r="Z1868" s="170"/>
      <c r="AA1868" s="1750"/>
      <c r="AB1868" s="550"/>
      <c r="AC1868" s="224"/>
      <c r="AD1868" s="170"/>
      <c r="AE1868" s="170"/>
      <c r="AF1868" s="170"/>
      <c r="AG1868" s="170"/>
      <c r="AH1868" s="170"/>
      <c r="AI1868" s="170"/>
      <c r="AJ1868" s="170"/>
      <c r="AK1868" s="170"/>
      <c r="AL1868" s="170"/>
      <c r="AM1868" s="170"/>
      <c r="AN1868" s="170"/>
      <c r="AO1868" s="170"/>
      <c r="AP1868" s="1294"/>
      <c r="AV1868" s="553"/>
      <c r="BT1868" s="1672"/>
    </row>
    <row r="1869" spans="2:75" s="164" customFormat="1" ht="15" customHeight="1" x14ac:dyDescent="0.15">
      <c r="B1869" s="175"/>
      <c r="D1869" s="170"/>
      <c r="E1869" s="170"/>
      <c r="F1869" s="2" t="s">
        <v>90</v>
      </c>
      <c r="G1869" s="855"/>
      <c r="H1869" s="841" t="s">
        <v>1508</v>
      </c>
      <c r="I1869" s="259"/>
      <c r="J1869" s="302"/>
      <c r="K1869" s="302"/>
      <c r="L1869" s="841"/>
      <c r="M1869" s="841"/>
      <c r="N1869" s="948"/>
      <c r="O1869" s="1200"/>
      <c r="P1869" s="550"/>
      <c r="Q1869" s="1148"/>
      <c r="R1869" s="874"/>
      <c r="S1869" s="875"/>
      <c r="T1869" s="875"/>
      <c r="U1869" s="875"/>
      <c r="V1869" s="875"/>
      <c r="W1869" s="875"/>
      <c r="X1869" s="1692"/>
      <c r="Y1869" s="1026"/>
      <c r="Z1869" s="1574"/>
      <c r="AA1869" s="1750"/>
      <c r="AB1869" s="550"/>
      <c r="AC1869" s="224"/>
      <c r="AD1869" s="170"/>
      <c r="AE1869" s="170"/>
      <c r="AF1869" s="170"/>
      <c r="AG1869" s="170"/>
      <c r="AH1869" s="170"/>
      <c r="AI1869" s="170"/>
      <c r="AJ1869" s="170"/>
      <c r="AK1869" s="170"/>
      <c r="AL1869" s="170"/>
      <c r="AM1869" s="170"/>
      <c r="AN1869" s="170"/>
      <c r="AO1869" s="170"/>
      <c r="AP1869" s="1572"/>
      <c r="AV1869" s="553"/>
      <c r="BT1869" s="1672"/>
    </row>
    <row r="1870" spans="2:75" s="164" customFormat="1" ht="12.75" customHeight="1" x14ac:dyDescent="0.15">
      <c r="B1870" s="175"/>
      <c r="D1870" s="170"/>
      <c r="F1870" s="47" t="s">
        <v>91</v>
      </c>
      <c r="G1870" s="855"/>
      <c r="H1870" s="841" t="s">
        <v>1508</v>
      </c>
      <c r="I1870" s="259"/>
      <c r="J1870" s="302"/>
      <c r="K1870" s="302"/>
      <c r="L1870" s="841"/>
      <c r="M1870" s="841"/>
      <c r="N1870" s="948"/>
      <c r="O1870" s="1200"/>
      <c r="P1870" s="550"/>
      <c r="Q1870" s="1148"/>
      <c r="R1870" s="874"/>
      <c r="S1870" s="875"/>
      <c r="T1870" s="875"/>
      <c r="U1870" s="875"/>
      <c r="V1870" s="875"/>
      <c r="W1870" s="875"/>
      <c r="X1870" s="1692"/>
      <c r="Y1870" s="876"/>
      <c r="Z1870" s="1574"/>
      <c r="AA1870" s="1750"/>
      <c r="AB1870" s="550"/>
      <c r="AC1870" s="224"/>
      <c r="AD1870" s="170"/>
      <c r="AE1870" s="170"/>
      <c r="AF1870" s="170"/>
      <c r="AG1870" s="170"/>
      <c r="AH1870" s="170"/>
      <c r="AI1870" s="170"/>
      <c r="AJ1870" s="170"/>
      <c r="AK1870" s="170"/>
      <c r="AL1870" s="170"/>
      <c r="AM1870" s="170"/>
      <c r="AN1870" s="170"/>
      <c r="AO1870" s="170"/>
      <c r="AP1870" s="1572"/>
      <c r="AV1870" s="553"/>
      <c r="BT1870" s="1672"/>
    </row>
    <row r="1871" spans="2:75" s="164" customFormat="1" ht="12.75" customHeight="1" x14ac:dyDescent="0.15">
      <c r="B1871" s="175"/>
      <c r="D1871" s="170"/>
      <c r="F1871" s="85"/>
      <c r="G1871" s="855"/>
      <c r="H1871" s="841" t="s">
        <v>1508</v>
      </c>
      <c r="I1871" s="259"/>
      <c r="J1871" s="302"/>
      <c r="K1871" s="302"/>
      <c r="L1871" s="841"/>
      <c r="M1871" s="841"/>
      <c r="N1871" s="948"/>
      <c r="O1871" s="1200"/>
      <c r="P1871" s="550"/>
      <c r="Q1871" s="1148"/>
      <c r="R1871" s="874"/>
      <c r="S1871" s="875"/>
      <c r="T1871" s="875"/>
      <c r="U1871" s="875"/>
      <c r="V1871" s="875"/>
      <c r="W1871" s="875"/>
      <c r="X1871" s="1692"/>
      <c r="Y1871" s="876"/>
      <c r="Z1871" s="1574"/>
      <c r="AA1871" s="1750"/>
      <c r="AB1871" s="550"/>
      <c r="AC1871" s="224"/>
      <c r="AD1871" s="170"/>
      <c r="AE1871" s="170"/>
      <c r="AF1871" s="170"/>
      <c r="AG1871" s="170"/>
      <c r="AH1871" s="170"/>
      <c r="AI1871" s="170"/>
      <c r="AJ1871" s="170"/>
      <c r="AK1871" s="170"/>
      <c r="AL1871" s="170"/>
      <c r="AM1871" s="170"/>
      <c r="AN1871" s="170"/>
      <c r="AO1871" s="170"/>
      <c r="AP1871" s="1572"/>
      <c r="AV1871" s="553"/>
      <c r="BT1871" s="1672"/>
    </row>
    <row r="1872" spans="2:75" s="164" customFormat="1" ht="15.75" customHeight="1" x14ac:dyDescent="0.15">
      <c r="B1872" s="175"/>
      <c r="D1872" s="170"/>
      <c r="F1872" s="47" t="s">
        <v>92</v>
      </c>
      <c r="G1872" s="832"/>
      <c r="H1872" s="893" t="s">
        <v>1508</v>
      </c>
      <c r="I1872" s="1316"/>
      <c r="J1872" s="169"/>
      <c r="K1872" s="169"/>
      <c r="L1872" s="893"/>
      <c r="M1872" s="893"/>
      <c r="N1872" s="948"/>
      <c r="O1872" s="1200"/>
      <c r="P1872" s="550"/>
      <c r="Q1872" s="1148"/>
      <c r="R1872" s="874"/>
      <c r="S1872" s="875"/>
      <c r="T1872" s="875"/>
      <c r="U1872" s="875"/>
      <c r="V1872" s="875"/>
      <c r="W1872" s="875"/>
      <c r="X1872" s="1692"/>
      <c r="Y1872" s="876"/>
      <c r="Z1872" s="1574"/>
      <c r="AA1872" s="1750"/>
      <c r="AB1872" s="550"/>
      <c r="AC1872" s="224"/>
      <c r="AD1872" s="170"/>
      <c r="AE1872" s="170"/>
      <c r="AF1872" s="170"/>
      <c r="AG1872" s="170"/>
      <c r="AH1872" s="170"/>
      <c r="AI1872" s="170"/>
      <c r="AJ1872" s="170"/>
      <c r="AK1872" s="170"/>
      <c r="AL1872" s="170"/>
      <c r="AM1872" s="170"/>
      <c r="AN1872" s="170"/>
      <c r="AO1872" s="170"/>
      <c r="AP1872" s="1572"/>
      <c r="AV1872" s="553"/>
      <c r="BT1872" s="1672"/>
    </row>
    <row r="1873" spans="2:75" s="164" customFormat="1" ht="12.75" customHeight="1" x14ac:dyDescent="0.15">
      <c r="B1873" s="175"/>
      <c r="D1873" s="170"/>
      <c r="F1873" s="47" t="s">
        <v>99</v>
      </c>
      <c r="G1873" s="948"/>
      <c r="H1873" s="917" t="s">
        <v>1508</v>
      </c>
      <c r="I1873" s="251"/>
      <c r="J1873" s="296"/>
      <c r="K1873" s="296"/>
      <c r="L1873" s="917"/>
      <c r="M1873" s="917"/>
      <c r="N1873" s="948"/>
      <c r="O1873" s="1200"/>
      <c r="P1873" s="550"/>
      <c r="Q1873" s="1148"/>
      <c r="R1873" s="874"/>
      <c r="S1873" s="875"/>
      <c r="T1873" s="875"/>
      <c r="U1873" s="875"/>
      <c r="V1873" s="875"/>
      <c r="W1873" s="875"/>
      <c r="X1873" s="1692"/>
      <c r="Y1873" s="876"/>
      <c r="Z1873" s="1574"/>
      <c r="AA1873" s="1750"/>
      <c r="AB1873" s="550"/>
      <c r="AC1873" s="224"/>
      <c r="AD1873" s="170"/>
      <c r="AE1873" s="170"/>
      <c r="AF1873" s="170"/>
      <c r="AG1873" s="170"/>
      <c r="AH1873" s="170"/>
      <c r="AI1873" s="170"/>
      <c r="AJ1873" s="170"/>
      <c r="AK1873" s="170"/>
      <c r="AL1873" s="170"/>
      <c r="AM1873" s="170"/>
      <c r="AN1873" s="170"/>
      <c r="AO1873" s="170"/>
      <c r="AP1873" s="1572"/>
      <c r="AV1873" s="553"/>
      <c r="BT1873" s="1672"/>
    </row>
    <row r="1874" spans="2:75" s="164" customFormat="1" ht="12.75" customHeight="1" x14ac:dyDescent="0.15">
      <c r="B1874" s="175"/>
      <c r="D1874" s="170"/>
      <c r="F1874" s="47"/>
      <c r="G1874" s="832"/>
      <c r="H1874" s="893" t="s">
        <v>1508</v>
      </c>
      <c r="I1874" s="251"/>
      <c r="J1874" s="296"/>
      <c r="K1874" s="296"/>
      <c r="L1874" s="893"/>
      <c r="M1874" s="893"/>
      <c r="N1874" s="948"/>
      <c r="O1874" s="1200"/>
      <c r="P1874" s="550"/>
      <c r="Q1874" s="1148"/>
      <c r="R1874" s="874"/>
      <c r="S1874" s="875"/>
      <c r="T1874" s="875"/>
      <c r="U1874" s="875"/>
      <c r="V1874" s="875"/>
      <c r="W1874" s="875"/>
      <c r="X1874" s="1692"/>
      <c r="Y1874" s="876"/>
      <c r="Z1874" s="1574"/>
      <c r="AA1874" s="1750"/>
      <c r="AB1874" s="550"/>
      <c r="AC1874" s="224"/>
      <c r="AD1874" s="170"/>
      <c r="AE1874" s="170"/>
      <c r="AF1874" s="170"/>
      <c r="AG1874" s="170"/>
      <c r="AH1874" s="170"/>
      <c r="AI1874" s="170"/>
      <c r="AJ1874" s="170"/>
      <c r="AK1874" s="170"/>
      <c r="AL1874" s="170"/>
      <c r="AM1874" s="170"/>
      <c r="AN1874" s="170"/>
      <c r="AO1874" s="170"/>
      <c r="AP1874" s="1572"/>
      <c r="AV1874" s="553"/>
      <c r="BT1874" s="1672"/>
    </row>
    <row r="1875" spans="2:75" s="164" customFormat="1" ht="12.75" customHeight="1" x14ac:dyDescent="0.15">
      <c r="B1875" s="175"/>
      <c r="F1875" s="47" t="s">
        <v>100</v>
      </c>
      <c r="G1875" s="832"/>
      <c r="H1875" s="1358" t="s">
        <v>1508</v>
      </c>
      <c r="I1875" s="251"/>
      <c r="J1875" s="296"/>
      <c r="K1875" s="296"/>
      <c r="L1875" s="893"/>
      <c r="M1875" s="893"/>
      <c r="N1875" s="948"/>
      <c r="O1875" s="1200"/>
      <c r="P1875" s="550"/>
      <c r="Q1875" s="1148"/>
      <c r="R1875" s="874"/>
      <c r="S1875" s="875"/>
      <c r="T1875" s="875"/>
      <c r="U1875" s="875"/>
      <c r="V1875" s="875"/>
      <c r="W1875" s="875"/>
      <c r="X1875" s="1026"/>
      <c r="Y1875" s="1513"/>
      <c r="Z1875" s="1743"/>
      <c r="AA1875" s="1749"/>
      <c r="AB1875" s="1812"/>
      <c r="AC1875" s="876"/>
      <c r="AD1875" s="1295"/>
      <c r="AE1875" s="1525"/>
      <c r="AF1875" s="1525"/>
      <c r="AG1875" s="1525"/>
      <c r="AH1875" s="1525"/>
      <c r="AI1875" s="1525"/>
      <c r="AJ1875" s="1525"/>
      <c r="AK1875" s="1525"/>
      <c r="AL1875" s="1525"/>
      <c r="AM1875" s="1525"/>
      <c r="AN1875" s="1525"/>
      <c r="AO1875" s="1525"/>
      <c r="AP1875" s="1525"/>
      <c r="AQ1875" s="1525"/>
      <c r="AR1875" s="1525"/>
      <c r="AS1875" s="1525"/>
      <c r="AU1875" s="1525"/>
      <c r="AV1875" s="1295"/>
      <c r="AW1875" s="1525"/>
      <c r="AX1875" s="1525"/>
      <c r="AY1875" s="1525"/>
      <c r="AZ1875" s="1525"/>
      <c r="BA1875" s="1525"/>
      <c r="BB1875" s="1525"/>
      <c r="BC1875" s="1525"/>
      <c r="BD1875" s="1525"/>
      <c r="BE1875" s="1525"/>
      <c r="BF1875" s="1525"/>
      <c r="BG1875" s="1525"/>
      <c r="BH1875" s="1525"/>
      <c r="BI1875" s="1525"/>
      <c r="BJ1875" s="1525"/>
      <c r="BK1875" s="1525"/>
      <c r="BL1875" s="1525"/>
      <c r="BM1875" s="1525"/>
      <c r="BN1875" s="1525"/>
      <c r="BO1875" s="1525"/>
      <c r="BP1875" s="1525"/>
      <c r="BQ1875" s="1525"/>
      <c r="BR1875" s="1525"/>
      <c r="BS1875" s="1525"/>
      <c r="BT1875" s="1670"/>
      <c r="BV1875"/>
      <c r="BW1875" s="832"/>
    </row>
    <row r="1876" spans="2:75" s="164" customFormat="1" ht="12.75" customHeight="1" x14ac:dyDescent="0.15">
      <c r="B1876" s="175"/>
      <c r="F1876" s="86"/>
      <c r="G1876" s="834"/>
      <c r="H1876" s="1358" t="s">
        <v>1508</v>
      </c>
      <c r="I1876" s="287"/>
      <c r="J1876" s="181"/>
      <c r="K1876" s="181"/>
      <c r="L1876" s="893"/>
      <c r="M1876" s="893"/>
      <c r="N1876" s="832"/>
      <c r="O1876" s="1200"/>
      <c r="P1876" s="550"/>
      <c r="Q1876" s="1148"/>
      <c r="R1876" s="874"/>
      <c r="S1876" s="875"/>
      <c r="T1876" s="875"/>
      <c r="U1876" s="875"/>
      <c r="V1876" s="875"/>
      <c r="W1876" s="875"/>
      <c r="X1876" s="1026"/>
      <c r="Y1876" s="1513"/>
      <c r="Z1876" s="1743"/>
      <c r="AA1876" s="1749"/>
      <c r="AB1876" s="1812"/>
      <c r="AC1876" s="876"/>
      <c r="AD1876" s="1295"/>
      <c r="AE1876" s="1525"/>
      <c r="AF1876" s="1525"/>
      <c r="AG1876" s="1525"/>
      <c r="AH1876" s="1525"/>
      <c r="AI1876" s="1525"/>
      <c r="AJ1876" s="1525"/>
      <c r="AK1876" s="1525"/>
      <c r="AL1876" s="1525"/>
      <c r="AM1876" s="1525"/>
      <c r="AN1876" s="1525"/>
      <c r="AO1876" s="1525"/>
      <c r="AP1876" s="1525"/>
      <c r="AQ1876" s="1525"/>
      <c r="AR1876" s="1525"/>
      <c r="AS1876" s="1525"/>
      <c r="AU1876" s="1525"/>
      <c r="AV1876" s="1295"/>
      <c r="AW1876" s="1525"/>
      <c r="AX1876" s="1525"/>
      <c r="AY1876" s="1525"/>
      <c r="AZ1876" s="1525"/>
      <c r="BA1876" s="1525"/>
      <c r="BB1876" s="1525"/>
      <c r="BC1876" s="1525"/>
      <c r="BD1876" s="1525"/>
      <c r="BE1876" s="1525"/>
      <c r="BF1876" s="1525"/>
      <c r="BG1876" s="1525"/>
      <c r="BH1876" s="1525"/>
      <c r="BI1876" s="1525"/>
      <c r="BJ1876" s="1525"/>
      <c r="BK1876" s="1525"/>
      <c r="BL1876" s="1525"/>
      <c r="BM1876" s="1525"/>
      <c r="BN1876" s="1525"/>
      <c r="BO1876" s="1525"/>
      <c r="BP1876" s="1525"/>
      <c r="BQ1876" s="1525"/>
      <c r="BR1876" s="1525"/>
      <c r="BS1876" s="1525"/>
      <c r="BT1876" s="1670"/>
      <c r="BV1876"/>
      <c r="BW1876" s="834"/>
    </row>
    <row r="1877" spans="2:75" ht="12.75" customHeight="1" x14ac:dyDescent="0.2">
      <c r="B1877" s="175">
        <f>B1876+1</f>
        <v>1</v>
      </c>
      <c r="C1877" s="219">
        <v>13</v>
      </c>
      <c r="E1877" s="12" t="s">
        <v>1567</v>
      </c>
      <c r="F1877" s="4" t="s">
        <v>792</v>
      </c>
      <c r="G1877" s="856" t="s">
        <v>101</v>
      </c>
      <c r="H1877" s="858">
        <v>92284</v>
      </c>
      <c r="I1877" s="172" t="s">
        <v>583</v>
      </c>
      <c r="J1877" s="168"/>
      <c r="K1877" s="168"/>
      <c r="L1877" s="858">
        <v>1</v>
      </c>
      <c r="M1877" s="858">
        <f>K1877+L1877</f>
        <v>1</v>
      </c>
      <c r="N1877" s="857" t="s">
        <v>892</v>
      </c>
      <c r="O1877" s="1196">
        <v>25280</v>
      </c>
      <c r="P1877" s="1218">
        <f t="shared" ref="P1877:P1887" ca="1" si="1138">YEARFRAC(TODAY(),O1877)</f>
        <v>48.538888888888891</v>
      </c>
      <c r="Q1877" s="1148">
        <v>39500</v>
      </c>
      <c r="R1877" s="874"/>
      <c r="S1877" s="875"/>
      <c r="T1877" s="875"/>
      <c r="U1877" s="875">
        <v>5500</v>
      </c>
      <c r="V1877" s="875"/>
      <c r="W1877" s="875"/>
      <c r="X1877" s="1026">
        <f t="shared" ref="X1877:X1885" si="1139">(Q1877+R1877+S1877+T1877+U1877+V1877+W1877)*M1877</f>
        <v>45000</v>
      </c>
      <c r="Y1877" s="1512">
        <f t="shared" ref="Y1877:Y1885" si="1140">(T1877+U1877)*M1877/(X1877-M1877*(T1877+U1877))</f>
        <v>0.13924050632911392</v>
      </c>
      <c r="Z1877" s="1741">
        <f t="shared" ref="Z1877:Z1885" si="1141">M1877*(1+Y1877)</f>
        <v>1.139240506329114</v>
      </c>
      <c r="AA1877" s="1749"/>
      <c r="AB1877" s="1810">
        <f t="shared" ref="AB1877:AB1884" si="1142">100*AA1877/Z1877</f>
        <v>0</v>
      </c>
      <c r="AC1877" s="876"/>
      <c r="AD1877" s="1295"/>
      <c r="AE1877" s="1525"/>
      <c r="AF1877" s="1525"/>
      <c r="AG1877" s="1525"/>
      <c r="AH1877" s="1525"/>
      <c r="AI1877" s="1525"/>
      <c r="AJ1877" s="1525"/>
      <c r="AK1877" s="1525"/>
      <c r="AL1877" s="1525"/>
      <c r="AM1877" s="1525"/>
      <c r="AN1877" s="1525"/>
      <c r="AO1877" s="1525"/>
      <c r="AP1877" s="1525"/>
      <c r="AQ1877" s="1525"/>
      <c r="AR1877" s="1525"/>
      <c r="AS1877" s="1525"/>
      <c r="AU1877" s="1525"/>
      <c r="AV1877" s="1291"/>
      <c r="AW1877" s="1292"/>
      <c r="AX1877" s="1292"/>
      <c r="AY1877" s="1292"/>
      <c r="AZ1877" s="1292"/>
      <c r="BA1877" s="1292"/>
      <c r="BB1877" s="1292"/>
      <c r="BC1877" s="1292"/>
      <c r="BD1877" s="1292"/>
      <c r="BE1877" s="1292"/>
      <c r="BF1877" s="1292"/>
      <c r="BG1877" s="1292"/>
      <c r="BH1877" s="1292"/>
      <c r="BI1877" s="1292"/>
      <c r="BJ1877" s="1292"/>
      <c r="BK1877" s="1292"/>
      <c r="BL1877" s="1292"/>
      <c r="BM1877" s="1292"/>
      <c r="BN1877" s="1292"/>
      <c r="BO1877" s="1292"/>
      <c r="BP1877" s="1292"/>
      <c r="BQ1877" s="1292"/>
      <c r="BR1877" s="1292"/>
      <c r="BS1877" s="1292"/>
      <c r="BT1877" s="1670">
        <f t="shared" ref="BT1877:BT1884" si="1143">SUM(AV1877:BS1877)</f>
        <v>0</v>
      </c>
      <c r="BW1877" s="856" t="s">
        <v>101</v>
      </c>
    </row>
    <row r="1878" spans="2:75" ht="12.75" customHeight="1" x14ac:dyDescent="0.2">
      <c r="B1878" s="175">
        <f t="shared" ref="B1878:B1887" si="1144">B1877+1</f>
        <v>2</v>
      </c>
      <c r="C1878" s="219">
        <v>12</v>
      </c>
      <c r="E1878" s="12" t="s">
        <v>1567</v>
      </c>
      <c r="F1878" s="4" t="s">
        <v>792</v>
      </c>
      <c r="G1878" s="856" t="s">
        <v>1010</v>
      </c>
      <c r="H1878" s="858">
        <v>81203</v>
      </c>
      <c r="I1878" s="172" t="s">
        <v>583</v>
      </c>
      <c r="J1878" s="168"/>
      <c r="K1878" s="168"/>
      <c r="L1878" s="858">
        <v>1</v>
      </c>
      <c r="M1878" s="858">
        <v>1</v>
      </c>
      <c r="N1878" s="855" t="s">
        <v>892</v>
      </c>
      <c r="O1878" s="1196">
        <v>22614</v>
      </c>
      <c r="P1878" s="1218">
        <f t="shared" ca="1" si="1138"/>
        <v>55.841666666666669</v>
      </c>
      <c r="Q1878" s="1148">
        <v>36000</v>
      </c>
      <c r="R1878" s="874"/>
      <c r="S1878" s="875"/>
      <c r="T1878" s="875">
        <v>2000</v>
      </c>
      <c r="U1878" s="875">
        <v>5000</v>
      </c>
      <c r="V1878" s="875"/>
      <c r="W1878" s="875"/>
      <c r="X1878" s="1026">
        <f t="shared" si="1139"/>
        <v>43000</v>
      </c>
      <c r="Y1878" s="1512">
        <f t="shared" si="1140"/>
        <v>0.19444444444444445</v>
      </c>
      <c r="Z1878" s="1741">
        <f t="shared" si="1141"/>
        <v>1.1944444444444444</v>
      </c>
      <c r="AA1878" s="1749"/>
      <c r="AB1878" s="1810">
        <f t="shared" si="1142"/>
        <v>0</v>
      </c>
      <c r="AC1878" s="876"/>
      <c r="AD1878" s="1295"/>
      <c r="AE1878" s="1525"/>
      <c r="AF1878" s="1525"/>
      <c r="AG1878" s="1525"/>
      <c r="AH1878" s="1525"/>
      <c r="AI1878" s="1525"/>
      <c r="AJ1878" s="1525"/>
      <c r="AK1878" s="1525"/>
      <c r="AL1878" s="1525"/>
      <c r="AM1878" s="1525"/>
      <c r="AN1878" s="1525"/>
      <c r="AO1878" s="1525"/>
      <c r="AP1878" s="1525"/>
      <c r="AQ1878" s="1525"/>
      <c r="AR1878" s="1525"/>
      <c r="AS1878" s="1525"/>
      <c r="AU1878" s="1525"/>
      <c r="AV1878" s="1291"/>
      <c r="AW1878" s="1292"/>
      <c r="AX1878" s="1292"/>
      <c r="AY1878" s="1292"/>
      <c r="AZ1878" s="1292"/>
      <c r="BA1878" s="1292"/>
      <c r="BB1878" s="1292"/>
      <c r="BC1878" s="1292"/>
      <c r="BD1878" s="1292"/>
      <c r="BE1878" s="1292"/>
      <c r="BF1878" s="1292"/>
      <c r="BG1878" s="1292"/>
      <c r="BH1878" s="1292"/>
      <c r="BI1878" s="1292"/>
      <c r="BJ1878" s="1292"/>
      <c r="BK1878" s="1292"/>
      <c r="BL1878" s="1292"/>
      <c r="BM1878" s="1292"/>
      <c r="BN1878" s="1292"/>
      <c r="BO1878" s="1292"/>
      <c r="BP1878" s="1292"/>
      <c r="BQ1878" s="1292"/>
      <c r="BR1878" s="1292"/>
      <c r="BS1878" s="1292"/>
      <c r="BT1878" s="1670">
        <f t="shared" si="1143"/>
        <v>0</v>
      </c>
      <c r="BW1878" s="856" t="s">
        <v>1010</v>
      </c>
    </row>
    <row r="1879" spans="2:75" ht="12.75" customHeight="1" x14ac:dyDescent="0.2">
      <c r="B1879" s="175">
        <f t="shared" si="1144"/>
        <v>3</v>
      </c>
      <c r="C1879" s="219">
        <v>13</v>
      </c>
      <c r="E1879" s="12" t="s">
        <v>1567</v>
      </c>
      <c r="F1879" s="4" t="s">
        <v>792</v>
      </c>
      <c r="G1879" s="856" t="s">
        <v>470</v>
      </c>
      <c r="H1879" s="858">
        <v>3178</v>
      </c>
      <c r="I1879" s="172" t="s">
        <v>583</v>
      </c>
      <c r="J1879" s="168"/>
      <c r="K1879" s="168"/>
      <c r="L1879" s="858">
        <v>1</v>
      </c>
      <c r="M1879" s="858">
        <f>K1879+L1879</f>
        <v>1</v>
      </c>
      <c r="N1879" s="857" t="s">
        <v>892</v>
      </c>
      <c r="O1879" s="1196">
        <v>17765</v>
      </c>
      <c r="P1879" s="1218">
        <f t="shared" ca="1" si="1138"/>
        <v>69.11666666666666</v>
      </c>
      <c r="Q1879" s="1148">
        <v>36000</v>
      </c>
      <c r="R1879" s="874"/>
      <c r="S1879" s="875"/>
      <c r="T1879" s="877">
        <v>2600</v>
      </c>
      <c r="U1879" s="877">
        <v>7000</v>
      </c>
      <c r="V1879" s="877"/>
      <c r="W1879" s="875"/>
      <c r="X1879" s="1026">
        <f t="shared" si="1139"/>
        <v>45600</v>
      </c>
      <c r="Y1879" s="1512">
        <f t="shared" si="1140"/>
        <v>0.26666666666666666</v>
      </c>
      <c r="Z1879" s="1741">
        <f t="shared" si="1141"/>
        <v>1.2666666666666666</v>
      </c>
      <c r="AA1879" s="1749"/>
      <c r="AB1879" s="1810">
        <f t="shared" si="1142"/>
        <v>0</v>
      </c>
      <c r="AC1879" s="876"/>
      <c r="AD1879" s="1295"/>
      <c r="AE1879" s="1525"/>
      <c r="AF1879" s="1525"/>
      <c r="AG1879" s="1525"/>
      <c r="AH1879" s="1525"/>
      <c r="AI1879" s="1525"/>
      <c r="AJ1879" s="1525"/>
      <c r="AK1879" s="1525"/>
      <c r="AL1879" s="1525"/>
      <c r="AM1879" s="1525"/>
      <c r="AN1879" s="1525"/>
      <c r="AO1879" s="1525"/>
      <c r="AP1879" s="1525"/>
      <c r="AQ1879" s="1525"/>
      <c r="AR1879" s="1525"/>
      <c r="AS1879" s="1525"/>
      <c r="AU1879" s="1525"/>
      <c r="AV1879" s="1291"/>
      <c r="AW1879" s="1292"/>
      <c r="AX1879" s="1292"/>
      <c r="AY1879" s="1292"/>
      <c r="AZ1879" s="1292"/>
      <c r="BA1879" s="1292"/>
      <c r="BB1879" s="1292"/>
      <c r="BC1879" s="1292"/>
      <c r="BD1879" s="1292"/>
      <c r="BE1879" s="1292"/>
      <c r="BF1879" s="1292"/>
      <c r="BG1879" s="1292"/>
      <c r="BH1879" s="1292"/>
      <c r="BI1879" s="1292"/>
      <c r="BJ1879" s="1292"/>
      <c r="BK1879" s="1292"/>
      <c r="BL1879" s="1292"/>
      <c r="BM1879" s="1292"/>
      <c r="BN1879" s="1292"/>
      <c r="BO1879" s="1292"/>
      <c r="BP1879" s="1292"/>
      <c r="BQ1879" s="1292"/>
      <c r="BR1879" s="1292"/>
      <c r="BS1879" s="1292"/>
      <c r="BT1879" s="1670">
        <f t="shared" si="1143"/>
        <v>0</v>
      </c>
      <c r="BW1879" s="856" t="s">
        <v>470</v>
      </c>
    </row>
    <row r="1880" spans="2:75" ht="12.75" customHeight="1" x14ac:dyDescent="0.2">
      <c r="B1880" s="175">
        <f t="shared" si="1144"/>
        <v>4</v>
      </c>
      <c r="C1880" s="569">
        <v>13</v>
      </c>
      <c r="D1880" s="570"/>
      <c r="E1880" s="472" t="s">
        <v>1567</v>
      </c>
      <c r="F1880" s="632" t="s">
        <v>792</v>
      </c>
      <c r="G1880" s="913" t="s">
        <v>1009</v>
      </c>
      <c r="H1880" s="858">
        <v>81852</v>
      </c>
      <c r="I1880" s="643" t="s">
        <v>583</v>
      </c>
      <c r="J1880" s="593"/>
      <c r="K1880" s="593"/>
      <c r="L1880" s="861">
        <v>1</v>
      </c>
      <c r="M1880" s="858">
        <f t="shared" ref="M1880:M1881" si="1145">K1880+L1880</f>
        <v>1</v>
      </c>
      <c r="N1880" s="836" t="s">
        <v>892</v>
      </c>
      <c r="O1880" s="1196">
        <v>23054</v>
      </c>
      <c r="P1880" s="1218">
        <f t="shared" ca="1" si="1138"/>
        <v>54.638888888888886</v>
      </c>
      <c r="Q1880" s="1148">
        <v>40000</v>
      </c>
      <c r="R1880" s="874"/>
      <c r="S1880" s="875"/>
      <c r="T1880" s="875">
        <v>4100</v>
      </c>
      <c r="U1880" s="875">
        <v>11000</v>
      </c>
      <c r="V1880" s="875"/>
      <c r="W1880" s="875"/>
      <c r="X1880" s="1026">
        <f t="shared" si="1139"/>
        <v>55100</v>
      </c>
      <c r="Y1880" s="1512">
        <f t="shared" si="1140"/>
        <v>0.3775</v>
      </c>
      <c r="Z1880" s="1741">
        <f t="shared" si="1141"/>
        <v>1.3774999999999999</v>
      </c>
      <c r="AA1880" s="1749"/>
      <c r="AB1880" s="1810">
        <f t="shared" si="1142"/>
        <v>0</v>
      </c>
      <c r="AC1880" s="876"/>
      <c r="AD1880" s="1295"/>
      <c r="AE1880" s="1525"/>
      <c r="AF1880" s="1525"/>
      <c r="AG1880" s="1525"/>
      <c r="AH1880" s="1525"/>
      <c r="AI1880" s="1525"/>
      <c r="AJ1880" s="1525"/>
      <c r="AK1880" s="1525"/>
      <c r="AL1880" s="1525"/>
      <c r="AM1880" s="1525"/>
      <c r="AN1880" s="1525"/>
      <c r="AO1880" s="1525"/>
      <c r="AP1880" s="1525"/>
      <c r="AQ1880" s="1525"/>
      <c r="AR1880" s="1525"/>
      <c r="AS1880" s="1525"/>
      <c r="AU1880" s="1525"/>
      <c r="AV1880" s="1291"/>
      <c r="AW1880" s="1292"/>
      <c r="AX1880" s="1292"/>
      <c r="AY1880" s="1292"/>
      <c r="AZ1880" s="1292"/>
      <c r="BA1880" s="1292"/>
      <c r="BB1880" s="1292"/>
      <c r="BC1880" s="1292"/>
      <c r="BD1880" s="1292"/>
      <c r="BE1880" s="1292"/>
      <c r="BF1880" s="1292"/>
      <c r="BG1880" s="1292"/>
      <c r="BH1880" s="1292"/>
      <c r="BI1880" s="1292"/>
      <c r="BJ1880" s="1292"/>
      <c r="BK1880" s="1292"/>
      <c r="BL1880" s="1292"/>
      <c r="BM1880" s="1292"/>
      <c r="BN1880" s="1292"/>
      <c r="BO1880" s="1292"/>
      <c r="BP1880" s="1292"/>
      <c r="BQ1880" s="1292"/>
      <c r="BR1880" s="1292"/>
      <c r="BS1880" s="1292"/>
      <c r="BT1880" s="1670">
        <f t="shared" si="1143"/>
        <v>0</v>
      </c>
      <c r="BW1880" s="913" t="s">
        <v>1009</v>
      </c>
    </row>
    <row r="1881" spans="2:75" ht="12.75" customHeight="1" x14ac:dyDescent="0.2">
      <c r="B1881" s="175">
        <f t="shared" si="1144"/>
        <v>5</v>
      </c>
      <c r="C1881" s="219">
        <v>14</v>
      </c>
      <c r="E1881" s="12" t="s">
        <v>1567</v>
      </c>
      <c r="F1881" s="24" t="s">
        <v>626</v>
      </c>
      <c r="G1881" s="856" t="s">
        <v>371</v>
      </c>
      <c r="H1881" s="858">
        <v>132364</v>
      </c>
      <c r="I1881" s="200" t="s">
        <v>583</v>
      </c>
      <c r="J1881" s="189"/>
      <c r="K1881" s="189"/>
      <c r="L1881" s="858">
        <v>1</v>
      </c>
      <c r="M1881" s="858">
        <f t="shared" si="1145"/>
        <v>1</v>
      </c>
      <c r="N1881" s="855" t="s">
        <v>892</v>
      </c>
      <c r="O1881" s="1196">
        <v>31235</v>
      </c>
      <c r="P1881" s="1218">
        <f t="shared" ca="1" si="1138"/>
        <v>32.236111111111114</v>
      </c>
      <c r="Q1881" s="1148">
        <v>32400</v>
      </c>
      <c r="R1881" s="874"/>
      <c r="S1881" s="875"/>
      <c r="T1881" s="875"/>
      <c r="U1881" s="875">
        <v>5000</v>
      </c>
      <c r="V1881" s="875"/>
      <c r="W1881" s="875"/>
      <c r="X1881" s="1026">
        <f t="shared" si="1139"/>
        <v>37400</v>
      </c>
      <c r="Y1881" s="1512">
        <f t="shared" si="1140"/>
        <v>0.15432098765432098</v>
      </c>
      <c r="Z1881" s="1741">
        <f t="shared" si="1141"/>
        <v>1.154320987654321</v>
      </c>
      <c r="AA1881" s="1749"/>
      <c r="AB1881" s="1810">
        <f t="shared" si="1142"/>
        <v>0</v>
      </c>
      <c r="AC1881" s="876"/>
      <c r="AD1881" s="1295"/>
      <c r="AE1881" s="1525"/>
      <c r="AF1881" s="1525"/>
      <c r="AG1881" s="1525"/>
      <c r="AH1881" s="1525"/>
      <c r="AI1881" s="1525"/>
      <c r="AJ1881" s="1525"/>
      <c r="AK1881" s="1525"/>
      <c r="AL1881" s="1525"/>
      <c r="AM1881" s="1525"/>
      <c r="AN1881" s="1525"/>
      <c r="AO1881" s="1525"/>
      <c r="AP1881" s="1525"/>
      <c r="AQ1881" s="1525"/>
      <c r="AR1881" s="1525"/>
      <c r="AS1881" s="1525"/>
      <c r="AU1881" s="1525"/>
      <c r="AV1881" s="1291"/>
      <c r="AW1881" s="1292"/>
      <c r="AX1881" s="1292"/>
      <c r="AY1881" s="1292"/>
      <c r="AZ1881" s="1292"/>
      <c r="BA1881" s="1292"/>
      <c r="BB1881" s="1292"/>
      <c r="BC1881" s="1292"/>
      <c r="BD1881" s="1292"/>
      <c r="BE1881" s="1292"/>
      <c r="BF1881" s="1292"/>
      <c r="BG1881" s="1292"/>
      <c r="BH1881" s="1292"/>
      <c r="BI1881" s="1292"/>
      <c r="BJ1881" s="1292"/>
      <c r="BK1881" s="1292"/>
      <c r="BL1881" s="1292"/>
      <c r="BM1881" s="1292"/>
      <c r="BN1881" s="1292"/>
      <c r="BO1881" s="1292"/>
      <c r="BP1881" s="1292"/>
      <c r="BQ1881" s="1292"/>
      <c r="BR1881" s="1292"/>
      <c r="BS1881" s="1292"/>
      <c r="BT1881" s="1670">
        <f t="shared" si="1143"/>
        <v>0</v>
      </c>
      <c r="BW1881" s="856" t="s">
        <v>371</v>
      </c>
    </row>
    <row r="1882" spans="2:75" ht="12.75" customHeight="1" x14ac:dyDescent="0.2">
      <c r="B1882" s="175">
        <f t="shared" si="1144"/>
        <v>6</v>
      </c>
      <c r="C1882" s="219">
        <v>14</v>
      </c>
      <c r="E1882" s="12" t="s">
        <v>1567</v>
      </c>
      <c r="F1882" s="24" t="s">
        <v>626</v>
      </c>
      <c r="G1882" s="913" t="s">
        <v>394</v>
      </c>
      <c r="H1882" s="858">
        <v>6530</v>
      </c>
      <c r="I1882" s="200" t="s">
        <v>583</v>
      </c>
      <c r="J1882" s="189"/>
      <c r="K1882" s="189"/>
      <c r="L1882" s="858">
        <v>1</v>
      </c>
      <c r="M1882" s="858">
        <v>1</v>
      </c>
      <c r="N1882" s="855" t="s">
        <v>892</v>
      </c>
      <c r="O1882" s="1196">
        <v>19778</v>
      </c>
      <c r="P1882" s="1218">
        <f t="shared" ca="1" si="1138"/>
        <v>63.608333333333334</v>
      </c>
      <c r="Q1882" s="1148">
        <v>30000</v>
      </c>
      <c r="R1882" s="874"/>
      <c r="S1882" s="875"/>
      <c r="T1882" s="875"/>
      <c r="U1882" s="875">
        <v>9500</v>
      </c>
      <c r="V1882" s="875"/>
      <c r="W1882" s="875"/>
      <c r="X1882" s="1026">
        <f t="shared" si="1139"/>
        <v>39500</v>
      </c>
      <c r="Y1882" s="1512">
        <f t="shared" si="1140"/>
        <v>0.31666666666666665</v>
      </c>
      <c r="Z1882" s="1741">
        <f t="shared" si="1141"/>
        <v>1.3166666666666667</v>
      </c>
      <c r="AA1882" s="1749"/>
      <c r="AB1882" s="1810">
        <f t="shared" si="1142"/>
        <v>0</v>
      </c>
      <c r="AC1882" s="876"/>
      <c r="AD1882" s="1295"/>
      <c r="AE1882" s="1525"/>
      <c r="AF1882" s="1525"/>
      <c r="AG1882" s="1525"/>
      <c r="AH1882" s="1525"/>
      <c r="AI1882" s="1525"/>
      <c r="AJ1882" s="1525"/>
      <c r="AK1882" s="1525"/>
      <c r="AL1882" s="1525"/>
      <c r="AM1882" s="1525"/>
      <c r="AN1882" s="1525"/>
      <c r="AO1882" s="1525"/>
      <c r="AP1882" s="1525"/>
      <c r="AQ1882" s="1525"/>
      <c r="AR1882" s="1525"/>
      <c r="AS1882" s="1525"/>
      <c r="AU1882" s="1525"/>
      <c r="AV1882" s="1291"/>
      <c r="AW1882" s="1292"/>
      <c r="AX1882" s="1292"/>
      <c r="AY1882" s="1292"/>
      <c r="AZ1882" s="1292"/>
      <c r="BA1882" s="1292"/>
      <c r="BB1882" s="1292"/>
      <c r="BC1882" s="1292"/>
      <c r="BD1882" s="1292"/>
      <c r="BE1882" s="1292"/>
      <c r="BF1882" s="1292"/>
      <c r="BG1882" s="1292"/>
      <c r="BH1882" s="1292"/>
      <c r="BI1882" s="1292"/>
      <c r="BJ1882" s="1292"/>
      <c r="BK1882" s="1292"/>
      <c r="BL1882" s="1292"/>
      <c r="BM1882" s="1292"/>
      <c r="BN1882" s="1292"/>
      <c r="BO1882" s="1292"/>
      <c r="BP1882" s="1292"/>
      <c r="BQ1882" s="1292"/>
      <c r="BR1882" s="1292"/>
      <c r="BS1882" s="1292"/>
      <c r="BT1882" s="1670">
        <f t="shared" si="1143"/>
        <v>0</v>
      </c>
      <c r="BW1882" s="913" t="s">
        <v>394</v>
      </c>
    </row>
    <row r="1883" spans="2:75" ht="12.75" customHeight="1" x14ac:dyDescent="0.2">
      <c r="B1883" s="175">
        <f t="shared" si="1144"/>
        <v>7</v>
      </c>
      <c r="C1883" s="219">
        <v>14</v>
      </c>
      <c r="E1883" s="12" t="s">
        <v>1567</v>
      </c>
      <c r="F1883" s="4" t="s">
        <v>626</v>
      </c>
      <c r="G1883" s="913" t="s">
        <v>17</v>
      </c>
      <c r="H1883" s="861">
        <v>3326</v>
      </c>
      <c r="I1883" s="197" t="s">
        <v>583</v>
      </c>
      <c r="J1883" s="174"/>
      <c r="K1883" s="174"/>
      <c r="L1883" s="861">
        <v>1</v>
      </c>
      <c r="M1883" s="861">
        <v>1</v>
      </c>
      <c r="N1883" s="836" t="s">
        <v>892</v>
      </c>
      <c r="O1883" s="1196">
        <v>18290</v>
      </c>
      <c r="P1883" s="1218">
        <f t="shared" ca="1" si="1138"/>
        <v>67.680555555555557</v>
      </c>
      <c r="Q1883" s="1148">
        <v>29100</v>
      </c>
      <c r="R1883" s="874"/>
      <c r="S1883" s="875"/>
      <c r="T1883" s="877">
        <v>4100</v>
      </c>
      <c r="U1883" s="877"/>
      <c r="V1883" s="877"/>
      <c r="W1883" s="875"/>
      <c r="X1883" s="1026">
        <f t="shared" si="1139"/>
        <v>33200</v>
      </c>
      <c r="Y1883" s="1512">
        <f t="shared" si="1140"/>
        <v>0.14089347079037801</v>
      </c>
      <c r="Z1883" s="1741">
        <f t="shared" si="1141"/>
        <v>1.140893470790378</v>
      </c>
      <c r="AA1883" s="1749"/>
      <c r="AB1883" s="1810">
        <f t="shared" si="1142"/>
        <v>0</v>
      </c>
      <c r="AC1883" s="876"/>
      <c r="AD1883" s="1295"/>
      <c r="AE1883" s="1525"/>
      <c r="AF1883" s="1525"/>
      <c r="AG1883" s="1525"/>
      <c r="AH1883" s="1525"/>
      <c r="AI1883" s="1525"/>
      <c r="AJ1883" s="1525"/>
      <c r="AK1883" s="1525"/>
      <c r="AL1883" s="1525"/>
      <c r="AM1883" s="1525"/>
      <c r="AN1883" s="1525"/>
      <c r="AO1883" s="1525"/>
      <c r="AP1883" s="1525"/>
      <c r="AQ1883" s="1525"/>
      <c r="AR1883" s="1525"/>
      <c r="AS1883" s="1525"/>
      <c r="AU1883" s="1525"/>
      <c r="AV1883" s="1291"/>
      <c r="AW1883" s="1292"/>
      <c r="AX1883" s="1292"/>
      <c r="AY1883" s="1292"/>
      <c r="AZ1883" s="1292"/>
      <c r="BA1883" s="1292"/>
      <c r="BB1883" s="1292"/>
      <c r="BC1883" s="1292"/>
      <c r="BD1883" s="1292"/>
      <c r="BE1883" s="1292"/>
      <c r="BF1883" s="1292"/>
      <c r="BG1883" s="1292"/>
      <c r="BH1883" s="1292"/>
      <c r="BI1883" s="1292"/>
      <c r="BJ1883" s="1292"/>
      <c r="BK1883" s="1292"/>
      <c r="BL1883" s="1292"/>
      <c r="BM1883" s="1292"/>
      <c r="BN1883" s="1292"/>
      <c r="BO1883" s="1292"/>
      <c r="BP1883" s="1292"/>
      <c r="BQ1883" s="1292"/>
      <c r="BR1883" s="1292"/>
      <c r="BS1883" s="1292"/>
      <c r="BT1883" s="1670">
        <f t="shared" si="1143"/>
        <v>0</v>
      </c>
      <c r="BW1883" s="913" t="s">
        <v>17</v>
      </c>
    </row>
    <row r="1884" spans="2:75" ht="12.75" customHeight="1" x14ac:dyDescent="0.2">
      <c r="B1884" s="175">
        <f t="shared" si="1144"/>
        <v>8</v>
      </c>
      <c r="C1884" s="219">
        <v>14</v>
      </c>
      <c r="E1884" s="12" t="s">
        <v>1567</v>
      </c>
      <c r="F1884" s="4" t="s">
        <v>626</v>
      </c>
      <c r="G1884" s="913" t="s">
        <v>18</v>
      </c>
      <c r="H1884" s="858">
        <v>6560</v>
      </c>
      <c r="I1884" s="197" t="s">
        <v>583</v>
      </c>
      <c r="J1884" s="174"/>
      <c r="K1884" s="174"/>
      <c r="L1884" s="861">
        <v>1</v>
      </c>
      <c r="M1884" s="858">
        <v>1</v>
      </c>
      <c r="N1884" s="836" t="s">
        <v>892</v>
      </c>
      <c r="O1884" s="1196">
        <v>19955</v>
      </c>
      <c r="P1884" s="1218">
        <f t="shared" ca="1" si="1138"/>
        <v>63.119444444444447</v>
      </c>
      <c r="Q1884" s="1148">
        <v>32000</v>
      </c>
      <c r="R1884" s="874"/>
      <c r="S1884" s="875"/>
      <c r="T1884" s="875">
        <v>6000</v>
      </c>
      <c r="U1884" s="875">
        <v>3000</v>
      </c>
      <c r="V1884" s="875"/>
      <c r="W1884" s="875"/>
      <c r="X1884" s="1026">
        <f t="shared" si="1139"/>
        <v>41000</v>
      </c>
      <c r="Y1884" s="1512">
        <f t="shared" si="1140"/>
        <v>0.28125</v>
      </c>
      <c r="Z1884" s="1741">
        <f t="shared" si="1141"/>
        <v>1.28125</v>
      </c>
      <c r="AA1884" s="1749"/>
      <c r="AB1884" s="1810">
        <f t="shared" si="1142"/>
        <v>0</v>
      </c>
      <c r="AC1884" s="876"/>
      <c r="AD1884" s="1295"/>
      <c r="AE1884" s="1525"/>
      <c r="AF1884" s="1525"/>
      <c r="AG1884" s="1525"/>
      <c r="AH1884" s="1525"/>
      <c r="AI1884" s="1525"/>
      <c r="AJ1884" s="1525"/>
      <c r="AK1884" s="1525"/>
      <c r="AL1884" s="1525"/>
      <c r="AM1884" s="1525"/>
      <c r="AN1884" s="1525"/>
      <c r="AO1884" s="1525"/>
      <c r="AP1884" s="1525"/>
      <c r="AQ1884" s="1525"/>
      <c r="AR1884" s="1525"/>
      <c r="AS1884" s="1525"/>
      <c r="AU1884" s="1525"/>
      <c r="AV1884" s="1291"/>
      <c r="AW1884" s="1292"/>
      <c r="AX1884" s="1292"/>
      <c r="AY1884" s="1292"/>
      <c r="AZ1884" s="1292"/>
      <c r="BA1884" s="1292"/>
      <c r="BB1884" s="1292"/>
      <c r="BC1884" s="1292"/>
      <c r="BD1884" s="1292"/>
      <c r="BE1884" s="1292"/>
      <c r="BF1884" s="1292"/>
      <c r="BG1884" s="1292"/>
      <c r="BH1884" s="1292"/>
      <c r="BI1884" s="1292"/>
      <c r="BJ1884" s="1292"/>
      <c r="BK1884" s="1292"/>
      <c r="BL1884" s="1292"/>
      <c r="BM1884" s="1292"/>
      <c r="BN1884" s="1292"/>
      <c r="BO1884" s="1292"/>
      <c r="BP1884" s="1292"/>
      <c r="BQ1884" s="1292"/>
      <c r="BR1884" s="1292"/>
      <c r="BS1884" s="1292"/>
      <c r="BT1884" s="1670">
        <f t="shared" si="1143"/>
        <v>0</v>
      </c>
      <c r="BW1884" s="913" t="s">
        <v>18</v>
      </c>
    </row>
    <row r="1885" spans="2:75" ht="12.75" customHeight="1" x14ac:dyDescent="0.2">
      <c r="B1885" s="175">
        <f t="shared" si="1144"/>
        <v>9</v>
      </c>
      <c r="C1885" s="219">
        <v>999</v>
      </c>
      <c r="E1885" s="12" t="s">
        <v>1567</v>
      </c>
      <c r="F1885" s="4" t="s">
        <v>240</v>
      </c>
      <c r="G1885" s="913" t="s">
        <v>1784</v>
      </c>
      <c r="H1885" s="858">
        <v>160321</v>
      </c>
      <c r="I1885" s="197" t="s">
        <v>583</v>
      </c>
      <c r="J1885" s="174"/>
      <c r="K1885" s="174"/>
      <c r="L1885" s="861">
        <v>1</v>
      </c>
      <c r="M1885" s="858">
        <v>1</v>
      </c>
      <c r="N1885" s="836" t="s">
        <v>892</v>
      </c>
      <c r="O1885" s="1196">
        <v>26087</v>
      </c>
      <c r="P1885" s="1218">
        <f t="shared" ca="1" si="1138"/>
        <v>46.330555555555556</v>
      </c>
      <c r="Q1885" s="1148">
        <v>34000</v>
      </c>
      <c r="R1885" s="874"/>
      <c r="S1885" s="875"/>
      <c r="T1885" s="875">
        <v>1800</v>
      </c>
      <c r="U1885" s="875"/>
      <c r="V1885" s="875"/>
      <c r="W1885" s="875"/>
      <c r="X1885" s="1026">
        <f t="shared" si="1139"/>
        <v>35800</v>
      </c>
      <c r="Y1885" s="1512">
        <f t="shared" si="1140"/>
        <v>5.2941176470588235E-2</v>
      </c>
      <c r="Z1885" s="1741">
        <f t="shared" si="1141"/>
        <v>1.0529411764705883</v>
      </c>
      <c r="AA1885" s="1749"/>
      <c r="AB1885" s="1814"/>
      <c r="AC1885" s="876"/>
      <c r="AD1885" s="1295"/>
      <c r="AE1885" s="1525"/>
      <c r="AF1885" s="1525"/>
      <c r="AG1885" s="1525"/>
      <c r="AH1885" s="1525"/>
      <c r="AI1885" s="1525"/>
      <c r="AJ1885" s="1525"/>
      <c r="AK1885" s="1525"/>
      <c r="AL1885" s="1525"/>
      <c r="AM1885" s="1525"/>
      <c r="AN1885" s="1525"/>
      <c r="AO1885" s="1525"/>
      <c r="AP1885" s="1525"/>
      <c r="AQ1885" s="1525"/>
      <c r="AR1885" s="1525"/>
      <c r="AS1885" s="1525"/>
      <c r="AU1885" s="1525"/>
      <c r="AV1885" s="1291"/>
      <c r="AW1885" s="1292"/>
      <c r="AX1885" s="1292"/>
      <c r="AY1885" s="1292"/>
      <c r="AZ1885" s="1292"/>
      <c r="BA1885" s="1292"/>
      <c r="BB1885" s="1292"/>
      <c r="BC1885" s="1292"/>
      <c r="BD1885" s="1292"/>
      <c r="BE1885" s="1292"/>
      <c r="BF1885" s="1292"/>
      <c r="BG1885" s="1292"/>
      <c r="BH1885" s="1292"/>
      <c r="BI1885" s="1292"/>
      <c r="BJ1885" s="1292"/>
      <c r="BK1885" s="1292"/>
      <c r="BL1885" s="1292"/>
      <c r="BM1885" s="1292"/>
      <c r="BN1885" s="1292"/>
      <c r="BO1885" s="1292"/>
      <c r="BP1885" s="1292"/>
      <c r="BQ1885" s="1292"/>
      <c r="BR1885" s="1292"/>
      <c r="BS1885" s="1292"/>
      <c r="BT1885" s="1670"/>
      <c r="BW1885" s="913" t="s">
        <v>1784</v>
      </c>
    </row>
    <row r="1886" spans="2:75" ht="12.75" customHeight="1" x14ac:dyDescent="0.2">
      <c r="B1886" s="175">
        <f t="shared" si="1144"/>
        <v>10</v>
      </c>
      <c r="C1886" s="219">
        <v>40</v>
      </c>
      <c r="E1886" s="12" t="s">
        <v>1567</v>
      </c>
      <c r="F1886" s="43" t="s">
        <v>504</v>
      </c>
      <c r="G1886" s="856" t="s">
        <v>1330</v>
      </c>
      <c r="H1886" s="858">
        <v>96754</v>
      </c>
      <c r="I1886" s="197" t="s">
        <v>583</v>
      </c>
      <c r="J1886" s="174"/>
      <c r="K1886" s="174"/>
      <c r="L1886" s="861">
        <v>0.5</v>
      </c>
      <c r="M1886" s="858">
        <v>0.5</v>
      </c>
      <c r="N1886" s="836" t="s">
        <v>892</v>
      </c>
      <c r="O1886" s="1196">
        <v>18654</v>
      </c>
      <c r="P1886" s="1218">
        <f t="shared" ca="1" si="1138"/>
        <v>66.683333333333337</v>
      </c>
      <c r="Q1886" s="1148">
        <v>35100</v>
      </c>
      <c r="R1886" s="874"/>
      <c r="S1886" s="875"/>
      <c r="T1886" s="875"/>
      <c r="U1886" s="875"/>
      <c r="V1886" s="875"/>
      <c r="W1886" s="875"/>
      <c r="X1886" s="1026">
        <f>(Q1886+R1886+S1886+T1886+U1886+V1886+W1886)*M1886</f>
        <v>17550</v>
      </c>
      <c r="Y1886" s="1512">
        <f>(T1886+U1886)*M1886/(X1886-M1886*(T1886+U1886))</f>
        <v>0</v>
      </c>
      <c r="Z1886" s="1741">
        <f>M1886*(1+Y1886)</f>
        <v>0.5</v>
      </c>
      <c r="AA1886" s="1749"/>
      <c r="AB1886" s="1810">
        <f t="shared" ref="AB1886:AB1887" si="1146">100*AA1886/Z1886</f>
        <v>0</v>
      </c>
      <c r="AC1886" s="876"/>
      <c r="AD1886" s="1295"/>
      <c r="AE1886" s="1525"/>
      <c r="AF1886" s="1525"/>
      <c r="AG1886" s="1525"/>
      <c r="AH1886" s="1525"/>
      <c r="AI1886" s="1525"/>
      <c r="AJ1886" s="1525"/>
      <c r="AK1886" s="1525"/>
      <c r="AL1886" s="1525"/>
      <c r="AM1886" s="1525"/>
      <c r="AN1886" s="1525"/>
      <c r="AO1886" s="1525"/>
      <c r="AP1886" s="1525"/>
      <c r="AQ1886" s="1525"/>
      <c r="AR1886" s="1525"/>
      <c r="AS1886" s="1525"/>
      <c r="AU1886" s="1525"/>
      <c r="AV1886" s="1291"/>
      <c r="AW1886" s="1292"/>
      <c r="AX1886" s="1292"/>
      <c r="AY1886" s="1292"/>
      <c r="AZ1886" s="1292"/>
      <c r="BA1886" s="1292"/>
      <c r="BB1886" s="1292"/>
      <c r="BC1886" s="1292"/>
      <c r="BD1886" s="1292"/>
      <c r="BE1886" s="1292"/>
      <c r="BF1886" s="1292"/>
      <c r="BG1886" s="1292"/>
      <c r="BH1886" s="1292"/>
      <c r="BI1886" s="1292"/>
      <c r="BJ1886" s="1292"/>
      <c r="BK1886" s="1292"/>
      <c r="BL1886" s="1292"/>
      <c r="BM1886" s="1292"/>
      <c r="BN1886" s="1292"/>
      <c r="BO1886" s="1292"/>
      <c r="BP1886" s="1292"/>
      <c r="BQ1886" s="1292"/>
      <c r="BR1886" s="1292"/>
      <c r="BS1886" s="1292"/>
      <c r="BT1886" s="1670">
        <f t="shared" ref="BT1886:BT1887" si="1147">SUM(AV1886:BS1886)</f>
        <v>0</v>
      </c>
      <c r="BW1886" s="856" t="s">
        <v>1330</v>
      </c>
    </row>
    <row r="1887" spans="2:75" ht="12.75" customHeight="1" x14ac:dyDescent="0.2">
      <c r="B1887" s="175">
        <f t="shared" si="1144"/>
        <v>11</v>
      </c>
      <c r="C1887" s="219">
        <v>21</v>
      </c>
      <c r="E1887" s="12" t="s">
        <v>1567</v>
      </c>
      <c r="F1887" s="19" t="s">
        <v>1013</v>
      </c>
      <c r="G1887" s="825" t="s">
        <v>1014</v>
      </c>
      <c r="H1887" s="858">
        <v>61742</v>
      </c>
      <c r="I1887" s="197" t="s">
        <v>583</v>
      </c>
      <c r="J1887" s="173"/>
      <c r="K1887" s="173"/>
      <c r="L1887" s="861">
        <v>1</v>
      </c>
      <c r="M1887" s="858">
        <f>K1887+L1887</f>
        <v>1</v>
      </c>
      <c r="N1887" s="836" t="s">
        <v>892</v>
      </c>
      <c r="O1887" s="1196">
        <v>23363</v>
      </c>
      <c r="P1887" s="1218">
        <f t="shared" ca="1" si="1138"/>
        <v>53.788888888888891</v>
      </c>
      <c r="Q1887" s="1148">
        <v>21200</v>
      </c>
      <c r="R1887" s="874"/>
      <c r="S1887" s="875"/>
      <c r="T1887" s="875"/>
      <c r="U1887" s="875"/>
      <c r="V1887" s="875"/>
      <c r="W1887" s="875"/>
      <c r="X1887" s="1026">
        <f>(Q1887+R1887+S1887+T1887+U1887+V1887+W1887)*M1887</f>
        <v>21200</v>
      </c>
      <c r="Y1887" s="1512">
        <f>(T1887+U1887)*M1887/(X1887-M1887*(T1887+U1887))</f>
        <v>0</v>
      </c>
      <c r="Z1887" s="1741">
        <f>M1887*(1+Y1887)</f>
        <v>1</v>
      </c>
      <c r="AA1887" s="1749"/>
      <c r="AB1887" s="1810">
        <f t="shared" si="1146"/>
        <v>0</v>
      </c>
      <c r="AC1887" s="876"/>
      <c r="AD1887" s="1295"/>
      <c r="AE1887" s="1525"/>
      <c r="AF1887" s="1525"/>
      <c r="AG1887" s="1525"/>
      <c r="AH1887" s="1525"/>
      <c r="AI1887" s="1525"/>
      <c r="AJ1887" s="1525"/>
      <c r="AK1887" s="1525"/>
      <c r="AL1887" s="1525"/>
      <c r="AM1887" s="1525"/>
      <c r="AN1887" s="1525"/>
      <c r="AO1887" s="1525"/>
      <c r="AP1887" s="1525"/>
      <c r="AQ1887" s="1525"/>
      <c r="AR1887" s="1525"/>
      <c r="AS1887" s="1525"/>
      <c r="AU1887" s="1525"/>
      <c r="AV1887" s="1291"/>
      <c r="AW1887" s="1292"/>
      <c r="AX1887" s="1292"/>
      <c r="AY1887" s="1292"/>
      <c r="AZ1887" s="1292"/>
      <c r="BA1887" s="1292"/>
      <c r="BB1887" s="1292"/>
      <c r="BC1887" s="1292"/>
      <c r="BD1887" s="1292"/>
      <c r="BE1887" s="1292"/>
      <c r="BF1887" s="1292"/>
      <c r="BG1887" s="1292"/>
      <c r="BH1887" s="1292"/>
      <c r="BI1887" s="1292"/>
      <c r="BJ1887" s="1292"/>
      <c r="BK1887" s="1292"/>
      <c r="BL1887" s="1292"/>
      <c r="BM1887" s="1292"/>
      <c r="BN1887" s="1292"/>
      <c r="BO1887" s="1292"/>
      <c r="BP1887" s="1292"/>
      <c r="BQ1887" s="1292"/>
      <c r="BR1887" s="1292"/>
      <c r="BS1887" s="1292"/>
      <c r="BT1887" s="1670">
        <f t="shared" si="1147"/>
        <v>0</v>
      </c>
      <c r="BW1887" s="825" t="s">
        <v>1014</v>
      </c>
    </row>
    <row r="1888" spans="2:75" s="164" customFormat="1" ht="12.75" customHeight="1" x14ac:dyDescent="0.15">
      <c r="B1888" s="175"/>
      <c r="C1888" s="219" t="s">
        <v>1120</v>
      </c>
      <c r="F1888" s="43" t="s">
        <v>182</v>
      </c>
      <c r="G1888" s="856"/>
      <c r="H1888" s="1361" t="s">
        <v>1508</v>
      </c>
      <c r="I1888" s="172"/>
      <c r="J1888" s="168"/>
      <c r="K1888" s="448">
        <f>SUM(K1877:K1887)</f>
        <v>0</v>
      </c>
      <c r="L1888" s="902">
        <f>SUM(L1877:L1887)</f>
        <v>10.5</v>
      </c>
      <c r="M1888" s="902">
        <f>SUM(M1877:M1887)</f>
        <v>10.5</v>
      </c>
      <c r="N1888" s="857"/>
      <c r="O1888" s="1200"/>
      <c r="P1888" s="550"/>
      <c r="Q1888" s="1153"/>
      <c r="R1888" s="877"/>
      <c r="S1888" s="875"/>
      <c r="T1888" s="875"/>
      <c r="U1888" s="875"/>
      <c r="V1888" s="875"/>
      <c r="W1888" s="875"/>
      <c r="X1888" s="1026"/>
      <c r="Y1888" s="1335"/>
      <c r="Z1888" s="1335"/>
      <c r="AA1888" s="1749"/>
      <c r="AB1888" s="1812"/>
      <c r="AC1888" s="876"/>
      <c r="AD1888" s="1295"/>
      <c r="AE1888" s="1525"/>
      <c r="AF1888" s="1525"/>
      <c r="AG1888" s="1525"/>
      <c r="AH1888" s="1525"/>
      <c r="AI1888" s="1525"/>
      <c r="AJ1888" s="1525"/>
      <c r="AK1888" s="1525"/>
      <c r="AL1888" s="1525"/>
      <c r="AM1888" s="1525"/>
      <c r="AN1888" s="1525"/>
      <c r="AO1888" s="1525"/>
      <c r="AP1888" s="1525"/>
      <c r="AQ1888" s="1525"/>
      <c r="AR1888" s="1525"/>
      <c r="AS1888" s="1525"/>
      <c r="AU1888" s="1525"/>
      <c r="AV1888" s="1295"/>
      <c r="AW1888" s="1525"/>
      <c r="AX1888" s="1525"/>
      <c r="AY1888" s="1525"/>
      <c r="AZ1888" s="1525"/>
      <c r="BA1888" s="1525"/>
      <c r="BB1888" s="1525"/>
      <c r="BC1888" s="1525"/>
      <c r="BD1888" s="1525"/>
      <c r="BE1888" s="1525"/>
      <c r="BF1888" s="1525"/>
      <c r="BG1888" s="1525"/>
      <c r="BH1888" s="1525"/>
      <c r="BI1888" s="1525"/>
      <c r="BJ1888" s="1525"/>
      <c r="BK1888" s="1525"/>
      <c r="BL1888" s="1525"/>
      <c r="BM1888" s="1525"/>
      <c r="BN1888" s="1525"/>
      <c r="BO1888" s="1525"/>
      <c r="BP1888" s="1525"/>
      <c r="BQ1888" s="1525"/>
      <c r="BR1888" s="1525"/>
      <c r="BS1888" s="1525"/>
      <c r="BT1888" s="1670"/>
      <c r="BV1888"/>
      <c r="BW1888" s="856"/>
    </row>
    <row r="1889" spans="1:123" s="164" customFormat="1" ht="12.75" customHeight="1" x14ac:dyDescent="0.15">
      <c r="B1889" s="175"/>
      <c r="F1889" s="43"/>
      <c r="G1889" s="856"/>
      <c r="H1889" s="1364" t="s">
        <v>1508</v>
      </c>
      <c r="I1889" s="172"/>
      <c r="J1889" s="168"/>
      <c r="K1889" s="168"/>
      <c r="L1889" s="841"/>
      <c r="M1889" s="841"/>
      <c r="N1889" s="857"/>
      <c r="O1889" s="1200"/>
      <c r="P1889" s="550"/>
      <c r="Q1889" s="1148"/>
      <c r="R1889" s="874"/>
      <c r="S1889" s="875"/>
      <c r="T1889" s="875"/>
      <c r="U1889" s="875"/>
      <c r="V1889" s="875"/>
      <c r="W1889" s="875"/>
      <c r="X1889" s="1026"/>
      <c r="Y1889" s="1754"/>
      <c r="Z1889" s="1755"/>
      <c r="AA1889" s="1749"/>
      <c r="AB1889" s="1812"/>
      <c r="AC1889" s="876"/>
      <c r="AD1889" s="1295"/>
      <c r="AE1889" s="1525"/>
      <c r="AF1889" s="1525"/>
      <c r="AG1889" s="1525"/>
      <c r="AH1889" s="1525"/>
      <c r="AI1889" s="1525"/>
      <c r="AJ1889" s="1525"/>
      <c r="AK1889" s="1525"/>
      <c r="AL1889" s="1525"/>
      <c r="AM1889" s="1525"/>
      <c r="AN1889" s="1525"/>
      <c r="AO1889" s="1525"/>
      <c r="AP1889" s="1525"/>
      <c r="AQ1889" s="1525"/>
      <c r="AR1889" s="1525"/>
      <c r="AS1889" s="1525"/>
      <c r="AU1889" s="1525"/>
      <c r="AV1889" s="1295"/>
      <c r="AW1889" s="1525"/>
      <c r="AX1889" s="1525"/>
      <c r="AY1889" s="1525"/>
      <c r="AZ1889" s="1525"/>
      <c r="BA1889" s="1525"/>
      <c r="BB1889" s="1525"/>
      <c r="BC1889" s="1525"/>
      <c r="BD1889" s="1525"/>
      <c r="BE1889" s="1525"/>
      <c r="BF1889" s="1525"/>
      <c r="BG1889" s="1525"/>
      <c r="BH1889" s="1525"/>
      <c r="BI1889" s="1525"/>
      <c r="BJ1889" s="1525"/>
      <c r="BK1889" s="1525"/>
      <c r="BL1889" s="1525"/>
      <c r="BM1889" s="1525"/>
      <c r="BN1889" s="1525"/>
      <c r="BO1889" s="1525"/>
      <c r="BP1889" s="1525"/>
      <c r="BQ1889" s="1525"/>
      <c r="BR1889" s="1525"/>
      <c r="BS1889" s="1525"/>
      <c r="BT1889" s="1670"/>
      <c r="BV1889"/>
      <c r="BW1889" s="856"/>
    </row>
    <row r="1890" spans="1:123" s="164" customFormat="1" ht="12.75" customHeight="1" x14ac:dyDescent="0.15">
      <c r="B1890" s="175"/>
      <c r="F1890" s="43"/>
      <c r="G1890" s="856"/>
      <c r="H1890" s="1364" t="s">
        <v>1508</v>
      </c>
      <c r="I1890" s="172"/>
      <c r="J1890" s="168"/>
      <c r="K1890" s="168"/>
      <c r="L1890" s="841"/>
      <c r="M1890" s="841"/>
      <c r="N1890" s="857"/>
      <c r="O1890" s="1200"/>
      <c r="P1890" s="550"/>
      <c r="Q1890" s="1148"/>
      <c r="R1890" s="874"/>
      <c r="S1890" s="875"/>
      <c r="T1890" s="875"/>
      <c r="U1890" s="875"/>
      <c r="V1890" s="875"/>
      <c r="W1890" s="875"/>
      <c r="X1890" s="1026"/>
      <c r="Y1890" s="1754"/>
      <c r="Z1890" s="1755"/>
      <c r="AA1890" s="1749"/>
      <c r="AB1890" s="1812"/>
      <c r="AC1890" s="876"/>
      <c r="AD1890" s="1295"/>
      <c r="AE1890" s="1525"/>
      <c r="AF1890" s="1525"/>
      <c r="AG1890" s="1525"/>
      <c r="AH1890" s="1525"/>
      <c r="AI1890" s="1525"/>
      <c r="AJ1890" s="1525"/>
      <c r="AK1890" s="1525"/>
      <c r="AL1890" s="1525"/>
      <c r="AM1890" s="1525"/>
      <c r="AN1890" s="1525"/>
      <c r="AO1890" s="1525"/>
      <c r="AP1890" s="1525"/>
      <c r="AQ1890" s="1525"/>
      <c r="AR1890" s="1525"/>
      <c r="AS1890" s="1525"/>
      <c r="AU1890" s="1525"/>
      <c r="AV1890" s="1295"/>
      <c r="AW1890" s="1525"/>
      <c r="AX1890" s="1525"/>
      <c r="AY1890" s="1525"/>
      <c r="AZ1890" s="1525"/>
      <c r="BA1890" s="1525"/>
      <c r="BB1890" s="1525"/>
      <c r="BC1890" s="1525"/>
      <c r="BD1890" s="1525"/>
      <c r="BE1890" s="1525"/>
      <c r="BF1890" s="1525"/>
      <c r="BG1890" s="1525"/>
      <c r="BH1890" s="1525"/>
      <c r="BI1890" s="1525"/>
      <c r="BJ1890" s="1525"/>
      <c r="BK1890" s="1525"/>
      <c r="BL1890" s="1525"/>
      <c r="BM1890" s="1525"/>
      <c r="BN1890" s="1525"/>
      <c r="BO1890" s="1525"/>
      <c r="BP1890" s="1525"/>
      <c r="BQ1890" s="1525"/>
      <c r="BR1890" s="1525"/>
      <c r="BS1890" s="1525"/>
      <c r="BT1890" s="1670"/>
      <c r="BV1890"/>
      <c r="BW1890" s="856"/>
    </row>
    <row r="1891" spans="1:123" s="164" customFormat="1" ht="12.75" customHeight="1" x14ac:dyDescent="0.15">
      <c r="B1891" s="175"/>
      <c r="F1891" s="27" t="s">
        <v>1126</v>
      </c>
      <c r="G1891" s="854"/>
      <c r="H1891" s="1345" t="s">
        <v>1508</v>
      </c>
      <c r="I1891" s="243"/>
      <c r="J1891" s="209"/>
      <c r="K1891" s="209"/>
      <c r="L1891" s="846"/>
      <c r="M1891" s="846"/>
      <c r="N1891" s="1019"/>
      <c r="O1891" s="1200"/>
      <c r="P1891" s="550"/>
      <c r="Q1891" s="1148"/>
      <c r="R1891" s="874"/>
      <c r="S1891" s="875"/>
      <c r="T1891" s="875"/>
      <c r="U1891" s="875"/>
      <c r="V1891" s="875"/>
      <c r="W1891" s="875"/>
      <c r="X1891" s="1026"/>
      <c r="Y1891" s="1754"/>
      <c r="Z1891" s="1755"/>
      <c r="AA1891" s="1749"/>
      <c r="AB1891" s="1812"/>
      <c r="AC1891" s="876"/>
      <c r="AD1891" s="1295"/>
      <c r="AE1891" s="1525"/>
      <c r="AF1891" s="1525"/>
      <c r="AG1891" s="1525"/>
      <c r="AH1891" s="1525"/>
      <c r="AI1891" s="1525"/>
      <c r="AJ1891" s="1525"/>
      <c r="AK1891" s="1525"/>
      <c r="AL1891" s="1525"/>
      <c r="AM1891" s="1525"/>
      <c r="AN1891" s="1525"/>
      <c r="AO1891" s="1525"/>
      <c r="AP1891" s="1525"/>
      <c r="AQ1891" s="1525"/>
      <c r="AR1891" s="1525"/>
      <c r="AS1891" s="1525"/>
      <c r="AU1891" s="1525"/>
      <c r="AV1891" s="1295"/>
      <c r="AW1891" s="1525"/>
      <c r="AX1891" s="1525"/>
      <c r="AY1891" s="1525"/>
      <c r="AZ1891" s="1525"/>
      <c r="BA1891" s="1525"/>
      <c r="BB1891" s="1525"/>
      <c r="BC1891" s="1525"/>
      <c r="BD1891" s="1525"/>
      <c r="BE1891" s="1525"/>
      <c r="BF1891" s="1525"/>
      <c r="BG1891" s="1525"/>
      <c r="BH1891" s="1525"/>
      <c r="BI1891" s="1525"/>
      <c r="BJ1891" s="1525"/>
      <c r="BK1891" s="1525"/>
      <c r="BL1891" s="1525"/>
      <c r="BM1891" s="1525"/>
      <c r="BN1891" s="1525"/>
      <c r="BO1891" s="1525"/>
      <c r="BP1891" s="1525"/>
      <c r="BQ1891" s="1525"/>
      <c r="BR1891" s="1525"/>
      <c r="BS1891" s="1525"/>
      <c r="BT1891" s="1670"/>
      <c r="BV1891"/>
      <c r="BW1891" s="854"/>
    </row>
    <row r="1892" spans="1:123" s="164" customFormat="1" ht="12.75" customHeight="1" x14ac:dyDescent="0.15">
      <c r="B1892" s="175"/>
      <c r="F1892" s="43" t="s">
        <v>503</v>
      </c>
      <c r="G1892" s="856"/>
      <c r="H1892" s="1364" t="s">
        <v>1508</v>
      </c>
      <c r="I1892" s="172"/>
      <c r="J1892" s="168"/>
      <c r="K1892" s="168"/>
      <c r="L1892" s="841"/>
      <c r="M1892" s="841"/>
      <c r="N1892" s="857"/>
      <c r="O1892" s="1200"/>
      <c r="P1892" s="550"/>
      <c r="Q1892" s="1148"/>
      <c r="R1892" s="874"/>
      <c r="S1892" s="875"/>
      <c r="T1892" s="875"/>
      <c r="U1892" s="875"/>
      <c r="V1892" s="875"/>
      <c r="W1892" s="875"/>
      <c r="X1892" s="1026"/>
      <c r="Y1892" s="1754"/>
      <c r="Z1892" s="1755"/>
      <c r="AA1892" s="1749"/>
      <c r="AB1892" s="1812"/>
      <c r="AC1892" s="876"/>
      <c r="AD1892" s="1295"/>
      <c r="AE1892" s="1525"/>
      <c r="AF1892" s="1525"/>
      <c r="AG1892" s="1525"/>
      <c r="AH1892" s="1525"/>
      <c r="AI1892" s="1525"/>
      <c r="AJ1892" s="1525"/>
      <c r="AK1892" s="1525"/>
      <c r="AL1892" s="1525"/>
      <c r="AM1892" s="1525"/>
      <c r="AN1892" s="1525"/>
      <c r="AO1892" s="1525"/>
      <c r="AP1892" s="1525"/>
      <c r="AQ1892" s="1525"/>
      <c r="AR1892" s="1525"/>
      <c r="AS1892" s="1525"/>
      <c r="AU1892" s="1525"/>
      <c r="AV1892" s="1295"/>
      <c r="AW1892" s="1525"/>
      <c r="AX1892" s="1525"/>
      <c r="AY1892" s="1525"/>
      <c r="AZ1892" s="1525"/>
      <c r="BA1892" s="1525"/>
      <c r="BB1892" s="1525"/>
      <c r="BC1892" s="1525"/>
      <c r="BD1892" s="1525"/>
      <c r="BE1892" s="1525"/>
      <c r="BF1892" s="1525"/>
      <c r="BG1892" s="1525"/>
      <c r="BH1892" s="1525"/>
      <c r="BI1892" s="1525"/>
      <c r="BJ1892" s="1525"/>
      <c r="BK1892" s="1525"/>
      <c r="BL1892" s="1525"/>
      <c r="BM1892" s="1525"/>
      <c r="BN1892" s="1525"/>
      <c r="BO1892" s="1525"/>
      <c r="BP1892" s="1525"/>
      <c r="BQ1892" s="1525"/>
      <c r="BR1892" s="1525"/>
      <c r="BS1892" s="1525"/>
      <c r="BT1892" s="1670"/>
      <c r="BV1892"/>
      <c r="BW1892" s="856"/>
    </row>
    <row r="1893" spans="1:123" s="164" customFormat="1" ht="12.75" customHeight="1" x14ac:dyDescent="0.15">
      <c r="B1893" s="175"/>
      <c r="F1893" s="43"/>
      <c r="G1893" s="856"/>
      <c r="H1893" s="1364" t="s">
        <v>1508</v>
      </c>
      <c r="I1893" s="172"/>
      <c r="J1893" s="168"/>
      <c r="K1893" s="168"/>
      <c r="L1893" s="841"/>
      <c r="M1893" s="841"/>
      <c r="N1893" s="857"/>
      <c r="O1893" s="1200"/>
      <c r="P1893" s="550"/>
      <c r="Q1893" s="1148"/>
      <c r="R1893" s="874"/>
      <c r="S1893" s="875"/>
      <c r="T1893" s="875"/>
      <c r="U1893" s="875"/>
      <c r="V1893" s="875"/>
      <c r="W1893" s="875"/>
      <c r="X1893" s="1026"/>
      <c r="Y1893" s="1754"/>
      <c r="Z1893" s="1755"/>
      <c r="AA1893" s="1749"/>
      <c r="AB1893" s="1812"/>
      <c r="AC1893" s="876"/>
      <c r="AD1893" s="1295"/>
      <c r="AE1893" s="1525"/>
      <c r="AF1893" s="1525"/>
      <c r="AG1893" s="1525"/>
      <c r="AH1893" s="1525"/>
      <c r="AI1893" s="1525"/>
      <c r="AJ1893" s="1525"/>
      <c r="AK1893" s="1525"/>
      <c r="AL1893" s="1525"/>
      <c r="AM1893" s="1525"/>
      <c r="AN1893" s="1525"/>
      <c r="AO1893" s="1525"/>
      <c r="AP1893" s="1525"/>
      <c r="AQ1893" s="1525"/>
      <c r="AR1893" s="1525"/>
      <c r="AS1893" s="1525"/>
      <c r="AU1893" s="1525"/>
      <c r="AV1893" s="1295"/>
      <c r="AW1893" s="1525"/>
      <c r="AX1893" s="1525"/>
      <c r="AY1893" s="1525"/>
      <c r="AZ1893" s="1525"/>
      <c r="BA1893" s="1525"/>
      <c r="BB1893" s="1525"/>
      <c r="BC1893" s="1525"/>
      <c r="BD1893" s="1525"/>
      <c r="BE1893" s="1525"/>
      <c r="BF1893" s="1525"/>
      <c r="BG1893" s="1525"/>
      <c r="BH1893" s="1525"/>
      <c r="BI1893" s="1525"/>
      <c r="BJ1893" s="1525"/>
      <c r="BK1893" s="1525"/>
      <c r="BL1893" s="1525"/>
      <c r="BM1893" s="1525"/>
      <c r="BN1893" s="1525"/>
      <c r="BO1893" s="1525"/>
      <c r="BP1893" s="1525"/>
      <c r="BQ1893" s="1525"/>
      <c r="BR1893" s="1525"/>
      <c r="BS1893" s="1525"/>
      <c r="BT1893" s="1670"/>
      <c r="BV1893"/>
      <c r="BW1893" s="856"/>
    </row>
    <row r="1894" spans="1:123" ht="12.75" customHeight="1" x14ac:dyDescent="0.2">
      <c r="B1894" s="175">
        <f>B1893+1</f>
        <v>1</v>
      </c>
      <c r="C1894" s="219">
        <v>13</v>
      </c>
      <c r="E1894" s="12" t="s">
        <v>1567</v>
      </c>
      <c r="F1894" s="4" t="s">
        <v>792</v>
      </c>
      <c r="G1894" s="856" t="s">
        <v>1329</v>
      </c>
      <c r="H1894" s="858">
        <v>203495</v>
      </c>
      <c r="I1894" s="172" t="s">
        <v>583</v>
      </c>
      <c r="J1894" s="168"/>
      <c r="K1894" s="168"/>
      <c r="L1894" s="841">
        <v>1</v>
      </c>
      <c r="M1894" s="858">
        <f>K1894+L1894</f>
        <v>1</v>
      </c>
      <c r="N1894" s="857" t="s">
        <v>892</v>
      </c>
      <c r="O1894" s="1196">
        <v>28495</v>
      </c>
      <c r="P1894" s="1218">
        <f ca="1">YEARFRAC(TODAY(),O1894)</f>
        <v>39.741666666666667</v>
      </c>
      <c r="Q1894" s="1148">
        <v>34000</v>
      </c>
      <c r="R1894" s="874"/>
      <c r="S1894" s="875"/>
      <c r="T1894" s="875"/>
      <c r="U1894" s="875"/>
      <c r="V1894" s="875"/>
      <c r="W1894" s="875"/>
      <c r="X1894" s="1026">
        <f>(Q1894+R1894+S1894+T1894+U1894+V1894+W1894)*M1894</f>
        <v>34000</v>
      </c>
      <c r="Y1894" s="1512">
        <f>(T1894+U1894)*M1894/(X1894-M1894*(T1894+U1894))</f>
        <v>0</v>
      </c>
      <c r="Z1894" s="1741">
        <f>M1894*(1+Y1894)</f>
        <v>1</v>
      </c>
      <c r="AA1894" s="1749"/>
      <c r="AB1894" s="1810">
        <f t="shared" ref="AB1894:AB1897" si="1148">100*AA1894/Z1894</f>
        <v>0</v>
      </c>
      <c r="AC1894" s="876"/>
      <c r="AD1894" s="1295"/>
      <c r="AE1894" s="1525"/>
      <c r="AF1894" s="1525"/>
      <c r="AG1894" s="1525"/>
      <c r="AH1894" s="1525"/>
      <c r="AI1894" s="1525"/>
      <c r="AJ1894" s="1525"/>
      <c r="AK1894" s="1525"/>
      <c r="AL1894" s="1525"/>
      <c r="AM1894" s="1525"/>
      <c r="AN1894" s="1525"/>
      <c r="AO1894" s="1525"/>
      <c r="AP1894" s="1525"/>
      <c r="AQ1894" s="1525"/>
      <c r="AR1894" s="1525"/>
      <c r="AS1894" s="1525"/>
      <c r="AU1894" s="1525"/>
      <c r="AV1894" s="1291"/>
      <c r="AW1894" s="1292"/>
      <c r="AX1894" s="1292"/>
      <c r="AY1894" s="1292"/>
      <c r="AZ1894" s="1292"/>
      <c r="BA1894" s="1292"/>
      <c r="BB1894" s="1292"/>
      <c r="BC1894" s="1292"/>
      <c r="BD1894" s="1292"/>
      <c r="BE1894" s="1292"/>
      <c r="BF1894" s="1292"/>
      <c r="BG1894" s="1292"/>
      <c r="BH1894" s="1292"/>
      <c r="BI1894" s="1292"/>
      <c r="BJ1894" s="1292"/>
      <c r="BK1894" s="1292"/>
      <c r="BL1894" s="1292"/>
      <c r="BM1894" s="1292"/>
      <c r="BN1894" s="1292"/>
      <c r="BO1894" s="1292"/>
      <c r="BP1894" s="1292"/>
      <c r="BQ1894" s="1292"/>
      <c r="BR1894" s="1292"/>
      <c r="BS1894" s="1292"/>
      <c r="BT1894" s="1670">
        <f t="shared" ref="BT1894:BT1897" si="1149">SUM(AV1894:BS1894)</f>
        <v>0</v>
      </c>
      <c r="BW1894" s="856" t="s">
        <v>1329</v>
      </c>
    </row>
    <row r="1895" spans="1:123" ht="12.75" customHeight="1" x14ac:dyDescent="0.2">
      <c r="B1895" s="175">
        <f t="shared" ref="B1895:B1897" si="1150">B1894+1</f>
        <v>2</v>
      </c>
      <c r="C1895" s="219">
        <v>40</v>
      </c>
      <c r="E1895" s="12" t="s">
        <v>1567</v>
      </c>
      <c r="F1895" s="43" t="s">
        <v>1297</v>
      </c>
      <c r="G1895" s="856" t="s">
        <v>1298</v>
      </c>
      <c r="H1895" s="858">
        <v>131118</v>
      </c>
      <c r="I1895" s="172" t="s">
        <v>583</v>
      </c>
      <c r="J1895" s="168"/>
      <c r="K1895" s="168"/>
      <c r="L1895" s="841">
        <v>1</v>
      </c>
      <c r="M1895" s="858">
        <v>1</v>
      </c>
      <c r="N1895" s="857" t="s">
        <v>892</v>
      </c>
      <c r="O1895" s="1196">
        <v>32010</v>
      </c>
      <c r="P1895" s="1218">
        <f ca="1">YEARFRAC(TODAY(),O1895)</f>
        <v>30.113888888888887</v>
      </c>
      <c r="Q1895" s="1148">
        <v>29200</v>
      </c>
      <c r="R1895" s="874"/>
      <c r="S1895" s="875"/>
      <c r="T1895" s="877"/>
      <c r="U1895" s="877"/>
      <c r="V1895" s="877"/>
      <c r="W1895" s="875"/>
      <c r="X1895" s="1026">
        <f>(Q1895+R1895+S1895+T1895+U1895+V1895+W1895)*M1895</f>
        <v>29200</v>
      </c>
      <c r="Y1895" s="1512">
        <f>(T1895+U1895)*M1895/(X1895-M1895*(T1895+U1895))</f>
        <v>0</v>
      </c>
      <c r="Z1895" s="1741">
        <f>M1895*(1+Y1895)</f>
        <v>1</v>
      </c>
      <c r="AA1895" s="1749"/>
      <c r="AB1895" s="1810">
        <f t="shared" si="1148"/>
        <v>0</v>
      </c>
      <c r="AC1895" s="876"/>
      <c r="AD1895" s="1295"/>
      <c r="AE1895" s="1525"/>
      <c r="AF1895" s="1525"/>
      <c r="AG1895" s="1525"/>
      <c r="AH1895" s="1525"/>
      <c r="AI1895" s="1525"/>
      <c r="AJ1895" s="1525"/>
      <c r="AK1895" s="1525"/>
      <c r="AL1895" s="1525"/>
      <c r="AM1895" s="1525"/>
      <c r="AN1895" s="1525"/>
      <c r="AO1895" s="1525"/>
      <c r="AP1895" s="1525"/>
      <c r="AQ1895" s="1525"/>
      <c r="AR1895" s="1525"/>
      <c r="AS1895" s="1525"/>
      <c r="AU1895" s="1525"/>
      <c r="AV1895" s="1291"/>
      <c r="AW1895" s="1292"/>
      <c r="AX1895" s="1292"/>
      <c r="AY1895" s="1292"/>
      <c r="AZ1895" s="1292"/>
      <c r="BA1895" s="1292"/>
      <c r="BB1895" s="1292"/>
      <c r="BC1895" s="1292"/>
      <c r="BD1895" s="1292"/>
      <c r="BE1895" s="1292"/>
      <c r="BF1895" s="1292"/>
      <c r="BG1895" s="1292"/>
      <c r="BH1895" s="1292"/>
      <c r="BI1895" s="1292"/>
      <c r="BJ1895" s="1292"/>
      <c r="BK1895" s="1292"/>
      <c r="BL1895" s="1292"/>
      <c r="BM1895" s="1292"/>
      <c r="BN1895" s="1292"/>
      <c r="BO1895" s="1292"/>
      <c r="BP1895" s="1292"/>
      <c r="BQ1895" s="1292"/>
      <c r="BR1895" s="1292"/>
      <c r="BS1895" s="1292"/>
      <c r="BT1895" s="1670">
        <f t="shared" si="1149"/>
        <v>0</v>
      </c>
      <c r="BW1895" s="856" t="s">
        <v>1298</v>
      </c>
    </row>
    <row r="1896" spans="1:123" ht="12.75" customHeight="1" x14ac:dyDescent="0.2">
      <c r="B1896" s="175">
        <f t="shared" si="1150"/>
        <v>3</v>
      </c>
      <c r="C1896" s="219">
        <v>40</v>
      </c>
      <c r="E1896" s="12" t="s">
        <v>1567</v>
      </c>
      <c r="F1896" s="43" t="s">
        <v>1297</v>
      </c>
      <c r="G1896" s="856" t="s">
        <v>1814</v>
      </c>
      <c r="H1896" s="1413">
        <v>161477</v>
      </c>
      <c r="I1896" s="172" t="s">
        <v>583</v>
      </c>
      <c r="J1896" s="168"/>
      <c r="K1896" s="168"/>
      <c r="L1896" s="841">
        <v>0.5</v>
      </c>
      <c r="M1896" s="858">
        <v>0.5</v>
      </c>
      <c r="N1896" s="857" t="s">
        <v>892</v>
      </c>
      <c r="O1896" s="1196">
        <v>33781</v>
      </c>
      <c r="P1896" s="1218">
        <f ca="1">YEARFRAC(TODAY(),O1896)</f>
        <v>25.266666666666666</v>
      </c>
      <c r="Q1896" s="1148">
        <v>20000</v>
      </c>
      <c r="R1896" s="874"/>
      <c r="S1896" s="875"/>
      <c r="T1896" s="877"/>
      <c r="U1896" s="877"/>
      <c r="V1896" s="877"/>
      <c r="W1896" s="875"/>
      <c r="X1896" s="1026">
        <f>(Q1896+R1896+S1896+T1896+U1896+V1896+W1896)*M1896</f>
        <v>10000</v>
      </c>
      <c r="Y1896" s="1512">
        <f>(T1896+U1896)*M1896/(X1896-M1896*(T1896+U1896))</f>
        <v>0</v>
      </c>
      <c r="Z1896" s="1741">
        <f>M1896*(1+Y1896)</f>
        <v>0.5</v>
      </c>
      <c r="AA1896" s="1749"/>
      <c r="AB1896" s="1810">
        <f t="shared" si="1148"/>
        <v>0</v>
      </c>
      <c r="AC1896" s="876"/>
      <c r="AD1896" s="1295"/>
      <c r="AE1896" s="1525"/>
      <c r="AF1896" s="1525"/>
      <c r="AG1896" s="1525"/>
      <c r="AH1896" s="1525"/>
      <c r="AI1896" s="1525"/>
      <c r="AJ1896" s="1525"/>
      <c r="AK1896" s="1525"/>
      <c r="AL1896" s="1525"/>
      <c r="AM1896" s="1525"/>
      <c r="AN1896" s="1525"/>
      <c r="AO1896" s="1525"/>
      <c r="AP1896" s="1525"/>
      <c r="AQ1896" s="1525"/>
      <c r="AR1896" s="1525"/>
      <c r="AS1896" s="1525"/>
      <c r="AU1896" s="1525"/>
      <c r="AV1896" s="1295"/>
      <c r="AW1896" s="1292"/>
      <c r="AX1896" s="1292"/>
      <c r="AY1896" s="1292"/>
      <c r="AZ1896" s="1292"/>
      <c r="BA1896" s="1292"/>
      <c r="BB1896" s="1292"/>
      <c r="BC1896" s="1292"/>
      <c r="BD1896" s="1292"/>
      <c r="BE1896" s="1292"/>
      <c r="BF1896" s="1292"/>
      <c r="BG1896" s="1292"/>
      <c r="BH1896" s="1292"/>
      <c r="BI1896" s="1292"/>
      <c r="BJ1896" s="1292"/>
      <c r="BK1896" s="1292"/>
      <c r="BL1896" s="1292"/>
      <c r="BM1896" s="1292"/>
      <c r="BN1896" s="1292"/>
      <c r="BO1896" s="1292"/>
      <c r="BP1896" s="1292"/>
      <c r="BQ1896" s="1292"/>
      <c r="BR1896" s="1292"/>
      <c r="BS1896" s="1292"/>
      <c r="BT1896" s="1670">
        <f t="shared" si="1149"/>
        <v>0</v>
      </c>
      <c r="BW1896" s="856" t="s">
        <v>1814</v>
      </c>
    </row>
    <row r="1897" spans="1:123" ht="12.75" customHeight="1" x14ac:dyDescent="0.2">
      <c r="B1897" s="175">
        <f t="shared" si="1150"/>
        <v>4</v>
      </c>
      <c r="C1897" s="219">
        <v>14</v>
      </c>
      <c r="E1897" s="12" t="s">
        <v>1567</v>
      </c>
      <c r="F1897" s="87" t="s">
        <v>626</v>
      </c>
      <c r="G1897" s="945" t="s">
        <v>1331</v>
      </c>
      <c r="H1897" s="1414">
        <v>3344</v>
      </c>
      <c r="I1897" s="176" t="s">
        <v>583</v>
      </c>
      <c r="J1897" s="177"/>
      <c r="K1897" s="177"/>
      <c r="L1897" s="944">
        <v>1</v>
      </c>
      <c r="M1897" s="873">
        <f>K1897+L1897</f>
        <v>1</v>
      </c>
      <c r="N1897" s="872" t="s">
        <v>892</v>
      </c>
      <c r="O1897" s="1211">
        <v>16996</v>
      </c>
      <c r="P1897" s="1218">
        <f ca="1">YEARFRAC(TODAY(),O1897)</f>
        <v>71.219444444444449</v>
      </c>
      <c r="Q1897" s="1148">
        <v>30000</v>
      </c>
      <c r="R1897" s="874"/>
      <c r="S1897" s="875"/>
      <c r="T1897" s="877"/>
      <c r="U1897" s="877">
        <v>3200</v>
      </c>
      <c r="V1897" s="877"/>
      <c r="W1897" s="875"/>
      <c r="X1897" s="1026">
        <f>(Q1897+R1897+S1897+T1897+U1897+V1897+W1897)*M1897</f>
        <v>33200</v>
      </c>
      <c r="Y1897" s="1512">
        <f>(T1897+U1897)*M1897/(X1897-M1897*(T1897+U1897))</f>
        <v>0.10666666666666667</v>
      </c>
      <c r="Z1897" s="1741">
        <f>M1897*(1+Y1897)</f>
        <v>1.1066666666666667</v>
      </c>
      <c r="AA1897" s="1749"/>
      <c r="AB1897" s="1810">
        <f t="shared" si="1148"/>
        <v>0</v>
      </c>
      <c r="AC1897" s="876"/>
      <c r="AD1897" s="1295"/>
      <c r="AE1897" s="1525"/>
      <c r="AF1897" s="1525"/>
      <c r="AG1897" s="1525"/>
      <c r="AH1897" s="1525"/>
      <c r="AI1897" s="1525"/>
      <c r="AJ1897" s="1525"/>
      <c r="AK1897" s="1525"/>
      <c r="AL1897" s="1525"/>
      <c r="AM1897" s="1525"/>
      <c r="AN1897" s="1525"/>
      <c r="AO1897" s="1525"/>
      <c r="AP1897" s="1525"/>
      <c r="AQ1897" s="1525"/>
      <c r="AR1897" s="1525"/>
      <c r="AS1897" s="1525"/>
      <c r="AU1897" s="1525"/>
      <c r="AV1897" s="1295"/>
      <c r="AW1897" s="1292"/>
      <c r="AX1897" s="1292"/>
      <c r="AY1897" s="1292"/>
      <c r="AZ1897" s="1292"/>
      <c r="BA1897" s="1292"/>
      <c r="BB1897" s="1292"/>
      <c r="BC1897" s="1292"/>
      <c r="BD1897" s="1292"/>
      <c r="BE1897" s="1292"/>
      <c r="BF1897" s="1292"/>
      <c r="BG1897" s="1292"/>
      <c r="BH1897" s="1292"/>
      <c r="BI1897" s="1292"/>
      <c r="BJ1897" s="1292"/>
      <c r="BK1897" s="1292"/>
      <c r="BL1897" s="1292"/>
      <c r="BM1897" s="1292"/>
      <c r="BN1897" s="1292"/>
      <c r="BO1897" s="1292"/>
      <c r="BP1897" s="1292"/>
      <c r="BQ1897" s="1292"/>
      <c r="BR1897" s="1292"/>
      <c r="BS1897" s="1292"/>
      <c r="BT1897" s="1670">
        <f t="shared" si="1149"/>
        <v>0</v>
      </c>
      <c r="BW1897" s="945" t="s">
        <v>1331</v>
      </c>
    </row>
    <row r="1898" spans="1:123" s="164" customFormat="1" ht="12.75" customHeight="1" x14ac:dyDescent="0.15">
      <c r="B1898" s="175"/>
      <c r="C1898" s="219" t="s">
        <v>1120</v>
      </c>
      <c r="F1898" s="336" t="s">
        <v>505</v>
      </c>
      <c r="G1898" s="1020"/>
      <c r="H1898" s="1423" t="s">
        <v>1508</v>
      </c>
      <c r="I1898" s="327"/>
      <c r="J1898" s="326"/>
      <c r="K1898" s="449">
        <f>SUM(K1894:K1897)</f>
        <v>0</v>
      </c>
      <c r="L1898" s="903">
        <f>SUM(L1894:L1897)</f>
        <v>3.5</v>
      </c>
      <c r="M1898" s="903">
        <f>SUM(M1894:M1897)</f>
        <v>3.5</v>
      </c>
      <c r="N1898" s="905"/>
      <c r="O1898" s="905"/>
      <c r="P1898" s="1271"/>
      <c r="Q1898" s="1153"/>
      <c r="R1898" s="877"/>
      <c r="S1898" s="875"/>
      <c r="T1898" s="875"/>
      <c r="U1898" s="875"/>
      <c r="V1898" s="875"/>
      <c r="W1898" s="875"/>
      <c r="X1898" s="1026"/>
      <c r="Y1898" s="1335"/>
      <c r="Z1898" s="1335"/>
      <c r="AA1898" s="1749"/>
      <c r="AB1898" s="1812"/>
      <c r="AC1898" s="1335"/>
      <c r="AD1898" s="1295"/>
      <c r="AE1898" s="1525"/>
      <c r="AF1898" s="1525"/>
      <c r="AG1898" s="1525"/>
      <c r="AH1898" s="1525"/>
      <c r="AI1898" s="1525"/>
      <c r="AJ1898" s="1525"/>
      <c r="AK1898" s="1525"/>
      <c r="AL1898" s="1525"/>
      <c r="AM1898" s="1525"/>
      <c r="AN1898" s="1525"/>
      <c r="AO1898" s="1525"/>
      <c r="AP1898" s="1525"/>
      <c r="AQ1898" s="1525"/>
      <c r="AR1898" s="1525"/>
      <c r="AS1898" s="1525"/>
      <c r="AU1898" s="1525"/>
      <c r="AV1898" s="1295"/>
      <c r="AW1898" s="1525"/>
      <c r="AX1898" s="1525"/>
      <c r="AY1898" s="1525"/>
      <c r="AZ1898" s="1525"/>
      <c r="BA1898" s="1525"/>
      <c r="BB1898" s="1525"/>
      <c r="BC1898" s="1525"/>
      <c r="BD1898" s="1525"/>
      <c r="BE1898" s="1525"/>
      <c r="BF1898" s="1525"/>
      <c r="BG1898" s="1525"/>
      <c r="BH1898" s="1525"/>
      <c r="BI1898" s="1525"/>
      <c r="BJ1898" s="1525"/>
      <c r="BK1898" s="1525"/>
      <c r="BL1898" s="1525"/>
      <c r="BM1898" s="1525"/>
      <c r="BN1898" s="1525"/>
      <c r="BO1898" s="1525"/>
      <c r="BP1898" s="1525"/>
      <c r="BQ1898" s="1525"/>
      <c r="BR1898" s="1525"/>
      <c r="BS1898" s="1525"/>
      <c r="BT1898" s="1670"/>
      <c r="BV1898"/>
      <c r="BW1898" s="1020"/>
    </row>
    <row r="1899" spans="1:123" s="164" customFormat="1" ht="12.75" customHeight="1" x14ac:dyDescent="0.15">
      <c r="B1899" s="175"/>
      <c r="C1899" s="219"/>
      <c r="F1899" s="336"/>
      <c r="G1899" s="1020"/>
      <c r="H1899" s="1435" t="s">
        <v>1508</v>
      </c>
      <c r="I1899" s="327"/>
      <c r="J1899" s="326"/>
      <c r="K1899" s="328"/>
      <c r="L1899" s="927"/>
      <c r="M1899" s="927"/>
      <c r="N1899" s="905"/>
      <c r="O1899" s="1200"/>
      <c r="P1899" s="550"/>
      <c r="Q1899" s="1153"/>
      <c r="R1899" s="877"/>
      <c r="S1899" s="875"/>
      <c r="T1899" s="875"/>
      <c r="U1899" s="875"/>
      <c r="V1899" s="875"/>
      <c r="W1899" s="875"/>
      <c r="X1899" s="1026"/>
      <c r="Y1899" s="1754"/>
      <c r="Z1899" s="1755"/>
      <c r="AA1899" s="1749"/>
      <c r="AB1899" s="1812"/>
      <c r="AC1899" s="1335"/>
      <c r="AD1899" s="1295"/>
      <c r="AE1899" s="1525"/>
      <c r="AF1899" s="1525"/>
      <c r="AG1899" s="1525"/>
      <c r="AH1899" s="1525"/>
      <c r="AI1899" s="1525"/>
      <c r="AJ1899" s="1525"/>
      <c r="AK1899" s="1525"/>
      <c r="AL1899" s="1525"/>
      <c r="AM1899" s="1525"/>
      <c r="AN1899" s="1525"/>
      <c r="AO1899" s="1525"/>
      <c r="AP1899" s="1525"/>
      <c r="AQ1899" s="1525"/>
      <c r="AR1899" s="1525"/>
      <c r="AS1899" s="1525"/>
      <c r="AU1899" s="1525"/>
      <c r="AV1899" s="1295"/>
      <c r="AW1899" s="1525"/>
      <c r="AX1899" s="1525"/>
      <c r="AY1899" s="1525"/>
      <c r="AZ1899" s="1525"/>
      <c r="BA1899" s="1525"/>
      <c r="BB1899" s="1525"/>
      <c r="BC1899" s="1525"/>
      <c r="BD1899" s="1525"/>
      <c r="BE1899" s="1525"/>
      <c r="BF1899" s="1525"/>
      <c r="BG1899" s="1525"/>
      <c r="BH1899" s="1525"/>
      <c r="BI1899" s="1525"/>
      <c r="BJ1899" s="1525"/>
      <c r="BK1899" s="1525"/>
      <c r="BL1899" s="1525"/>
      <c r="BM1899" s="1525"/>
      <c r="BN1899" s="1525"/>
      <c r="BO1899" s="1525"/>
      <c r="BP1899" s="1525"/>
      <c r="BQ1899" s="1525"/>
      <c r="BR1899" s="1525"/>
      <c r="BS1899" s="1525"/>
      <c r="BT1899" s="1670"/>
      <c r="BV1899"/>
      <c r="BW1899" s="1020"/>
    </row>
    <row r="1900" spans="1:123" s="164" customFormat="1" ht="12.75" customHeight="1" thickBot="1" x14ac:dyDescent="0.2">
      <c r="B1900" s="175"/>
      <c r="C1900" s="219"/>
      <c r="F1900" s="56"/>
      <c r="G1900" s="913"/>
      <c r="H1900" s="1412" t="s">
        <v>1508</v>
      </c>
      <c r="I1900" s="180"/>
      <c r="J1900" s="326"/>
      <c r="K1900" s="192"/>
      <c r="L1900" s="861"/>
      <c r="M1900" s="861"/>
      <c r="N1900" s="836"/>
      <c r="O1900" s="1200"/>
      <c r="P1900" s="550"/>
      <c r="Q1900" s="1153"/>
      <c r="R1900" s="877"/>
      <c r="S1900" s="875"/>
      <c r="T1900" s="875"/>
      <c r="U1900" s="875"/>
      <c r="V1900" s="875"/>
      <c r="W1900" s="875"/>
      <c r="X1900" s="1026"/>
      <c r="Y1900" s="1757"/>
      <c r="Z1900" s="1756"/>
      <c r="AA1900" s="1749"/>
      <c r="AB1900" s="1812"/>
      <c r="AC1900" s="876"/>
      <c r="AD1900" s="1295"/>
      <c r="AE1900" s="1525"/>
      <c r="AF1900" s="1525"/>
      <c r="AG1900" s="1525"/>
      <c r="AH1900" s="1525"/>
      <c r="AI1900" s="1525"/>
      <c r="AJ1900" s="1525"/>
      <c r="AK1900" s="1525"/>
      <c r="AL1900" s="1525"/>
      <c r="AM1900" s="1525"/>
      <c r="AN1900" s="1525"/>
      <c r="AO1900" s="1525"/>
      <c r="AP1900" s="1525"/>
      <c r="AQ1900" s="1525"/>
      <c r="AR1900" s="1525"/>
      <c r="AS1900" s="1525"/>
      <c r="AU1900" s="1525"/>
      <c r="AV1900" s="1295"/>
      <c r="AW1900" s="1525"/>
      <c r="AX1900" s="1525"/>
      <c r="AY1900" s="1525"/>
      <c r="AZ1900" s="1525"/>
      <c r="BA1900" s="1525"/>
      <c r="BB1900" s="1525"/>
      <c r="BC1900" s="1525"/>
      <c r="BD1900" s="1525"/>
      <c r="BE1900" s="1525"/>
      <c r="BF1900" s="1525"/>
      <c r="BG1900" s="1525"/>
      <c r="BH1900" s="1525"/>
      <c r="BI1900" s="1525"/>
      <c r="BJ1900" s="1525"/>
      <c r="BK1900" s="1525"/>
      <c r="BL1900" s="1525"/>
      <c r="BM1900" s="1525"/>
      <c r="BN1900" s="1525"/>
      <c r="BO1900" s="1525"/>
      <c r="BP1900" s="1525"/>
      <c r="BQ1900" s="1525"/>
      <c r="BR1900" s="1525"/>
      <c r="BS1900" s="1525"/>
      <c r="BT1900" s="1670"/>
      <c r="BV1900"/>
      <c r="BW1900" s="913"/>
    </row>
    <row r="1901" spans="1:123" s="548" customFormat="1" ht="12.75" customHeight="1" thickBot="1" x14ac:dyDescent="0.2">
      <c r="A1901" s="164"/>
      <c r="B1901" s="175"/>
      <c r="C1901" s="338" t="s">
        <v>139</v>
      </c>
      <c r="D1901" s="590" t="s">
        <v>346</v>
      </c>
      <c r="E1901" s="720" t="s">
        <v>1567</v>
      </c>
      <c r="F1901" s="603" t="s">
        <v>1594</v>
      </c>
      <c r="G1901" s="863">
        <f>COUNTA(G1876:G1900)</f>
        <v>15</v>
      </c>
      <c r="H1901" s="1421" t="s">
        <v>1508</v>
      </c>
      <c r="I1901" s="604"/>
      <c r="J1901" s="605"/>
      <c r="K1901" s="606">
        <f>K1888+K1898</f>
        <v>0</v>
      </c>
      <c r="L1901" s="863">
        <f>L1888+L1898</f>
        <v>14</v>
      </c>
      <c r="M1901" s="863">
        <f>M1888+M1898</f>
        <v>14</v>
      </c>
      <c r="N1901" s="840"/>
      <c r="O1901" s="840"/>
      <c r="P1901" s="1220"/>
      <c r="Q1901" s="1154"/>
      <c r="R1901" s="887"/>
      <c r="S1901" s="880"/>
      <c r="T1901" s="880"/>
      <c r="U1901" s="880"/>
      <c r="V1901" s="880"/>
      <c r="W1901" s="880"/>
      <c r="X1901" s="1276">
        <f>SUM(X1877:X1899)</f>
        <v>520750</v>
      </c>
      <c r="Y1901" s="1276"/>
      <c r="Z1901" s="1665">
        <f t="shared" ref="Z1901:AA1901" si="1151">SUM(Z1877:Z1899)</f>
        <v>16.030590585688845</v>
      </c>
      <c r="AA1901" s="1777">
        <f t="shared" si="1151"/>
        <v>0</v>
      </c>
      <c r="AB1901" s="1813">
        <f t="shared" ref="AB1901" si="1152">100*AA1901/Z1901</f>
        <v>0</v>
      </c>
      <c r="AC1901" s="1721"/>
      <c r="AD1901" s="1295"/>
      <c r="AE1901" s="1525"/>
      <c r="AF1901" s="1525"/>
      <c r="AG1901" s="1525"/>
      <c r="AH1901" s="1525"/>
      <c r="AI1901" s="1525"/>
      <c r="AJ1901" s="1525"/>
      <c r="AK1901" s="1525"/>
      <c r="AL1901" s="1525"/>
      <c r="AM1901" s="1525"/>
      <c r="AN1901" s="1525"/>
      <c r="AO1901" s="1525"/>
      <c r="AP1901" s="1525"/>
      <c r="AQ1901" s="1525"/>
      <c r="AR1901" s="1525"/>
      <c r="AS1901" s="1525"/>
      <c r="AT1901" s="1761"/>
      <c r="AU1901" s="1525"/>
      <c r="AV1901" s="1295"/>
      <c r="AW1901" s="1539"/>
      <c r="AX1901" s="1539"/>
      <c r="AY1901" s="1539"/>
      <c r="AZ1901" s="1539"/>
      <c r="BA1901" s="1539"/>
      <c r="BB1901" s="1539"/>
      <c r="BC1901" s="1539"/>
      <c r="BD1901" s="1539"/>
      <c r="BE1901" s="1539"/>
      <c r="BF1901" s="1539"/>
      <c r="BG1901" s="1539"/>
      <c r="BH1901" s="1539"/>
      <c r="BI1901" s="1539"/>
      <c r="BJ1901" s="1539"/>
      <c r="BK1901" s="1539"/>
      <c r="BL1901" s="1539"/>
      <c r="BM1901" s="1539"/>
      <c r="BN1901" s="1539"/>
      <c r="BO1901" s="1539"/>
      <c r="BP1901" s="1539"/>
      <c r="BQ1901" s="1539"/>
      <c r="BR1901" s="1539"/>
      <c r="BS1901" s="1539"/>
      <c r="BT1901" s="1765"/>
      <c r="BU1901" s="224"/>
      <c r="BV1901" s="65"/>
      <c r="BW1901" s="862"/>
      <c r="BX1901" s="224"/>
      <c r="BY1901" s="224"/>
      <c r="BZ1901" s="224"/>
      <c r="CA1901" s="224"/>
      <c r="CB1901" s="224"/>
      <c r="CC1901" s="224"/>
      <c r="CD1901" s="224"/>
      <c r="CE1901" s="224"/>
      <c r="CF1901" s="224"/>
      <c r="CG1901" s="224"/>
      <c r="CH1901" s="224"/>
      <c r="CI1901" s="224"/>
      <c r="CJ1901" s="224"/>
      <c r="CK1901" s="224"/>
      <c r="CL1901" s="224"/>
      <c r="CM1901" s="224"/>
      <c r="CN1901" s="224"/>
      <c r="CO1901" s="224"/>
      <c r="CP1901" s="224"/>
      <c r="CQ1901" s="224"/>
      <c r="CR1901" s="224"/>
      <c r="CS1901" s="224"/>
      <c r="CT1901" s="224"/>
      <c r="CU1901" s="224"/>
      <c r="CV1901" s="224"/>
      <c r="CW1901" s="224"/>
      <c r="CX1901" s="224"/>
      <c r="CY1901" s="224"/>
      <c r="CZ1901" s="224"/>
      <c r="DA1901" s="224"/>
      <c r="DB1901" s="224"/>
      <c r="DC1901" s="224"/>
      <c r="DD1901" s="224"/>
      <c r="DE1901" s="224"/>
      <c r="DF1901" s="224"/>
      <c r="DG1901" s="224"/>
      <c r="DH1901" s="224"/>
      <c r="DI1901" s="224"/>
      <c r="DJ1901" s="224"/>
      <c r="DK1901" s="224"/>
      <c r="DL1901" s="224"/>
      <c r="DM1901" s="224"/>
      <c r="DN1901" s="224"/>
      <c r="DO1901" s="224"/>
      <c r="DP1901" s="224"/>
      <c r="DQ1901" s="224"/>
      <c r="DR1901" s="224"/>
      <c r="DS1901" s="1768"/>
    </row>
    <row r="1902" spans="1:123" s="548" customFormat="1" ht="12.75" customHeight="1" x14ac:dyDescent="0.15">
      <c r="A1902" s="164"/>
      <c r="B1902" s="175"/>
      <c r="C1902" s="429" t="s">
        <v>1132</v>
      </c>
      <c r="D1902" s="429"/>
      <c r="E1902" s="430" t="s">
        <v>1567</v>
      </c>
      <c r="F1902" s="424" t="s">
        <v>893</v>
      </c>
      <c r="G1902" s="867"/>
      <c r="H1902" s="1422" t="s">
        <v>1508</v>
      </c>
      <c r="I1902" s="426"/>
      <c r="J1902" s="425"/>
      <c r="K1902" s="425"/>
      <c r="L1902" s="866"/>
      <c r="M1902" s="866"/>
      <c r="N1902" s="926"/>
      <c r="O1902" s="926"/>
      <c r="P1902" s="1247"/>
      <c r="Q1902" s="1158"/>
      <c r="R1902" s="1027"/>
      <c r="S1902" s="1028"/>
      <c r="T1902" s="1028"/>
      <c r="U1902" s="1028"/>
      <c r="V1902" s="1028"/>
      <c r="W1902" s="1028"/>
      <c r="X1902" s="1697">
        <v>51650</v>
      </c>
      <c r="Y1902" s="1052"/>
      <c r="Z1902" s="1052"/>
      <c r="AA1902" s="1749"/>
      <c r="AB1902" s="1811"/>
      <c r="AC1902" s="876"/>
      <c r="AD1902" s="1295"/>
      <c r="AE1902" s="1525"/>
      <c r="AF1902" s="1525"/>
      <c r="AG1902" s="1525"/>
      <c r="AH1902" s="1525"/>
      <c r="AI1902" s="1525"/>
      <c r="AJ1902" s="1525"/>
      <c r="AK1902" s="1525"/>
      <c r="AL1902" s="1525"/>
      <c r="AM1902" s="1525"/>
      <c r="AN1902" s="1525"/>
      <c r="AO1902" s="1525"/>
      <c r="AP1902" s="1525"/>
      <c r="AQ1902" s="1525"/>
      <c r="AR1902" s="1525"/>
      <c r="AS1902" s="1525"/>
      <c r="AT1902" s="1761"/>
      <c r="AU1902" s="1525"/>
      <c r="AV1902" s="1295"/>
      <c r="AW1902" s="1539"/>
      <c r="AX1902" s="1539"/>
      <c r="AY1902" s="1539"/>
      <c r="AZ1902" s="1539"/>
      <c r="BA1902" s="1539"/>
      <c r="BB1902" s="1539"/>
      <c r="BC1902" s="1539"/>
      <c r="BD1902" s="1539"/>
      <c r="BE1902" s="1539"/>
      <c r="BF1902" s="1539"/>
      <c r="BG1902" s="1539"/>
      <c r="BH1902" s="1539"/>
      <c r="BI1902" s="1539"/>
      <c r="BJ1902" s="1539"/>
      <c r="BK1902" s="1539"/>
      <c r="BL1902" s="1539"/>
      <c r="BM1902" s="1539"/>
      <c r="BN1902" s="1539"/>
      <c r="BO1902" s="1539"/>
      <c r="BP1902" s="1539"/>
      <c r="BQ1902" s="1539"/>
      <c r="BR1902" s="1539"/>
      <c r="BS1902" s="1539"/>
      <c r="BT1902" s="1765"/>
      <c r="BU1902" s="224"/>
      <c r="BV1902" s="65"/>
      <c r="BW1902" s="862"/>
      <c r="BX1902" s="224"/>
      <c r="BY1902" s="224"/>
      <c r="BZ1902" s="224"/>
      <c r="CA1902" s="224"/>
      <c r="CB1902" s="224"/>
      <c r="CC1902" s="224"/>
      <c r="CD1902" s="224"/>
      <c r="CE1902" s="224"/>
      <c r="CF1902" s="224"/>
      <c r="CG1902" s="224"/>
      <c r="CH1902" s="224"/>
      <c r="CI1902" s="224"/>
      <c r="CJ1902" s="224"/>
      <c r="CK1902" s="224"/>
      <c r="CL1902" s="224"/>
      <c r="CM1902" s="224"/>
      <c r="CN1902" s="224"/>
      <c r="CO1902" s="224"/>
      <c r="CP1902" s="224"/>
      <c r="CQ1902" s="224"/>
      <c r="CR1902" s="224"/>
      <c r="CS1902" s="224"/>
      <c r="CT1902" s="224"/>
      <c r="CU1902" s="224"/>
      <c r="CV1902" s="224"/>
      <c r="CW1902" s="224"/>
      <c r="CX1902" s="224"/>
      <c r="CY1902" s="224"/>
      <c r="CZ1902" s="224"/>
      <c r="DA1902" s="224"/>
      <c r="DB1902" s="224"/>
      <c r="DC1902" s="224"/>
      <c r="DD1902" s="224"/>
      <c r="DE1902" s="224"/>
      <c r="DF1902" s="224"/>
      <c r="DG1902" s="224"/>
      <c r="DH1902" s="224"/>
      <c r="DI1902" s="224"/>
      <c r="DJ1902" s="224"/>
      <c r="DK1902" s="224"/>
      <c r="DL1902" s="224"/>
      <c r="DM1902" s="224"/>
      <c r="DN1902" s="224"/>
      <c r="DO1902" s="224"/>
      <c r="DP1902" s="224"/>
      <c r="DQ1902" s="224"/>
      <c r="DR1902" s="224"/>
      <c r="DS1902" s="1768"/>
    </row>
    <row r="1903" spans="1:123" s="548" customFormat="1" ht="12.75" customHeight="1" x14ac:dyDescent="0.15">
      <c r="A1903" s="164"/>
      <c r="B1903" s="175"/>
      <c r="C1903" s="164"/>
      <c r="D1903" s="164"/>
      <c r="E1903" s="164"/>
      <c r="F1903" s="2"/>
      <c r="G1903" s="856"/>
      <c r="H1903" s="1424" t="s">
        <v>1508</v>
      </c>
      <c r="I1903" s="172"/>
      <c r="J1903" s="168"/>
      <c r="K1903" s="168"/>
      <c r="L1903" s="841"/>
      <c r="M1903" s="841"/>
      <c r="N1903" s="855"/>
      <c r="O1903" s="1195"/>
      <c r="P1903" s="1240"/>
      <c r="Q1903" s="1148"/>
      <c r="R1903" s="874"/>
      <c r="S1903" s="875"/>
      <c r="T1903" s="875"/>
      <c r="U1903" s="875"/>
      <c r="V1903" s="875"/>
      <c r="W1903" s="875"/>
      <c r="X1903" s="1026" t="s">
        <v>1473</v>
      </c>
      <c r="Y1903" s="1757"/>
      <c r="Z1903" s="1756"/>
      <c r="AA1903" s="1749"/>
      <c r="AB1903" s="1811"/>
      <c r="AC1903" s="876"/>
      <c r="AD1903" s="1295"/>
      <c r="AE1903" s="1525"/>
      <c r="AF1903" s="1525"/>
      <c r="AG1903" s="1525"/>
      <c r="AH1903" s="1525"/>
      <c r="AI1903" s="1525"/>
      <c r="AJ1903" s="1525"/>
      <c r="AK1903" s="1525"/>
      <c r="AL1903" s="1525"/>
      <c r="AM1903" s="1525"/>
      <c r="AN1903" s="1525"/>
      <c r="AO1903" s="1525"/>
      <c r="AP1903" s="1525"/>
      <c r="AQ1903" s="1525"/>
      <c r="AR1903" s="1525"/>
      <c r="AS1903" s="1525"/>
      <c r="AT1903" s="1761"/>
      <c r="AU1903" s="1525"/>
      <c r="AV1903" s="1295"/>
      <c r="AW1903" s="1539"/>
      <c r="AX1903" s="1539"/>
      <c r="AY1903" s="1539"/>
      <c r="AZ1903" s="1539"/>
      <c r="BA1903" s="1539"/>
      <c r="BB1903" s="1539"/>
      <c r="BC1903" s="1539"/>
      <c r="BD1903" s="1539"/>
      <c r="BE1903" s="1539"/>
      <c r="BF1903" s="1539"/>
      <c r="BG1903" s="1539"/>
      <c r="BH1903" s="1539"/>
      <c r="BI1903" s="1539"/>
      <c r="BJ1903" s="1539"/>
      <c r="BK1903" s="1539"/>
      <c r="BL1903" s="1539"/>
      <c r="BM1903" s="1539"/>
      <c r="BN1903" s="1539"/>
      <c r="BO1903" s="1539"/>
      <c r="BP1903" s="1539"/>
      <c r="BQ1903" s="1539"/>
      <c r="BR1903" s="1539"/>
      <c r="BS1903" s="1539"/>
      <c r="BT1903" s="1765"/>
      <c r="BU1903" s="224"/>
      <c r="BV1903" s="65"/>
      <c r="BW1903" s="862"/>
      <c r="BX1903" s="224"/>
      <c r="BY1903" s="224"/>
      <c r="BZ1903" s="224"/>
      <c r="CA1903" s="224"/>
      <c r="CB1903" s="224"/>
      <c r="CC1903" s="224"/>
      <c r="CD1903" s="224"/>
      <c r="CE1903" s="224"/>
      <c r="CF1903" s="224"/>
      <c r="CG1903" s="224"/>
      <c r="CH1903" s="224"/>
      <c r="CI1903" s="224"/>
      <c r="CJ1903" s="224"/>
      <c r="CK1903" s="224"/>
      <c r="CL1903" s="224"/>
      <c r="CM1903" s="224"/>
      <c r="CN1903" s="224"/>
      <c r="CO1903" s="224"/>
      <c r="CP1903" s="224"/>
      <c r="CQ1903" s="224"/>
      <c r="CR1903" s="224"/>
      <c r="CS1903" s="224"/>
      <c r="CT1903" s="224"/>
      <c r="CU1903" s="224"/>
      <c r="CV1903" s="224"/>
      <c r="CW1903" s="224"/>
      <c r="CX1903" s="224"/>
      <c r="CY1903" s="224"/>
      <c r="CZ1903" s="224"/>
      <c r="DA1903" s="224"/>
      <c r="DB1903" s="224"/>
      <c r="DC1903" s="224"/>
      <c r="DD1903" s="224"/>
      <c r="DE1903" s="224"/>
      <c r="DF1903" s="224"/>
      <c r="DG1903" s="224"/>
      <c r="DH1903" s="224"/>
      <c r="DI1903" s="224"/>
      <c r="DJ1903" s="224"/>
      <c r="DK1903" s="224"/>
      <c r="DL1903" s="224"/>
      <c r="DM1903" s="224"/>
      <c r="DN1903" s="224"/>
      <c r="DO1903" s="224"/>
      <c r="DP1903" s="224"/>
      <c r="DQ1903" s="224"/>
      <c r="DR1903" s="224"/>
      <c r="DS1903" s="1768"/>
    </row>
    <row r="1904" spans="1:123" s="548" customFormat="1" ht="12.75" customHeight="1" x14ac:dyDescent="0.15">
      <c r="A1904" s="164"/>
      <c r="B1904" s="175"/>
      <c r="C1904" s="164"/>
      <c r="D1904" s="164"/>
      <c r="E1904" s="164"/>
      <c r="F1904" s="27" t="s">
        <v>1595</v>
      </c>
      <c r="G1904" s="856"/>
      <c r="H1904" s="1424" t="s">
        <v>1508</v>
      </c>
      <c r="I1904" s="172"/>
      <c r="J1904" s="168"/>
      <c r="K1904" s="168"/>
      <c r="L1904" s="841"/>
      <c r="M1904" s="841"/>
      <c r="N1904" s="855"/>
      <c r="O1904" s="1195"/>
      <c r="P1904" s="1240"/>
      <c r="Q1904" s="1148"/>
      <c r="R1904" s="874"/>
      <c r="S1904" s="875"/>
      <c r="T1904" s="875"/>
      <c r="U1904" s="875"/>
      <c r="V1904" s="875"/>
      <c r="W1904" s="875"/>
      <c r="X1904" s="1026"/>
      <c r="Y1904" s="1757"/>
      <c r="Z1904" s="1756"/>
      <c r="AA1904" s="1749"/>
      <c r="AB1904" s="1811"/>
      <c r="AC1904" s="876"/>
      <c r="AD1904" s="1295"/>
      <c r="AE1904" s="1525"/>
      <c r="AF1904" s="1525"/>
      <c r="AG1904" s="1525"/>
      <c r="AH1904" s="1525"/>
      <c r="AI1904" s="1525"/>
      <c r="AJ1904" s="1525"/>
      <c r="AK1904" s="1525"/>
      <c r="AL1904" s="1525"/>
      <c r="AM1904" s="1525"/>
      <c r="AN1904" s="1525"/>
      <c r="AO1904" s="1525"/>
      <c r="AP1904" s="1525"/>
      <c r="AQ1904" s="1525"/>
      <c r="AR1904" s="1525"/>
      <c r="AS1904" s="1525"/>
      <c r="AT1904" s="1761"/>
      <c r="AU1904" s="1525"/>
      <c r="AV1904" s="1295"/>
      <c r="AW1904" s="1539"/>
      <c r="AX1904" s="1539"/>
      <c r="AY1904" s="1539"/>
      <c r="AZ1904" s="1539"/>
      <c r="BA1904" s="1539"/>
      <c r="BB1904" s="1539"/>
      <c r="BC1904" s="1539"/>
      <c r="BD1904" s="1539"/>
      <c r="BE1904" s="1539"/>
      <c r="BF1904" s="1539"/>
      <c r="BG1904" s="1539"/>
      <c r="BH1904" s="1539"/>
      <c r="BI1904" s="1539"/>
      <c r="BJ1904" s="1539"/>
      <c r="BK1904" s="1539"/>
      <c r="BL1904" s="1539"/>
      <c r="BM1904" s="1539"/>
      <c r="BN1904" s="1539"/>
      <c r="BO1904" s="1539"/>
      <c r="BP1904" s="1539"/>
      <c r="BQ1904" s="1539"/>
      <c r="BR1904" s="1539"/>
      <c r="BS1904" s="1539"/>
      <c r="BT1904" s="1765"/>
      <c r="BU1904" s="224"/>
      <c r="BV1904" s="65"/>
      <c r="BW1904" s="862"/>
      <c r="BX1904" s="224"/>
      <c r="BY1904" s="224"/>
      <c r="BZ1904" s="224"/>
      <c r="CA1904" s="224"/>
      <c r="CB1904" s="224"/>
      <c r="CC1904" s="224"/>
      <c r="CD1904" s="224"/>
      <c r="CE1904" s="224"/>
      <c r="CF1904" s="224"/>
      <c r="CG1904" s="224"/>
      <c r="CH1904" s="224"/>
      <c r="CI1904" s="224"/>
      <c r="CJ1904" s="224"/>
      <c r="CK1904" s="224"/>
      <c r="CL1904" s="224"/>
      <c r="CM1904" s="224"/>
      <c r="CN1904" s="224"/>
      <c r="CO1904" s="224"/>
      <c r="CP1904" s="224"/>
      <c r="CQ1904" s="224"/>
      <c r="CR1904" s="224"/>
      <c r="CS1904" s="224"/>
      <c r="CT1904" s="224"/>
      <c r="CU1904" s="224"/>
      <c r="CV1904" s="224"/>
      <c r="CW1904" s="224"/>
      <c r="CX1904" s="224"/>
      <c r="CY1904" s="224"/>
      <c r="CZ1904" s="224"/>
      <c r="DA1904" s="224"/>
      <c r="DB1904" s="224"/>
      <c r="DC1904" s="224"/>
      <c r="DD1904" s="224"/>
      <c r="DE1904" s="224"/>
      <c r="DF1904" s="224"/>
      <c r="DG1904" s="224"/>
      <c r="DH1904" s="224"/>
      <c r="DI1904" s="224"/>
      <c r="DJ1904" s="224"/>
      <c r="DK1904" s="224"/>
      <c r="DL1904" s="224"/>
      <c r="DM1904" s="224"/>
      <c r="DN1904" s="224"/>
      <c r="DO1904" s="224"/>
      <c r="DP1904" s="224"/>
      <c r="DQ1904" s="224"/>
      <c r="DR1904" s="224"/>
      <c r="DS1904" s="1768"/>
    </row>
    <row r="1905" spans="1:123" s="548" customFormat="1" ht="12.75" customHeight="1" x14ac:dyDescent="0.15">
      <c r="A1905" s="164"/>
      <c r="B1905" s="175"/>
      <c r="C1905" s="164"/>
      <c r="D1905" s="164"/>
      <c r="E1905" s="164"/>
      <c r="F1905" s="37"/>
      <c r="G1905" s="913"/>
      <c r="H1905" s="1417" t="s">
        <v>1508</v>
      </c>
      <c r="I1905" s="180"/>
      <c r="J1905" s="173"/>
      <c r="K1905" s="173"/>
      <c r="L1905" s="893"/>
      <c r="M1905" s="893"/>
      <c r="N1905" s="832"/>
      <c r="O1905" s="1195"/>
      <c r="P1905" s="1240"/>
      <c r="Q1905" s="1148"/>
      <c r="R1905" s="874"/>
      <c r="S1905" s="875"/>
      <c r="T1905" s="875"/>
      <c r="U1905" s="875"/>
      <c r="V1905" s="875"/>
      <c r="W1905" s="875"/>
      <c r="X1905" s="1026"/>
      <c r="Y1905" s="1757"/>
      <c r="Z1905" s="1756"/>
      <c r="AA1905" s="1749"/>
      <c r="AB1905" s="1811"/>
      <c r="AC1905" s="876"/>
      <c r="AD1905" s="1295"/>
      <c r="AE1905" s="1525"/>
      <c r="AF1905" s="1525"/>
      <c r="AG1905" s="1525"/>
      <c r="AH1905" s="1525"/>
      <c r="AI1905" s="1525"/>
      <c r="AJ1905" s="1525"/>
      <c r="AK1905" s="1525"/>
      <c r="AL1905" s="1525"/>
      <c r="AM1905" s="1525"/>
      <c r="AN1905" s="1525"/>
      <c r="AO1905" s="1525"/>
      <c r="AP1905" s="1525"/>
      <c r="AQ1905" s="1525"/>
      <c r="AR1905" s="1525"/>
      <c r="AS1905" s="1525"/>
      <c r="AT1905" s="1761"/>
      <c r="AU1905" s="1525"/>
      <c r="AV1905" s="1295"/>
      <c r="AW1905" s="1539"/>
      <c r="AX1905" s="1539"/>
      <c r="AY1905" s="1539"/>
      <c r="AZ1905" s="1539"/>
      <c r="BA1905" s="1539"/>
      <c r="BB1905" s="1539"/>
      <c r="BC1905" s="1539"/>
      <c r="BD1905" s="1539"/>
      <c r="BE1905" s="1539"/>
      <c r="BF1905" s="1539"/>
      <c r="BG1905" s="1539"/>
      <c r="BH1905" s="1539"/>
      <c r="BI1905" s="1539"/>
      <c r="BJ1905" s="1539"/>
      <c r="BK1905" s="1539"/>
      <c r="BL1905" s="1539"/>
      <c r="BM1905" s="1539"/>
      <c r="BN1905" s="1539"/>
      <c r="BO1905" s="1539"/>
      <c r="BP1905" s="1539"/>
      <c r="BQ1905" s="1539"/>
      <c r="BR1905" s="1539"/>
      <c r="BS1905" s="1539"/>
      <c r="BT1905" s="1765"/>
      <c r="BU1905" s="224"/>
      <c r="BV1905" s="65"/>
      <c r="BW1905" s="862"/>
      <c r="BX1905" s="224"/>
      <c r="BY1905" s="224"/>
      <c r="BZ1905" s="224"/>
      <c r="CA1905" s="224"/>
      <c r="CB1905" s="224"/>
      <c r="CC1905" s="224"/>
      <c r="CD1905" s="224"/>
      <c r="CE1905" s="224"/>
      <c r="CF1905" s="224"/>
      <c r="CG1905" s="224"/>
      <c r="CH1905" s="224"/>
      <c r="CI1905" s="224"/>
      <c r="CJ1905" s="224"/>
      <c r="CK1905" s="224"/>
      <c r="CL1905" s="224"/>
      <c r="CM1905" s="224"/>
      <c r="CN1905" s="224"/>
      <c r="CO1905" s="224"/>
      <c r="CP1905" s="224"/>
      <c r="CQ1905" s="224"/>
      <c r="CR1905" s="224"/>
      <c r="CS1905" s="224"/>
      <c r="CT1905" s="224"/>
      <c r="CU1905" s="224"/>
      <c r="CV1905" s="224"/>
      <c r="CW1905" s="224"/>
      <c r="CX1905" s="224"/>
      <c r="CY1905" s="224"/>
      <c r="CZ1905" s="224"/>
      <c r="DA1905" s="224"/>
      <c r="DB1905" s="224"/>
      <c r="DC1905" s="224"/>
      <c r="DD1905" s="224"/>
      <c r="DE1905" s="224"/>
      <c r="DF1905" s="224"/>
      <c r="DG1905" s="224"/>
      <c r="DH1905" s="224"/>
      <c r="DI1905" s="224"/>
      <c r="DJ1905" s="224"/>
      <c r="DK1905" s="224"/>
      <c r="DL1905" s="224"/>
      <c r="DM1905" s="224"/>
      <c r="DN1905" s="224"/>
      <c r="DO1905" s="224"/>
      <c r="DP1905" s="224"/>
      <c r="DQ1905" s="224"/>
      <c r="DR1905" s="224"/>
      <c r="DS1905" s="1768"/>
    </row>
    <row r="1906" spans="1:123" ht="12.75" customHeight="1" x14ac:dyDescent="0.2">
      <c r="B1906" s="175">
        <f t="shared" ref="B1906:B1909" si="1153">B1905+1</f>
        <v>1</v>
      </c>
      <c r="C1906" s="219">
        <v>4</v>
      </c>
      <c r="E1906" s="12" t="s">
        <v>994</v>
      </c>
      <c r="F1906" s="4" t="s">
        <v>629</v>
      </c>
      <c r="G1906" s="913" t="s">
        <v>1596</v>
      </c>
      <c r="H1906" s="1413">
        <v>9838</v>
      </c>
      <c r="I1906" s="180" t="s">
        <v>161</v>
      </c>
      <c r="J1906" s="173"/>
      <c r="K1906" s="173"/>
      <c r="L1906" s="893">
        <v>1</v>
      </c>
      <c r="M1906" s="858">
        <f>K1906+L1906</f>
        <v>1</v>
      </c>
      <c r="N1906" s="832" t="s">
        <v>892</v>
      </c>
      <c r="O1906" s="1196">
        <v>17011</v>
      </c>
      <c r="P1906" s="1218">
        <f ca="1">YEARFRAC(TODAY(),O1906)</f>
        <v>71.177777777777777</v>
      </c>
      <c r="Q1906" s="1148">
        <v>51700</v>
      </c>
      <c r="R1906" s="874"/>
      <c r="S1906" s="875"/>
      <c r="T1906" s="875">
        <v>4000</v>
      </c>
      <c r="U1906" s="875"/>
      <c r="V1906" s="875"/>
      <c r="W1906" s="875"/>
      <c r="X1906" s="1026">
        <f>(Q1906+R1906+S1906+T1906+U1906+V1906+W1906)*M1906</f>
        <v>55700</v>
      </c>
      <c r="Y1906" s="1512">
        <f>(T1906+U1906)*M1906/(X1906-M1906*(T1906+U1906))</f>
        <v>7.7369439071566737E-2</v>
      </c>
      <c r="Z1906" s="1741">
        <f>M1906*(1+Y1906)</f>
        <v>1.0773694390715667</v>
      </c>
      <c r="AA1906" s="1749"/>
      <c r="AB1906" s="1810">
        <f t="shared" ref="AB1906:AB1909" si="1154">100*AA1906/Z1906</f>
        <v>0</v>
      </c>
      <c r="AC1906" s="876"/>
      <c r="AD1906" s="1295"/>
      <c r="AE1906" s="1525"/>
      <c r="AF1906" s="1525"/>
      <c r="AG1906" s="1525"/>
      <c r="AH1906" s="1525"/>
      <c r="AI1906" s="1525"/>
      <c r="AJ1906" s="1525"/>
      <c r="AK1906" s="1525"/>
      <c r="AL1906" s="1525"/>
      <c r="AM1906" s="1525"/>
      <c r="AN1906" s="1525"/>
      <c r="AO1906" s="1525"/>
      <c r="AP1906" s="1525"/>
      <c r="AQ1906" s="1525"/>
      <c r="AR1906" s="1525"/>
      <c r="AS1906" s="1525"/>
      <c r="AT1906" s="6"/>
      <c r="AU1906" s="1525"/>
      <c r="AV1906" s="1295"/>
      <c r="AW1906" s="1540"/>
      <c r="AX1906" s="1540"/>
      <c r="AY1906" s="1540"/>
      <c r="AZ1906" s="1540"/>
      <c r="BA1906" s="1540"/>
      <c r="BB1906" s="1292"/>
      <c r="BC1906" s="1292"/>
      <c r="BD1906" s="1292"/>
      <c r="BE1906" s="1292"/>
      <c r="BF1906" s="1292"/>
      <c r="BG1906" s="1292"/>
      <c r="BH1906" s="1292"/>
      <c r="BI1906" s="1292"/>
      <c r="BJ1906" s="1292"/>
      <c r="BK1906" s="1292"/>
      <c r="BL1906" s="1292"/>
      <c r="BM1906" s="1292"/>
      <c r="BN1906" s="1292"/>
      <c r="BO1906" s="1292"/>
      <c r="BP1906" s="1292"/>
      <c r="BQ1906" s="1292"/>
      <c r="BR1906" s="1292"/>
      <c r="BS1906" s="1292"/>
      <c r="BT1906" s="1765">
        <f t="shared" ref="BT1906:BT1909" si="1155">SUM(AV1906:BS1906)</f>
        <v>0</v>
      </c>
      <c r="BU1906" s="65"/>
      <c r="BV1906" s="65"/>
      <c r="BW1906" s="862" t="s">
        <v>1596</v>
      </c>
    </row>
    <row r="1907" spans="1:123" ht="12.75" customHeight="1" x14ac:dyDescent="0.2">
      <c r="B1907" s="175">
        <f t="shared" si="1153"/>
        <v>2</v>
      </c>
      <c r="C1907" s="219">
        <v>12</v>
      </c>
      <c r="E1907" s="12" t="s">
        <v>994</v>
      </c>
      <c r="F1907" s="37" t="s">
        <v>1235</v>
      </c>
      <c r="G1907" s="913" t="s">
        <v>1332</v>
      </c>
      <c r="H1907" s="1413">
        <v>545</v>
      </c>
      <c r="I1907" s="180" t="s">
        <v>583</v>
      </c>
      <c r="J1907" s="173"/>
      <c r="K1907" s="173"/>
      <c r="L1907" s="893">
        <v>0.5</v>
      </c>
      <c r="M1907" s="858">
        <f>K1907+L1907</f>
        <v>0.5</v>
      </c>
      <c r="N1907" s="832" t="s">
        <v>892</v>
      </c>
      <c r="O1907" s="1196">
        <v>15235</v>
      </c>
      <c r="P1907" s="1218">
        <f ca="1">YEARFRAC(TODAY(),O1907)</f>
        <v>76.044444444444451</v>
      </c>
      <c r="Q1907" s="1148">
        <v>46800</v>
      </c>
      <c r="R1907" s="874"/>
      <c r="S1907" s="875"/>
      <c r="T1907" s="877">
        <v>18000</v>
      </c>
      <c r="U1907" s="877"/>
      <c r="V1907" s="877"/>
      <c r="W1907" s="875"/>
      <c r="X1907" s="1026">
        <f>(Q1907+R1907+S1907+T1907+U1907+V1907+W1907)*M1907</f>
        <v>32400</v>
      </c>
      <c r="Y1907" s="1512">
        <f>(T1907+U1907)*M1907/(X1907-M1907*(T1907+U1907))</f>
        <v>0.38461538461538464</v>
      </c>
      <c r="Z1907" s="1741">
        <f>M1907*(1+Y1907)</f>
        <v>0.69230769230769229</v>
      </c>
      <c r="AA1907" s="1749"/>
      <c r="AB1907" s="1810">
        <f t="shared" si="1154"/>
        <v>0</v>
      </c>
      <c r="AC1907" s="876"/>
      <c r="AD1907" s="1295"/>
      <c r="AE1907" s="1525"/>
      <c r="AF1907" s="1525"/>
      <c r="AG1907" s="1525"/>
      <c r="AH1907" s="1525"/>
      <c r="AI1907" s="1525"/>
      <c r="AJ1907" s="1525"/>
      <c r="AK1907" s="1525"/>
      <c r="AL1907" s="1525"/>
      <c r="AM1907" s="1525"/>
      <c r="AN1907" s="1525"/>
      <c r="AO1907" s="1525"/>
      <c r="AP1907" s="1525"/>
      <c r="AQ1907" s="1525"/>
      <c r="AR1907" s="1525"/>
      <c r="AS1907" s="1525"/>
      <c r="AT1907" s="6"/>
      <c r="AU1907" s="1525"/>
      <c r="AV1907" s="1295"/>
      <c r="AW1907" s="1540"/>
      <c r="AX1907" s="1540"/>
      <c r="AY1907" s="1540"/>
      <c r="AZ1907" s="1540"/>
      <c r="BA1907" s="1540"/>
      <c r="BB1907" s="1292"/>
      <c r="BC1907" s="1292"/>
      <c r="BD1907" s="1292"/>
      <c r="BE1907" s="1292"/>
      <c r="BF1907" s="1292"/>
      <c r="BG1907" s="1292"/>
      <c r="BH1907" s="1292"/>
      <c r="BI1907" s="1292"/>
      <c r="BJ1907" s="1292"/>
      <c r="BK1907" s="1292"/>
      <c r="BL1907" s="1292"/>
      <c r="BM1907" s="1292"/>
      <c r="BN1907" s="1292"/>
      <c r="BO1907" s="1292"/>
      <c r="BP1907" s="1292"/>
      <c r="BQ1907" s="1292"/>
      <c r="BR1907" s="1292"/>
      <c r="BS1907" s="1292"/>
      <c r="BT1907" s="1765">
        <f t="shared" si="1155"/>
        <v>0</v>
      </c>
      <c r="BU1907" s="65"/>
      <c r="BV1907" s="65"/>
      <c r="BW1907" s="862" t="s">
        <v>1332</v>
      </c>
    </row>
    <row r="1908" spans="1:123" ht="12.75" customHeight="1" x14ac:dyDescent="0.2">
      <c r="B1908" s="175">
        <f t="shared" si="1153"/>
        <v>3</v>
      </c>
      <c r="C1908" s="219">
        <v>22</v>
      </c>
      <c r="E1908" s="12" t="s">
        <v>994</v>
      </c>
      <c r="F1908" s="37" t="s">
        <v>1816</v>
      </c>
      <c r="G1908" s="913" t="s">
        <v>1412</v>
      </c>
      <c r="H1908" s="1413">
        <v>282621</v>
      </c>
      <c r="I1908" s="180" t="s">
        <v>583</v>
      </c>
      <c r="J1908" s="173"/>
      <c r="K1908" s="173"/>
      <c r="L1908" s="893">
        <v>1</v>
      </c>
      <c r="M1908" s="858">
        <f>K1908+L1908</f>
        <v>1</v>
      </c>
      <c r="N1908" s="832" t="s">
        <v>892</v>
      </c>
      <c r="O1908" s="1196">
        <v>28634</v>
      </c>
      <c r="P1908" s="1218">
        <f ca="1">YEARFRAC(TODAY(),O1908)</f>
        <v>39.355555555555554</v>
      </c>
      <c r="Q1908" s="1148">
        <v>25100</v>
      </c>
      <c r="R1908" s="874"/>
      <c r="S1908" s="875"/>
      <c r="T1908" s="875">
        <v>3000</v>
      </c>
      <c r="U1908" s="875"/>
      <c r="V1908" s="875">
        <v>4800</v>
      </c>
      <c r="W1908" s="875"/>
      <c r="X1908" s="1026">
        <f>(Q1908+R1908+S1908+T1908+U1908+V1908+W1908)*M1908</f>
        <v>32900</v>
      </c>
      <c r="Y1908" s="1512">
        <f>(T1908+U1908)*M1908/(X1908-M1908*(T1908+U1908))</f>
        <v>0.10033444816053512</v>
      </c>
      <c r="Z1908" s="1741">
        <f>M1908*(1+Y1908)</f>
        <v>1.1003344481605351</v>
      </c>
      <c r="AA1908" s="1749"/>
      <c r="AB1908" s="1810">
        <f t="shared" si="1154"/>
        <v>0</v>
      </c>
      <c r="AC1908" s="876"/>
      <c r="AD1908" s="1295"/>
      <c r="AE1908" s="1525"/>
      <c r="AF1908" s="1525"/>
      <c r="AG1908" s="1525"/>
      <c r="AH1908" s="1525"/>
      <c r="AI1908" s="1525"/>
      <c r="AJ1908" s="1525"/>
      <c r="AK1908" s="1525"/>
      <c r="AL1908" s="1525"/>
      <c r="AM1908" s="1525"/>
      <c r="AN1908" s="1525"/>
      <c r="AO1908" s="1525"/>
      <c r="AP1908" s="1525"/>
      <c r="AQ1908" s="1525"/>
      <c r="AR1908" s="1525"/>
      <c r="AS1908" s="1525"/>
      <c r="AT1908" s="6"/>
      <c r="AU1908" s="1525"/>
      <c r="AV1908" s="1295"/>
      <c r="AW1908" s="1540"/>
      <c r="AX1908" s="1540"/>
      <c r="AY1908" s="1540"/>
      <c r="AZ1908" s="1540"/>
      <c r="BA1908" s="1540"/>
      <c r="BB1908" s="1292"/>
      <c r="BC1908" s="1292"/>
      <c r="BD1908" s="1292"/>
      <c r="BE1908" s="1292"/>
      <c r="BF1908" s="1292"/>
      <c r="BG1908" s="1292"/>
      <c r="BH1908" s="1292"/>
      <c r="BI1908" s="1292"/>
      <c r="BJ1908" s="1292"/>
      <c r="BK1908" s="1292"/>
      <c r="BL1908" s="1292"/>
      <c r="BM1908" s="1292"/>
      <c r="BN1908" s="1292"/>
      <c r="BO1908" s="1292"/>
      <c r="BP1908" s="1292"/>
      <c r="BQ1908" s="1292"/>
      <c r="BR1908" s="1292"/>
      <c r="BS1908" s="1292"/>
      <c r="BT1908" s="1765">
        <f t="shared" si="1155"/>
        <v>0</v>
      </c>
      <c r="BU1908" s="65"/>
      <c r="BV1908" s="65"/>
      <c r="BW1908" s="862" t="s">
        <v>1412</v>
      </c>
    </row>
    <row r="1909" spans="1:123" ht="12.75" customHeight="1" x14ac:dyDescent="0.2">
      <c r="B1909" s="175">
        <f t="shared" si="1153"/>
        <v>4</v>
      </c>
      <c r="C1909" s="219">
        <v>22</v>
      </c>
      <c r="E1909" s="12" t="s">
        <v>994</v>
      </c>
      <c r="F1909" s="42" t="s">
        <v>1282</v>
      </c>
      <c r="G1909" s="945" t="s">
        <v>122</v>
      </c>
      <c r="H1909" s="1414">
        <v>121189</v>
      </c>
      <c r="I1909" s="176" t="s">
        <v>583</v>
      </c>
      <c r="J1909" s="177"/>
      <c r="K1909" s="195"/>
      <c r="L1909" s="873">
        <v>1</v>
      </c>
      <c r="M1909" s="873">
        <v>1</v>
      </c>
      <c r="N1909" s="940" t="s">
        <v>892</v>
      </c>
      <c r="O1909" s="1211">
        <v>29256</v>
      </c>
      <c r="P1909" s="1218">
        <f ca="1">YEARFRAC(TODAY(),O1909)</f>
        <v>37.658333333333331</v>
      </c>
      <c r="Q1909" s="1071">
        <v>20400</v>
      </c>
      <c r="R1909" s="890"/>
      <c r="S1909" s="891"/>
      <c r="T1909" s="891"/>
      <c r="U1909" s="891"/>
      <c r="V1909" s="891">
        <v>6120</v>
      </c>
      <c r="W1909" s="891"/>
      <c r="X1909" s="1026">
        <f>(Q1909+R1909+S1909+T1909+U1909+V1909+W1909)*M1909</f>
        <v>26520</v>
      </c>
      <c r="Y1909" s="1512">
        <f>(T1909+U1909)*M1909/(X1909-M1909*(T1909+U1909))</f>
        <v>0</v>
      </c>
      <c r="Z1909" s="1741">
        <f>M1909*(1+Y1909)</f>
        <v>1</v>
      </c>
      <c r="AA1909" s="1749"/>
      <c r="AB1909" s="1810">
        <f t="shared" si="1154"/>
        <v>0</v>
      </c>
      <c r="AC1909" s="876"/>
      <c r="AD1909" s="1295"/>
      <c r="AE1909" s="1525"/>
      <c r="AF1909" s="1525"/>
      <c r="AG1909" s="1525"/>
      <c r="AH1909" s="1525"/>
      <c r="AI1909" s="1525"/>
      <c r="AJ1909" s="1525"/>
      <c r="AK1909" s="1525"/>
      <c r="AL1909" s="1525"/>
      <c r="AM1909" s="1525"/>
      <c r="AN1909" s="1525"/>
      <c r="AO1909" s="1525"/>
      <c r="AP1909" s="1525"/>
      <c r="AQ1909" s="1525"/>
      <c r="AR1909" s="1525"/>
      <c r="AS1909" s="1525"/>
      <c r="AT1909" s="6"/>
      <c r="AU1909" s="1525"/>
      <c r="AV1909" s="1295"/>
      <c r="AW1909" s="1540"/>
      <c r="AX1909" s="1540"/>
      <c r="AY1909" s="1540"/>
      <c r="AZ1909" s="1540"/>
      <c r="BA1909" s="1540"/>
      <c r="BB1909" s="1292"/>
      <c r="BC1909" s="1292"/>
      <c r="BD1909" s="1292"/>
      <c r="BE1909" s="1292"/>
      <c r="BF1909" s="1292"/>
      <c r="BG1909" s="1292"/>
      <c r="BH1909" s="1292"/>
      <c r="BI1909" s="1292"/>
      <c r="BJ1909" s="1292"/>
      <c r="BK1909" s="1292"/>
      <c r="BL1909" s="1292"/>
      <c r="BM1909" s="1292"/>
      <c r="BN1909" s="1292"/>
      <c r="BO1909" s="1292"/>
      <c r="BP1909" s="1292"/>
      <c r="BQ1909" s="1292"/>
      <c r="BR1909" s="1292"/>
      <c r="BS1909" s="1292"/>
      <c r="BT1909" s="1765">
        <f t="shared" si="1155"/>
        <v>0</v>
      </c>
      <c r="BU1909" s="65"/>
      <c r="BV1909" s="65"/>
      <c r="BW1909" s="862" t="s">
        <v>122</v>
      </c>
    </row>
    <row r="1910" spans="1:123" s="548" customFormat="1" ht="12.75" customHeight="1" x14ac:dyDescent="0.15">
      <c r="A1910" s="164"/>
      <c r="B1910" s="175"/>
      <c r="C1910" s="219" t="s">
        <v>1120</v>
      </c>
      <c r="D1910" s="164"/>
      <c r="E1910" s="164"/>
      <c r="F1910" s="1" t="s">
        <v>1038</v>
      </c>
      <c r="G1910" s="856"/>
      <c r="H1910" s="1415" t="s">
        <v>1508</v>
      </c>
      <c r="I1910" s="172"/>
      <c r="J1910" s="168"/>
      <c r="K1910" s="446">
        <f>SUM(K1906:K1909)</f>
        <v>0</v>
      </c>
      <c r="L1910" s="892">
        <f>SUM(L1906:L1909)</f>
        <v>3.5</v>
      </c>
      <c r="M1910" s="892">
        <f>SUM(M1906:M1909)</f>
        <v>3.5</v>
      </c>
      <c r="N1910" s="855"/>
      <c r="O1910" s="1195"/>
      <c r="P1910" s="1240"/>
      <c r="Q1910" s="1153"/>
      <c r="R1910" s="877"/>
      <c r="S1910" s="875"/>
      <c r="T1910" s="875"/>
      <c r="U1910" s="875"/>
      <c r="V1910" s="875"/>
      <c r="W1910" s="875"/>
      <c r="X1910" s="1026"/>
      <c r="Y1910" s="1335"/>
      <c r="Z1910" s="1335"/>
      <c r="AA1910" s="1749"/>
      <c r="AB1910" s="1811"/>
      <c r="AC1910" s="876"/>
      <c r="AD1910" s="1295"/>
      <c r="AE1910" s="1525"/>
      <c r="AF1910" s="1525"/>
      <c r="AG1910" s="1525"/>
      <c r="AH1910" s="1525"/>
      <c r="AI1910" s="1525"/>
      <c r="AJ1910" s="1525"/>
      <c r="AK1910" s="1525"/>
      <c r="AL1910" s="1525"/>
      <c r="AM1910" s="1525"/>
      <c r="AN1910" s="1525"/>
      <c r="AO1910" s="1525"/>
      <c r="AP1910" s="1525"/>
      <c r="AQ1910" s="1525"/>
      <c r="AR1910" s="1525"/>
      <c r="AS1910" s="1525"/>
      <c r="AT1910" s="1761"/>
      <c r="AU1910" s="1525"/>
      <c r="AV1910" s="1295">
        <v>0</v>
      </c>
      <c r="AW1910" s="1539"/>
      <c r="AX1910" s="1539"/>
      <c r="AY1910" s="1539"/>
      <c r="AZ1910" s="1539"/>
      <c r="BA1910" s="1539"/>
      <c r="BB1910" s="1539"/>
      <c r="BC1910" s="1539"/>
      <c r="BD1910" s="1539"/>
      <c r="BE1910" s="1539"/>
      <c r="BF1910" s="1539"/>
      <c r="BG1910" s="1539"/>
      <c r="BH1910" s="1539"/>
      <c r="BI1910" s="1539"/>
      <c r="BJ1910" s="1539"/>
      <c r="BK1910" s="1539"/>
      <c r="BL1910" s="1539"/>
      <c r="BM1910" s="1539"/>
      <c r="BN1910" s="1539"/>
      <c r="BO1910" s="1539"/>
      <c r="BP1910" s="1539"/>
      <c r="BQ1910" s="1539"/>
      <c r="BR1910" s="1539"/>
      <c r="BS1910" s="1539"/>
      <c r="BT1910" s="1765"/>
      <c r="BU1910" s="224"/>
      <c r="BV1910" s="65"/>
      <c r="BW1910" s="862"/>
      <c r="BX1910" s="224"/>
      <c r="BY1910" s="224"/>
      <c r="BZ1910" s="224"/>
      <c r="CA1910" s="224"/>
      <c r="CB1910" s="224"/>
      <c r="CC1910" s="224"/>
      <c r="CD1910" s="224"/>
      <c r="CE1910" s="224"/>
      <c r="CF1910" s="224"/>
      <c r="CG1910" s="224"/>
      <c r="CH1910" s="224"/>
      <c r="CI1910" s="224"/>
      <c r="CJ1910" s="224"/>
      <c r="CK1910" s="224"/>
      <c r="CL1910" s="224"/>
      <c r="CM1910" s="224"/>
      <c r="CN1910" s="224"/>
      <c r="CO1910" s="224"/>
      <c r="CP1910" s="224"/>
      <c r="CQ1910" s="224"/>
      <c r="CR1910" s="224"/>
      <c r="CS1910" s="224"/>
      <c r="CT1910" s="224"/>
      <c r="CU1910" s="224"/>
      <c r="CV1910" s="224"/>
      <c r="CW1910" s="224"/>
      <c r="CX1910" s="224"/>
      <c r="CY1910" s="224"/>
      <c r="CZ1910" s="224"/>
      <c r="DA1910" s="224"/>
      <c r="DB1910" s="224"/>
      <c r="DC1910" s="224"/>
      <c r="DD1910" s="224"/>
      <c r="DE1910" s="224"/>
      <c r="DF1910" s="224"/>
      <c r="DG1910" s="224"/>
      <c r="DH1910" s="224"/>
      <c r="DI1910" s="224"/>
      <c r="DJ1910" s="224"/>
      <c r="DK1910" s="224"/>
      <c r="DL1910" s="224"/>
      <c r="DM1910" s="224"/>
      <c r="DN1910" s="224"/>
      <c r="DO1910" s="224"/>
      <c r="DP1910" s="224"/>
      <c r="DQ1910" s="224"/>
      <c r="DR1910" s="224"/>
      <c r="DS1910" s="1768"/>
    </row>
    <row r="1911" spans="1:123" s="548" customFormat="1" ht="12.75" customHeight="1" x14ac:dyDescent="0.15">
      <c r="A1911" s="164"/>
      <c r="B1911" s="175"/>
      <c r="C1911" s="164"/>
      <c r="D1911" s="164"/>
      <c r="E1911" s="164"/>
      <c r="F1911" s="1"/>
      <c r="G1911" s="856"/>
      <c r="H1911" s="1417" t="s">
        <v>1508</v>
      </c>
      <c r="I1911" s="172"/>
      <c r="J1911" s="168"/>
      <c r="K1911" s="168"/>
      <c r="L1911" s="893"/>
      <c r="M1911" s="893"/>
      <c r="N1911" s="855"/>
      <c r="O1911" s="1195"/>
      <c r="P1911" s="1240"/>
      <c r="Q1911" s="1148"/>
      <c r="R1911" s="874"/>
      <c r="S1911" s="875"/>
      <c r="T1911" s="875"/>
      <c r="U1911" s="875"/>
      <c r="V1911" s="875"/>
      <c r="W1911" s="875"/>
      <c r="X1911" s="1026"/>
      <c r="Y1911" s="1754"/>
      <c r="Z1911" s="1755"/>
      <c r="AA1911" s="1749"/>
      <c r="AB1911" s="1811"/>
      <c r="AC1911" s="876"/>
      <c r="AD1911" s="1295"/>
      <c r="AE1911" s="1525"/>
      <c r="AF1911" s="1525"/>
      <c r="AG1911" s="1525"/>
      <c r="AH1911" s="1525"/>
      <c r="AI1911" s="1525"/>
      <c r="AJ1911" s="1525"/>
      <c r="AK1911" s="1525"/>
      <c r="AL1911" s="1525"/>
      <c r="AM1911" s="1525"/>
      <c r="AN1911" s="1525"/>
      <c r="AO1911" s="1525"/>
      <c r="AP1911" s="1525"/>
      <c r="AQ1911" s="1525"/>
      <c r="AR1911" s="1525"/>
      <c r="AS1911" s="1525"/>
      <c r="AT1911" s="1761"/>
      <c r="AU1911" s="1525"/>
      <c r="AV1911" s="1295">
        <v>0</v>
      </c>
      <c r="AW1911" s="1539"/>
      <c r="AX1911" s="1539"/>
      <c r="AY1911" s="1539"/>
      <c r="AZ1911" s="1539"/>
      <c r="BA1911" s="1539"/>
      <c r="BB1911" s="1539"/>
      <c r="BC1911" s="1539"/>
      <c r="BD1911" s="1539"/>
      <c r="BE1911" s="1539"/>
      <c r="BF1911" s="1539"/>
      <c r="BG1911" s="1539"/>
      <c r="BH1911" s="1539"/>
      <c r="BI1911" s="1539"/>
      <c r="BJ1911" s="1539"/>
      <c r="BK1911" s="1539"/>
      <c r="BL1911" s="1539"/>
      <c r="BM1911" s="1539"/>
      <c r="BN1911" s="1539"/>
      <c r="BO1911" s="1539"/>
      <c r="BP1911" s="1539"/>
      <c r="BQ1911" s="1539"/>
      <c r="BR1911" s="1539"/>
      <c r="BS1911" s="1539"/>
      <c r="BT1911" s="1765"/>
      <c r="BU1911" s="224"/>
      <c r="BV1911" s="65"/>
      <c r="BW1911" s="862"/>
      <c r="BX1911" s="224"/>
      <c r="BY1911" s="224"/>
      <c r="BZ1911" s="224"/>
      <c r="CA1911" s="224"/>
      <c r="CB1911" s="224"/>
      <c r="CC1911" s="224"/>
      <c r="CD1911" s="224"/>
      <c r="CE1911" s="224"/>
      <c r="CF1911" s="224"/>
      <c r="CG1911" s="224"/>
      <c r="CH1911" s="224"/>
      <c r="CI1911" s="224"/>
      <c r="CJ1911" s="224"/>
      <c r="CK1911" s="224"/>
      <c r="CL1911" s="224"/>
      <c r="CM1911" s="224"/>
      <c r="CN1911" s="224"/>
      <c r="CO1911" s="224"/>
      <c r="CP1911" s="224"/>
      <c r="CQ1911" s="224"/>
      <c r="CR1911" s="224"/>
      <c r="CS1911" s="224"/>
      <c r="CT1911" s="224"/>
      <c r="CU1911" s="224"/>
      <c r="CV1911" s="224"/>
      <c r="CW1911" s="224"/>
      <c r="CX1911" s="224"/>
      <c r="CY1911" s="224"/>
      <c r="CZ1911" s="224"/>
      <c r="DA1911" s="224"/>
      <c r="DB1911" s="224"/>
      <c r="DC1911" s="224"/>
      <c r="DD1911" s="224"/>
      <c r="DE1911" s="224"/>
      <c r="DF1911" s="224"/>
      <c r="DG1911" s="224"/>
      <c r="DH1911" s="224"/>
      <c r="DI1911" s="224"/>
      <c r="DJ1911" s="224"/>
      <c r="DK1911" s="224"/>
      <c r="DL1911" s="224"/>
      <c r="DM1911" s="224"/>
      <c r="DN1911" s="224"/>
      <c r="DO1911" s="224"/>
      <c r="DP1911" s="224"/>
      <c r="DQ1911" s="224"/>
      <c r="DR1911" s="224"/>
      <c r="DS1911" s="1768"/>
    </row>
    <row r="1912" spans="1:123" s="548" customFormat="1" ht="12.75" customHeight="1" x14ac:dyDescent="0.15">
      <c r="A1912" s="164"/>
      <c r="B1912" s="175"/>
      <c r="C1912" s="164"/>
      <c r="D1912" s="164"/>
      <c r="E1912" s="164"/>
      <c r="F1912" s="88"/>
      <c r="G1912" s="856"/>
      <c r="H1912" s="1417" t="s">
        <v>1508</v>
      </c>
      <c r="I1912" s="172"/>
      <c r="J1912" s="168"/>
      <c r="K1912" s="168"/>
      <c r="L1912" s="893"/>
      <c r="M1912" s="893"/>
      <c r="N1912" s="855"/>
      <c r="O1912" s="1195"/>
      <c r="P1912" s="1240"/>
      <c r="Q1912" s="1148"/>
      <c r="R1912" s="874"/>
      <c r="S1912" s="875"/>
      <c r="T1912" s="875"/>
      <c r="U1912" s="875"/>
      <c r="V1912" s="875"/>
      <c r="W1912" s="875"/>
      <c r="X1912" s="1026"/>
      <c r="Y1912" s="1754"/>
      <c r="Z1912" s="1755"/>
      <c r="AA1912" s="1749"/>
      <c r="AB1912" s="1811"/>
      <c r="AC1912" s="876"/>
      <c r="AD1912" s="1295"/>
      <c r="AE1912" s="1525"/>
      <c r="AF1912" s="1525"/>
      <c r="AG1912" s="1525"/>
      <c r="AH1912" s="1525"/>
      <c r="AI1912" s="1525"/>
      <c r="AJ1912" s="1525"/>
      <c r="AK1912" s="1525"/>
      <c r="AL1912" s="1525"/>
      <c r="AM1912" s="1525"/>
      <c r="AN1912" s="1525"/>
      <c r="AO1912" s="1525"/>
      <c r="AP1912" s="1525"/>
      <c r="AQ1912" s="1525"/>
      <c r="AR1912" s="1525"/>
      <c r="AS1912" s="1525"/>
      <c r="AT1912" s="1761"/>
      <c r="AU1912" s="1525"/>
      <c r="AV1912" s="1295">
        <v>0</v>
      </c>
      <c r="AW1912" s="1539"/>
      <c r="AX1912" s="1539"/>
      <c r="AY1912" s="1539"/>
      <c r="AZ1912" s="1539"/>
      <c r="BA1912" s="1539"/>
      <c r="BB1912" s="1539"/>
      <c r="BC1912" s="1539"/>
      <c r="BD1912" s="1539"/>
      <c r="BE1912" s="1539"/>
      <c r="BF1912" s="1539"/>
      <c r="BG1912" s="1539"/>
      <c r="BH1912" s="1539"/>
      <c r="BI1912" s="1539"/>
      <c r="BJ1912" s="1539"/>
      <c r="BK1912" s="1539"/>
      <c r="BL1912" s="1539"/>
      <c r="BM1912" s="1539"/>
      <c r="BN1912" s="1539"/>
      <c r="BO1912" s="1539"/>
      <c r="BP1912" s="1539"/>
      <c r="BQ1912" s="1539"/>
      <c r="BR1912" s="1539"/>
      <c r="BS1912" s="1539"/>
      <c r="BT1912" s="1765"/>
      <c r="BU1912" s="224"/>
      <c r="BV1912" s="65"/>
      <c r="BW1912" s="862"/>
      <c r="BX1912" s="224"/>
      <c r="BY1912" s="224"/>
      <c r="BZ1912" s="224"/>
      <c r="CA1912" s="224"/>
      <c r="CB1912" s="224"/>
      <c r="CC1912" s="224"/>
      <c r="CD1912" s="224"/>
      <c r="CE1912" s="224"/>
      <c r="CF1912" s="224"/>
      <c r="CG1912" s="224"/>
      <c r="CH1912" s="224"/>
      <c r="CI1912" s="224"/>
      <c r="CJ1912" s="224"/>
      <c r="CK1912" s="224"/>
      <c r="CL1912" s="224"/>
      <c r="CM1912" s="224"/>
      <c r="CN1912" s="224"/>
      <c r="CO1912" s="224"/>
      <c r="CP1912" s="224"/>
      <c r="CQ1912" s="224"/>
      <c r="CR1912" s="224"/>
      <c r="CS1912" s="224"/>
      <c r="CT1912" s="224"/>
      <c r="CU1912" s="224"/>
      <c r="CV1912" s="224"/>
      <c r="CW1912" s="224"/>
      <c r="CX1912" s="224"/>
      <c r="CY1912" s="224"/>
      <c r="CZ1912" s="224"/>
      <c r="DA1912" s="224"/>
      <c r="DB1912" s="224"/>
      <c r="DC1912" s="224"/>
      <c r="DD1912" s="224"/>
      <c r="DE1912" s="224"/>
      <c r="DF1912" s="224"/>
      <c r="DG1912" s="224"/>
      <c r="DH1912" s="224"/>
      <c r="DI1912" s="224"/>
      <c r="DJ1912" s="224"/>
      <c r="DK1912" s="224"/>
      <c r="DL1912" s="224"/>
      <c r="DM1912" s="224"/>
      <c r="DN1912" s="224"/>
      <c r="DO1912" s="224"/>
      <c r="DP1912" s="224"/>
      <c r="DQ1912" s="224"/>
      <c r="DR1912" s="224"/>
      <c r="DS1912" s="1768"/>
    </row>
    <row r="1913" spans="1:123" s="548" customFormat="1" ht="12.75" customHeight="1" x14ac:dyDescent="0.15">
      <c r="A1913" s="164"/>
      <c r="B1913" s="175"/>
      <c r="C1913" s="164"/>
      <c r="D1913" s="164"/>
      <c r="E1913" s="164"/>
      <c r="F1913" s="1" t="s">
        <v>480</v>
      </c>
      <c r="G1913" s="856"/>
      <c r="H1913" s="1417" t="s">
        <v>1508</v>
      </c>
      <c r="I1913" s="171"/>
      <c r="J1913" s="211"/>
      <c r="K1913" s="211"/>
      <c r="L1913" s="893"/>
      <c r="M1913" s="893"/>
      <c r="N1913" s="855"/>
      <c r="O1913" s="1195"/>
      <c r="P1913" s="1240"/>
      <c r="Q1913" s="1148"/>
      <c r="R1913" s="874"/>
      <c r="S1913" s="875"/>
      <c r="T1913" s="875"/>
      <c r="U1913" s="875"/>
      <c r="V1913" s="875"/>
      <c r="W1913" s="875"/>
      <c r="X1913" s="1026"/>
      <c r="Y1913" s="1754"/>
      <c r="Z1913" s="1755"/>
      <c r="AA1913" s="1749"/>
      <c r="AB1913" s="1811"/>
      <c r="AC1913" s="876"/>
      <c r="AD1913" s="1295"/>
      <c r="AE1913" s="1525"/>
      <c r="AF1913" s="1525"/>
      <c r="AG1913" s="1525"/>
      <c r="AH1913" s="1525"/>
      <c r="AI1913" s="1525"/>
      <c r="AJ1913" s="1525"/>
      <c r="AK1913" s="1525"/>
      <c r="AL1913" s="1525"/>
      <c r="AM1913" s="1525"/>
      <c r="AN1913" s="1525"/>
      <c r="AO1913" s="1525"/>
      <c r="AP1913" s="1525"/>
      <c r="AQ1913" s="1525"/>
      <c r="AR1913" s="1525"/>
      <c r="AS1913" s="1525"/>
      <c r="AT1913" s="1761"/>
      <c r="AU1913" s="1525"/>
      <c r="AV1913" s="1295">
        <v>0</v>
      </c>
      <c r="AW1913" s="1539"/>
      <c r="AX1913" s="1539"/>
      <c r="AY1913" s="1539"/>
      <c r="AZ1913" s="1539"/>
      <c r="BA1913" s="1539"/>
      <c r="BB1913" s="1539"/>
      <c r="BC1913" s="1539"/>
      <c r="BD1913" s="1539"/>
      <c r="BE1913" s="1539"/>
      <c r="BF1913" s="1539"/>
      <c r="BG1913" s="1539"/>
      <c r="BH1913" s="1539"/>
      <c r="BI1913" s="1539"/>
      <c r="BJ1913" s="1539"/>
      <c r="BK1913" s="1539"/>
      <c r="BL1913" s="1539"/>
      <c r="BM1913" s="1539"/>
      <c r="BN1913" s="1539"/>
      <c r="BO1913" s="1539"/>
      <c r="BP1913" s="1539"/>
      <c r="BQ1913" s="1539"/>
      <c r="BR1913" s="1539"/>
      <c r="BS1913" s="1539"/>
      <c r="BT1913" s="1765"/>
      <c r="BU1913" s="224"/>
      <c r="BV1913" s="65"/>
      <c r="BW1913" s="862"/>
      <c r="BX1913" s="224"/>
      <c r="BY1913" s="224"/>
      <c r="BZ1913" s="224"/>
      <c r="CA1913" s="224"/>
      <c r="CB1913" s="224"/>
      <c r="CC1913" s="224"/>
      <c r="CD1913" s="224"/>
      <c r="CE1913" s="224"/>
      <c r="CF1913" s="224"/>
      <c r="CG1913" s="224"/>
      <c r="CH1913" s="224"/>
      <c r="CI1913" s="224"/>
      <c r="CJ1913" s="224"/>
      <c r="CK1913" s="224"/>
      <c r="CL1913" s="224"/>
      <c r="CM1913" s="224"/>
      <c r="CN1913" s="224"/>
      <c r="CO1913" s="224"/>
      <c r="CP1913" s="224"/>
      <c r="CQ1913" s="224"/>
      <c r="CR1913" s="224"/>
      <c r="CS1913" s="224"/>
      <c r="CT1913" s="224"/>
      <c r="CU1913" s="224"/>
      <c r="CV1913" s="224"/>
      <c r="CW1913" s="224"/>
      <c r="CX1913" s="224"/>
      <c r="CY1913" s="224"/>
      <c r="CZ1913" s="224"/>
      <c r="DA1913" s="224"/>
      <c r="DB1913" s="224"/>
      <c r="DC1913" s="224"/>
      <c r="DD1913" s="224"/>
      <c r="DE1913" s="224"/>
      <c r="DF1913" s="224"/>
      <c r="DG1913" s="224"/>
      <c r="DH1913" s="224"/>
      <c r="DI1913" s="224"/>
      <c r="DJ1913" s="224"/>
      <c r="DK1913" s="224"/>
      <c r="DL1913" s="224"/>
      <c r="DM1913" s="224"/>
      <c r="DN1913" s="224"/>
      <c r="DO1913" s="224"/>
      <c r="DP1913" s="224"/>
      <c r="DQ1913" s="224"/>
      <c r="DR1913" s="224"/>
      <c r="DS1913" s="1768"/>
    </row>
    <row r="1914" spans="1:123" s="548" customFormat="1" ht="12.75" customHeight="1" x14ac:dyDescent="0.15">
      <c r="A1914" s="164"/>
      <c r="B1914" s="175"/>
      <c r="C1914" s="164"/>
      <c r="D1914" s="164"/>
      <c r="E1914" s="164"/>
      <c r="F1914" s="1"/>
      <c r="G1914" s="856"/>
      <c r="H1914" s="1417" t="s">
        <v>1508</v>
      </c>
      <c r="I1914" s="172"/>
      <c r="J1914" s="168"/>
      <c r="K1914" s="168"/>
      <c r="L1914" s="893"/>
      <c r="M1914" s="893"/>
      <c r="N1914" s="855"/>
      <c r="O1914" s="1195"/>
      <c r="P1914" s="1240"/>
      <c r="Q1914" s="1148"/>
      <c r="R1914" s="874"/>
      <c r="S1914" s="875"/>
      <c r="T1914" s="875"/>
      <c r="U1914" s="875"/>
      <c r="V1914" s="875"/>
      <c r="W1914" s="875"/>
      <c r="X1914" s="1026"/>
      <c r="Y1914" s="1754"/>
      <c r="Z1914" s="1755"/>
      <c r="AA1914" s="1749"/>
      <c r="AB1914" s="1811"/>
      <c r="AC1914" s="876"/>
      <c r="AD1914" s="1295"/>
      <c r="AE1914" s="1525"/>
      <c r="AF1914" s="1525"/>
      <c r="AG1914" s="1525"/>
      <c r="AH1914" s="1525"/>
      <c r="AI1914" s="1525"/>
      <c r="AJ1914" s="1525"/>
      <c r="AK1914" s="1525"/>
      <c r="AL1914" s="1525"/>
      <c r="AM1914" s="1525"/>
      <c r="AN1914" s="1525"/>
      <c r="AO1914" s="1525"/>
      <c r="AP1914" s="1525"/>
      <c r="AQ1914" s="1525"/>
      <c r="AR1914" s="1525"/>
      <c r="AS1914" s="1525"/>
      <c r="AT1914" s="1761"/>
      <c r="AU1914" s="1525"/>
      <c r="AV1914" s="1295">
        <v>0</v>
      </c>
      <c r="AW1914" s="1539"/>
      <c r="AX1914" s="1539"/>
      <c r="AY1914" s="1539"/>
      <c r="AZ1914" s="1539"/>
      <c r="BA1914" s="1539"/>
      <c r="BB1914" s="1539"/>
      <c r="BC1914" s="1539"/>
      <c r="BD1914" s="1539"/>
      <c r="BE1914" s="1539"/>
      <c r="BF1914" s="1539"/>
      <c r="BG1914" s="1539"/>
      <c r="BH1914" s="1539"/>
      <c r="BI1914" s="1539"/>
      <c r="BJ1914" s="1539"/>
      <c r="BK1914" s="1539"/>
      <c r="BL1914" s="1539"/>
      <c r="BM1914" s="1539"/>
      <c r="BN1914" s="1539"/>
      <c r="BO1914" s="1539"/>
      <c r="BP1914" s="1539"/>
      <c r="BQ1914" s="1539"/>
      <c r="BR1914" s="1539"/>
      <c r="BS1914" s="1539"/>
      <c r="BT1914" s="1765"/>
      <c r="BU1914" s="224"/>
      <c r="BV1914" s="65"/>
      <c r="BW1914" s="862"/>
      <c r="BX1914" s="224"/>
      <c r="BY1914" s="224"/>
      <c r="BZ1914" s="224"/>
      <c r="CA1914" s="224"/>
      <c r="CB1914" s="224"/>
      <c r="CC1914" s="224"/>
      <c r="CD1914" s="224"/>
      <c r="CE1914" s="224"/>
      <c r="CF1914" s="224"/>
      <c r="CG1914" s="224"/>
      <c r="CH1914" s="224"/>
      <c r="CI1914" s="224"/>
      <c r="CJ1914" s="224"/>
      <c r="CK1914" s="224"/>
      <c r="CL1914" s="224"/>
      <c r="CM1914" s="224"/>
      <c r="CN1914" s="224"/>
      <c r="CO1914" s="224"/>
      <c r="CP1914" s="224"/>
      <c r="CQ1914" s="224"/>
      <c r="CR1914" s="224"/>
      <c r="CS1914" s="224"/>
      <c r="CT1914" s="224"/>
      <c r="CU1914" s="224"/>
      <c r="CV1914" s="224"/>
      <c r="CW1914" s="224"/>
      <c r="CX1914" s="224"/>
      <c r="CY1914" s="224"/>
      <c r="CZ1914" s="224"/>
      <c r="DA1914" s="224"/>
      <c r="DB1914" s="224"/>
      <c r="DC1914" s="224"/>
      <c r="DD1914" s="224"/>
      <c r="DE1914" s="224"/>
      <c r="DF1914" s="224"/>
      <c r="DG1914" s="224"/>
      <c r="DH1914" s="224"/>
      <c r="DI1914" s="224"/>
      <c r="DJ1914" s="224"/>
      <c r="DK1914" s="224"/>
      <c r="DL1914" s="224"/>
      <c r="DM1914" s="224"/>
      <c r="DN1914" s="224"/>
      <c r="DO1914" s="224"/>
      <c r="DP1914" s="224"/>
      <c r="DQ1914" s="224"/>
      <c r="DR1914" s="224"/>
      <c r="DS1914" s="1768"/>
    </row>
    <row r="1915" spans="1:123" ht="12.75" customHeight="1" x14ac:dyDescent="0.2">
      <c r="B1915" s="175">
        <f>B1914+1</f>
        <v>1</v>
      </c>
      <c r="C1915" s="219">
        <v>18</v>
      </c>
      <c r="E1915" s="12" t="s">
        <v>994</v>
      </c>
      <c r="F1915" s="1" t="s">
        <v>481</v>
      </c>
      <c r="G1915" s="856" t="s">
        <v>144</v>
      </c>
      <c r="H1915" s="1413">
        <v>254382</v>
      </c>
      <c r="I1915" s="172" t="s">
        <v>1442</v>
      </c>
      <c r="J1915" s="168"/>
      <c r="K1915" s="168"/>
      <c r="L1915" s="841">
        <v>1</v>
      </c>
      <c r="M1915" s="858">
        <f>K1915+L1915</f>
        <v>1</v>
      </c>
      <c r="N1915" s="855" t="s">
        <v>892</v>
      </c>
      <c r="O1915" s="1196">
        <v>30874</v>
      </c>
      <c r="P1915" s="1218">
        <f t="shared" ref="P1915:P1928" ca="1" si="1156">YEARFRAC(TODAY(),O1915)</f>
        <v>33.225000000000001</v>
      </c>
      <c r="Q1915" s="1148">
        <v>23300</v>
      </c>
      <c r="R1915" s="874"/>
      <c r="S1915" s="875"/>
      <c r="T1915" s="875"/>
      <c r="U1915" s="875"/>
      <c r="V1915" s="875">
        <v>8280</v>
      </c>
      <c r="W1915" s="875"/>
      <c r="X1915" s="1026">
        <f t="shared" ref="X1915:X1928" si="1157">(Q1915+R1915+S1915+T1915+U1915+V1915+W1915)*M1915</f>
        <v>31580</v>
      </c>
      <c r="Y1915" s="1512">
        <f t="shared" ref="Y1915:Y1928" si="1158">(T1915+U1915)*M1915/(X1915-M1915*(T1915+U1915))</f>
        <v>0</v>
      </c>
      <c r="Z1915" s="1741">
        <f t="shared" ref="Z1915:Z1928" si="1159">M1915*(1+Y1915)</f>
        <v>1</v>
      </c>
      <c r="AA1915" s="1749"/>
      <c r="AB1915" s="1810">
        <f t="shared" ref="AB1915:AB1928" si="1160">100*AA1915/Z1915</f>
        <v>0</v>
      </c>
      <c r="AC1915" s="876"/>
      <c r="AD1915" s="1295"/>
      <c r="AE1915" s="1525"/>
      <c r="AF1915" s="1525"/>
      <c r="AG1915" s="1525"/>
      <c r="AH1915" s="1525"/>
      <c r="AI1915" s="1525"/>
      <c r="AJ1915" s="1525"/>
      <c r="AK1915" s="1525"/>
      <c r="AL1915" s="1525"/>
      <c r="AM1915" s="1525"/>
      <c r="AN1915" s="1525"/>
      <c r="AO1915" s="1525"/>
      <c r="AP1915" s="1525"/>
      <c r="AQ1915" s="1525"/>
      <c r="AR1915" s="1525"/>
      <c r="AS1915" s="1525"/>
      <c r="AT1915" s="6"/>
      <c r="AU1915" s="1525"/>
      <c r="AV1915" s="1295"/>
      <c r="AW1915" s="1292"/>
      <c r="AX1915" s="1292"/>
      <c r="AY1915" s="1292"/>
      <c r="AZ1915" s="1292"/>
      <c r="BA1915" s="1292"/>
      <c r="BB1915" s="1292"/>
      <c r="BC1915" s="1292"/>
      <c r="BD1915" s="1292"/>
      <c r="BE1915" s="1292"/>
      <c r="BF1915" s="1292"/>
      <c r="BG1915" s="1292"/>
      <c r="BH1915" s="1292"/>
      <c r="BI1915" s="1292"/>
      <c r="BJ1915" s="1292"/>
      <c r="BK1915" s="1292"/>
      <c r="BL1915" s="1292"/>
      <c r="BM1915" s="1292"/>
      <c r="BN1915" s="1292"/>
      <c r="BO1915" s="1292"/>
      <c r="BP1915" s="1292"/>
      <c r="BQ1915" s="1292"/>
      <c r="BR1915" s="1292"/>
      <c r="BS1915" s="1292"/>
      <c r="BT1915" s="1765">
        <f t="shared" ref="BT1915:BT1928" si="1161">SUM(AV1915:BS1915)</f>
        <v>0</v>
      </c>
      <c r="BU1915" s="65"/>
      <c r="BV1915" s="65"/>
      <c r="BW1915" s="862" t="s">
        <v>144</v>
      </c>
    </row>
    <row r="1916" spans="1:123" ht="12.75" customHeight="1" x14ac:dyDescent="0.2">
      <c r="B1916" s="175">
        <f>B1915+1</f>
        <v>2</v>
      </c>
      <c r="C1916" s="219">
        <v>18</v>
      </c>
      <c r="E1916" s="12" t="s">
        <v>994</v>
      </c>
      <c r="F1916" s="1" t="s">
        <v>481</v>
      </c>
      <c r="G1916" s="856" t="s">
        <v>1778</v>
      </c>
      <c r="H1916" s="1413">
        <v>146047</v>
      </c>
      <c r="I1916" s="172" t="s">
        <v>1442</v>
      </c>
      <c r="J1916" s="173"/>
      <c r="K1916" s="168"/>
      <c r="L1916" s="841">
        <v>1</v>
      </c>
      <c r="M1916" s="858">
        <v>1</v>
      </c>
      <c r="N1916" s="855" t="s">
        <v>892</v>
      </c>
      <c r="O1916" s="1196">
        <v>32125</v>
      </c>
      <c r="P1916" s="1218">
        <f t="shared" ca="1" si="1156"/>
        <v>29.8</v>
      </c>
      <c r="Q1916" s="1148">
        <v>23300</v>
      </c>
      <c r="R1916" s="874"/>
      <c r="S1916" s="875"/>
      <c r="T1916" s="875"/>
      <c r="U1916" s="875"/>
      <c r="V1916" s="875">
        <v>8280</v>
      </c>
      <c r="W1916" s="875"/>
      <c r="X1916" s="1026">
        <f t="shared" si="1157"/>
        <v>31580</v>
      </c>
      <c r="Y1916" s="1512">
        <f t="shared" si="1158"/>
        <v>0</v>
      </c>
      <c r="Z1916" s="1741">
        <f t="shared" si="1159"/>
        <v>1</v>
      </c>
      <c r="AA1916" s="1749"/>
      <c r="AB1916" s="1810">
        <f t="shared" si="1160"/>
        <v>0</v>
      </c>
      <c r="AC1916" s="876"/>
      <c r="AD1916" s="1295"/>
      <c r="AE1916" s="1525"/>
      <c r="AF1916" s="1525"/>
      <c r="AG1916" s="1525"/>
      <c r="AH1916" s="1525"/>
      <c r="AI1916" s="1525"/>
      <c r="AJ1916" s="1525"/>
      <c r="AK1916" s="1525"/>
      <c r="AL1916" s="1525"/>
      <c r="AM1916" s="1525"/>
      <c r="AN1916" s="1525"/>
      <c r="AO1916" s="1525"/>
      <c r="AP1916" s="1525"/>
      <c r="AQ1916" s="1525"/>
      <c r="AR1916" s="1525"/>
      <c r="AS1916" s="1525"/>
      <c r="AT1916" s="6"/>
      <c r="AU1916" s="1525"/>
      <c r="AV1916" s="1295"/>
      <c r="AW1916" s="1292"/>
      <c r="AX1916" s="1292"/>
      <c r="AY1916" s="1292"/>
      <c r="AZ1916" s="1292"/>
      <c r="BA1916" s="1292"/>
      <c r="BB1916" s="1292"/>
      <c r="BC1916" s="1292"/>
      <c r="BD1916" s="1292"/>
      <c r="BE1916" s="1292"/>
      <c r="BF1916" s="1292"/>
      <c r="BG1916" s="1292"/>
      <c r="BH1916" s="1292"/>
      <c r="BI1916" s="1292"/>
      <c r="BJ1916" s="1292"/>
      <c r="BK1916" s="1292"/>
      <c r="BL1916" s="1292"/>
      <c r="BM1916" s="1292"/>
      <c r="BN1916" s="1292"/>
      <c r="BO1916" s="1292"/>
      <c r="BP1916" s="1292"/>
      <c r="BQ1916" s="1292"/>
      <c r="BR1916" s="1292"/>
      <c r="BS1916" s="1292"/>
      <c r="BT1916" s="1765">
        <f t="shared" si="1161"/>
        <v>0</v>
      </c>
      <c r="BU1916" s="65"/>
      <c r="BV1916" s="65"/>
      <c r="BW1916" s="862" t="s">
        <v>1778</v>
      </c>
    </row>
    <row r="1917" spans="1:123" ht="12.75" customHeight="1" x14ac:dyDescent="0.2">
      <c r="B1917" s="175">
        <f t="shared" ref="B1917:B1928" si="1162">B1916+1</f>
        <v>3</v>
      </c>
      <c r="C1917" s="219">
        <v>18</v>
      </c>
      <c r="E1917" s="12" t="s">
        <v>994</v>
      </c>
      <c r="F1917" s="1" t="s">
        <v>481</v>
      </c>
      <c r="G1917" s="856" t="s">
        <v>819</v>
      </c>
      <c r="H1917" s="1413">
        <v>290494</v>
      </c>
      <c r="I1917" s="172" t="s">
        <v>1442</v>
      </c>
      <c r="J1917" s="168"/>
      <c r="K1917" s="168"/>
      <c r="L1917" s="841">
        <v>1</v>
      </c>
      <c r="M1917" s="858">
        <v>1</v>
      </c>
      <c r="N1917" s="855" t="s">
        <v>892</v>
      </c>
      <c r="O1917" s="1196">
        <v>29320</v>
      </c>
      <c r="P1917" s="1218">
        <f t="shared" ca="1" si="1156"/>
        <v>37.480555555555554</v>
      </c>
      <c r="Q1917" s="1148">
        <v>23300</v>
      </c>
      <c r="R1917" s="874"/>
      <c r="S1917" s="875"/>
      <c r="T1917" s="877"/>
      <c r="U1917" s="877"/>
      <c r="V1917" s="875">
        <v>8280</v>
      </c>
      <c r="W1917" s="875"/>
      <c r="X1917" s="1026">
        <f t="shared" si="1157"/>
        <v>31580</v>
      </c>
      <c r="Y1917" s="1512">
        <f t="shared" si="1158"/>
        <v>0</v>
      </c>
      <c r="Z1917" s="1741">
        <f t="shared" si="1159"/>
        <v>1</v>
      </c>
      <c r="AA1917" s="1749"/>
      <c r="AB1917" s="1810">
        <f t="shared" si="1160"/>
        <v>0</v>
      </c>
      <c r="AC1917" s="876"/>
      <c r="AD1917" s="1295"/>
      <c r="AE1917" s="1525"/>
      <c r="AF1917" s="1525"/>
      <c r="AG1917" s="1525"/>
      <c r="AH1917" s="1525"/>
      <c r="AI1917" s="1525"/>
      <c r="AJ1917" s="1525"/>
      <c r="AK1917" s="1525"/>
      <c r="AL1917" s="1525"/>
      <c r="AM1917" s="1525"/>
      <c r="AN1917" s="1525"/>
      <c r="AO1917" s="1525"/>
      <c r="AP1917" s="1525"/>
      <c r="AQ1917" s="1525"/>
      <c r="AR1917" s="1525"/>
      <c r="AS1917" s="1525"/>
      <c r="AT1917" s="6"/>
      <c r="AU1917" s="1525"/>
      <c r="AV1917" s="1295"/>
      <c r="AW1917" s="1292"/>
      <c r="AX1917" s="1292"/>
      <c r="AY1917" s="1292"/>
      <c r="AZ1917" s="1292"/>
      <c r="BA1917" s="1292"/>
      <c r="BB1917" s="1292"/>
      <c r="BC1917" s="1292"/>
      <c r="BD1917" s="1292"/>
      <c r="BE1917" s="1292"/>
      <c r="BF1917" s="1292"/>
      <c r="BG1917" s="1292"/>
      <c r="BH1917" s="1292"/>
      <c r="BI1917" s="1292"/>
      <c r="BJ1917" s="1292"/>
      <c r="BK1917" s="1292"/>
      <c r="BL1917" s="1292"/>
      <c r="BM1917" s="1292"/>
      <c r="BN1917" s="1292"/>
      <c r="BO1917" s="1292"/>
      <c r="BP1917" s="1292"/>
      <c r="BQ1917" s="1292"/>
      <c r="BR1917" s="1292"/>
      <c r="BS1917" s="1292"/>
      <c r="BT1917" s="1765">
        <f t="shared" si="1161"/>
        <v>0</v>
      </c>
      <c r="BU1917" s="65"/>
      <c r="BV1917" s="65"/>
      <c r="BW1917" s="862" t="s">
        <v>819</v>
      </c>
    </row>
    <row r="1918" spans="1:123" ht="12.75" customHeight="1" x14ac:dyDescent="0.2">
      <c r="B1918" s="175">
        <f t="shared" si="1162"/>
        <v>4</v>
      </c>
      <c r="C1918" s="219">
        <v>18</v>
      </c>
      <c r="D1918" s="175">
        <f>D1915+1</f>
        <v>1</v>
      </c>
      <c r="E1918" s="12" t="s">
        <v>994</v>
      </c>
      <c r="F1918" s="1" t="s">
        <v>102</v>
      </c>
      <c r="G1918" s="856" t="s">
        <v>1489</v>
      </c>
      <c r="H1918" s="1413">
        <v>78048</v>
      </c>
      <c r="I1918" s="172" t="s">
        <v>1442</v>
      </c>
      <c r="J1918" s="168"/>
      <c r="K1918" s="168"/>
      <c r="L1918" s="841">
        <v>1</v>
      </c>
      <c r="M1918" s="858">
        <f>K1918+L1918</f>
        <v>1</v>
      </c>
      <c r="N1918" s="999" t="s">
        <v>1402</v>
      </c>
      <c r="O1918" s="1196">
        <v>16355</v>
      </c>
      <c r="P1918" s="1218">
        <f t="shared" ca="1" si="1156"/>
        <v>72.977777777777774</v>
      </c>
      <c r="Q1918" s="1148">
        <v>19200</v>
      </c>
      <c r="R1918" s="874">
        <f>Q1918*0.1</f>
        <v>1920</v>
      </c>
      <c r="S1918" s="875"/>
      <c r="T1918" s="877"/>
      <c r="U1918" s="877"/>
      <c r="V1918" s="877">
        <v>3960</v>
      </c>
      <c r="W1918" s="875">
        <f>ROUND((Q1918+R1918)*0.3,0)</f>
        <v>6336</v>
      </c>
      <c r="X1918" s="1026">
        <f t="shared" si="1157"/>
        <v>31416</v>
      </c>
      <c r="Y1918" s="1512">
        <f t="shared" si="1158"/>
        <v>0</v>
      </c>
      <c r="Z1918" s="1741">
        <f t="shared" si="1159"/>
        <v>1</v>
      </c>
      <c r="AA1918" s="1749"/>
      <c r="AB1918" s="1810">
        <f t="shared" si="1160"/>
        <v>0</v>
      </c>
      <c r="AC1918" s="876"/>
      <c r="AD1918" s="1295"/>
      <c r="AE1918" s="1525"/>
      <c r="AF1918" s="1525"/>
      <c r="AG1918" s="1525"/>
      <c r="AH1918" s="1525"/>
      <c r="AI1918" s="1525"/>
      <c r="AJ1918" s="1525"/>
      <c r="AK1918" s="1525"/>
      <c r="AL1918" s="1525"/>
      <c r="AM1918" s="1525"/>
      <c r="AN1918" s="1525"/>
      <c r="AO1918" s="1525"/>
      <c r="AP1918" s="1525"/>
      <c r="AQ1918" s="1525"/>
      <c r="AR1918" s="1525"/>
      <c r="AS1918" s="1525"/>
      <c r="AT1918" s="6"/>
      <c r="AU1918" s="1525"/>
      <c r="AV1918" s="1295"/>
      <c r="AW1918" s="1292"/>
      <c r="AX1918" s="1292"/>
      <c r="AY1918" s="1292"/>
      <c r="AZ1918" s="1292"/>
      <c r="BA1918" s="1292"/>
      <c r="BB1918" s="1292"/>
      <c r="BC1918" s="1292"/>
      <c r="BD1918" s="1292"/>
      <c r="BE1918" s="1292"/>
      <c r="BF1918" s="1292"/>
      <c r="BG1918" s="1292"/>
      <c r="BH1918" s="1292"/>
      <c r="BI1918" s="1292"/>
      <c r="BJ1918" s="1292"/>
      <c r="BK1918" s="1292"/>
      <c r="BL1918" s="1292"/>
      <c r="BM1918" s="1292"/>
      <c r="BN1918" s="1292"/>
      <c r="BO1918" s="1292"/>
      <c r="BP1918" s="1292"/>
      <c r="BQ1918" s="1292"/>
      <c r="BR1918" s="1292"/>
      <c r="BS1918" s="1292"/>
      <c r="BT1918" s="1765">
        <f t="shared" si="1161"/>
        <v>0</v>
      </c>
      <c r="BU1918" s="65"/>
      <c r="BV1918" s="65"/>
      <c r="BW1918" s="862" t="s">
        <v>1489</v>
      </c>
    </row>
    <row r="1919" spans="1:123" ht="12.75" customHeight="1" x14ac:dyDescent="0.2">
      <c r="B1919" s="175">
        <f t="shared" si="1162"/>
        <v>5</v>
      </c>
      <c r="C1919" s="219">
        <v>18</v>
      </c>
      <c r="E1919" s="12" t="s">
        <v>994</v>
      </c>
      <c r="F1919" s="1" t="s">
        <v>1400</v>
      </c>
      <c r="G1919" s="856" t="s">
        <v>1949</v>
      </c>
      <c r="H1919" s="1413">
        <v>250980</v>
      </c>
      <c r="I1919" s="172" t="s">
        <v>1442</v>
      </c>
      <c r="J1919" s="168"/>
      <c r="K1919" s="168"/>
      <c r="L1919" s="841">
        <v>0.5</v>
      </c>
      <c r="M1919" s="858">
        <f>K1919+L1919</f>
        <v>0.5</v>
      </c>
      <c r="N1919" s="855" t="s">
        <v>892</v>
      </c>
      <c r="O1919" s="1196">
        <v>17439</v>
      </c>
      <c r="P1919" s="1218">
        <f t="shared" ca="1" si="1156"/>
        <v>70.00833333333334</v>
      </c>
      <c r="Q1919" s="1148">
        <v>24900</v>
      </c>
      <c r="R1919" s="874"/>
      <c r="S1919" s="875"/>
      <c r="T1919" s="877"/>
      <c r="U1919" s="877"/>
      <c r="V1919" s="877">
        <v>9400</v>
      </c>
      <c r="W1919" s="875"/>
      <c r="X1919" s="1026">
        <f t="shared" si="1157"/>
        <v>17150</v>
      </c>
      <c r="Y1919" s="1512">
        <f t="shared" si="1158"/>
        <v>0</v>
      </c>
      <c r="Z1919" s="1741">
        <f t="shared" si="1159"/>
        <v>0.5</v>
      </c>
      <c r="AA1919" s="1749"/>
      <c r="AB1919" s="1810">
        <f t="shared" si="1160"/>
        <v>0</v>
      </c>
      <c r="AC1919" s="876"/>
      <c r="AD1919" s="1295"/>
      <c r="AE1919" s="1525"/>
      <c r="AF1919" s="1525"/>
      <c r="AG1919" s="1525"/>
      <c r="AH1919" s="1525"/>
      <c r="AI1919" s="1525"/>
      <c r="AJ1919" s="1525"/>
      <c r="AK1919" s="1525"/>
      <c r="AL1919" s="1525"/>
      <c r="AM1919" s="1525"/>
      <c r="AN1919" s="1525"/>
      <c r="AO1919" s="1525"/>
      <c r="AP1919" s="1525"/>
      <c r="AQ1919" s="1525"/>
      <c r="AR1919" s="1525"/>
      <c r="AS1919" s="1525"/>
      <c r="AT1919" s="6"/>
      <c r="AU1919" s="1525"/>
      <c r="AV1919" s="1295"/>
      <c r="AW1919" s="1292"/>
      <c r="AX1919" s="1292"/>
      <c r="AY1919" s="1292"/>
      <c r="AZ1919" s="1292"/>
      <c r="BA1919" s="1292"/>
      <c r="BB1919" s="1292"/>
      <c r="BC1919" s="1292"/>
      <c r="BD1919" s="1292"/>
      <c r="BE1919" s="1292"/>
      <c r="BF1919" s="1292"/>
      <c r="BG1919" s="1292"/>
      <c r="BH1919" s="1292"/>
      <c r="BI1919" s="1292"/>
      <c r="BJ1919" s="1292"/>
      <c r="BK1919" s="1292"/>
      <c r="BL1919" s="1292"/>
      <c r="BM1919" s="1292"/>
      <c r="BN1919" s="1292"/>
      <c r="BO1919" s="1292"/>
      <c r="BP1919" s="1292"/>
      <c r="BQ1919" s="1292"/>
      <c r="BR1919" s="1292"/>
      <c r="BS1919" s="1292"/>
      <c r="BT1919" s="1765">
        <f t="shared" si="1161"/>
        <v>0</v>
      </c>
      <c r="BU1919" s="65"/>
      <c r="BV1919" s="65"/>
      <c r="BW1919" s="862" t="s">
        <v>1949</v>
      </c>
    </row>
    <row r="1920" spans="1:123" ht="12.75" customHeight="1" x14ac:dyDescent="0.2">
      <c r="B1920" s="175">
        <f t="shared" si="1162"/>
        <v>6</v>
      </c>
      <c r="C1920" s="219">
        <v>18</v>
      </c>
      <c r="E1920" s="12" t="s">
        <v>994</v>
      </c>
      <c r="F1920" s="1" t="s">
        <v>372</v>
      </c>
      <c r="G1920" s="913" t="s">
        <v>644</v>
      </c>
      <c r="H1920" s="1413">
        <v>125770</v>
      </c>
      <c r="I1920" s="172" t="s">
        <v>1442</v>
      </c>
      <c r="J1920" s="168"/>
      <c r="K1920" s="168"/>
      <c r="L1920" s="841">
        <v>1</v>
      </c>
      <c r="M1920" s="858">
        <v>1</v>
      </c>
      <c r="N1920" s="855" t="s">
        <v>892</v>
      </c>
      <c r="O1920" s="1196">
        <v>28129</v>
      </c>
      <c r="P1920" s="1218">
        <f t="shared" ca="1" si="1156"/>
        <v>40.744444444444447</v>
      </c>
      <c r="Q1920" s="1148">
        <v>19200</v>
      </c>
      <c r="R1920" s="874"/>
      <c r="S1920" s="875"/>
      <c r="T1920" s="877"/>
      <c r="U1920" s="877"/>
      <c r="V1920" s="877">
        <v>4320</v>
      </c>
      <c r="W1920" s="875"/>
      <c r="X1920" s="1026">
        <f t="shared" si="1157"/>
        <v>23520</v>
      </c>
      <c r="Y1920" s="1512">
        <f t="shared" si="1158"/>
        <v>0</v>
      </c>
      <c r="Z1920" s="1741">
        <f t="shared" si="1159"/>
        <v>1</v>
      </c>
      <c r="AA1920" s="1749"/>
      <c r="AB1920" s="1810">
        <f t="shared" si="1160"/>
        <v>0</v>
      </c>
      <c r="AC1920" s="876"/>
      <c r="AD1920" s="1295"/>
      <c r="AE1920" s="1525"/>
      <c r="AF1920" s="1525"/>
      <c r="AG1920" s="1525"/>
      <c r="AH1920" s="1525"/>
      <c r="AI1920" s="1525"/>
      <c r="AJ1920" s="1525"/>
      <c r="AK1920" s="1525"/>
      <c r="AL1920" s="1525"/>
      <c r="AM1920" s="1525"/>
      <c r="AN1920" s="1525"/>
      <c r="AO1920" s="1525"/>
      <c r="AP1920" s="1525"/>
      <c r="AQ1920" s="1525"/>
      <c r="AR1920" s="1525"/>
      <c r="AS1920" s="1525"/>
      <c r="AT1920" s="6"/>
      <c r="AU1920" s="1525"/>
      <c r="AV1920" s="1295"/>
      <c r="AW1920" s="1292"/>
      <c r="AX1920" s="1292"/>
      <c r="AY1920" s="1292"/>
      <c r="AZ1920" s="1292"/>
      <c r="BA1920" s="1292"/>
      <c r="BB1920" s="1292"/>
      <c r="BC1920" s="1292"/>
      <c r="BD1920" s="1292"/>
      <c r="BE1920" s="1292"/>
      <c r="BF1920" s="1292"/>
      <c r="BG1920" s="1292"/>
      <c r="BH1920" s="1292"/>
      <c r="BI1920" s="1292"/>
      <c r="BJ1920" s="1292"/>
      <c r="BK1920" s="1292"/>
      <c r="BL1920" s="1292"/>
      <c r="BM1920" s="1292"/>
      <c r="BN1920" s="1292"/>
      <c r="BO1920" s="1292"/>
      <c r="BP1920" s="1292"/>
      <c r="BQ1920" s="1292"/>
      <c r="BR1920" s="1292"/>
      <c r="BS1920" s="1292"/>
      <c r="BT1920" s="1765">
        <f t="shared" si="1161"/>
        <v>0</v>
      </c>
      <c r="BU1920" s="65"/>
      <c r="BV1920" s="65"/>
      <c r="BW1920" s="862" t="s">
        <v>644</v>
      </c>
    </row>
    <row r="1921" spans="1:123" ht="12.75" customHeight="1" x14ac:dyDescent="0.2">
      <c r="B1921" s="175">
        <f t="shared" si="1162"/>
        <v>7</v>
      </c>
      <c r="C1921" s="219">
        <v>18</v>
      </c>
      <c r="E1921" s="12" t="s">
        <v>994</v>
      </c>
      <c r="F1921" s="1" t="s">
        <v>63</v>
      </c>
      <c r="G1921" s="856" t="s">
        <v>645</v>
      </c>
      <c r="H1921" s="1413">
        <v>57364</v>
      </c>
      <c r="I1921" s="172" t="s">
        <v>1442</v>
      </c>
      <c r="J1921" s="168"/>
      <c r="K1921" s="168"/>
      <c r="L1921" s="893">
        <v>1</v>
      </c>
      <c r="M1921" s="858">
        <f>K1921+L1921</f>
        <v>1</v>
      </c>
      <c r="N1921" s="855" t="s">
        <v>892</v>
      </c>
      <c r="O1921" s="1196">
        <v>19042</v>
      </c>
      <c r="P1921" s="1218">
        <f t="shared" ca="1" si="1156"/>
        <v>65.62222222222222</v>
      </c>
      <c r="Q1921" s="1148">
        <v>15600</v>
      </c>
      <c r="R1921" s="874"/>
      <c r="S1921" s="875"/>
      <c r="T1921" s="875"/>
      <c r="U1921" s="875"/>
      <c r="V1921" s="875">
        <v>2520</v>
      </c>
      <c r="W1921" s="875"/>
      <c r="X1921" s="1026">
        <f t="shared" si="1157"/>
        <v>18120</v>
      </c>
      <c r="Y1921" s="1512">
        <f t="shared" si="1158"/>
        <v>0</v>
      </c>
      <c r="Z1921" s="1741">
        <f t="shared" si="1159"/>
        <v>1</v>
      </c>
      <c r="AA1921" s="1749"/>
      <c r="AB1921" s="1810">
        <f t="shared" si="1160"/>
        <v>0</v>
      </c>
      <c r="AC1921" s="876"/>
      <c r="AD1921" s="1295"/>
      <c r="AE1921" s="1525"/>
      <c r="AF1921" s="1525"/>
      <c r="AG1921" s="1525"/>
      <c r="AH1921" s="1525"/>
      <c r="AI1921" s="1525"/>
      <c r="AJ1921" s="1525"/>
      <c r="AK1921" s="1525"/>
      <c r="AL1921" s="1525"/>
      <c r="AM1921" s="1525"/>
      <c r="AN1921" s="1525"/>
      <c r="AO1921" s="1525"/>
      <c r="AP1921" s="1525"/>
      <c r="AQ1921" s="1525"/>
      <c r="AR1921" s="1525"/>
      <c r="AS1921" s="1525"/>
      <c r="AT1921" s="6"/>
      <c r="AU1921" s="1525"/>
      <c r="AV1921" s="1295"/>
      <c r="AW1921" s="1292"/>
      <c r="AX1921" s="1292"/>
      <c r="AY1921" s="1292"/>
      <c r="AZ1921" s="1292"/>
      <c r="BA1921" s="1292"/>
      <c r="BB1921" s="1292"/>
      <c r="BC1921" s="1292"/>
      <c r="BD1921" s="1292"/>
      <c r="BE1921" s="1292"/>
      <c r="BF1921" s="1292"/>
      <c r="BG1921" s="1292"/>
      <c r="BH1921" s="1292"/>
      <c r="BI1921" s="1292"/>
      <c r="BJ1921" s="1292"/>
      <c r="BK1921" s="1292"/>
      <c r="BL1921" s="1292"/>
      <c r="BM1921" s="1292"/>
      <c r="BN1921" s="1292"/>
      <c r="BO1921" s="1292"/>
      <c r="BP1921" s="1292"/>
      <c r="BQ1921" s="1292"/>
      <c r="BR1921" s="1292"/>
      <c r="BS1921" s="1292"/>
      <c r="BT1921" s="1765">
        <f t="shared" si="1161"/>
        <v>0</v>
      </c>
      <c r="BU1921" s="65"/>
      <c r="BV1921" s="65"/>
      <c r="BW1921" s="862" t="s">
        <v>645</v>
      </c>
    </row>
    <row r="1922" spans="1:123" ht="12.75" customHeight="1" x14ac:dyDescent="0.2">
      <c r="B1922" s="175">
        <f t="shared" si="1162"/>
        <v>8</v>
      </c>
      <c r="C1922" s="220">
        <v>18</v>
      </c>
      <c r="D1922" s="170"/>
      <c r="E1922" s="447" t="s">
        <v>994</v>
      </c>
      <c r="F1922" s="37" t="s">
        <v>62</v>
      </c>
      <c r="G1922" s="913" t="s">
        <v>1705</v>
      </c>
      <c r="H1922" s="1412">
        <v>145259</v>
      </c>
      <c r="I1922" s="180" t="s">
        <v>1442</v>
      </c>
      <c r="J1922" s="173"/>
      <c r="K1922" s="173"/>
      <c r="L1922" s="893">
        <v>1</v>
      </c>
      <c r="M1922" s="861">
        <v>1</v>
      </c>
      <c r="N1922" s="832" t="s">
        <v>892</v>
      </c>
      <c r="O1922" s="1196">
        <v>32163</v>
      </c>
      <c r="P1922" s="1262">
        <f t="shared" ca="1" si="1156"/>
        <v>29.697222222222223</v>
      </c>
      <c r="Q1922" s="1148">
        <v>18000</v>
      </c>
      <c r="R1922" s="874"/>
      <c r="S1922" s="876"/>
      <c r="T1922" s="876"/>
      <c r="U1922" s="876"/>
      <c r="V1922" s="876">
        <v>3960</v>
      </c>
      <c r="W1922" s="876"/>
      <c r="X1922" s="1026">
        <f t="shared" si="1157"/>
        <v>21960</v>
      </c>
      <c r="Y1922" s="1512">
        <f t="shared" si="1158"/>
        <v>0</v>
      </c>
      <c r="Z1922" s="1741">
        <f t="shared" si="1159"/>
        <v>1</v>
      </c>
      <c r="AA1922" s="1749"/>
      <c r="AB1922" s="1810">
        <f t="shared" si="1160"/>
        <v>0</v>
      </c>
      <c r="AC1922" s="876"/>
      <c r="AD1922" s="1295"/>
      <c r="AE1922" s="1525"/>
      <c r="AF1922" s="1525"/>
      <c r="AG1922" s="1525"/>
      <c r="AH1922" s="1525"/>
      <c r="AI1922" s="1525"/>
      <c r="AJ1922" s="1525"/>
      <c r="AK1922" s="1525"/>
      <c r="AL1922" s="1525"/>
      <c r="AM1922" s="1525"/>
      <c r="AN1922" s="1525"/>
      <c r="AO1922" s="1525"/>
      <c r="AP1922" s="1525"/>
      <c r="AQ1922" s="1525"/>
      <c r="AR1922" s="1525"/>
      <c r="AS1922" s="1525"/>
      <c r="AT1922" s="6"/>
      <c r="AU1922" s="1525"/>
      <c r="AV1922" s="1295"/>
      <c r="AW1922" s="1292"/>
      <c r="AX1922" s="1292"/>
      <c r="AY1922" s="1292"/>
      <c r="AZ1922" s="1292"/>
      <c r="BA1922" s="1292"/>
      <c r="BB1922" s="1292"/>
      <c r="BC1922" s="1292"/>
      <c r="BD1922" s="1292"/>
      <c r="BE1922" s="1292"/>
      <c r="BF1922" s="1292"/>
      <c r="BG1922" s="1292"/>
      <c r="BH1922" s="1292"/>
      <c r="BI1922" s="1292"/>
      <c r="BJ1922" s="1292"/>
      <c r="BK1922" s="1292"/>
      <c r="BL1922" s="1292"/>
      <c r="BM1922" s="1292"/>
      <c r="BN1922" s="1292"/>
      <c r="BO1922" s="1292"/>
      <c r="BP1922" s="1292"/>
      <c r="BQ1922" s="1292"/>
      <c r="BR1922" s="1292"/>
      <c r="BS1922" s="1292"/>
      <c r="BT1922" s="1765">
        <f t="shared" si="1161"/>
        <v>0</v>
      </c>
      <c r="BU1922" s="65"/>
      <c r="BV1922" s="65"/>
      <c r="BW1922" s="862" t="s">
        <v>1705</v>
      </c>
    </row>
    <row r="1923" spans="1:123" ht="12.75" customHeight="1" x14ac:dyDescent="0.2">
      <c r="B1923" s="175">
        <f t="shared" si="1162"/>
        <v>9</v>
      </c>
      <c r="C1923" s="219">
        <v>18</v>
      </c>
      <c r="E1923" s="12" t="s">
        <v>994</v>
      </c>
      <c r="F1923" s="37" t="s">
        <v>62</v>
      </c>
      <c r="G1923" s="913" t="s">
        <v>820</v>
      </c>
      <c r="H1923" s="1412">
        <v>284431</v>
      </c>
      <c r="I1923" s="180" t="s">
        <v>1442</v>
      </c>
      <c r="J1923" s="168"/>
      <c r="K1923" s="173"/>
      <c r="L1923" s="893">
        <v>1</v>
      </c>
      <c r="M1923" s="861">
        <v>1</v>
      </c>
      <c r="N1923" s="832" t="s">
        <v>892</v>
      </c>
      <c r="O1923" s="1196">
        <v>18577</v>
      </c>
      <c r="P1923" s="1218">
        <f t="shared" ca="1" si="1156"/>
        <v>66.894444444444446</v>
      </c>
      <c r="Q1923" s="1148">
        <v>15400</v>
      </c>
      <c r="R1923" s="874"/>
      <c r="S1923" s="875"/>
      <c r="T1923" s="875"/>
      <c r="U1923" s="875"/>
      <c r="V1923" s="875">
        <v>3960</v>
      </c>
      <c r="W1923" s="875">
        <f>Q1923*0.17</f>
        <v>2618</v>
      </c>
      <c r="X1923" s="1026">
        <f t="shared" si="1157"/>
        <v>21978</v>
      </c>
      <c r="Y1923" s="1512">
        <f t="shared" si="1158"/>
        <v>0</v>
      </c>
      <c r="Z1923" s="1741">
        <f t="shared" si="1159"/>
        <v>1</v>
      </c>
      <c r="AA1923" s="1749"/>
      <c r="AB1923" s="1810">
        <f t="shared" si="1160"/>
        <v>0</v>
      </c>
      <c r="AC1923" s="876"/>
      <c r="AD1923" s="1295"/>
      <c r="AE1923" s="1525"/>
      <c r="AF1923" s="1525"/>
      <c r="AG1923" s="1525"/>
      <c r="AH1923" s="1525"/>
      <c r="AI1923" s="1525"/>
      <c r="AJ1923" s="1525"/>
      <c r="AK1923" s="1525"/>
      <c r="AL1923" s="1525"/>
      <c r="AM1923" s="1525"/>
      <c r="AN1923" s="1525"/>
      <c r="AO1923" s="1525"/>
      <c r="AP1923" s="1525"/>
      <c r="AQ1923" s="1525"/>
      <c r="AR1923" s="1525"/>
      <c r="AS1923" s="1525"/>
      <c r="AT1923" s="6"/>
      <c r="AU1923" s="1525"/>
      <c r="AV1923" s="1295"/>
      <c r="AW1923" s="1292"/>
      <c r="AX1923" s="1292"/>
      <c r="AY1923" s="1292"/>
      <c r="AZ1923" s="1292"/>
      <c r="BA1923" s="1292"/>
      <c r="BB1923" s="1292"/>
      <c r="BC1923" s="1292"/>
      <c r="BD1923" s="1292"/>
      <c r="BE1923" s="1292"/>
      <c r="BF1923" s="1292"/>
      <c r="BG1923" s="1292"/>
      <c r="BH1923" s="1292"/>
      <c r="BI1923" s="1292"/>
      <c r="BJ1923" s="1292"/>
      <c r="BK1923" s="1292"/>
      <c r="BL1923" s="1292"/>
      <c r="BM1923" s="1292"/>
      <c r="BN1923" s="1292"/>
      <c r="BO1923" s="1292"/>
      <c r="BP1923" s="1292"/>
      <c r="BQ1923" s="1292"/>
      <c r="BR1923" s="1292"/>
      <c r="BS1923" s="1292"/>
      <c r="BT1923" s="1765">
        <f t="shared" si="1161"/>
        <v>0</v>
      </c>
      <c r="BU1923" s="65"/>
      <c r="BV1923" s="65"/>
      <c r="BW1923" s="862" t="s">
        <v>820</v>
      </c>
    </row>
    <row r="1924" spans="1:123" ht="12.75" customHeight="1" x14ac:dyDescent="0.2">
      <c r="B1924" s="175">
        <f t="shared" si="1162"/>
        <v>10</v>
      </c>
      <c r="C1924" s="219">
        <v>18</v>
      </c>
      <c r="E1924" s="12" t="s">
        <v>994</v>
      </c>
      <c r="F1924" s="37" t="s">
        <v>62</v>
      </c>
      <c r="G1924" s="856" t="s">
        <v>1386</v>
      </c>
      <c r="H1924" s="1413">
        <v>110690</v>
      </c>
      <c r="I1924" s="172" t="s">
        <v>1442</v>
      </c>
      <c r="J1924" s="168"/>
      <c r="K1924" s="168"/>
      <c r="L1924" s="841">
        <v>1</v>
      </c>
      <c r="M1924" s="858">
        <v>1</v>
      </c>
      <c r="N1924" s="855" t="s">
        <v>892</v>
      </c>
      <c r="O1924" s="1196">
        <v>26621</v>
      </c>
      <c r="P1924" s="1218">
        <f t="shared" ca="1" si="1156"/>
        <v>44.87222222222222</v>
      </c>
      <c r="Q1924" s="1148">
        <v>18000</v>
      </c>
      <c r="R1924" s="874"/>
      <c r="S1924" s="875"/>
      <c r="T1924" s="875"/>
      <c r="U1924" s="875"/>
      <c r="V1924" s="875">
        <v>3960</v>
      </c>
      <c r="W1924" s="875">
        <f>Q1924*0.12</f>
        <v>2160</v>
      </c>
      <c r="X1924" s="1026">
        <f t="shared" si="1157"/>
        <v>24120</v>
      </c>
      <c r="Y1924" s="1512">
        <f t="shared" si="1158"/>
        <v>0</v>
      </c>
      <c r="Z1924" s="1741">
        <f t="shared" si="1159"/>
        <v>1</v>
      </c>
      <c r="AA1924" s="1749"/>
      <c r="AB1924" s="1810">
        <f t="shared" si="1160"/>
        <v>0</v>
      </c>
      <c r="AC1924" s="876"/>
      <c r="AD1924" s="1295"/>
      <c r="AE1924" s="1525"/>
      <c r="AF1924" s="1525"/>
      <c r="AG1924" s="1525"/>
      <c r="AH1924" s="1525"/>
      <c r="AI1924" s="1525"/>
      <c r="AJ1924" s="1525"/>
      <c r="AK1924" s="1525"/>
      <c r="AL1924" s="1525"/>
      <c r="AM1924" s="1525"/>
      <c r="AN1924" s="1525"/>
      <c r="AO1924" s="1525"/>
      <c r="AP1924" s="1525"/>
      <c r="AQ1924" s="1525"/>
      <c r="AR1924" s="1525"/>
      <c r="AS1924" s="1525"/>
      <c r="AT1924" s="6"/>
      <c r="AU1924" s="1525"/>
      <c r="AV1924" s="1295"/>
      <c r="AW1924" s="1292"/>
      <c r="AX1924" s="1292"/>
      <c r="AY1924" s="1292"/>
      <c r="AZ1924" s="1292"/>
      <c r="BA1924" s="1292"/>
      <c r="BB1924" s="1292"/>
      <c r="BC1924" s="1292"/>
      <c r="BD1924" s="1292"/>
      <c r="BE1924" s="1292"/>
      <c r="BF1924" s="1292"/>
      <c r="BG1924" s="1292"/>
      <c r="BH1924" s="1292"/>
      <c r="BI1924" s="1292"/>
      <c r="BJ1924" s="1292"/>
      <c r="BK1924" s="1292"/>
      <c r="BL1924" s="1292"/>
      <c r="BM1924" s="1292"/>
      <c r="BN1924" s="1292"/>
      <c r="BO1924" s="1292"/>
      <c r="BP1924" s="1292"/>
      <c r="BQ1924" s="1292"/>
      <c r="BR1924" s="1292"/>
      <c r="BS1924" s="1292"/>
      <c r="BT1924" s="1765">
        <f t="shared" si="1161"/>
        <v>0</v>
      </c>
      <c r="BU1924" s="65"/>
      <c r="BV1924" s="65"/>
      <c r="BW1924" s="862" t="s">
        <v>1386</v>
      </c>
    </row>
    <row r="1925" spans="1:123" ht="12.75" customHeight="1" x14ac:dyDescent="0.2">
      <c r="B1925" s="175">
        <f t="shared" si="1162"/>
        <v>11</v>
      </c>
      <c r="C1925" s="219">
        <v>18</v>
      </c>
      <c r="E1925" s="12" t="s">
        <v>994</v>
      </c>
      <c r="F1925" s="37" t="s">
        <v>62</v>
      </c>
      <c r="G1925" s="913" t="s">
        <v>1948</v>
      </c>
      <c r="H1925" s="1412">
        <v>111756</v>
      </c>
      <c r="I1925" s="172" t="s">
        <v>1442</v>
      </c>
      <c r="J1925" s="173"/>
      <c r="K1925" s="173"/>
      <c r="L1925" s="893">
        <v>1</v>
      </c>
      <c r="M1925" s="861">
        <v>1</v>
      </c>
      <c r="N1925" s="855" t="s">
        <v>892</v>
      </c>
      <c r="O1925" s="1196">
        <v>24007</v>
      </c>
      <c r="P1925" s="1218">
        <f t="shared" ca="1" si="1156"/>
        <v>52.027777777777779</v>
      </c>
      <c r="Q1925" s="1148">
        <v>18000</v>
      </c>
      <c r="R1925" s="874"/>
      <c r="S1925" s="875"/>
      <c r="T1925" s="877"/>
      <c r="U1925" s="877"/>
      <c r="V1925" s="875">
        <v>3840</v>
      </c>
      <c r="W1925" s="875"/>
      <c r="X1925" s="1026">
        <f t="shared" si="1157"/>
        <v>21840</v>
      </c>
      <c r="Y1925" s="1512">
        <f t="shared" si="1158"/>
        <v>0</v>
      </c>
      <c r="Z1925" s="1741">
        <f t="shared" si="1159"/>
        <v>1</v>
      </c>
      <c r="AA1925" s="1749"/>
      <c r="AB1925" s="1810">
        <f t="shared" si="1160"/>
        <v>0</v>
      </c>
      <c r="AC1925" s="876"/>
      <c r="AD1925" s="1295"/>
      <c r="AE1925" s="1525"/>
      <c r="AF1925" s="1525"/>
      <c r="AG1925" s="1525"/>
      <c r="AH1925" s="1525"/>
      <c r="AI1925" s="1525"/>
      <c r="AJ1925" s="1525"/>
      <c r="AK1925" s="1525"/>
      <c r="AL1925" s="1525"/>
      <c r="AM1925" s="1525"/>
      <c r="AN1925" s="1525"/>
      <c r="AO1925" s="1525"/>
      <c r="AP1925" s="1525"/>
      <c r="AQ1925" s="1525"/>
      <c r="AR1925" s="1525"/>
      <c r="AS1925" s="1525"/>
      <c r="AT1925" s="6"/>
      <c r="AU1925" s="1525"/>
      <c r="AV1925" s="1295"/>
      <c r="AW1925" s="1292"/>
      <c r="AX1925" s="1292"/>
      <c r="AY1925" s="1292"/>
      <c r="AZ1925" s="1292"/>
      <c r="BA1925" s="1292"/>
      <c r="BB1925" s="1292"/>
      <c r="BC1925" s="1292"/>
      <c r="BD1925" s="1292"/>
      <c r="BE1925" s="1292"/>
      <c r="BF1925" s="1292"/>
      <c r="BG1925" s="1292"/>
      <c r="BH1925" s="1292"/>
      <c r="BI1925" s="1292"/>
      <c r="BJ1925" s="1292"/>
      <c r="BK1925" s="1292"/>
      <c r="BL1925" s="1292"/>
      <c r="BM1925" s="1292"/>
      <c r="BN1925" s="1292"/>
      <c r="BO1925" s="1292"/>
      <c r="BP1925" s="1292"/>
      <c r="BQ1925" s="1292"/>
      <c r="BR1925" s="1292"/>
      <c r="BS1925" s="1292"/>
      <c r="BT1925" s="1765">
        <f t="shared" si="1161"/>
        <v>0</v>
      </c>
      <c r="BU1925" s="65"/>
      <c r="BV1925" s="65"/>
      <c r="BW1925" s="862" t="s">
        <v>1948</v>
      </c>
    </row>
    <row r="1926" spans="1:123" ht="12.75" customHeight="1" x14ac:dyDescent="0.2">
      <c r="B1926" s="175">
        <f t="shared" si="1162"/>
        <v>12</v>
      </c>
      <c r="C1926" s="219">
        <v>18</v>
      </c>
      <c r="E1926" s="12" t="s">
        <v>994</v>
      </c>
      <c r="F1926" s="37" t="s">
        <v>62</v>
      </c>
      <c r="G1926" s="913" t="s">
        <v>373</v>
      </c>
      <c r="H1926" s="1412">
        <v>133345</v>
      </c>
      <c r="I1926" s="172" t="s">
        <v>1442</v>
      </c>
      <c r="J1926" s="173"/>
      <c r="K1926" s="173"/>
      <c r="L1926" s="893">
        <v>1</v>
      </c>
      <c r="M1926" s="861">
        <v>1</v>
      </c>
      <c r="N1926" s="855" t="s">
        <v>892</v>
      </c>
      <c r="O1926" s="1196">
        <v>21678</v>
      </c>
      <c r="P1926" s="1218">
        <f t="shared" ca="1" si="1156"/>
        <v>58.4</v>
      </c>
      <c r="Q1926" s="1148">
        <v>18000</v>
      </c>
      <c r="R1926" s="874"/>
      <c r="S1926" s="875"/>
      <c r="T1926" s="877"/>
      <c r="U1926" s="877"/>
      <c r="V1926" s="875">
        <v>3960</v>
      </c>
      <c r="W1926" s="875"/>
      <c r="X1926" s="1026">
        <f t="shared" si="1157"/>
        <v>21960</v>
      </c>
      <c r="Y1926" s="1512">
        <f t="shared" si="1158"/>
        <v>0</v>
      </c>
      <c r="Z1926" s="1741">
        <f t="shared" si="1159"/>
        <v>1</v>
      </c>
      <c r="AA1926" s="1749"/>
      <c r="AB1926" s="1810">
        <f t="shared" si="1160"/>
        <v>0</v>
      </c>
      <c r="AC1926" s="876"/>
      <c r="AD1926" s="1295"/>
      <c r="AE1926" s="1525"/>
      <c r="AF1926" s="1525"/>
      <c r="AG1926" s="1525"/>
      <c r="AH1926" s="1525"/>
      <c r="AI1926" s="1525"/>
      <c r="AJ1926" s="1525"/>
      <c r="AK1926" s="1525"/>
      <c r="AL1926" s="1525"/>
      <c r="AM1926" s="1525"/>
      <c r="AN1926" s="1525"/>
      <c r="AO1926" s="1525"/>
      <c r="AP1926" s="1525"/>
      <c r="AQ1926" s="1525"/>
      <c r="AR1926" s="1525"/>
      <c r="AS1926" s="1525"/>
      <c r="AT1926" s="6"/>
      <c r="AU1926" s="1525"/>
      <c r="AV1926" s="1291"/>
      <c r="AW1926" s="1292"/>
      <c r="AX1926" s="1292"/>
      <c r="AY1926" s="1292"/>
      <c r="AZ1926" s="1292"/>
      <c r="BA1926" s="1292"/>
      <c r="BB1926" s="1292"/>
      <c r="BC1926" s="1292"/>
      <c r="BD1926" s="1292"/>
      <c r="BE1926" s="1292"/>
      <c r="BF1926" s="1292"/>
      <c r="BG1926" s="1292"/>
      <c r="BH1926" s="1292"/>
      <c r="BI1926" s="1292"/>
      <c r="BJ1926" s="1292"/>
      <c r="BK1926" s="1292"/>
      <c r="BL1926" s="1292"/>
      <c r="BM1926" s="1292"/>
      <c r="BN1926" s="1292"/>
      <c r="BO1926" s="1292"/>
      <c r="BP1926" s="1292"/>
      <c r="BQ1926" s="1292"/>
      <c r="BR1926" s="1292"/>
      <c r="BS1926" s="1292"/>
      <c r="BT1926" s="1765">
        <f t="shared" si="1161"/>
        <v>0</v>
      </c>
      <c r="BU1926" s="65"/>
      <c r="BV1926" s="65"/>
      <c r="BW1926" s="862" t="s">
        <v>373</v>
      </c>
    </row>
    <row r="1927" spans="1:123" ht="12.75" customHeight="1" x14ac:dyDescent="0.2">
      <c r="B1927" s="175">
        <f t="shared" si="1162"/>
        <v>13</v>
      </c>
      <c r="C1927" s="219">
        <v>18</v>
      </c>
      <c r="E1927" s="12" t="s">
        <v>994</v>
      </c>
      <c r="F1927" s="37" t="s">
        <v>62</v>
      </c>
      <c r="G1927" s="913" t="s">
        <v>870</v>
      </c>
      <c r="H1927" s="1412">
        <v>102967</v>
      </c>
      <c r="I1927" s="180" t="s">
        <v>1442</v>
      </c>
      <c r="J1927" s="173"/>
      <c r="K1927" s="173"/>
      <c r="L1927" s="893">
        <v>1</v>
      </c>
      <c r="M1927" s="861">
        <v>1</v>
      </c>
      <c r="N1927" s="832" t="s">
        <v>892</v>
      </c>
      <c r="O1927" s="1196">
        <v>21851</v>
      </c>
      <c r="P1927" s="1218">
        <f t="shared" ca="1" si="1156"/>
        <v>57.927777777777777</v>
      </c>
      <c r="Q1927" s="1148">
        <v>18000</v>
      </c>
      <c r="R1927" s="874"/>
      <c r="S1927" s="875"/>
      <c r="T1927" s="877"/>
      <c r="U1927" s="877"/>
      <c r="V1927" s="875">
        <v>3840</v>
      </c>
      <c r="W1927" s="875"/>
      <c r="X1927" s="1026">
        <f t="shared" si="1157"/>
        <v>21840</v>
      </c>
      <c r="Y1927" s="1512">
        <f t="shared" si="1158"/>
        <v>0</v>
      </c>
      <c r="Z1927" s="1741">
        <f t="shared" si="1159"/>
        <v>1</v>
      </c>
      <c r="AA1927" s="1749"/>
      <c r="AB1927" s="1810">
        <f t="shared" si="1160"/>
        <v>0</v>
      </c>
      <c r="AC1927" s="876"/>
      <c r="AD1927" s="1295"/>
      <c r="AE1927" s="1525"/>
      <c r="AF1927" s="1525"/>
      <c r="AG1927" s="1525"/>
      <c r="AH1927" s="1525"/>
      <c r="AI1927" s="1525"/>
      <c r="AJ1927" s="1525"/>
      <c r="AK1927" s="1525"/>
      <c r="AL1927" s="1525"/>
      <c r="AM1927" s="1525"/>
      <c r="AN1927" s="1525"/>
      <c r="AO1927" s="1525"/>
      <c r="AP1927" s="1525"/>
      <c r="AQ1927" s="1525"/>
      <c r="AR1927" s="1525"/>
      <c r="AS1927" s="1525"/>
      <c r="AT1927" s="6"/>
      <c r="AU1927" s="1525"/>
      <c r="AV1927" s="1291"/>
      <c r="AW1927" s="1292"/>
      <c r="AX1927" s="1292"/>
      <c r="AY1927" s="1292"/>
      <c r="AZ1927" s="1292"/>
      <c r="BA1927" s="1292"/>
      <c r="BB1927" s="1292"/>
      <c r="BC1927" s="1292"/>
      <c r="BD1927" s="1292"/>
      <c r="BE1927" s="1292"/>
      <c r="BF1927" s="1292"/>
      <c r="BG1927" s="1292"/>
      <c r="BH1927" s="1292"/>
      <c r="BI1927" s="1292"/>
      <c r="BJ1927" s="1292"/>
      <c r="BK1927" s="1292"/>
      <c r="BL1927" s="1292"/>
      <c r="BM1927" s="1292"/>
      <c r="BN1927" s="1292"/>
      <c r="BO1927" s="1292"/>
      <c r="BP1927" s="1292"/>
      <c r="BQ1927" s="1292"/>
      <c r="BR1927" s="1292"/>
      <c r="BS1927" s="1292"/>
      <c r="BT1927" s="1765">
        <f t="shared" si="1161"/>
        <v>0</v>
      </c>
      <c r="BU1927" s="65"/>
      <c r="BV1927" s="65"/>
      <c r="BW1927" s="862" t="s">
        <v>870</v>
      </c>
    </row>
    <row r="1928" spans="1:123" ht="12.75" customHeight="1" x14ac:dyDescent="0.2">
      <c r="B1928" s="175">
        <f t="shared" si="1162"/>
        <v>14</v>
      </c>
      <c r="C1928" s="219">
        <v>18</v>
      </c>
      <c r="E1928" s="12" t="s">
        <v>994</v>
      </c>
      <c r="F1928" s="42" t="s">
        <v>62</v>
      </c>
      <c r="G1928" s="945" t="s">
        <v>1675</v>
      </c>
      <c r="H1928" s="1414">
        <v>142183</v>
      </c>
      <c r="I1928" s="176" t="s">
        <v>1442</v>
      </c>
      <c r="J1928" s="173"/>
      <c r="K1928" s="177"/>
      <c r="L1928" s="944">
        <v>1</v>
      </c>
      <c r="M1928" s="873">
        <v>1</v>
      </c>
      <c r="N1928" s="940" t="s">
        <v>892</v>
      </c>
      <c r="O1928" s="1211">
        <v>31702</v>
      </c>
      <c r="P1928" s="1218">
        <f t="shared" ca="1" si="1156"/>
        <v>30.958333333333332</v>
      </c>
      <c r="Q1928" s="1148">
        <v>17400</v>
      </c>
      <c r="R1928" s="874"/>
      <c r="S1928" s="875"/>
      <c r="T1928" s="875"/>
      <c r="U1928" s="875"/>
      <c r="V1928" s="875">
        <v>3960</v>
      </c>
      <c r="W1928" s="875"/>
      <c r="X1928" s="1026">
        <f t="shared" si="1157"/>
        <v>21360</v>
      </c>
      <c r="Y1928" s="1512">
        <f t="shared" si="1158"/>
        <v>0</v>
      </c>
      <c r="Z1928" s="1741">
        <f t="shared" si="1159"/>
        <v>1</v>
      </c>
      <c r="AA1928" s="1749"/>
      <c r="AB1928" s="1810">
        <f t="shared" si="1160"/>
        <v>0</v>
      </c>
      <c r="AC1928" s="876"/>
      <c r="AD1928" s="1295"/>
      <c r="AE1928" s="1525"/>
      <c r="AF1928" s="1525"/>
      <c r="AG1928" s="1525"/>
      <c r="AH1928" s="1525"/>
      <c r="AI1928" s="1525"/>
      <c r="AJ1928" s="1525"/>
      <c r="AK1928" s="1525"/>
      <c r="AL1928" s="1525"/>
      <c r="AM1928" s="1525"/>
      <c r="AN1928" s="1525"/>
      <c r="AO1928" s="1525"/>
      <c r="AP1928" s="1525"/>
      <c r="AQ1928" s="1525"/>
      <c r="AR1928" s="1525"/>
      <c r="AS1928" s="1525"/>
      <c r="AT1928" s="6"/>
      <c r="AU1928" s="1525"/>
      <c r="AV1928" s="1291"/>
      <c r="AW1928" s="1292"/>
      <c r="AX1928" s="1292"/>
      <c r="AY1928" s="1292"/>
      <c r="AZ1928" s="1292"/>
      <c r="BA1928" s="1292"/>
      <c r="BB1928" s="1292"/>
      <c r="BC1928" s="1292"/>
      <c r="BD1928" s="1292"/>
      <c r="BE1928" s="1292"/>
      <c r="BF1928" s="1292"/>
      <c r="BG1928" s="1292"/>
      <c r="BH1928" s="1292"/>
      <c r="BI1928" s="1292"/>
      <c r="BJ1928" s="1292"/>
      <c r="BK1928" s="1292"/>
      <c r="BL1928" s="1292"/>
      <c r="BM1928" s="1292"/>
      <c r="BN1928" s="1292"/>
      <c r="BO1928" s="1292"/>
      <c r="BP1928" s="1292"/>
      <c r="BQ1928" s="1292"/>
      <c r="BR1928" s="1292"/>
      <c r="BS1928" s="1292"/>
      <c r="BT1928" s="1765">
        <f t="shared" si="1161"/>
        <v>0</v>
      </c>
      <c r="BU1928" s="65"/>
      <c r="BV1928" s="65"/>
      <c r="BW1928" s="862" t="s">
        <v>1675</v>
      </c>
    </row>
    <row r="1929" spans="1:123" s="548" customFormat="1" ht="12.75" customHeight="1" x14ac:dyDescent="0.15">
      <c r="A1929" s="164"/>
      <c r="B1929" s="175"/>
      <c r="C1929" s="219" t="s">
        <v>1120</v>
      </c>
      <c r="D1929" s="164"/>
      <c r="E1929" s="164"/>
      <c r="F1929" s="1" t="s">
        <v>1500</v>
      </c>
      <c r="G1929" s="856"/>
      <c r="H1929" s="1420" t="s">
        <v>1508</v>
      </c>
      <c r="I1929" s="172"/>
      <c r="J1929" s="168"/>
      <c r="K1929" s="448">
        <f>SUM(K1915:K1923)</f>
        <v>0</v>
      </c>
      <c r="L1929" s="902">
        <f>SUM(L1915:L1928)</f>
        <v>13.5</v>
      </c>
      <c r="M1929" s="902">
        <f>SUM(M1915:M1928)</f>
        <v>13.5</v>
      </c>
      <c r="N1929" s="855"/>
      <c r="O1929" s="1195"/>
      <c r="P1929" s="1240"/>
      <c r="Q1929" s="1153"/>
      <c r="R1929" s="877"/>
      <c r="S1929" s="875"/>
      <c r="T1929" s="875"/>
      <c r="U1929" s="875"/>
      <c r="V1929" s="875"/>
      <c r="W1929" s="875"/>
      <c r="X1929" s="1026"/>
      <c r="Y1929" s="1335"/>
      <c r="Z1929" s="1335"/>
      <c r="AA1929" s="1749"/>
      <c r="AB1929" s="1811"/>
      <c r="AC1929" s="876"/>
      <c r="AD1929" s="1295"/>
      <c r="AE1929" s="1525"/>
      <c r="AF1929" s="1525"/>
      <c r="AG1929" s="1525"/>
      <c r="AH1929" s="1525"/>
      <c r="AI1929" s="1525"/>
      <c r="AJ1929" s="1525"/>
      <c r="AK1929" s="1525"/>
      <c r="AL1929" s="1525"/>
      <c r="AM1929" s="1525"/>
      <c r="AN1929" s="1525"/>
      <c r="AO1929" s="1525"/>
      <c r="AP1929" s="1525"/>
      <c r="AQ1929" s="1525"/>
      <c r="AR1929" s="1525"/>
      <c r="AS1929" s="1525"/>
      <c r="AT1929" s="1761"/>
      <c r="AU1929" s="1525"/>
      <c r="AV1929" s="1538"/>
      <c r="AW1929" s="1539"/>
      <c r="AX1929" s="1539"/>
      <c r="AY1929" s="1539"/>
      <c r="AZ1929" s="1539"/>
      <c r="BA1929" s="1539"/>
      <c r="BB1929" s="1539"/>
      <c r="BC1929" s="1539"/>
      <c r="BD1929" s="1539"/>
      <c r="BE1929" s="1539"/>
      <c r="BF1929" s="1539"/>
      <c r="BG1929" s="1539"/>
      <c r="BH1929" s="1539"/>
      <c r="BI1929" s="1539"/>
      <c r="BJ1929" s="1539"/>
      <c r="BK1929" s="1539"/>
      <c r="BL1929" s="1539"/>
      <c r="BM1929" s="1539"/>
      <c r="BN1929" s="1539"/>
      <c r="BO1929" s="1539"/>
      <c r="BP1929" s="1539"/>
      <c r="BQ1929" s="1539"/>
      <c r="BR1929" s="1539"/>
      <c r="BS1929" s="1539"/>
      <c r="BT1929" s="1765"/>
      <c r="BU1929" s="224"/>
      <c r="BV1929" s="65"/>
      <c r="BW1929" s="862"/>
      <c r="BX1929" s="224"/>
      <c r="BY1929" s="224"/>
      <c r="BZ1929" s="224"/>
      <c r="CA1929" s="224"/>
      <c r="CB1929" s="224"/>
      <c r="CC1929" s="224"/>
      <c r="CD1929" s="224"/>
      <c r="CE1929" s="224"/>
      <c r="CF1929" s="224"/>
      <c r="CG1929" s="224"/>
      <c r="CH1929" s="224"/>
      <c r="CI1929" s="224"/>
      <c r="CJ1929" s="224"/>
      <c r="CK1929" s="224"/>
      <c r="CL1929" s="224"/>
      <c r="CM1929" s="224"/>
      <c r="CN1929" s="224"/>
      <c r="CO1929" s="224"/>
      <c r="CP1929" s="224"/>
      <c r="CQ1929" s="224"/>
      <c r="CR1929" s="224"/>
      <c r="CS1929" s="224"/>
      <c r="CT1929" s="224"/>
      <c r="CU1929" s="224"/>
      <c r="CV1929" s="224"/>
      <c r="CW1929" s="224"/>
      <c r="CX1929" s="224"/>
      <c r="CY1929" s="224"/>
      <c r="CZ1929" s="224"/>
      <c r="DA1929" s="224"/>
      <c r="DB1929" s="224"/>
      <c r="DC1929" s="224"/>
      <c r="DD1929" s="224"/>
      <c r="DE1929" s="224"/>
      <c r="DF1929" s="224"/>
      <c r="DG1929" s="224"/>
      <c r="DH1929" s="224"/>
      <c r="DI1929" s="224"/>
      <c r="DJ1929" s="224"/>
      <c r="DK1929" s="224"/>
      <c r="DL1929" s="224"/>
      <c r="DM1929" s="224"/>
      <c r="DN1929" s="224"/>
      <c r="DO1929" s="224"/>
      <c r="DP1929" s="224"/>
      <c r="DQ1929" s="224"/>
      <c r="DR1929" s="224"/>
      <c r="DS1929" s="1768"/>
    </row>
    <row r="1930" spans="1:123" s="548" customFormat="1" ht="12.75" customHeight="1" x14ac:dyDescent="0.15">
      <c r="A1930" s="164"/>
      <c r="B1930" s="175"/>
      <c r="C1930" s="164"/>
      <c r="D1930" s="164"/>
      <c r="E1930" s="164"/>
      <c r="F1930" s="1"/>
      <c r="G1930" s="856"/>
      <c r="H1930" s="1424" t="s">
        <v>1508</v>
      </c>
      <c r="I1930" s="172"/>
      <c r="J1930" s="168"/>
      <c r="K1930" s="168"/>
      <c r="L1930" s="841"/>
      <c r="M1930" s="841"/>
      <c r="N1930" s="855"/>
      <c r="O1930" s="1195"/>
      <c r="P1930" s="1240"/>
      <c r="Q1930" s="1148"/>
      <c r="R1930" s="874"/>
      <c r="S1930" s="875"/>
      <c r="T1930" s="875"/>
      <c r="U1930" s="875"/>
      <c r="V1930" s="875"/>
      <c r="W1930" s="875"/>
      <c r="X1930" s="1026"/>
      <c r="Y1930" s="1754"/>
      <c r="Z1930" s="1755"/>
      <c r="AA1930" s="1749"/>
      <c r="AB1930" s="1811"/>
      <c r="AC1930" s="876"/>
      <c r="AD1930" s="1295"/>
      <c r="AE1930" s="1525"/>
      <c r="AF1930" s="1525"/>
      <c r="AG1930" s="1525"/>
      <c r="AH1930" s="1525"/>
      <c r="AI1930" s="1525"/>
      <c r="AJ1930" s="1525"/>
      <c r="AK1930" s="1525"/>
      <c r="AL1930" s="1525"/>
      <c r="AM1930" s="1525"/>
      <c r="AN1930" s="1525"/>
      <c r="AO1930" s="1525"/>
      <c r="AP1930" s="1525"/>
      <c r="AQ1930" s="1525"/>
      <c r="AR1930" s="1525"/>
      <c r="AS1930" s="1525"/>
      <c r="AT1930" s="1761"/>
      <c r="AU1930" s="1525"/>
      <c r="AV1930" s="1538"/>
      <c r="AW1930" s="1539"/>
      <c r="AX1930" s="1539"/>
      <c r="AY1930" s="1539"/>
      <c r="AZ1930" s="1539"/>
      <c r="BA1930" s="1539"/>
      <c r="BB1930" s="1539"/>
      <c r="BC1930" s="1539"/>
      <c r="BD1930" s="1539"/>
      <c r="BE1930" s="1539"/>
      <c r="BF1930" s="1539"/>
      <c r="BG1930" s="1539"/>
      <c r="BH1930" s="1539"/>
      <c r="BI1930" s="1539"/>
      <c r="BJ1930" s="1539"/>
      <c r="BK1930" s="1539"/>
      <c r="BL1930" s="1539"/>
      <c r="BM1930" s="1539"/>
      <c r="BN1930" s="1539"/>
      <c r="BO1930" s="1539"/>
      <c r="BP1930" s="1539"/>
      <c r="BQ1930" s="1539"/>
      <c r="BR1930" s="1539"/>
      <c r="BS1930" s="1539"/>
      <c r="BT1930" s="1765"/>
      <c r="BU1930" s="224"/>
      <c r="BV1930" s="65"/>
      <c r="BW1930" s="862"/>
      <c r="BX1930" s="224"/>
      <c r="BY1930" s="224"/>
      <c r="BZ1930" s="224"/>
      <c r="CA1930" s="224"/>
      <c r="CB1930" s="224"/>
      <c r="CC1930" s="224"/>
      <c r="CD1930" s="224"/>
      <c r="CE1930" s="224"/>
      <c r="CF1930" s="224"/>
      <c r="CG1930" s="224"/>
      <c r="CH1930" s="224"/>
      <c r="CI1930" s="224"/>
      <c r="CJ1930" s="224"/>
      <c r="CK1930" s="224"/>
      <c r="CL1930" s="224"/>
      <c r="CM1930" s="224"/>
      <c r="CN1930" s="224"/>
      <c r="CO1930" s="224"/>
      <c r="CP1930" s="224"/>
      <c r="CQ1930" s="224"/>
      <c r="CR1930" s="224"/>
      <c r="CS1930" s="224"/>
      <c r="CT1930" s="224"/>
      <c r="CU1930" s="224"/>
      <c r="CV1930" s="224"/>
      <c r="CW1930" s="224"/>
      <c r="CX1930" s="224"/>
      <c r="CY1930" s="224"/>
      <c r="CZ1930" s="224"/>
      <c r="DA1930" s="224"/>
      <c r="DB1930" s="224"/>
      <c r="DC1930" s="224"/>
      <c r="DD1930" s="224"/>
      <c r="DE1930" s="224"/>
      <c r="DF1930" s="224"/>
      <c r="DG1930" s="224"/>
      <c r="DH1930" s="224"/>
      <c r="DI1930" s="224"/>
      <c r="DJ1930" s="224"/>
      <c r="DK1930" s="224"/>
      <c r="DL1930" s="224"/>
      <c r="DM1930" s="224"/>
      <c r="DN1930" s="224"/>
      <c r="DO1930" s="224"/>
      <c r="DP1930" s="224"/>
      <c r="DQ1930" s="224"/>
      <c r="DR1930" s="224"/>
      <c r="DS1930" s="1768"/>
    </row>
    <row r="1931" spans="1:123" s="548" customFormat="1" ht="12.75" customHeight="1" x14ac:dyDescent="0.15">
      <c r="A1931" s="164"/>
      <c r="B1931" s="175"/>
      <c r="C1931" s="164"/>
      <c r="D1931" s="164"/>
      <c r="E1931" s="164"/>
      <c r="F1931" s="1" t="s">
        <v>1492</v>
      </c>
      <c r="G1931" s="856"/>
      <c r="H1931" s="1424" t="s">
        <v>1508</v>
      </c>
      <c r="I1931" s="171"/>
      <c r="J1931" s="211"/>
      <c r="K1931" s="211"/>
      <c r="L1931" s="841"/>
      <c r="M1931" s="841"/>
      <c r="N1931" s="855"/>
      <c r="O1931" s="1195"/>
      <c r="P1931" s="1240"/>
      <c r="Q1931" s="1148"/>
      <c r="R1931" s="874"/>
      <c r="S1931" s="875"/>
      <c r="T1931" s="875"/>
      <c r="U1931" s="875"/>
      <c r="V1931" s="875"/>
      <c r="W1931" s="875"/>
      <c r="X1931" s="1026"/>
      <c r="Y1931" s="1754"/>
      <c r="Z1931" s="1755"/>
      <c r="AA1931" s="1749"/>
      <c r="AB1931" s="1811"/>
      <c r="AC1931" s="876"/>
      <c r="AD1931" s="1295"/>
      <c r="AE1931" s="1525"/>
      <c r="AF1931" s="1525"/>
      <c r="AG1931" s="1525"/>
      <c r="AH1931" s="1525"/>
      <c r="AI1931" s="1525"/>
      <c r="AJ1931" s="1525"/>
      <c r="AK1931" s="1525"/>
      <c r="AL1931" s="1525"/>
      <c r="AM1931" s="1525"/>
      <c r="AN1931" s="1525"/>
      <c r="AO1931" s="1525"/>
      <c r="AP1931" s="1525"/>
      <c r="AQ1931" s="1525"/>
      <c r="AR1931" s="1525"/>
      <c r="AS1931" s="1525"/>
      <c r="AT1931" s="1761"/>
      <c r="AU1931" s="1525"/>
      <c r="AV1931" s="1538"/>
      <c r="AW1931" s="1539"/>
      <c r="AX1931" s="1539"/>
      <c r="AY1931" s="1539"/>
      <c r="AZ1931" s="1539"/>
      <c r="BA1931" s="1539"/>
      <c r="BB1931" s="1539"/>
      <c r="BC1931" s="1539"/>
      <c r="BD1931" s="1539"/>
      <c r="BE1931" s="1539"/>
      <c r="BF1931" s="1539"/>
      <c r="BG1931" s="1539"/>
      <c r="BH1931" s="1539"/>
      <c r="BI1931" s="1539"/>
      <c r="BJ1931" s="1539"/>
      <c r="BK1931" s="1539"/>
      <c r="BL1931" s="1539"/>
      <c r="BM1931" s="1539"/>
      <c r="BN1931" s="1539"/>
      <c r="BO1931" s="1539"/>
      <c r="BP1931" s="1539"/>
      <c r="BQ1931" s="1539"/>
      <c r="BR1931" s="1539"/>
      <c r="BS1931" s="1539"/>
      <c r="BT1931" s="1765"/>
      <c r="BU1931" s="224"/>
      <c r="BV1931" s="65"/>
      <c r="BW1931" s="862"/>
      <c r="BX1931" s="224"/>
      <c r="BY1931" s="224"/>
      <c r="BZ1931" s="224"/>
      <c r="CA1931" s="224"/>
      <c r="CB1931" s="224"/>
      <c r="CC1931" s="224"/>
      <c r="CD1931" s="224"/>
      <c r="CE1931" s="224"/>
      <c r="CF1931" s="224"/>
      <c r="CG1931" s="224"/>
      <c r="CH1931" s="224"/>
      <c r="CI1931" s="224"/>
      <c r="CJ1931" s="224"/>
      <c r="CK1931" s="224"/>
      <c r="CL1931" s="224"/>
      <c r="CM1931" s="224"/>
      <c r="CN1931" s="224"/>
      <c r="CO1931" s="224"/>
      <c r="CP1931" s="224"/>
      <c r="CQ1931" s="224"/>
      <c r="CR1931" s="224"/>
      <c r="CS1931" s="224"/>
      <c r="CT1931" s="224"/>
      <c r="CU1931" s="224"/>
      <c r="CV1931" s="224"/>
      <c r="CW1931" s="224"/>
      <c r="CX1931" s="224"/>
      <c r="CY1931" s="224"/>
      <c r="CZ1931" s="224"/>
      <c r="DA1931" s="224"/>
      <c r="DB1931" s="224"/>
      <c r="DC1931" s="224"/>
      <c r="DD1931" s="224"/>
      <c r="DE1931" s="224"/>
      <c r="DF1931" s="224"/>
      <c r="DG1931" s="224"/>
      <c r="DH1931" s="224"/>
      <c r="DI1931" s="224"/>
      <c r="DJ1931" s="224"/>
      <c r="DK1931" s="224"/>
      <c r="DL1931" s="224"/>
      <c r="DM1931" s="224"/>
      <c r="DN1931" s="224"/>
      <c r="DO1931" s="224"/>
      <c r="DP1931" s="224"/>
      <c r="DQ1931" s="224"/>
      <c r="DR1931" s="224"/>
      <c r="DS1931" s="1768"/>
    </row>
    <row r="1932" spans="1:123" s="548" customFormat="1" ht="12.75" customHeight="1" x14ac:dyDescent="0.15">
      <c r="A1932" s="164"/>
      <c r="B1932" s="175"/>
      <c r="C1932" s="164"/>
      <c r="D1932" s="164"/>
      <c r="E1932" s="164"/>
      <c r="F1932" s="1"/>
      <c r="G1932" s="913"/>
      <c r="H1932" s="1417" t="s">
        <v>1508</v>
      </c>
      <c r="I1932" s="172"/>
      <c r="J1932" s="173"/>
      <c r="K1932" s="173"/>
      <c r="L1932" s="893"/>
      <c r="M1932" s="893"/>
      <c r="N1932" s="832"/>
      <c r="O1932" s="1195"/>
      <c r="P1932" s="1240"/>
      <c r="Q1932" s="1148"/>
      <c r="R1932" s="874"/>
      <c r="S1932" s="876"/>
      <c r="T1932" s="876"/>
      <c r="U1932" s="876"/>
      <c r="V1932" s="876"/>
      <c r="W1932" s="876"/>
      <c r="X1932" s="1026"/>
      <c r="Y1932" s="1754"/>
      <c r="Z1932" s="1755"/>
      <c r="AA1932" s="1749"/>
      <c r="AB1932" s="1811"/>
      <c r="AC1932" s="876"/>
      <c r="AD1932" s="1295"/>
      <c r="AE1932" s="1525"/>
      <c r="AF1932" s="1525"/>
      <c r="AG1932" s="1525"/>
      <c r="AH1932" s="1525"/>
      <c r="AI1932" s="1525"/>
      <c r="AJ1932" s="1525"/>
      <c r="AK1932" s="1525"/>
      <c r="AL1932" s="1525"/>
      <c r="AM1932" s="1525"/>
      <c r="AN1932" s="1525"/>
      <c r="AO1932" s="1525"/>
      <c r="AP1932" s="1525"/>
      <c r="AQ1932" s="1525"/>
      <c r="AR1932" s="1525"/>
      <c r="AS1932" s="1525"/>
      <c r="AT1932" s="1761"/>
      <c r="AU1932" s="1525"/>
      <c r="AV1932" s="1538"/>
      <c r="AW1932" s="1539"/>
      <c r="AX1932" s="1539"/>
      <c r="AY1932" s="1539"/>
      <c r="AZ1932" s="1539"/>
      <c r="BA1932" s="1539"/>
      <c r="BB1932" s="1539"/>
      <c r="BC1932" s="1539"/>
      <c r="BD1932" s="1539"/>
      <c r="BE1932" s="1539"/>
      <c r="BF1932" s="1539"/>
      <c r="BG1932" s="1539"/>
      <c r="BH1932" s="1539"/>
      <c r="BI1932" s="1539"/>
      <c r="BJ1932" s="1539"/>
      <c r="BK1932" s="1539"/>
      <c r="BL1932" s="1539"/>
      <c r="BM1932" s="1539"/>
      <c r="BN1932" s="1539"/>
      <c r="BO1932" s="1539"/>
      <c r="BP1932" s="1539"/>
      <c r="BQ1932" s="1539"/>
      <c r="BR1932" s="1539"/>
      <c r="BS1932" s="1539"/>
      <c r="BT1932" s="1765"/>
      <c r="BU1932" s="224"/>
      <c r="BV1932" s="65"/>
      <c r="BW1932" s="862"/>
      <c r="BX1932" s="224"/>
      <c r="BY1932" s="224"/>
      <c r="BZ1932" s="224"/>
      <c r="CA1932" s="224"/>
      <c r="CB1932" s="224"/>
      <c r="CC1932" s="224"/>
      <c r="CD1932" s="224"/>
      <c r="CE1932" s="224"/>
      <c r="CF1932" s="224"/>
      <c r="CG1932" s="224"/>
      <c r="CH1932" s="224"/>
      <c r="CI1932" s="224"/>
      <c r="CJ1932" s="224"/>
      <c r="CK1932" s="224"/>
      <c r="CL1932" s="224"/>
      <c r="CM1932" s="224"/>
      <c r="CN1932" s="224"/>
      <c r="CO1932" s="224"/>
      <c r="CP1932" s="224"/>
      <c r="CQ1932" s="224"/>
      <c r="CR1932" s="224"/>
      <c r="CS1932" s="224"/>
      <c r="CT1932" s="224"/>
      <c r="CU1932" s="224"/>
      <c r="CV1932" s="224"/>
      <c r="CW1932" s="224"/>
      <c r="CX1932" s="224"/>
      <c r="CY1932" s="224"/>
      <c r="CZ1932" s="224"/>
      <c r="DA1932" s="224"/>
      <c r="DB1932" s="224"/>
      <c r="DC1932" s="224"/>
      <c r="DD1932" s="224"/>
      <c r="DE1932" s="224"/>
      <c r="DF1932" s="224"/>
      <c r="DG1932" s="224"/>
      <c r="DH1932" s="224"/>
      <c r="DI1932" s="224"/>
      <c r="DJ1932" s="224"/>
      <c r="DK1932" s="224"/>
      <c r="DL1932" s="224"/>
      <c r="DM1932" s="224"/>
      <c r="DN1932" s="224"/>
      <c r="DO1932" s="224"/>
      <c r="DP1932" s="224"/>
      <c r="DQ1932" s="224"/>
      <c r="DR1932" s="224"/>
      <c r="DS1932" s="1768"/>
    </row>
    <row r="1933" spans="1:123" ht="12.75" customHeight="1" x14ac:dyDescent="0.2">
      <c r="B1933" s="175">
        <f>B1932+1</f>
        <v>1</v>
      </c>
      <c r="C1933" s="219">
        <v>19</v>
      </c>
      <c r="E1933" s="12" t="s">
        <v>994</v>
      </c>
      <c r="F1933" s="1" t="s">
        <v>1493</v>
      </c>
      <c r="G1933" s="856" t="s">
        <v>548</v>
      </c>
      <c r="H1933" s="1413">
        <v>121092</v>
      </c>
      <c r="I1933" s="172" t="s">
        <v>1442</v>
      </c>
      <c r="J1933" s="168"/>
      <c r="K1933" s="168"/>
      <c r="L1933" s="841">
        <v>0.5</v>
      </c>
      <c r="M1933" s="858">
        <v>0.5</v>
      </c>
      <c r="N1933" s="836" t="s">
        <v>892</v>
      </c>
      <c r="O1933" s="1196">
        <v>19220</v>
      </c>
      <c r="P1933" s="1218">
        <f t="shared" ref="P1933:P1972" ca="1" si="1163">YEARFRAC(TODAY(),O1933)</f>
        <v>65.13333333333334</v>
      </c>
      <c r="Q1933" s="1148">
        <v>13200</v>
      </c>
      <c r="R1933" s="874"/>
      <c r="S1933" s="875"/>
      <c r="T1933" s="877"/>
      <c r="U1933" s="877"/>
      <c r="V1933" s="875">
        <v>6120</v>
      </c>
      <c r="W1933" s="875"/>
      <c r="X1933" s="1026">
        <f t="shared" ref="X1933:X1972" si="1164">(Q1933+R1933+S1933+T1933+U1933+V1933+W1933)*M1933</f>
        <v>9660</v>
      </c>
      <c r="Y1933" s="1512">
        <f t="shared" ref="Y1933:Y1972" si="1165">(T1933+U1933)*M1933/(X1933-M1933*(T1933+U1933))</f>
        <v>0</v>
      </c>
      <c r="Z1933" s="1741">
        <f t="shared" ref="Z1933:Z1959" si="1166">M1933*(1+Y1933)</f>
        <v>0.5</v>
      </c>
      <c r="AA1933" s="1749"/>
      <c r="AB1933" s="1810">
        <f t="shared" ref="AB1933:AB1972" si="1167">100*AA1933/Z1933</f>
        <v>0</v>
      </c>
      <c r="AC1933" s="876"/>
      <c r="AD1933" s="1295"/>
      <c r="AE1933" s="1525"/>
      <c r="AF1933" s="1525"/>
      <c r="AG1933" s="1525"/>
      <c r="AH1933" s="1525"/>
      <c r="AI1933" s="1525"/>
      <c r="AJ1933" s="1525"/>
      <c r="AK1933" s="1525"/>
      <c r="AL1933" s="1525"/>
      <c r="AM1933" s="1525"/>
      <c r="AN1933" s="1525"/>
      <c r="AO1933" s="1525"/>
      <c r="AP1933" s="1525"/>
      <c r="AQ1933" s="1525"/>
      <c r="AR1933" s="1525"/>
      <c r="AS1933" s="1525"/>
      <c r="AU1933" s="1525"/>
      <c r="AV1933" s="1291"/>
      <c r="AW1933" s="1292"/>
      <c r="AX1933" s="1292"/>
      <c r="AY1933" s="1292"/>
      <c r="AZ1933" s="1292"/>
      <c r="BA1933" s="1292"/>
      <c r="BB1933" s="1292"/>
      <c r="BC1933" s="1292"/>
      <c r="BD1933" s="1292"/>
      <c r="BE1933" s="1292"/>
      <c r="BF1933" s="1292"/>
      <c r="BG1933" s="1292"/>
      <c r="BH1933" s="1292"/>
      <c r="BI1933" s="1292"/>
      <c r="BJ1933" s="1292"/>
      <c r="BK1933" s="1292"/>
      <c r="BL1933" s="1292"/>
      <c r="BM1933" s="1292"/>
      <c r="BN1933" s="1292"/>
      <c r="BO1933" s="1292"/>
      <c r="BP1933" s="1292"/>
      <c r="BQ1933" s="1292"/>
      <c r="BR1933" s="1292"/>
      <c r="BS1933" s="1292"/>
      <c r="BT1933" s="1765">
        <f t="shared" ref="BT1933:BT1972" si="1168">SUM(AV1933:BS1933)</f>
        <v>0</v>
      </c>
      <c r="BU1933" s="65"/>
      <c r="BV1933" s="65"/>
      <c r="BW1933" s="862" t="s">
        <v>548</v>
      </c>
    </row>
    <row r="1934" spans="1:123" ht="12.75" customHeight="1" x14ac:dyDescent="0.2">
      <c r="B1934" s="175">
        <f t="shared" ref="B1934:B1972" si="1169">B1933+1</f>
        <v>2</v>
      </c>
      <c r="C1934" s="219">
        <v>19</v>
      </c>
      <c r="E1934" s="12" t="s">
        <v>994</v>
      </c>
      <c r="F1934" s="1" t="s">
        <v>1493</v>
      </c>
      <c r="G1934" s="856" t="s">
        <v>322</v>
      </c>
      <c r="H1934" s="1413">
        <v>131427</v>
      </c>
      <c r="I1934" s="172" t="s">
        <v>1442</v>
      </c>
      <c r="J1934" s="168"/>
      <c r="K1934" s="168"/>
      <c r="L1934" s="841">
        <v>0.5</v>
      </c>
      <c r="M1934" s="858">
        <v>0.5</v>
      </c>
      <c r="N1934" s="836" t="s">
        <v>892</v>
      </c>
      <c r="O1934" s="1196">
        <v>21380</v>
      </c>
      <c r="P1934" s="1218">
        <f t="shared" ca="1" si="1163"/>
        <v>59.216666666666669</v>
      </c>
      <c r="Q1934" s="1148">
        <v>13200</v>
      </c>
      <c r="R1934" s="874"/>
      <c r="S1934" s="875"/>
      <c r="T1934" s="877"/>
      <c r="U1934" s="877"/>
      <c r="V1934" s="875">
        <v>6120</v>
      </c>
      <c r="W1934" s="875"/>
      <c r="X1934" s="1026">
        <f t="shared" si="1164"/>
        <v>9660</v>
      </c>
      <c r="Y1934" s="1512">
        <f t="shared" si="1165"/>
        <v>0</v>
      </c>
      <c r="Z1934" s="1741">
        <f t="shared" si="1166"/>
        <v>0.5</v>
      </c>
      <c r="AA1934" s="1749"/>
      <c r="AB1934" s="1810">
        <f t="shared" si="1167"/>
        <v>0</v>
      </c>
      <c r="AC1934" s="876"/>
      <c r="AD1934" s="1295"/>
      <c r="AE1934" s="1525"/>
      <c r="AF1934" s="1525"/>
      <c r="AG1934" s="1525"/>
      <c r="AH1934" s="1525"/>
      <c r="AI1934" s="1525"/>
      <c r="AJ1934" s="1525"/>
      <c r="AK1934" s="1525"/>
      <c r="AL1934" s="1525"/>
      <c r="AM1934" s="1525"/>
      <c r="AN1934" s="1525"/>
      <c r="AO1934" s="1525"/>
      <c r="AP1934" s="1525"/>
      <c r="AQ1934" s="1525"/>
      <c r="AR1934" s="1525"/>
      <c r="AS1934" s="1525"/>
      <c r="AU1934" s="1525"/>
      <c r="AV1934" s="1291"/>
      <c r="AW1934" s="1292"/>
      <c r="AX1934" s="1292"/>
      <c r="AY1934" s="1292"/>
      <c r="AZ1934" s="1292"/>
      <c r="BA1934" s="1292"/>
      <c r="BB1934" s="1292"/>
      <c r="BC1934" s="1292"/>
      <c r="BD1934" s="1292"/>
      <c r="BE1934" s="1292"/>
      <c r="BF1934" s="1292"/>
      <c r="BG1934" s="1292"/>
      <c r="BH1934" s="1292"/>
      <c r="BI1934" s="1292"/>
      <c r="BJ1934" s="1292"/>
      <c r="BK1934" s="1292"/>
      <c r="BL1934" s="1292"/>
      <c r="BM1934" s="1292"/>
      <c r="BN1934" s="1292"/>
      <c r="BO1934" s="1292"/>
      <c r="BP1934" s="1292"/>
      <c r="BQ1934" s="1292"/>
      <c r="BR1934" s="1292"/>
      <c r="BS1934" s="1292"/>
      <c r="BT1934" s="1765">
        <f t="shared" si="1168"/>
        <v>0</v>
      </c>
      <c r="BU1934" s="65"/>
      <c r="BV1934" s="65"/>
      <c r="BW1934" s="862" t="s">
        <v>322</v>
      </c>
    </row>
    <row r="1935" spans="1:123" ht="12.75" customHeight="1" x14ac:dyDescent="0.2">
      <c r="B1935" s="175">
        <f t="shared" si="1169"/>
        <v>3</v>
      </c>
      <c r="C1935" s="219">
        <v>19</v>
      </c>
      <c r="E1935" s="12" t="s">
        <v>994</v>
      </c>
      <c r="F1935" s="1" t="s">
        <v>1493</v>
      </c>
      <c r="G1935" s="823" t="s">
        <v>585</v>
      </c>
      <c r="H1935" s="1413">
        <v>253478</v>
      </c>
      <c r="I1935" s="172" t="s">
        <v>1442</v>
      </c>
      <c r="J1935" s="168"/>
      <c r="K1935" s="168"/>
      <c r="L1935" s="841">
        <v>0.5</v>
      </c>
      <c r="M1935" s="858">
        <f>K1935+L1935</f>
        <v>0.5</v>
      </c>
      <c r="N1935" s="836" t="s">
        <v>892</v>
      </c>
      <c r="O1935" s="1196">
        <v>14652</v>
      </c>
      <c r="P1935" s="1218">
        <f t="shared" ca="1" si="1163"/>
        <v>77.641666666666666</v>
      </c>
      <c r="Q1935" s="1148">
        <v>13200</v>
      </c>
      <c r="R1935" s="874"/>
      <c r="S1935" s="875"/>
      <c r="T1935" s="877"/>
      <c r="U1935" s="877"/>
      <c r="V1935" s="875">
        <v>6120</v>
      </c>
      <c r="W1935" s="875"/>
      <c r="X1935" s="1026">
        <f t="shared" si="1164"/>
        <v>9660</v>
      </c>
      <c r="Y1935" s="1512">
        <f t="shared" si="1165"/>
        <v>0</v>
      </c>
      <c r="Z1935" s="1741">
        <f t="shared" si="1166"/>
        <v>0.5</v>
      </c>
      <c r="AA1935" s="1749"/>
      <c r="AB1935" s="1810">
        <f t="shared" si="1167"/>
        <v>0</v>
      </c>
      <c r="AC1935" s="876"/>
      <c r="AD1935" s="1295"/>
      <c r="AE1935" s="1525"/>
      <c r="AF1935" s="1525"/>
      <c r="AG1935" s="1525"/>
      <c r="AH1935" s="1525"/>
      <c r="AI1935" s="1525"/>
      <c r="AJ1935" s="1525"/>
      <c r="AK1935" s="1525"/>
      <c r="AL1935" s="1525"/>
      <c r="AM1935" s="1525"/>
      <c r="AN1935" s="1525"/>
      <c r="AO1935" s="1525"/>
      <c r="AP1935" s="1525"/>
      <c r="AQ1935" s="1525"/>
      <c r="AR1935" s="1525"/>
      <c r="AS1935" s="1525"/>
      <c r="AU1935" s="1525"/>
      <c r="AV1935" s="1291"/>
      <c r="AW1935" s="1292"/>
      <c r="AX1935" s="1292"/>
      <c r="AY1935" s="1292"/>
      <c r="AZ1935" s="1292"/>
      <c r="BA1935" s="1292"/>
      <c r="BB1935" s="1292"/>
      <c r="BC1935" s="1292"/>
      <c r="BD1935" s="1292"/>
      <c r="BE1935" s="1292"/>
      <c r="BF1935" s="1292"/>
      <c r="BG1935" s="1292"/>
      <c r="BH1935" s="1292"/>
      <c r="BI1935" s="1292"/>
      <c r="BJ1935" s="1292"/>
      <c r="BK1935" s="1292"/>
      <c r="BL1935" s="1292"/>
      <c r="BM1935" s="1292"/>
      <c r="BN1935" s="1292"/>
      <c r="BO1935" s="1292"/>
      <c r="BP1935" s="1292"/>
      <c r="BQ1935" s="1292"/>
      <c r="BR1935" s="1292"/>
      <c r="BS1935" s="1292"/>
      <c r="BT1935" s="1765">
        <f t="shared" si="1168"/>
        <v>0</v>
      </c>
      <c r="BU1935" s="65"/>
      <c r="BV1935" s="65"/>
      <c r="BW1935" s="825" t="s">
        <v>585</v>
      </c>
    </row>
    <row r="1936" spans="1:123" ht="12.75" customHeight="1" x14ac:dyDescent="0.2">
      <c r="B1936" s="175">
        <f t="shared" si="1169"/>
        <v>4</v>
      </c>
      <c r="C1936" s="219">
        <v>19</v>
      </c>
      <c r="E1936" s="12" t="s">
        <v>994</v>
      </c>
      <c r="F1936" s="1" t="s">
        <v>1493</v>
      </c>
      <c r="G1936" s="823" t="s">
        <v>502</v>
      </c>
      <c r="H1936" s="1413">
        <v>131143</v>
      </c>
      <c r="I1936" s="172" t="s">
        <v>1442</v>
      </c>
      <c r="J1936" s="168"/>
      <c r="K1936" s="168"/>
      <c r="L1936" s="841">
        <v>0.5</v>
      </c>
      <c r="M1936" s="858">
        <v>0.5</v>
      </c>
      <c r="N1936" s="836" t="s">
        <v>892</v>
      </c>
      <c r="O1936" s="1196">
        <v>28341</v>
      </c>
      <c r="P1936" s="1218">
        <f t="shared" ca="1" si="1163"/>
        <v>40.161111111111111</v>
      </c>
      <c r="Q1936" s="1148">
        <v>13200</v>
      </c>
      <c r="R1936" s="874"/>
      <c r="S1936" s="875"/>
      <c r="T1936" s="877"/>
      <c r="U1936" s="877"/>
      <c r="V1936" s="875">
        <v>6120</v>
      </c>
      <c r="W1936" s="875"/>
      <c r="X1936" s="1026">
        <f t="shared" si="1164"/>
        <v>9660</v>
      </c>
      <c r="Y1936" s="1512">
        <f t="shared" si="1165"/>
        <v>0</v>
      </c>
      <c r="Z1936" s="1741">
        <f t="shared" si="1166"/>
        <v>0.5</v>
      </c>
      <c r="AA1936" s="1749"/>
      <c r="AB1936" s="1810">
        <f t="shared" si="1167"/>
        <v>0</v>
      </c>
      <c r="AC1936" s="876"/>
      <c r="AD1936" s="1295"/>
      <c r="AE1936" s="1525"/>
      <c r="AF1936" s="1525"/>
      <c r="AG1936" s="1525"/>
      <c r="AH1936" s="1525"/>
      <c r="AI1936" s="1525"/>
      <c r="AJ1936" s="1525"/>
      <c r="AK1936" s="1525"/>
      <c r="AL1936" s="1525"/>
      <c r="AM1936" s="1525"/>
      <c r="AN1936" s="1525"/>
      <c r="AO1936" s="1525"/>
      <c r="AP1936" s="1525"/>
      <c r="AQ1936" s="1525"/>
      <c r="AR1936" s="1525"/>
      <c r="AS1936" s="1525"/>
      <c r="AU1936" s="1525"/>
      <c r="AV1936" s="1291"/>
      <c r="AW1936" s="1292"/>
      <c r="AX1936" s="1292"/>
      <c r="AY1936" s="1292"/>
      <c r="AZ1936" s="1292"/>
      <c r="BA1936" s="1292"/>
      <c r="BB1936" s="1292"/>
      <c r="BC1936" s="1292"/>
      <c r="BD1936" s="1292"/>
      <c r="BE1936" s="1292"/>
      <c r="BF1936" s="1292"/>
      <c r="BG1936" s="1292"/>
      <c r="BH1936" s="1292"/>
      <c r="BI1936" s="1292"/>
      <c r="BJ1936" s="1292"/>
      <c r="BK1936" s="1292"/>
      <c r="BL1936" s="1292"/>
      <c r="BM1936" s="1292"/>
      <c r="BN1936" s="1292"/>
      <c r="BO1936" s="1292"/>
      <c r="BP1936" s="1292"/>
      <c r="BQ1936" s="1292"/>
      <c r="BR1936" s="1292"/>
      <c r="BS1936" s="1292"/>
      <c r="BT1936" s="1765">
        <f t="shared" si="1168"/>
        <v>0</v>
      </c>
      <c r="BU1936" s="65"/>
      <c r="BV1936" s="65"/>
      <c r="BW1936" s="825" t="s">
        <v>502</v>
      </c>
    </row>
    <row r="1937" spans="2:75" ht="12.75" customHeight="1" x14ac:dyDescent="0.2">
      <c r="B1937" s="175">
        <f t="shared" si="1169"/>
        <v>5</v>
      </c>
      <c r="C1937" s="219">
        <v>19</v>
      </c>
      <c r="E1937" s="12" t="s">
        <v>994</v>
      </c>
      <c r="F1937" s="1" t="s">
        <v>1493</v>
      </c>
      <c r="G1937" s="823" t="s">
        <v>1779</v>
      </c>
      <c r="H1937" s="1413">
        <v>152651</v>
      </c>
      <c r="I1937" s="172" t="s">
        <v>1442</v>
      </c>
      <c r="J1937" s="168"/>
      <c r="K1937" s="168"/>
      <c r="L1937" s="841">
        <v>0.5</v>
      </c>
      <c r="M1937" s="858">
        <v>0.5</v>
      </c>
      <c r="N1937" s="836" t="s">
        <v>892</v>
      </c>
      <c r="O1937" s="1196">
        <v>18593</v>
      </c>
      <c r="P1937" s="1218">
        <f t="shared" ca="1" si="1163"/>
        <v>66.849999999999994</v>
      </c>
      <c r="Q1937" s="1148">
        <v>13200</v>
      </c>
      <c r="R1937" s="874"/>
      <c r="S1937" s="875"/>
      <c r="T1937" s="877"/>
      <c r="U1937" s="877"/>
      <c r="V1937" s="875">
        <v>6120</v>
      </c>
      <c r="W1937" s="875"/>
      <c r="X1937" s="1026">
        <f t="shared" si="1164"/>
        <v>9660</v>
      </c>
      <c r="Y1937" s="1512">
        <f t="shared" si="1165"/>
        <v>0</v>
      </c>
      <c r="Z1937" s="1741">
        <f t="shared" si="1166"/>
        <v>0.5</v>
      </c>
      <c r="AA1937" s="1749"/>
      <c r="AB1937" s="1810">
        <f t="shared" si="1167"/>
        <v>0</v>
      </c>
      <c r="AC1937" s="876"/>
      <c r="AD1937" s="1295"/>
      <c r="AE1937" s="1525"/>
      <c r="AF1937" s="1525"/>
      <c r="AG1937" s="1525"/>
      <c r="AH1937" s="1525"/>
      <c r="AI1937" s="1525"/>
      <c r="AJ1937" s="1525"/>
      <c r="AK1937" s="1525"/>
      <c r="AL1937" s="1525"/>
      <c r="AM1937" s="1525"/>
      <c r="AN1937" s="1525"/>
      <c r="AO1937" s="1525"/>
      <c r="AP1937" s="1525"/>
      <c r="AQ1937" s="1525"/>
      <c r="AR1937" s="1525"/>
      <c r="AS1937" s="1525"/>
      <c r="AU1937" s="1525"/>
      <c r="AV1937" s="1291"/>
      <c r="AW1937" s="1292"/>
      <c r="AX1937" s="1292"/>
      <c r="AY1937" s="1292"/>
      <c r="AZ1937" s="1292"/>
      <c r="BA1937" s="1292"/>
      <c r="BB1937" s="1292"/>
      <c r="BC1937" s="1292"/>
      <c r="BD1937" s="1292"/>
      <c r="BE1937" s="1292"/>
      <c r="BF1937" s="1292"/>
      <c r="BG1937" s="1292"/>
      <c r="BH1937" s="1292"/>
      <c r="BI1937" s="1292"/>
      <c r="BJ1937" s="1292"/>
      <c r="BK1937" s="1292"/>
      <c r="BL1937" s="1292"/>
      <c r="BM1937" s="1292"/>
      <c r="BN1937" s="1292"/>
      <c r="BO1937" s="1292"/>
      <c r="BP1937" s="1292"/>
      <c r="BQ1937" s="1292"/>
      <c r="BR1937" s="1292"/>
      <c r="BS1937" s="1292"/>
      <c r="BT1937" s="1765">
        <f t="shared" si="1168"/>
        <v>0</v>
      </c>
      <c r="BU1937" s="65"/>
      <c r="BV1937" s="65"/>
      <c r="BW1937" s="825" t="s">
        <v>1779</v>
      </c>
    </row>
    <row r="1938" spans="2:75" ht="12.75" customHeight="1" x14ac:dyDescent="0.2">
      <c r="B1938" s="175">
        <f t="shared" si="1169"/>
        <v>6</v>
      </c>
      <c r="C1938" s="219">
        <v>19</v>
      </c>
      <c r="E1938" s="12" t="s">
        <v>994</v>
      </c>
      <c r="F1938" s="1" t="s">
        <v>1493</v>
      </c>
      <c r="G1938" s="856" t="s">
        <v>123</v>
      </c>
      <c r="H1938" s="1413">
        <v>122879</v>
      </c>
      <c r="I1938" s="172" t="s">
        <v>1442</v>
      </c>
      <c r="J1938" s="168"/>
      <c r="K1938" s="168"/>
      <c r="L1938" s="841">
        <v>0.5</v>
      </c>
      <c r="M1938" s="861">
        <v>0.5</v>
      </c>
      <c r="N1938" s="999" t="s">
        <v>1326</v>
      </c>
      <c r="O1938" s="1196">
        <v>23470</v>
      </c>
      <c r="P1938" s="1218">
        <f t="shared" ca="1" si="1163"/>
        <v>53.49722222222222</v>
      </c>
      <c r="Q1938" s="1148">
        <v>13200</v>
      </c>
      <c r="R1938" s="874">
        <f>Q1938*0.1</f>
        <v>1320</v>
      </c>
      <c r="S1938" s="875"/>
      <c r="T1938" s="877"/>
      <c r="U1938" s="877"/>
      <c r="V1938" s="875">
        <v>6730</v>
      </c>
      <c r="W1938" s="875"/>
      <c r="X1938" s="1026">
        <f t="shared" si="1164"/>
        <v>10625</v>
      </c>
      <c r="Y1938" s="1512">
        <f t="shared" si="1165"/>
        <v>0</v>
      </c>
      <c r="Z1938" s="1741">
        <f t="shared" si="1166"/>
        <v>0.5</v>
      </c>
      <c r="AA1938" s="1749"/>
      <c r="AB1938" s="1810">
        <f t="shared" si="1167"/>
        <v>0</v>
      </c>
      <c r="AC1938" s="876"/>
      <c r="AD1938" s="1295"/>
      <c r="AE1938" s="1525"/>
      <c r="AF1938" s="1525"/>
      <c r="AG1938" s="1525"/>
      <c r="AH1938" s="1525"/>
      <c r="AI1938" s="1525"/>
      <c r="AJ1938" s="1525"/>
      <c r="AK1938" s="1525"/>
      <c r="AL1938" s="1525"/>
      <c r="AM1938" s="1525"/>
      <c r="AN1938" s="1525"/>
      <c r="AO1938" s="1525"/>
      <c r="AP1938" s="1525"/>
      <c r="AQ1938" s="1525"/>
      <c r="AR1938" s="1525"/>
      <c r="AS1938" s="1525"/>
      <c r="AU1938" s="1525"/>
      <c r="AV1938" s="1291"/>
      <c r="AW1938" s="1292"/>
      <c r="AX1938" s="1292"/>
      <c r="AY1938" s="1292"/>
      <c r="AZ1938" s="1292"/>
      <c r="BA1938" s="1292"/>
      <c r="BB1938" s="1292"/>
      <c r="BC1938" s="1292"/>
      <c r="BD1938" s="1292"/>
      <c r="BE1938" s="1292"/>
      <c r="BF1938" s="1292"/>
      <c r="BG1938" s="1292"/>
      <c r="BH1938" s="1292"/>
      <c r="BI1938" s="1292"/>
      <c r="BJ1938" s="1292"/>
      <c r="BK1938" s="1292"/>
      <c r="BL1938" s="1292"/>
      <c r="BM1938" s="1292"/>
      <c r="BN1938" s="1292"/>
      <c r="BO1938" s="1292"/>
      <c r="BP1938" s="1292"/>
      <c r="BQ1938" s="1292"/>
      <c r="BR1938" s="1292"/>
      <c r="BS1938" s="1292"/>
      <c r="BT1938" s="1765">
        <f t="shared" si="1168"/>
        <v>0</v>
      </c>
      <c r="BU1938" s="65"/>
      <c r="BV1938" s="65"/>
      <c r="BW1938" s="862" t="s">
        <v>123</v>
      </c>
    </row>
    <row r="1939" spans="2:75" ht="12.75" customHeight="1" x14ac:dyDescent="0.2">
      <c r="B1939" s="175">
        <f t="shared" si="1169"/>
        <v>7</v>
      </c>
      <c r="C1939" s="219">
        <v>19</v>
      </c>
      <c r="E1939" s="12" t="s">
        <v>994</v>
      </c>
      <c r="F1939" s="1" t="s">
        <v>1493</v>
      </c>
      <c r="G1939" s="856" t="s">
        <v>27</v>
      </c>
      <c r="H1939" s="1413">
        <v>65951</v>
      </c>
      <c r="I1939" s="172" t="s">
        <v>1442</v>
      </c>
      <c r="J1939" s="168"/>
      <c r="K1939" s="168"/>
      <c r="L1939" s="841">
        <v>0.5</v>
      </c>
      <c r="M1939" s="858">
        <f>K1939+L1939</f>
        <v>0.5</v>
      </c>
      <c r="N1939" s="999" t="s">
        <v>892</v>
      </c>
      <c r="O1939" s="1196">
        <v>14250</v>
      </c>
      <c r="P1939" s="1218">
        <f t="shared" ca="1" si="1163"/>
        <v>78.74166666666666</v>
      </c>
      <c r="Q1939" s="1148">
        <v>13200</v>
      </c>
      <c r="R1939" s="874"/>
      <c r="S1939" s="875"/>
      <c r="T1939" s="877"/>
      <c r="U1939" s="877"/>
      <c r="V1939" s="875">
        <v>6120</v>
      </c>
      <c r="W1939" s="875"/>
      <c r="X1939" s="1026">
        <f t="shared" si="1164"/>
        <v>9660</v>
      </c>
      <c r="Y1939" s="1512">
        <f t="shared" si="1165"/>
        <v>0</v>
      </c>
      <c r="Z1939" s="1741">
        <f t="shared" si="1166"/>
        <v>0.5</v>
      </c>
      <c r="AA1939" s="1749"/>
      <c r="AB1939" s="1810">
        <f t="shared" si="1167"/>
        <v>0</v>
      </c>
      <c r="AC1939" s="876"/>
      <c r="AD1939" s="1295"/>
      <c r="AE1939" s="1525"/>
      <c r="AF1939" s="1525"/>
      <c r="AG1939" s="1525"/>
      <c r="AH1939" s="1525"/>
      <c r="AI1939" s="1525"/>
      <c r="AJ1939" s="1525"/>
      <c r="AK1939" s="1525"/>
      <c r="AL1939" s="1525"/>
      <c r="AM1939" s="1525"/>
      <c r="AN1939" s="1525"/>
      <c r="AO1939" s="1525"/>
      <c r="AP1939" s="1525"/>
      <c r="AQ1939" s="1525"/>
      <c r="AR1939" s="1525"/>
      <c r="AS1939" s="1525"/>
      <c r="AU1939" s="1525"/>
      <c r="AV1939" s="1291"/>
      <c r="AW1939" s="1292"/>
      <c r="AX1939" s="1292"/>
      <c r="AY1939" s="1292"/>
      <c r="AZ1939" s="1292"/>
      <c r="BA1939" s="1292"/>
      <c r="BB1939" s="1292"/>
      <c r="BC1939" s="1292"/>
      <c r="BD1939" s="1292"/>
      <c r="BE1939" s="1292"/>
      <c r="BF1939" s="1292"/>
      <c r="BG1939" s="1292"/>
      <c r="BH1939" s="1292"/>
      <c r="BI1939" s="1292"/>
      <c r="BJ1939" s="1292"/>
      <c r="BK1939" s="1292"/>
      <c r="BL1939" s="1292"/>
      <c r="BM1939" s="1292"/>
      <c r="BN1939" s="1292"/>
      <c r="BO1939" s="1292"/>
      <c r="BP1939" s="1292"/>
      <c r="BQ1939" s="1292"/>
      <c r="BR1939" s="1292"/>
      <c r="BS1939" s="1292"/>
      <c r="BT1939" s="1765">
        <f t="shared" si="1168"/>
        <v>0</v>
      </c>
      <c r="BU1939" s="65"/>
      <c r="BV1939" s="65"/>
      <c r="BW1939" s="862" t="s">
        <v>27</v>
      </c>
    </row>
    <row r="1940" spans="2:75" ht="12.75" customHeight="1" x14ac:dyDescent="0.2">
      <c r="B1940" s="175">
        <f t="shared" si="1169"/>
        <v>8</v>
      </c>
      <c r="C1940" s="219">
        <v>19</v>
      </c>
      <c r="E1940" s="12" t="s">
        <v>994</v>
      </c>
      <c r="F1940" s="1" t="s">
        <v>1493</v>
      </c>
      <c r="G1940" s="856" t="s">
        <v>420</v>
      </c>
      <c r="H1940" s="1413">
        <v>254458</v>
      </c>
      <c r="I1940" s="172" t="s">
        <v>1442</v>
      </c>
      <c r="J1940" s="168"/>
      <c r="K1940" s="168"/>
      <c r="L1940" s="841">
        <v>0.5</v>
      </c>
      <c r="M1940" s="858">
        <f>K1940+L1940</f>
        <v>0.5</v>
      </c>
      <c r="N1940" s="999" t="s">
        <v>892</v>
      </c>
      <c r="O1940" s="1196">
        <v>14732</v>
      </c>
      <c r="P1940" s="1218">
        <f t="shared" ca="1" si="1163"/>
        <v>77.419444444444451</v>
      </c>
      <c r="Q1940" s="1148">
        <v>13200</v>
      </c>
      <c r="R1940" s="874"/>
      <c r="S1940" s="875"/>
      <c r="T1940" s="877"/>
      <c r="U1940" s="877"/>
      <c r="V1940" s="875">
        <v>6120</v>
      </c>
      <c r="W1940" s="875"/>
      <c r="X1940" s="1026">
        <f t="shared" si="1164"/>
        <v>9660</v>
      </c>
      <c r="Y1940" s="1512">
        <f t="shared" si="1165"/>
        <v>0</v>
      </c>
      <c r="Z1940" s="1741">
        <f t="shared" si="1166"/>
        <v>0.5</v>
      </c>
      <c r="AA1940" s="1749"/>
      <c r="AB1940" s="1810">
        <f t="shared" si="1167"/>
        <v>0</v>
      </c>
      <c r="AC1940" s="876"/>
      <c r="AD1940" s="1295"/>
      <c r="AE1940" s="1525"/>
      <c r="AF1940" s="1525"/>
      <c r="AG1940" s="1525"/>
      <c r="AH1940" s="1525"/>
      <c r="AI1940" s="1525"/>
      <c r="AJ1940" s="1525"/>
      <c r="AK1940" s="1525"/>
      <c r="AL1940" s="1525"/>
      <c r="AM1940" s="1525"/>
      <c r="AN1940" s="1525"/>
      <c r="AO1940" s="1525"/>
      <c r="AP1940" s="1525"/>
      <c r="AQ1940" s="1525"/>
      <c r="AR1940" s="1525"/>
      <c r="AS1940" s="1525"/>
      <c r="AU1940" s="1525"/>
      <c r="AV1940" s="1291"/>
      <c r="AW1940" s="1292"/>
      <c r="AX1940" s="1292"/>
      <c r="AY1940" s="1292"/>
      <c r="AZ1940" s="1292"/>
      <c r="BA1940" s="1292"/>
      <c r="BB1940" s="1292"/>
      <c r="BC1940" s="1292"/>
      <c r="BD1940" s="1292"/>
      <c r="BE1940" s="1292"/>
      <c r="BF1940" s="1292"/>
      <c r="BG1940" s="1292"/>
      <c r="BH1940" s="1292"/>
      <c r="BI1940" s="1292"/>
      <c r="BJ1940" s="1292"/>
      <c r="BK1940" s="1292"/>
      <c r="BL1940" s="1292"/>
      <c r="BM1940" s="1292"/>
      <c r="BN1940" s="1292"/>
      <c r="BO1940" s="1292"/>
      <c r="BP1940" s="1292"/>
      <c r="BQ1940" s="1292"/>
      <c r="BR1940" s="1292"/>
      <c r="BS1940" s="1292"/>
      <c r="BT1940" s="1765">
        <f t="shared" si="1168"/>
        <v>0</v>
      </c>
      <c r="BU1940" s="65"/>
      <c r="BV1940" s="65"/>
      <c r="BW1940" s="862" t="s">
        <v>420</v>
      </c>
    </row>
    <row r="1941" spans="2:75" ht="12.75" customHeight="1" x14ac:dyDescent="0.2">
      <c r="B1941" s="175">
        <f t="shared" si="1169"/>
        <v>9</v>
      </c>
      <c r="C1941" s="219">
        <v>19</v>
      </c>
      <c r="E1941" s="12" t="s">
        <v>994</v>
      </c>
      <c r="F1941" s="1" t="s">
        <v>1493</v>
      </c>
      <c r="G1941" s="856" t="s">
        <v>380</v>
      </c>
      <c r="H1941" s="1413">
        <v>291201</v>
      </c>
      <c r="I1941" s="172" t="s">
        <v>1442</v>
      </c>
      <c r="J1941" s="168"/>
      <c r="K1941" s="168"/>
      <c r="L1941" s="841">
        <v>0.5</v>
      </c>
      <c r="M1941" s="858">
        <f>K1941+L1941</f>
        <v>0.5</v>
      </c>
      <c r="N1941" s="999" t="s">
        <v>892</v>
      </c>
      <c r="O1941" s="1196">
        <v>23054</v>
      </c>
      <c r="P1941" s="1218">
        <f t="shared" ca="1" si="1163"/>
        <v>54.638888888888886</v>
      </c>
      <c r="Q1941" s="1148">
        <v>13200</v>
      </c>
      <c r="R1941" s="874"/>
      <c r="S1941" s="875"/>
      <c r="T1941" s="877"/>
      <c r="U1941" s="877"/>
      <c r="V1941" s="875">
        <v>6120</v>
      </c>
      <c r="W1941" s="875"/>
      <c r="X1941" s="1026">
        <f t="shared" si="1164"/>
        <v>9660</v>
      </c>
      <c r="Y1941" s="1512">
        <f t="shared" si="1165"/>
        <v>0</v>
      </c>
      <c r="Z1941" s="1741">
        <f t="shared" si="1166"/>
        <v>0.5</v>
      </c>
      <c r="AA1941" s="1749"/>
      <c r="AB1941" s="1810">
        <f t="shared" si="1167"/>
        <v>0</v>
      </c>
      <c r="AC1941" s="876"/>
      <c r="AD1941" s="1295"/>
      <c r="AE1941" s="1525"/>
      <c r="AF1941" s="1525"/>
      <c r="AG1941" s="1525"/>
      <c r="AH1941" s="1525"/>
      <c r="AI1941" s="1525"/>
      <c r="AJ1941" s="1525"/>
      <c r="AK1941" s="1525"/>
      <c r="AL1941" s="1525"/>
      <c r="AM1941" s="1525"/>
      <c r="AN1941" s="1525"/>
      <c r="AO1941" s="1525"/>
      <c r="AP1941" s="1525"/>
      <c r="AQ1941" s="1525"/>
      <c r="AR1941" s="1525"/>
      <c r="AS1941" s="1525"/>
      <c r="AU1941" s="1525"/>
      <c r="AV1941" s="1291"/>
      <c r="AW1941" s="1292"/>
      <c r="AX1941" s="1292"/>
      <c r="AY1941" s="1292"/>
      <c r="AZ1941" s="1292"/>
      <c r="BA1941" s="1292"/>
      <c r="BB1941" s="1292"/>
      <c r="BC1941" s="1292"/>
      <c r="BD1941" s="1292"/>
      <c r="BE1941" s="1292"/>
      <c r="BF1941" s="1292"/>
      <c r="BG1941" s="1292"/>
      <c r="BH1941" s="1292"/>
      <c r="BI1941" s="1292"/>
      <c r="BJ1941" s="1292"/>
      <c r="BK1941" s="1292"/>
      <c r="BL1941" s="1292"/>
      <c r="BM1941" s="1292"/>
      <c r="BN1941" s="1292"/>
      <c r="BO1941" s="1292"/>
      <c r="BP1941" s="1292"/>
      <c r="BQ1941" s="1292"/>
      <c r="BR1941" s="1292"/>
      <c r="BS1941" s="1292"/>
      <c r="BT1941" s="1765">
        <f t="shared" si="1168"/>
        <v>0</v>
      </c>
      <c r="BU1941" s="65"/>
      <c r="BV1941" s="65"/>
      <c r="BW1941" s="862" t="s">
        <v>380</v>
      </c>
    </row>
    <row r="1942" spans="2:75" ht="12.75" customHeight="1" x14ac:dyDescent="0.2">
      <c r="B1942" s="175">
        <f t="shared" si="1169"/>
        <v>10</v>
      </c>
      <c r="C1942" s="219">
        <v>19</v>
      </c>
      <c r="E1942" s="12" t="s">
        <v>994</v>
      </c>
      <c r="F1942" s="1" t="s">
        <v>1493</v>
      </c>
      <c r="G1942" s="856" t="s">
        <v>860</v>
      </c>
      <c r="H1942" s="1413">
        <v>260271</v>
      </c>
      <c r="I1942" s="172" t="s">
        <v>1442</v>
      </c>
      <c r="J1942" s="168"/>
      <c r="K1942" s="168"/>
      <c r="L1942" s="841">
        <v>0.5</v>
      </c>
      <c r="M1942" s="858">
        <f>K1942+L1942</f>
        <v>0.5</v>
      </c>
      <c r="N1942" s="999" t="s">
        <v>892</v>
      </c>
      <c r="O1942" s="1196">
        <v>17799</v>
      </c>
      <c r="P1942" s="1218">
        <f t="shared" ca="1" si="1163"/>
        <v>69.025000000000006</v>
      </c>
      <c r="Q1942" s="1148">
        <v>13200</v>
      </c>
      <c r="R1942" s="874"/>
      <c r="S1942" s="875"/>
      <c r="T1942" s="877"/>
      <c r="U1942" s="877"/>
      <c r="V1942" s="875">
        <v>6120</v>
      </c>
      <c r="W1942" s="875"/>
      <c r="X1942" s="1026">
        <f t="shared" si="1164"/>
        <v>9660</v>
      </c>
      <c r="Y1942" s="1512">
        <f t="shared" si="1165"/>
        <v>0</v>
      </c>
      <c r="Z1942" s="1741">
        <f t="shared" si="1166"/>
        <v>0.5</v>
      </c>
      <c r="AA1942" s="1749"/>
      <c r="AB1942" s="1810">
        <f t="shared" si="1167"/>
        <v>0</v>
      </c>
      <c r="AC1942" s="876"/>
      <c r="AD1942" s="1295"/>
      <c r="AE1942" s="1525"/>
      <c r="AF1942" s="1525"/>
      <c r="AG1942" s="1525"/>
      <c r="AH1942" s="1525"/>
      <c r="AI1942" s="1525"/>
      <c r="AJ1942" s="1525"/>
      <c r="AK1942" s="1525"/>
      <c r="AL1942" s="1525"/>
      <c r="AM1942" s="1525"/>
      <c r="AN1942" s="1525"/>
      <c r="AO1942" s="1525"/>
      <c r="AP1942" s="1525"/>
      <c r="AQ1942" s="1525"/>
      <c r="AR1942" s="1525"/>
      <c r="AS1942" s="1525"/>
      <c r="AU1942" s="1525"/>
      <c r="AV1942" s="1291"/>
      <c r="AW1942" s="1292"/>
      <c r="AX1942" s="1292"/>
      <c r="AY1942" s="1292"/>
      <c r="AZ1942" s="1292"/>
      <c r="BA1942" s="1292"/>
      <c r="BB1942" s="1292"/>
      <c r="BC1942" s="1292"/>
      <c r="BD1942" s="1292"/>
      <c r="BE1942" s="1292"/>
      <c r="BF1942" s="1292"/>
      <c r="BG1942" s="1292"/>
      <c r="BH1942" s="1292"/>
      <c r="BI1942" s="1292"/>
      <c r="BJ1942" s="1292"/>
      <c r="BK1942" s="1292"/>
      <c r="BL1942" s="1292"/>
      <c r="BM1942" s="1292"/>
      <c r="BN1942" s="1292"/>
      <c r="BO1942" s="1292"/>
      <c r="BP1942" s="1292"/>
      <c r="BQ1942" s="1292"/>
      <c r="BR1942" s="1292"/>
      <c r="BS1942" s="1292"/>
      <c r="BT1942" s="1765">
        <f t="shared" si="1168"/>
        <v>0</v>
      </c>
      <c r="BU1942" s="65"/>
      <c r="BV1942" s="65"/>
      <c r="BW1942" s="862" t="s">
        <v>860</v>
      </c>
    </row>
    <row r="1943" spans="2:75" ht="12.75" customHeight="1" x14ac:dyDescent="0.2">
      <c r="B1943" s="175">
        <f t="shared" si="1169"/>
        <v>11</v>
      </c>
      <c r="C1943" s="219">
        <v>19</v>
      </c>
      <c r="E1943" s="12" t="s">
        <v>994</v>
      </c>
      <c r="F1943" s="1" t="s">
        <v>1493</v>
      </c>
      <c r="G1943" s="856" t="s">
        <v>421</v>
      </c>
      <c r="H1943" s="1413">
        <v>250278</v>
      </c>
      <c r="I1943" s="172" t="s">
        <v>1442</v>
      </c>
      <c r="J1943" s="168"/>
      <c r="K1943" s="168"/>
      <c r="L1943" s="841">
        <v>0.5</v>
      </c>
      <c r="M1943" s="858">
        <v>0.5</v>
      </c>
      <c r="N1943" s="999" t="s">
        <v>892</v>
      </c>
      <c r="O1943" s="1196">
        <v>15196</v>
      </c>
      <c r="P1943" s="1218">
        <f t="shared" ca="1" si="1163"/>
        <v>76.150000000000006</v>
      </c>
      <c r="Q1943" s="1148">
        <v>13200</v>
      </c>
      <c r="R1943" s="874"/>
      <c r="S1943" s="875"/>
      <c r="T1943" s="877"/>
      <c r="U1943" s="877"/>
      <c r="V1943" s="875">
        <v>6120</v>
      </c>
      <c r="W1943" s="875"/>
      <c r="X1943" s="1026">
        <f t="shared" si="1164"/>
        <v>9660</v>
      </c>
      <c r="Y1943" s="1512">
        <f t="shared" si="1165"/>
        <v>0</v>
      </c>
      <c r="Z1943" s="1741">
        <f t="shared" si="1166"/>
        <v>0.5</v>
      </c>
      <c r="AA1943" s="1749"/>
      <c r="AB1943" s="1810">
        <f t="shared" si="1167"/>
        <v>0</v>
      </c>
      <c r="AC1943" s="876"/>
      <c r="AD1943" s="1295"/>
      <c r="AE1943" s="1525"/>
      <c r="AF1943" s="1525"/>
      <c r="AG1943" s="1525"/>
      <c r="AH1943" s="1525"/>
      <c r="AI1943" s="1525"/>
      <c r="AJ1943" s="1525"/>
      <c r="AK1943" s="1525"/>
      <c r="AL1943" s="1525"/>
      <c r="AM1943" s="1525"/>
      <c r="AN1943" s="1525"/>
      <c r="AO1943" s="1525"/>
      <c r="AP1943" s="1525"/>
      <c r="AQ1943" s="1525"/>
      <c r="AR1943" s="1525"/>
      <c r="AS1943" s="1525"/>
      <c r="AU1943" s="1525"/>
      <c r="AV1943" s="1291"/>
      <c r="AW1943" s="1292"/>
      <c r="AX1943" s="1292"/>
      <c r="AY1943" s="1292"/>
      <c r="AZ1943" s="1292"/>
      <c r="BA1943" s="1292"/>
      <c r="BB1943" s="1292"/>
      <c r="BC1943" s="1292"/>
      <c r="BD1943" s="1292"/>
      <c r="BE1943" s="1292"/>
      <c r="BF1943" s="1292"/>
      <c r="BG1943" s="1292"/>
      <c r="BH1943" s="1292"/>
      <c r="BI1943" s="1292"/>
      <c r="BJ1943" s="1292"/>
      <c r="BK1943" s="1292"/>
      <c r="BL1943" s="1292"/>
      <c r="BM1943" s="1292"/>
      <c r="BN1943" s="1292"/>
      <c r="BO1943" s="1292"/>
      <c r="BP1943" s="1292"/>
      <c r="BQ1943" s="1292"/>
      <c r="BR1943" s="1292"/>
      <c r="BS1943" s="1292"/>
      <c r="BT1943" s="1765">
        <f t="shared" si="1168"/>
        <v>0</v>
      </c>
      <c r="BU1943" s="65"/>
      <c r="BV1943" s="65"/>
      <c r="BW1943" s="862" t="s">
        <v>421</v>
      </c>
    </row>
    <row r="1944" spans="2:75" ht="12.75" customHeight="1" x14ac:dyDescent="0.2">
      <c r="B1944" s="175">
        <f t="shared" si="1169"/>
        <v>12</v>
      </c>
      <c r="C1944" s="219">
        <v>19</v>
      </c>
      <c r="E1944" s="12" t="s">
        <v>994</v>
      </c>
      <c r="F1944" s="1" t="s">
        <v>1493</v>
      </c>
      <c r="G1944" s="856" t="s">
        <v>1947</v>
      </c>
      <c r="H1944" s="1413">
        <v>221130</v>
      </c>
      <c r="I1944" s="172" t="s">
        <v>1442</v>
      </c>
      <c r="J1944" s="168"/>
      <c r="K1944" s="168"/>
      <c r="L1944" s="841">
        <v>0.5</v>
      </c>
      <c r="M1944" s="858">
        <f>K1944+L1944</f>
        <v>0.5</v>
      </c>
      <c r="N1944" s="999" t="s">
        <v>892</v>
      </c>
      <c r="O1944" s="1196">
        <v>21451</v>
      </c>
      <c r="P1944" s="1218">
        <f t="shared" ca="1" si="1163"/>
        <v>59.024999999999999</v>
      </c>
      <c r="Q1944" s="1148">
        <v>13200</v>
      </c>
      <c r="R1944" s="874"/>
      <c r="S1944" s="875"/>
      <c r="T1944" s="877"/>
      <c r="U1944" s="877"/>
      <c r="V1944" s="875">
        <v>14450</v>
      </c>
      <c r="W1944" s="875"/>
      <c r="X1944" s="1026">
        <f t="shared" si="1164"/>
        <v>13825</v>
      </c>
      <c r="Y1944" s="1512">
        <f t="shared" si="1165"/>
        <v>0</v>
      </c>
      <c r="Z1944" s="1741">
        <f t="shared" si="1166"/>
        <v>0.5</v>
      </c>
      <c r="AA1944" s="1749"/>
      <c r="AB1944" s="1810">
        <f t="shared" si="1167"/>
        <v>0</v>
      </c>
      <c r="AC1944" s="876"/>
      <c r="AD1944" s="1295"/>
      <c r="AE1944" s="1525"/>
      <c r="AF1944" s="1525"/>
      <c r="AG1944" s="1525"/>
      <c r="AH1944" s="1525"/>
      <c r="AI1944" s="1525"/>
      <c r="AJ1944" s="1525"/>
      <c r="AK1944" s="1525"/>
      <c r="AL1944" s="1525"/>
      <c r="AM1944" s="1525"/>
      <c r="AN1944" s="1525"/>
      <c r="AO1944" s="1525"/>
      <c r="AP1944" s="1525"/>
      <c r="AQ1944" s="1525"/>
      <c r="AR1944" s="1525"/>
      <c r="AS1944" s="1525"/>
      <c r="AU1944" s="1525"/>
      <c r="AV1944" s="1291"/>
      <c r="AW1944" s="1292"/>
      <c r="AX1944" s="1292"/>
      <c r="AY1944" s="1292"/>
      <c r="AZ1944" s="1292"/>
      <c r="BA1944" s="1292"/>
      <c r="BB1944" s="1292"/>
      <c r="BC1944" s="1292"/>
      <c r="BD1944" s="1292"/>
      <c r="BE1944" s="1292"/>
      <c r="BF1944" s="1292"/>
      <c r="BG1944" s="1292"/>
      <c r="BH1944" s="1292"/>
      <c r="BI1944" s="1292"/>
      <c r="BJ1944" s="1292"/>
      <c r="BK1944" s="1292"/>
      <c r="BL1944" s="1292"/>
      <c r="BM1944" s="1292"/>
      <c r="BN1944" s="1292"/>
      <c r="BO1944" s="1292"/>
      <c r="BP1944" s="1292"/>
      <c r="BQ1944" s="1292"/>
      <c r="BR1944" s="1292"/>
      <c r="BS1944" s="1292"/>
      <c r="BT1944" s="1765">
        <f t="shared" si="1168"/>
        <v>0</v>
      </c>
      <c r="BU1944" s="65"/>
      <c r="BV1944" s="65"/>
      <c r="BW1944" s="862" t="s">
        <v>1947</v>
      </c>
    </row>
    <row r="1945" spans="2:75" ht="12.75" customHeight="1" x14ac:dyDescent="0.2">
      <c r="B1945" s="175">
        <f t="shared" si="1169"/>
        <v>13</v>
      </c>
      <c r="C1945" s="219">
        <v>19</v>
      </c>
      <c r="E1945" s="12" t="s">
        <v>994</v>
      </c>
      <c r="F1945" s="1" t="s">
        <v>1493</v>
      </c>
      <c r="G1945" s="856" t="s">
        <v>861</v>
      </c>
      <c r="H1945" s="1413">
        <v>818</v>
      </c>
      <c r="I1945" s="172" t="s">
        <v>1442</v>
      </c>
      <c r="J1945" s="168"/>
      <c r="K1945" s="168"/>
      <c r="L1945" s="841">
        <v>0.5</v>
      </c>
      <c r="M1945" s="858">
        <f>K1945+L1945</f>
        <v>0.5</v>
      </c>
      <c r="N1945" s="999" t="s">
        <v>892</v>
      </c>
      <c r="O1945" s="1196">
        <v>20126</v>
      </c>
      <c r="P1945" s="1218">
        <f t="shared" ca="1" si="1163"/>
        <v>62.655555555555559</v>
      </c>
      <c r="Q1945" s="1148">
        <v>13200</v>
      </c>
      <c r="R1945" s="874"/>
      <c r="S1945" s="875"/>
      <c r="T1945" s="877"/>
      <c r="U1945" s="877"/>
      <c r="V1945" s="875">
        <v>6120</v>
      </c>
      <c r="W1945" s="875"/>
      <c r="X1945" s="1026">
        <f t="shared" si="1164"/>
        <v>9660</v>
      </c>
      <c r="Y1945" s="1512">
        <f t="shared" si="1165"/>
        <v>0</v>
      </c>
      <c r="Z1945" s="1741">
        <f t="shared" si="1166"/>
        <v>0.5</v>
      </c>
      <c r="AA1945" s="1749"/>
      <c r="AB1945" s="1810">
        <f t="shared" si="1167"/>
        <v>0</v>
      </c>
      <c r="AC1945" s="876"/>
      <c r="AD1945" s="1295"/>
      <c r="AE1945" s="1525"/>
      <c r="AF1945" s="1525"/>
      <c r="AG1945" s="1525"/>
      <c r="AH1945" s="1525"/>
      <c r="AI1945" s="1525"/>
      <c r="AJ1945" s="1525"/>
      <c r="AK1945" s="1525"/>
      <c r="AL1945" s="1525"/>
      <c r="AM1945" s="1525"/>
      <c r="AN1945" s="1525"/>
      <c r="AO1945" s="1525"/>
      <c r="AP1945" s="1525"/>
      <c r="AQ1945" s="1525"/>
      <c r="AR1945" s="1525"/>
      <c r="AS1945" s="1525"/>
      <c r="AU1945" s="1525"/>
      <c r="AV1945" s="1291"/>
      <c r="AW1945" s="1292"/>
      <c r="AX1945" s="1292"/>
      <c r="AY1945" s="1292"/>
      <c r="AZ1945" s="1292"/>
      <c r="BA1945" s="1292"/>
      <c r="BB1945" s="1292"/>
      <c r="BC1945" s="1292"/>
      <c r="BD1945" s="1292"/>
      <c r="BE1945" s="1292"/>
      <c r="BF1945" s="1292"/>
      <c r="BG1945" s="1292"/>
      <c r="BH1945" s="1292"/>
      <c r="BI1945" s="1292"/>
      <c r="BJ1945" s="1292"/>
      <c r="BK1945" s="1292"/>
      <c r="BL1945" s="1292"/>
      <c r="BM1945" s="1292"/>
      <c r="BN1945" s="1292"/>
      <c r="BO1945" s="1292"/>
      <c r="BP1945" s="1292"/>
      <c r="BQ1945" s="1292"/>
      <c r="BR1945" s="1292"/>
      <c r="BS1945" s="1292"/>
      <c r="BT1945" s="1765">
        <f t="shared" si="1168"/>
        <v>0</v>
      </c>
      <c r="BU1945" s="65"/>
      <c r="BV1945" s="65"/>
      <c r="BW1945" s="862" t="s">
        <v>861</v>
      </c>
    </row>
    <row r="1946" spans="2:75" ht="12.75" customHeight="1" x14ac:dyDescent="0.2">
      <c r="B1946" s="175">
        <f t="shared" si="1169"/>
        <v>14</v>
      </c>
      <c r="C1946" s="220">
        <v>19</v>
      </c>
      <c r="D1946" s="170"/>
      <c r="E1946" s="447" t="s">
        <v>994</v>
      </c>
      <c r="F1946" s="37" t="s">
        <v>1493</v>
      </c>
      <c r="G1946" s="913" t="s">
        <v>1719</v>
      </c>
      <c r="H1946" s="1412">
        <v>150238</v>
      </c>
      <c r="I1946" s="180" t="s">
        <v>1442</v>
      </c>
      <c r="J1946" s="173"/>
      <c r="K1946" s="173"/>
      <c r="L1946" s="893">
        <v>0.5</v>
      </c>
      <c r="M1946" s="861">
        <f>K1946+L1946</f>
        <v>0.5</v>
      </c>
      <c r="N1946" s="999" t="s">
        <v>892</v>
      </c>
      <c r="O1946" s="1196">
        <v>21264</v>
      </c>
      <c r="P1946" s="1262">
        <f t="shared" ca="1" si="1163"/>
        <v>59.533333333333331</v>
      </c>
      <c r="Q1946" s="1148">
        <v>13200</v>
      </c>
      <c r="R1946" s="874"/>
      <c r="S1946" s="876"/>
      <c r="T1946" s="884"/>
      <c r="U1946" s="884"/>
      <c r="V1946" s="876">
        <v>6120</v>
      </c>
      <c r="W1946" s="876"/>
      <c r="X1946" s="1026">
        <f t="shared" si="1164"/>
        <v>9660</v>
      </c>
      <c r="Y1946" s="1512">
        <f t="shared" si="1165"/>
        <v>0</v>
      </c>
      <c r="Z1946" s="1741">
        <f t="shared" si="1166"/>
        <v>0.5</v>
      </c>
      <c r="AA1946" s="1749"/>
      <c r="AB1946" s="1810">
        <f t="shared" si="1167"/>
        <v>0</v>
      </c>
      <c r="AC1946" s="876"/>
      <c r="AD1946" s="1295"/>
      <c r="AE1946" s="1525"/>
      <c r="AF1946" s="1525"/>
      <c r="AG1946" s="1525"/>
      <c r="AH1946" s="1525"/>
      <c r="AI1946" s="1525"/>
      <c r="AJ1946" s="1525"/>
      <c r="AK1946" s="1525"/>
      <c r="AL1946" s="1525"/>
      <c r="AM1946" s="1525"/>
      <c r="AN1946" s="1525"/>
      <c r="AO1946" s="1525"/>
      <c r="AP1946" s="1525"/>
      <c r="AQ1946" s="1525"/>
      <c r="AR1946" s="1525"/>
      <c r="AS1946" s="1525"/>
      <c r="AU1946" s="1525"/>
      <c r="AV1946" s="1291"/>
      <c r="AW1946" s="1292"/>
      <c r="AX1946" s="1292"/>
      <c r="AY1946" s="1292"/>
      <c r="AZ1946" s="1292"/>
      <c r="BA1946" s="1292"/>
      <c r="BB1946" s="1292"/>
      <c r="BC1946" s="1292"/>
      <c r="BD1946" s="1292"/>
      <c r="BE1946" s="1292"/>
      <c r="BF1946" s="1292"/>
      <c r="BG1946" s="1292"/>
      <c r="BH1946" s="1292"/>
      <c r="BI1946" s="1292"/>
      <c r="BJ1946" s="1292"/>
      <c r="BK1946" s="1292"/>
      <c r="BL1946" s="1292"/>
      <c r="BM1946" s="1292"/>
      <c r="BN1946" s="1292"/>
      <c r="BO1946" s="1292"/>
      <c r="BP1946" s="1292"/>
      <c r="BQ1946" s="1292"/>
      <c r="BR1946" s="1292"/>
      <c r="BS1946" s="1292"/>
      <c r="BT1946" s="1765">
        <f t="shared" si="1168"/>
        <v>0</v>
      </c>
      <c r="BU1946" s="65"/>
      <c r="BV1946" s="65"/>
      <c r="BW1946" s="862" t="s">
        <v>1719</v>
      </c>
    </row>
    <row r="1947" spans="2:75" ht="12.75" customHeight="1" x14ac:dyDescent="0.2">
      <c r="B1947" s="175">
        <f t="shared" si="1169"/>
        <v>15</v>
      </c>
      <c r="C1947" s="220">
        <v>19</v>
      </c>
      <c r="D1947" s="170"/>
      <c r="E1947" s="447" t="s">
        <v>994</v>
      </c>
      <c r="F1947" s="37" t="s">
        <v>1493</v>
      </c>
      <c r="G1947" s="856" t="s">
        <v>586</v>
      </c>
      <c r="H1947" s="1413">
        <v>275481</v>
      </c>
      <c r="I1947" s="180" t="s">
        <v>1442</v>
      </c>
      <c r="J1947" s="173"/>
      <c r="K1947" s="173"/>
      <c r="L1947" s="893">
        <v>0.5</v>
      </c>
      <c r="M1947" s="861">
        <f>K1947+L1947</f>
        <v>0.5</v>
      </c>
      <c r="N1947" s="999" t="s">
        <v>892</v>
      </c>
      <c r="O1947" s="1196">
        <v>21178</v>
      </c>
      <c r="P1947" s="1218">
        <f t="shared" ca="1" si="1163"/>
        <v>59.772222222222226</v>
      </c>
      <c r="Q1947" s="1148">
        <v>13200</v>
      </c>
      <c r="R1947" s="874"/>
      <c r="S1947" s="875"/>
      <c r="T1947" s="875"/>
      <c r="U1947" s="875"/>
      <c r="V1947" s="875">
        <v>6120</v>
      </c>
      <c r="W1947" s="875"/>
      <c r="X1947" s="1026">
        <f t="shared" si="1164"/>
        <v>9660</v>
      </c>
      <c r="Y1947" s="1512">
        <f t="shared" si="1165"/>
        <v>0</v>
      </c>
      <c r="Z1947" s="1741">
        <f t="shared" si="1166"/>
        <v>0.5</v>
      </c>
      <c r="AA1947" s="1749"/>
      <c r="AB1947" s="1810">
        <f t="shared" si="1167"/>
        <v>0</v>
      </c>
      <c r="AC1947" s="876"/>
      <c r="AD1947" s="1295"/>
      <c r="AE1947" s="1525"/>
      <c r="AF1947" s="1525"/>
      <c r="AG1947" s="1525"/>
      <c r="AH1947" s="1525"/>
      <c r="AI1947" s="1525"/>
      <c r="AJ1947" s="1525"/>
      <c r="AK1947" s="1525"/>
      <c r="AL1947" s="1525"/>
      <c r="AM1947" s="1525"/>
      <c r="AN1947" s="1525"/>
      <c r="AO1947" s="1525"/>
      <c r="AP1947" s="1525"/>
      <c r="AQ1947" s="1525"/>
      <c r="AR1947" s="1525"/>
      <c r="AS1947" s="1525"/>
      <c r="AU1947" s="1525"/>
      <c r="AV1947" s="1291"/>
      <c r="AW1947" s="1292"/>
      <c r="AX1947" s="1292"/>
      <c r="AY1947" s="1292"/>
      <c r="AZ1947" s="1292"/>
      <c r="BA1947" s="1292"/>
      <c r="BB1947" s="1292"/>
      <c r="BC1947" s="1292"/>
      <c r="BD1947" s="1292"/>
      <c r="BE1947" s="1292"/>
      <c r="BF1947" s="1292"/>
      <c r="BG1947" s="1292"/>
      <c r="BH1947" s="1292"/>
      <c r="BI1947" s="1292"/>
      <c r="BJ1947" s="1292"/>
      <c r="BK1947" s="1292"/>
      <c r="BL1947" s="1292"/>
      <c r="BM1947" s="1292"/>
      <c r="BN1947" s="1292"/>
      <c r="BO1947" s="1292"/>
      <c r="BP1947" s="1292"/>
      <c r="BQ1947" s="1292"/>
      <c r="BR1947" s="1292"/>
      <c r="BS1947" s="1292"/>
      <c r="BT1947" s="1765">
        <f t="shared" si="1168"/>
        <v>0</v>
      </c>
      <c r="BU1947" s="65"/>
      <c r="BV1947" s="65"/>
      <c r="BW1947" s="862" t="s">
        <v>586</v>
      </c>
    </row>
    <row r="1948" spans="2:75" ht="12.75" customHeight="1" x14ac:dyDescent="0.2">
      <c r="B1948" s="175">
        <f t="shared" si="1169"/>
        <v>16</v>
      </c>
      <c r="C1948" s="219">
        <v>19</v>
      </c>
      <c r="E1948" s="12" t="s">
        <v>994</v>
      </c>
      <c r="F1948" s="1" t="s">
        <v>1493</v>
      </c>
      <c r="G1948" s="856" t="s">
        <v>1155</v>
      </c>
      <c r="H1948" s="1413">
        <v>114677</v>
      </c>
      <c r="I1948" s="172" t="s">
        <v>1442</v>
      </c>
      <c r="J1948" s="168"/>
      <c r="K1948" s="168"/>
      <c r="L1948" s="841">
        <v>0.5</v>
      </c>
      <c r="M1948" s="858">
        <v>0.5</v>
      </c>
      <c r="N1948" s="999" t="s">
        <v>892</v>
      </c>
      <c r="O1948" s="1196">
        <v>23420</v>
      </c>
      <c r="P1948" s="1218">
        <f t="shared" ca="1" si="1163"/>
        <v>53.636111111111113</v>
      </c>
      <c r="Q1948" s="1148">
        <v>13200</v>
      </c>
      <c r="R1948" s="874"/>
      <c r="S1948" s="875"/>
      <c r="T1948" s="875"/>
      <c r="U1948" s="875"/>
      <c r="V1948" s="875">
        <v>6120</v>
      </c>
      <c r="W1948" s="875"/>
      <c r="X1948" s="1026">
        <f t="shared" si="1164"/>
        <v>9660</v>
      </c>
      <c r="Y1948" s="1512">
        <f t="shared" si="1165"/>
        <v>0</v>
      </c>
      <c r="Z1948" s="1741">
        <f t="shared" si="1166"/>
        <v>0.5</v>
      </c>
      <c r="AA1948" s="1749"/>
      <c r="AB1948" s="1810">
        <f t="shared" si="1167"/>
        <v>0</v>
      </c>
      <c r="AC1948" s="876"/>
      <c r="AD1948" s="1295"/>
      <c r="AE1948" s="1525"/>
      <c r="AF1948" s="1525"/>
      <c r="AG1948" s="1525"/>
      <c r="AH1948" s="1525"/>
      <c r="AI1948" s="1525"/>
      <c r="AJ1948" s="1525"/>
      <c r="AK1948" s="1525"/>
      <c r="AL1948" s="1525"/>
      <c r="AM1948" s="1525"/>
      <c r="AN1948" s="1525"/>
      <c r="AO1948" s="1525"/>
      <c r="AP1948" s="1525"/>
      <c r="AQ1948" s="1525"/>
      <c r="AR1948" s="1525"/>
      <c r="AS1948" s="1525"/>
      <c r="AU1948" s="1525"/>
      <c r="AV1948" s="1291"/>
      <c r="AW1948" s="1292"/>
      <c r="AX1948" s="1292"/>
      <c r="AY1948" s="1292"/>
      <c r="AZ1948" s="1292"/>
      <c r="BA1948" s="1292"/>
      <c r="BB1948" s="1292"/>
      <c r="BC1948" s="1292"/>
      <c r="BD1948" s="1292"/>
      <c r="BE1948" s="1292"/>
      <c r="BF1948" s="1292"/>
      <c r="BG1948" s="1292"/>
      <c r="BH1948" s="1292"/>
      <c r="BI1948" s="1292"/>
      <c r="BJ1948" s="1292"/>
      <c r="BK1948" s="1292"/>
      <c r="BL1948" s="1292"/>
      <c r="BM1948" s="1292"/>
      <c r="BN1948" s="1292"/>
      <c r="BO1948" s="1292"/>
      <c r="BP1948" s="1292"/>
      <c r="BQ1948" s="1292"/>
      <c r="BR1948" s="1292"/>
      <c r="BS1948" s="1292"/>
      <c r="BT1948" s="1765">
        <f t="shared" si="1168"/>
        <v>0</v>
      </c>
      <c r="BU1948" s="65"/>
      <c r="BV1948" s="65"/>
      <c r="BW1948" s="862" t="s">
        <v>1155</v>
      </c>
    </row>
    <row r="1949" spans="2:75" ht="12.75" customHeight="1" x14ac:dyDescent="0.2">
      <c r="B1949" s="175">
        <f t="shared" si="1169"/>
        <v>17</v>
      </c>
      <c r="C1949" s="219">
        <v>19</v>
      </c>
      <c r="E1949" s="12" t="s">
        <v>994</v>
      </c>
      <c r="F1949" s="1" t="s">
        <v>1493</v>
      </c>
      <c r="G1949" s="856" t="s">
        <v>1787</v>
      </c>
      <c r="H1949" s="1413">
        <v>160052</v>
      </c>
      <c r="I1949" s="172" t="s">
        <v>1442</v>
      </c>
      <c r="J1949" s="168"/>
      <c r="K1949" s="168"/>
      <c r="L1949" s="841">
        <v>0.5</v>
      </c>
      <c r="M1949" s="858">
        <v>0.5</v>
      </c>
      <c r="N1949" s="999" t="s">
        <v>892</v>
      </c>
      <c r="O1949" s="1196">
        <v>21308</v>
      </c>
      <c r="P1949" s="1218">
        <f t="shared" ca="1" si="1163"/>
        <v>59.413888888888891</v>
      </c>
      <c r="Q1949" s="1148">
        <v>13200</v>
      </c>
      <c r="R1949" s="874"/>
      <c r="S1949" s="875"/>
      <c r="T1949" s="875"/>
      <c r="U1949" s="875"/>
      <c r="V1949" s="875">
        <v>6120</v>
      </c>
      <c r="W1949" s="875"/>
      <c r="X1949" s="1026">
        <f t="shared" si="1164"/>
        <v>9660</v>
      </c>
      <c r="Y1949" s="1512">
        <f t="shared" si="1165"/>
        <v>0</v>
      </c>
      <c r="Z1949" s="1741">
        <f t="shared" si="1166"/>
        <v>0.5</v>
      </c>
      <c r="AA1949" s="1749"/>
      <c r="AB1949" s="1810">
        <f t="shared" si="1167"/>
        <v>0</v>
      </c>
      <c r="AC1949" s="876"/>
      <c r="AD1949" s="1295"/>
      <c r="AE1949" s="1525"/>
      <c r="AF1949" s="1525"/>
      <c r="AG1949" s="1525"/>
      <c r="AH1949" s="1525"/>
      <c r="AI1949" s="1525"/>
      <c r="AJ1949" s="1525"/>
      <c r="AK1949" s="1525"/>
      <c r="AL1949" s="1525"/>
      <c r="AM1949" s="1525"/>
      <c r="AN1949" s="1525"/>
      <c r="AO1949" s="1525"/>
      <c r="AP1949" s="1525"/>
      <c r="AQ1949" s="1525"/>
      <c r="AR1949" s="1525"/>
      <c r="AS1949" s="1525"/>
      <c r="AU1949" s="1525"/>
      <c r="AV1949" s="1291"/>
      <c r="AW1949" s="1292"/>
      <c r="AX1949" s="1292"/>
      <c r="AY1949" s="1292"/>
      <c r="AZ1949" s="1292"/>
      <c r="BA1949" s="1292"/>
      <c r="BB1949" s="1292"/>
      <c r="BC1949" s="1292"/>
      <c r="BD1949" s="1292"/>
      <c r="BE1949" s="1292"/>
      <c r="BF1949" s="1292"/>
      <c r="BG1949" s="1292"/>
      <c r="BH1949" s="1292"/>
      <c r="BI1949" s="1292"/>
      <c r="BJ1949" s="1292"/>
      <c r="BK1949" s="1292"/>
      <c r="BL1949" s="1292"/>
      <c r="BM1949" s="1292"/>
      <c r="BN1949" s="1292"/>
      <c r="BO1949" s="1292"/>
      <c r="BP1949" s="1292"/>
      <c r="BQ1949" s="1292"/>
      <c r="BR1949" s="1292"/>
      <c r="BS1949" s="1292"/>
      <c r="BT1949" s="1765">
        <f t="shared" si="1168"/>
        <v>0</v>
      </c>
      <c r="BU1949" s="65"/>
      <c r="BV1949" s="65"/>
      <c r="BW1949" s="862" t="s">
        <v>1787</v>
      </c>
    </row>
    <row r="1950" spans="2:75" ht="12.75" customHeight="1" x14ac:dyDescent="0.2">
      <c r="B1950" s="175">
        <f t="shared" si="1169"/>
        <v>18</v>
      </c>
      <c r="C1950" s="219">
        <v>19</v>
      </c>
      <c r="E1950" s="12" t="s">
        <v>994</v>
      </c>
      <c r="F1950" s="1" t="s">
        <v>1493</v>
      </c>
      <c r="G1950" s="856" t="s">
        <v>66</v>
      </c>
      <c r="H1950" s="1413">
        <v>27810</v>
      </c>
      <c r="I1950" s="172" t="s">
        <v>1442</v>
      </c>
      <c r="J1950" s="168"/>
      <c r="K1950" s="168"/>
      <c r="L1950" s="841">
        <v>0.5</v>
      </c>
      <c r="M1950" s="858">
        <v>0.5</v>
      </c>
      <c r="N1950" s="999" t="s">
        <v>892</v>
      </c>
      <c r="O1950" s="1196">
        <v>19148</v>
      </c>
      <c r="P1950" s="1218">
        <f t="shared" ca="1" si="1163"/>
        <v>65.330555555555549</v>
      </c>
      <c r="Q1950" s="1148">
        <v>13200</v>
      </c>
      <c r="R1950" s="874"/>
      <c r="S1950" s="875"/>
      <c r="T1950" s="875"/>
      <c r="U1950" s="875"/>
      <c r="V1950" s="875">
        <v>6120</v>
      </c>
      <c r="W1950" s="875"/>
      <c r="X1950" s="1026">
        <f t="shared" si="1164"/>
        <v>9660</v>
      </c>
      <c r="Y1950" s="1512">
        <f t="shared" si="1165"/>
        <v>0</v>
      </c>
      <c r="Z1950" s="1741">
        <f t="shared" si="1166"/>
        <v>0.5</v>
      </c>
      <c r="AA1950" s="1749"/>
      <c r="AB1950" s="1810">
        <f t="shared" si="1167"/>
        <v>0</v>
      </c>
      <c r="AC1950" s="876"/>
      <c r="AD1950" s="1295"/>
      <c r="AE1950" s="1525"/>
      <c r="AF1950" s="1525"/>
      <c r="AG1950" s="1525"/>
      <c r="AH1950" s="1525"/>
      <c r="AI1950" s="1525"/>
      <c r="AJ1950" s="1525"/>
      <c r="AK1950" s="1525"/>
      <c r="AL1950" s="1525"/>
      <c r="AM1950" s="1525"/>
      <c r="AN1950" s="1525"/>
      <c r="AO1950" s="1525"/>
      <c r="AP1950" s="1525"/>
      <c r="AQ1950" s="1525"/>
      <c r="AR1950" s="1525"/>
      <c r="AS1950" s="1525"/>
      <c r="AU1950" s="1525"/>
      <c r="AV1950" s="1291"/>
      <c r="AW1950" s="1292"/>
      <c r="AX1950" s="1292"/>
      <c r="AY1950" s="1292"/>
      <c r="AZ1950" s="1292"/>
      <c r="BA1950" s="1292"/>
      <c r="BB1950" s="1292"/>
      <c r="BC1950" s="1292"/>
      <c r="BD1950" s="1292"/>
      <c r="BE1950" s="1292"/>
      <c r="BF1950" s="1292"/>
      <c r="BG1950" s="1292"/>
      <c r="BH1950" s="1292"/>
      <c r="BI1950" s="1292"/>
      <c r="BJ1950" s="1292"/>
      <c r="BK1950" s="1292"/>
      <c r="BL1950" s="1292"/>
      <c r="BM1950" s="1292"/>
      <c r="BN1950" s="1292"/>
      <c r="BO1950" s="1292"/>
      <c r="BP1950" s="1292"/>
      <c r="BQ1950" s="1292"/>
      <c r="BR1950" s="1292"/>
      <c r="BS1950" s="1292"/>
      <c r="BT1950" s="1765">
        <f t="shared" si="1168"/>
        <v>0</v>
      </c>
      <c r="BU1950" s="65"/>
      <c r="BV1950" s="65"/>
      <c r="BW1950" s="862" t="s">
        <v>66</v>
      </c>
    </row>
    <row r="1951" spans="2:75" ht="12.75" customHeight="1" x14ac:dyDescent="0.2">
      <c r="B1951" s="175">
        <f t="shared" si="1169"/>
        <v>19</v>
      </c>
      <c r="C1951" s="219">
        <v>19</v>
      </c>
      <c r="E1951" s="12" t="s">
        <v>994</v>
      </c>
      <c r="F1951" s="37" t="s">
        <v>1493</v>
      </c>
      <c r="G1951" s="913" t="s">
        <v>955</v>
      </c>
      <c r="H1951" s="1412">
        <v>292614</v>
      </c>
      <c r="I1951" s="180" t="s">
        <v>1442</v>
      </c>
      <c r="J1951" s="168"/>
      <c r="K1951" s="173"/>
      <c r="L1951" s="893">
        <v>0.5</v>
      </c>
      <c r="M1951" s="861">
        <f>K1951+L1951</f>
        <v>0.5</v>
      </c>
      <c r="N1951" s="999" t="s">
        <v>892</v>
      </c>
      <c r="O1951" s="1196">
        <v>17765</v>
      </c>
      <c r="P1951" s="1218">
        <f t="shared" ca="1" si="1163"/>
        <v>69.11666666666666</v>
      </c>
      <c r="Q1951" s="1148">
        <v>13200</v>
      </c>
      <c r="R1951" s="874"/>
      <c r="S1951" s="875"/>
      <c r="T1951" s="875"/>
      <c r="U1951" s="875"/>
      <c r="V1951" s="875">
        <v>7320</v>
      </c>
      <c r="W1951" s="1036"/>
      <c r="X1951" s="1026">
        <f t="shared" si="1164"/>
        <v>10260</v>
      </c>
      <c r="Y1951" s="1512">
        <f t="shared" si="1165"/>
        <v>0</v>
      </c>
      <c r="Z1951" s="1741">
        <f t="shared" si="1166"/>
        <v>0.5</v>
      </c>
      <c r="AA1951" s="1749"/>
      <c r="AB1951" s="1810">
        <f t="shared" si="1167"/>
        <v>0</v>
      </c>
      <c r="AC1951" s="876"/>
      <c r="AD1951" s="1295"/>
      <c r="AE1951" s="1525"/>
      <c r="AF1951" s="1525"/>
      <c r="AG1951" s="1525"/>
      <c r="AH1951" s="1525"/>
      <c r="AI1951" s="1525"/>
      <c r="AJ1951" s="1525"/>
      <c r="AK1951" s="1525"/>
      <c r="AL1951" s="1525"/>
      <c r="AM1951" s="1525"/>
      <c r="AN1951" s="1525"/>
      <c r="AO1951" s="1525"/>
      <c r="AP1951" s="1525"/>
      <c r="AQ1951" s="1525"/>
      <c r="AR1951" s="1525"/>
      <c r="AS1951" s="1525"/>
      <c r="AU1951" s="1525"/>
      <c r="AV1951" s="1291"/>
      <c r="AW1951" s="1292"/>
      <c r="AX1951" s="1292"/>
      <c r="AY1951" s="1292"/>
      <c r="AZ1951" s="1292"/>
      <c r="BA1951" s="1292"/>
      <c r="BB1951" s="1292"/>
      <c r="BC1951" s="1292"/>
      <c r="BD1951" s="1292"/>
      <c r="BE1951" s="1292"/>
      <c r="BF1951" s="1292"/>
      <c r="BG1951" s="1292"/>
      <c r="BH1951" s="1292"/>
      <c r="BI1951" s="1292"/>
      <c r="BJ1951" s="1292"/>
      <c r="BK1951" s="1292"/>
      <c r="BL1951" s="1292"/>
      <c r="BM1951" s="1292"/>
      <c r="BN1951" s="1292"/>
      <c r="BO1951" s="1292"/>
      <c r="BP1951" s="1292"/>
      <c r="BQ1951" s="1292"/>
      <c r="BR1951" s="1292"/>
      <c r="BS1951" s="1292"/>
      <c r="BT1951" s="1765">
        <f t="shared" si="1168"/>
        <v>0</v>
      </c>
      <c r="BU1951" s="65"/>
      <c r="BV1951" s="65"/>
      <c r="BW1951" s="862" t="s">
        <v>955</v>
      </c>
    </row>
    <row r="1952" spans="2:75" ht="12.75" customHeight="1" x14ac:dyDescent="0.2">
      <c r="B1952" s="175">
        <f t="shared" si="1169"/>
        <v>20</v>
      </c>
      <c r="C1952" s="219">
        <v>19</v>
      </c>
      <c r="E1952" s="12" t="s">
        <v>994</v>
      </c>
      <c r="F1952" s="1" t="s">
        <v>1493</v>
      </c>
      <c r="G1952" s="856" t="s">
        <v>686</v>
      </c>
      <c r="H1952" s="1413">
        <v>755</v>
      </c>
      <c r="I1952" s="172" t="s">
        <v>1442</v>
      </c>
      <c r="J1952" s="168"/>
      <c r="K1952" s="168"/>
      <c r="L1952" s="841">
        <v>0.5</v>
      </c>
      <c r="M1952" s="858">
        <f>K1952+L1952</f>
        <v>0.5</v>
      </c>
      <c r="N1952" s="999" t="s">
        <v>892</v>
      </c>
      <c r="O1952" s="1196">
        <v>20882</v>
      </c>
      <c r="P1952" s="1218">
        <f t="shared" ca="1" si="1163"/>
        <v>60.580555555555556</v>
      </c>
      <c r="Q1952" s="1148">
        <v>13200</v>
      </c>
      <c r="R1952" s="874"/>
      <c r="S1952" s="875"/>
      <c r="T1952" s="875"/>
      <c r="U1952" s="875"/>
      <c r="V1952" s="875">
        <v>6120</v>
      </c>
      <c r="W1952" s="875"/>
      <c r="X1952" s="1026">
        <f t="shared" si="1164"/>
        <v>9660</v>
      </c>
      <c r="Y1952" s="1512">
        <f t="shared" si="1165"/>
        <v>0</v>
      </c>
      <c r="Z1952" s="1741">
        <f t="shared" si="1166"/>
        <v>0.5</v>
      </c>
      <c r="AA1952" s="1749"/>
      <c r="AB1952" s="1810">
        <f t="shared" si="1167"/>
        <v>0</v>
      </c>
      <c r="AC1952" s="876"/>
      <c r="AD1952" s="1295"/>
      <c r="AE1952" s="1525"/>
      <c r="AF1952" s="1525"/>
      <c r="AG1952" s="1525"/>
      <c r="AH1952" s="1525"/>
      <c r="AI1952" s="1525"/>
      <c r="AJ1952" s="1525"/>
      <c r="AK1952" s="1525"/>
      <c r="AL1952" s="1525"/>
      <c r="AM1952" s="1525"/>
      <c r="AN1952" s="1525"/>
      <c r="AO1952" s="1525"/>
      <c r="AP1952" s="1525"/>
      <c r="AQ1952" s="1525"/>
      <c r="AR1952" s="1525"/>
      <c r="AS1952" s="1525"/>
      <c r="AU1952" s="1525"/>
      <c r="AV1952" s="1291"/>
      <c r="AW1952" s="1292"/>
      <c r="AX1952" s="1292"/>
      <c r="AY1952" s="1292"/>
      <c r="AZ1952" s="1292"/>
      <c r="BA1952" s="1292"/>
      <c r="BB1952" s="1292"/>
      <c r="BC1952" s="1292"/>
      <c r="BD1952" s="1292"/>
      <c r="BE1952" s="1292"/>
      <c r="BF1952" s="1292"/>
      <c r="BG1952" s="1292"/>
      <c r="BH1952" s="1292"/>
      <c r="BI1952" s="1292"/>
      <c r="BJ1952" s="1292"/>
      <c r="BK1952" s="1292"/>
      <c r="BL1952" s="1292"/>
      <c r="BM1952" s="1292"/>
      <c r="BN1952" s="1292"/>
      <c r="BO1952" s="1292"/>
      <c r="BP1952" s="1292"/>
      <c r="BQ1952" s="1292"/>
      <c r="BR1952" s="1292"/>
      <c r="BS1952" s="1292"/>
      <c r="BT1952" s="1765">
        <f t="shared" si="1168"/>
        <v>0</v>
      </c>
      <c r="BU1952" s="65"/>
      <c r="BV1952" s="65"/>
      <c r="BW1952" s="862" t="s">
        <v>686</v>
      </c>
    </row>
    <row r="1953" spans="2:75" ht="12.75" customHeight="1" x14ac:dyDescent="0.2">
      <c r="B1953" s="175">
        <f t="shared" si="1169"/>
        <v>21</v>
      </c>
      <c r="C1953" s="219">
        <v>19</v>
      </c>
      <c r="E1953" s="12" t="s">
        <v>994</v>
      </c>
      <c r="F1953" s="1" t="s">
        <v>1493</v>
      </c>
      <c r="G1953" s="856" t="s">
        <v>798</v>
      </c>
      <c r="H1953" s="1413">
        <v>120782</v>
      </c>
      <c r="I1953" s="172" t="s">
        <v>1442</v>
      </c>
      <c r="J1953" s="168"/>
      <c r="K1953" s="168"/>
      <c r="L1953" s="841">
        <v>0.5</v>
      </c>
      <c r="M1953" s="858">
        <v>0.5</v>
      </c>
      <c r="N1953" s="999" t="s">
        <v>892</v>
      </c>
      <c r="O1953" s="1196">
        <v>16441</v>
      </c>
      <c r="P1953" s="1218">
        <f t="shared" ca="1" si="1163"/>
        <v>72.74444444444444</v>
      </c>
      <c r="Q1953" s="1148">
        <v>13200</v>
      </c>
      <c r="R1953" s="874"/>
      <c r="S1953" s="875"/>
      <c r="T1953" s="875"/>
      <c r="U1953" s="875"/>
      <c r="V1953" s="875">
        <v>6120</v>
      </c>
      <c r="W1953" s="875"/>
      <c r="X1953" s="1026">
        <f t="shared" si="1164"/>
        <v>9660</v>
      </c>
      <c r="Y1953" s="1512">
        <f t="shared" si="1165"/>
        <v>0</v>
      </c>
      <c r="Z1953" s="1741">
        <f t="shared" si="1166"/>
        <v>0.5</v>
      </c>
      <c r="AA1953" s="1749"/>
      <c r="AB1953" s="1810">
        <f t="shared" si="1167"/>
        <v>0</v>
      </c>
      <c r="AC1953" s="876"/>
      <c r="AD1953" s="1295"/>
      <c r="AE1953" s="1525"/>
      <c r="AF1953" s="1525"/>
      <c r="AG1953" s="1525"/>
      <c r="AH1953" s="1525"/>
      <c r="AI1953" s="1525"/>
      <c r="AJ1953" s="1525"/>
      <c r="AK1953" s="1525"/>
      <c r="AL1953" s="1525"/>
      <c r="AM1953" s="1525"/>
      <c r="AN1953" s="1525"/>
      <c r="AO1953" s="1525"/>
      <c r="AP1953" s="1525"/>
      <c r="AQ1953" s="1525"/>
      <c r="AR1953" s="1525"/>
      <c r="AS1953" s="1525"/>
      <c r="AU1953" s="1525"/>
      <c r="AV1953" s="1291"/>
      <c r="AW1953" s="1292"/>
      <c r="AX1953" s="1292"/>
      <c r="AY1953" s="1292"/>
      <c r="AZ1953" s="1292"/>
      <c r="BA1953" s="1292"/>
      <c r="BB1953" s="1292"/>
      <c r="BC1953" s="1292"/>
      <c r="BD1953" s="1292"/>
      <c r="BE1953" s="1292"/>
      <c r="BF1953" s="1292"/>
      <c r="BG1953" s="1292"/>
      <c r="BH1953" s="1292"/>
      <c r="BI1953" s="1292"/>
      <c r="BJ1953" s="1292"/>
      <c r="BK1953" s="1292"/>
      <c r="BL1953" s="1292"/>
      <c r="BM1953" s="1292"/>
      <c r="BN1953" s="1292"/>
      <c r="BO1953" s="1292"/>
      <c r="BP1953" s="1292"/>
      <c r="BQ1953" s="1292"/>
      <c r="BR1953" s="1292"/>
      <c r="BS1953" s="1292"/>
      <c r="BT1953" s="1765">
        <f t="shared" si="1168"/>
        <v>0</v>
      </c>
      <c r="BU1953" s="65"/>
      <c r="BV1953" s="65"/>
      <c r="BW1953" s="862" t="s">
        <v>798</v>
      </c>
    </row>
    <row r="1954" spans="2:75" ht="12.75" customHeight="1" x14ac:dyDescent="0.2">
      <c r="B1954" s="175">
        <f t="shared" si="1169"/>
        <v>22</v>
      </c>
      <c r="C1954" s="219">
        <v>19</v>
      </c>
      <c r="E1954" s="12" t="s">
        <v>994</v>
      </c>
      <c r="F1954" s="1" t="s">
        <v>1493</v>
      </c>
      <c r="G1954" s="856" t="s">
        <v>689</v>
      </c>
      <c r="H1954" s="1413">
        <v>221263</v>
      </c>
      <c r="I1954" s="172" t="s">
        <v>1442</v>
      </c>
      <c r="J1954" s="168"/>
      <c r="K1954" s="168"/>
      <c r="L1954" s="841">
        <v>0.5</v>
      </c>
      <c r="M1954" s="858">
        <f>K1954+L1954</f>
        <v>0.5</v>
      </c>
      <c r="N1954" s="999" t="s">
        <v>892</v>
      </c>
      <c r="O1954" s="1196">
        <v>14962</v>
      </c>
      <c r="P1954" s="1218">
        <f t="shared" ca="1" si="1163"/>
        <v>76.791666666666671</v>
      </c>
      <c r="Q1954" s="1148">
        <v>13200</v>
      </c>
      <c r="R1954" s="874"/>
      <c r="S1954" s="875"/>
      <c r="T1954" s="875"/>
      <c r="U1954" s="875"/>
      <c r="V1954" s="875">
        <v>6120</v>
      </c>
      <c r="W1954" s="875"/>
      <c r="X1954" s="1026">
        <f t="shared" si="1164"/>
        <v>9660</v>
      </c>
      <c r="Y1954" s="1512">
        <f t="shared" si="1165"/>
        <v>0</v>
      </c>
      <c r="Z1954" s="1741">
        <f t="shared" si="1166"/>
        <v>0.5</v>
      </c>
      <c r="AA1954" s="1749"/>
      <c r="AB1954" s="1810">
        <f t="shared" si="1167"/>
        <v>0</v>
      </c>
      <c r="AC1954" s="876"/>
      <c r="AD1954" s="1295"/>
      <c r="AE1954" s="1525"/>
      <c r="AF1954" s="1525"/>
      <c r="AG1954" s="1525"/>
      <c r="AH1954" s="1525"/>
      <c r="AI1954" s="1525"/>
      <c r="AJ1954" s="1525"/>
      <c r="AK1954" s="1525"/>
      <c r="AL1954" s="1525"/>
      <c r="AM1954" s="1525"/>
      <c r="AN1954" s="1525"/>
      <c r="AO1954" s="1525"/>
      <c r="AP1954" s="1525"/>
      <c r="AQ1954" s="1525"/>
      <c r="AR1954" s="1525"/>
      <c r="AS1954" s="1525"/>
      <c r="AU1954" s="1525"/>
      <c r="AV1954" s="1291"/>
      <c r="AW1954" s="1292"/>
      <c r="AX1954" s="1292"/>
      <c r="AY1954" s="1292"/>
      <c r="AZ1954" s="1292"/>
      <c r="BA1954" s="1292"/>
      <c r="BB1954" s="1292"/>
      <c r="BC1954" s="1292"/>
      <c r="BD1954" s="1292"/>
      <c r="BE1954" s="1292"/>
      <c r="BF1954" s="1292"/>
      <c r="BG1954" s="1292"/>
      <c r="BH1954" s="1292"/>
      <c r="BI1954" s="1292"/>
      <c r="BJ1954" s="1292"/>
      <c r="BK1954" s="1292"/>
      <c r="BL1954" s="1292"/>
      <c r="BM1954" s="1292"/>
      <c r="BN1954" s="1292"/>
      <c r="BO1954" s="1292"/>
      <c r="BP1954" s="1292"/>
      <c r="BQ1954" s="1292"/>
      <c r="BR1954" s="1292"/>
      <c r="BS1954" s="1292"/>
      <c r="BT1954" s="1765">
        <f t="shared" si="1168"/>
        <v>0</v>
      </c>
      <c r="BU1954" s="65"/>
      <c r="BV1954" s="65"/>
      <c r="BW1954" s="862" t="s">
        <v>689</v>
      </c>
    </row>
    <row r="1955" spans="2:75" ht="12.75" customHeight="1" x14ac:dyDescent="0.2">
      <c r="B1955" s="175">
        <f t="shared" si="1169"/>
        <v>23</v>
      </c>
      <c r="C1955" s="219">
        <v>19</v>
      </c>
      <c r="E1955" s="12" t="s">
        <v>994</v>
      </c>
      <c r="F1955" s="1" t="s">
        <v>1493</v>
      </c>
      <c r="G1955" s="856" t="s">
        <v>124</v>
      </c>
      <c r="H1955" s="1413">
        <v>122533</v>
      </c>
      <c r="I1955" s="172" t="s">
        <v>1442</v>
      </c>
      <c r="J1955" s="168"/>
      <c r="K1955" s="168"/>
      <c r="L1955" s="841">
        <v>0.5</v>
      </c>
      <c r="M1955" s="858">
        <v>0.5</v>
      </c>
      <c r="N1955" s="999" t="s">
        <v>892</v>
      </c>
      <c r="O1955" s="1196">
        <v>18107</v>
      </c>
      <c r="P1955" s="1218">
        <f t="shared" ca="1" si="1163"/>
        <v>68.177777777777777</v>
      </c>
      <c r="Q1955" s="1148">
        <v>13200</v>
      </c>
      <c r="R1955" s="874"/>
      <c r="S1955" s="875"/>
      <c r="T1955" s="875"/>
      <c r="U1955" s="875"/>
      <c r="V1955" s="875">
        <v>6120</v>
      </c>
      <c r="W1955" s="875"/>
      <c r="X1955" s="1026">
        <f t="shared" si="1164"/>
        <v>9660</v>
      </c>
      <c r="Y1955" s="1512">
        <f t="shared" si="1165"/>
        <v>0</v>
      </c>
      <c r="Z1955" s="1741">
        <f t="shared" si="1166"/>
        <v>0.5</v>
      </c>
      <c r="AA1955" s="1749"/>
      <c r="AB1955" s="1810">
        <f t="shared" si="1167"/>
        <v>0</v>
      </c>
      <c r="AC1955" s="876"/>
      <c r="AD1955" s="1295"/>
      <c r="AE1955" s="1525"/>
      <c r="AF1955" s="1525"/>
      <c r="AG1955" s="1525"/>
      <c r="AH1955" s="1525"/>
      <c r="AI1955" s="1525"/>
      <c r="AJ1955" s="1525"/>
      <c r="AK1955" s="1525"/>
      <c r="AL1955" s="1525"/>
      <c r="AM1955" s="1525"/>
      <c r="AN1955" s="1525"/>
      <c r="AO1955" s="1525"/>
      <c r="AP1955" s="1525"/>
      <c r="AQ1955" s="1525"/>
      <c r="AR1955" s="1525"/>
      <c r="AS1955" s="1525"/>
      <c r="AU1955" s="1525"/>
      <c r="AV1955" s="1291"/>
      <c r="AW1955" s="1292"/>
      <c r="AX1955" s="1292"/>
      <c r="AY1955" s="1292"/>
      <c r="AZ1955" s="1292"/>
      <c r="BA1955" s="1292"/>
      <c r="BB1955" s="1292"/>
      <c r="BC1955" s="1292"/>
      <c r="BD1955" s="1292"/>
      <c r="BE1955" s="1292"/>
      <c r="BF1955" s="1292"/>
      <c r="BG1955" s="1292"/>
      <c r="BH1955" s="1292"/>
      <c r="BI1955" s="1292"/>
      <c r="BJ1955" s="1292"/>
      <c r="BK1955" s="1292"/>
      <c r="BL1955" s="1292"/>
      <c r="BM1955" s="1292"/>
      <c r="BN1955" s="1292"/>
      <c r="BO1955" s="1292"/>
      <c r="BP1955" s="1292"/>
      <c r="BQ1955" s="1292"/>
      <c r="BR1955" s="1292"/>
      <c r="BS1955" s="1292"/>
      <c r="BT1955" s="1765">
        <f t="shared" si="1168"/>
        <v>0</v>
      </c>
      <c r="BU1955" s="65"/>
      <c r="BV1955" s="65"/>
      <c r="BW1955" s="862" t="s">
        <v>124</v>
      </c>
    </row>
    <row r="1956" spans="2:75" ht="12.75" customHeight="1" x14ac:dyDescent="0.2">
      <c r="B1956" s="175">
        <f t="shared" si="1169"/>
        <v>24</v>
      </c>
      <c r="C1956" s="219">
        <v>19</v>
      </c>
      <c r="E1956" s="12" t="s">
        <v>994</v>
      </c>
      <c r="F1956" s="1" t="s">
        <v>1493</v>
      </c>
      <c r="G1956" s="856" t="s">
        <v>687</v>
      </c>
      <c r="H1956" s="1413">
        <v>210894</v>
      </c>
      <c r="I1956" s="172" t="s">
        <v>1442</v>
      </c>
      <c r="J1956" s="168"/>
      <c r="K1956" s="168"/>
      <c r="L1956" s="841">
        <v>0.5</v>
      </c>
      <c r="M1956" s="858">
        <f>K1956+L1956</f>
        <v>0.5</v>
      </c>
      <c r="N1956" s="999" t="s">
        <v>892</v>
      </c>
      <c r="O1956" s="1196">
        <v>18205</v>
      </c>
      <c r="P1956" s="1218">
        <f t="shared" ca="1" si="1163"/>
        <v>67.913888888888891</v>
      </c>
      <c r="Q1956" s="1148">
        <v>13200</v>
      </c>
      <c r="R1956" s="874"/>
      <c r="S1956" s="875"/>
      <c r="T1956" s="875"/>
      <c r="U1956" s="875"/>
      <c r="V1956" s="875">
        <v>6120</v>
      </c>
      <c r="W1956" s="875"/>
      <c r="X1956" s="1026">
        <f t="shared" si="1164"/>
        <v>9660</v>
      </c>
      <c r="Y1956" s="1512">
        <f t="shared" si="1165"/>
        <v>0</v>
      </c>
      <c r="Z1956" s="1741">
        <f t="shared" si="1166"/>
        <v>0.5</v>
      </c>
      <c r="AA1956" s="1749"/>
      <c r="AB1956" s="1810">
        <f t="shared" si="1167"/>
        <v>0</v>
      </c>
      <c r="AC1956" s="876"/>
      <c r="AD1956" s="1295"/>
      <c r="AE1956" s="1525"/>
      <c r="AF1956" s="1525"/>
      <c r="AG1956" s="1525"/>
      <c r="AH1956" s="1525"/>
      <c r="AI1956" s="1525"/>
      <c r="AJ1956" s="1525"/>
      <c r="AK1956" s="1525"/>
      <c r="AL1956" s="1525"/>
      <c r="AM1956" s="1525"/>
      <c r="AN1956" s="1525"/>
      <c r="AO1956" s="1525"/>
      <c r="AP1956" s="1525"/>
      <c r="AQ1956" s="1525"/>
      <c r="AR1956" s="1525"/>
      <c r="AS1956" s="1525"/>
      <c r="AU1956" s="1525"/>
      <c r="AV1956" s="1291"/>
      <c r="AW1956" s="1292"/>
      <c r="AX1956" s="1292"/>
      <c r="AY1956" s="1292"/>
      <c r="AZ1956" s="1292"/>
      <c r="BA1956" s="1292"/>
      <c r="BB1956" s="1292"/>
      <c r="BC1956" s="1292"/>
      <c r="BD1956" s="1292"/>
      <c r="BE1956" s="1292"/>
      <c r="BF1956" s="1292"/>
      <c r="BG1956" s="1292"/>
      <c r="BH1956" s="1292"/>
      <c r="BI1956" s="1292"/>
      <c r="BJ1956" s="1292"/>
      <c r="BK1956" s="1292"/>
      <c r="BL1956" s="1292"/>
      <c r="BM1956" s="1292"/>
      <c r="BN1956" s="1292"/>
      <c r="BO1956" s="1292"/>
      <c r="BP1956" s="1292"/>
      <c r="BQ1956" s="1292"/>
      <c r="BR1956" s="1292"/>
      <c r="BS1956" s="1292"/>
      <c r="BT1956" s="1765">
        <f t="shared" si="1168"/>
        <v>0</v>
      </c>
      <c r="BU1956" s="65"/>
      <c r="BV1956" s="65"/>
      <c r="BW1956" s="862" t="s">
        <v>687</v>
      </c>
    </row>
    <row r="1957" spans="2:75" ht="12.75" customHeight="1" x14ac:dyDescent="0.2">
      <c r="B1957" s="175">
        <f t="shared" si="1169"/>
        <v>25</v>
      </c>
      <c r="C1957" s="219">
        <v>19</v>
      </c>
      <c r="E1957" s="12" t="s">
        <v>994</v>
      </c>
      <c r="F1957" s="1" t="s">
        <v>1493</v>
      </c>
      <c r="G1957" s="856" t="s">
        <v>1788</v>
      </c>
      <c r="H1957" s="1413">
        <v>160132</v>
      </c>
      <c r="I1957" s="172" t="s">
        <v>1442</v>
      </c>
      <c r="J1957" s="168"/>
      <c r="K1957" s="168"/>
      <c r="L1957" s="841">
        <v>0.5</v>
      </c>
      <c r="M1957" s="858">
        <v>0.5</v>
      </c>
      <c r="N1957" s="999" t="s">
        <v>892</v>
      </c>
      <c r="O1957" s="1196">
        <v>20611</v>
      </c>
      <c r="P1957" s="1218">
        <f t="shared" ca="1" si="1163"/>
        <v>61.325000000000003</v>
      </c>
      <c r="Q1957" s="1148">
        <v>13200</v>
      </c>
      <c r="R1957" s="874"/>
      <c r="S1957" s="875"/>
      <c r="T1957" s="875"/>
      <c r="U1957" s="875"/>
      <c r="V1957" s="875">
        <v>6120</v>
      </c>
      <c r="W1957" s="875"/>
      <c r="X1957" s="1026">
        <f t="shared" si="1164"/>
        <v>9660</v>
      </c>
      <c r="Y1957" s="1512">
        <f t="shared" si="1165"/>
        <v>0</v>
      </c>
      <c r="Z1957" s="1741">
        <f t="shared" si="1166"/>
        <v>0.5</v>
      </c>
      <c r="AA1957" s="1749"/>
      <c r="AB1957" s="1810">
        <f t="shared" si="1167"/>
        <v>0</v>
      </c>
      <c r="AC1957" s="876"/>
      <c r="AD1957" s="1295"/>
      <c r="AE1957" s="1525"/>
      <c r="AF1957" s="1525"/>
      <c r="AG1957" s="1525"/>
      <c r="AH1957" s="1525"/>
      <c r="AI1957" s="1525"/>
      <c r="AJ1957" s="1525"/>
      <c r="AK1957" s="1525"/>
      <c r="AL1957" s="1525"/>
      <c r="AM1957" s="1525"/>
      <c r="AN1957" s="1525"/>
      <c r="AO1957" s="1525"/>
      <c r="AP1957" s="1525"/>
      <c r="AQ1957" s="1525"/>
      <c r="AR1957" s="1525"/>
      <c r="AS1957" s="1525"/>
      <c r="AU1957" s="1525"/>
      <c r="AV1957" s="1291"/>
      <c r="AW1957" s="1292"/>
      <c r="AX1957" s="1292"/>
      <c r="AY1957" s="1292"/>
      <c r="AZ1957" s="1292"/>
      <c r="BA1957" s="1292"/>
      <c r="BB1957" s="1292"/>
      <c r="BC1957" s="1292"/>
      <c r="BD1957" s="1292"/>
      <c r="BE1957" s="1292"/>
      <c r="BF1957" s="1292"/>
      <c r="BG1957" s="1292"/>
      <c r="BH1957" s="1292"/>
      <c r="BI1957" s="1292"/>
      <c r="BJ1957" s="1292"/>
      <c r="BK1957" s="1292"/>
      <c r="BL1957" s="1292"/>
      <c r="BM1957" s="1292"/>
      <c r="BN1957" s="1292"/>
      <c r="BO1957" s="1292"/>
      <c r="BP1957" s="1292"/>
      <c r="BQ1957" s="1292"/>
      <c r="BR1957" s="1292"/>
      <c r="BS1957" s="1292"/>
      <c r="BT1957" s="1765">
        <f t="shared" si="1168"/>
        <v>0</v>
      </c>
      <c r="BU1957" s="65"/>
      <c r="BV1957" s="65"/>
      <c r="BW1957" s="862" t="s">
        <v>1788</v>
      </c>
    </row>
    <row r="1958" spans="2:75" ht="12.75" customHeight="1" x14ac:dyDescent="0.2">
      <c r="B1958" s="175">
        <f t="shared" si="1169"/>
        <v>26</v>
      </c>
      <c r="C1958" s="219">
        <v>19</v>
      </c>
      <c r="E1958" s="12" t="s">
        <v>994</v>
      </c>
      <c r="F1958" s="1" t="s">
        <v>1493</v>
      </c>
      <c r="G1958" s="825" t="s">
        <v>871</v>
      </c>
      <c r="H1958" s="1413">
        <v>103763</v>
      </c>
      <c r="I1958" s="172" t="s">
        <v>1442</v>
      </c>
      <c r="J1958" s="168"/>
      <c r="K1958" s="168"/>
      <c r="L1958" s="841">
        <v>0.5</v>
      </c>
      <c r="M1958" s="858">
        <f t="shared" ref="M1958:M1964" si="1170">K1958+L1958</f>
        <v>0.5</v>
      </c>
      <c r="N1958" s="999" t="s">
        <v>892</v>
      </c>
      <c r="O1958" s="1196">
        <v>19743</v>
      </c>
      <c r="P1958" s="1218">
        <f t="shared" ca="1" si="1163"/>
        <v>63.702777777777776</v>
      </c>
      <c r="Q1958" s="1148">
        <v>13200</v>
      </c>
      <c r="R1958" s="874"/>
      <c r="S1958" s="875"/>
      <c r="T1958" s="875"/>
      <c r="U1958" s="875"/>
      <c r="V1958" s="875">
        <v>6120</v>
      </c>
      <c r="W1958" s="875"/>
      <c r="X1958" s="1026">
        <f t="shared" si="1164"/>
        <v>9660</v>
      </c>
      <c r="Y1958" s="1512">
        <f t="shared" si="1165"/>
        <v>0</v>
      </c>
      <c r="Z1958" s="1741">
        <f t="shared" si="1166"/>
        <v>0.5</v>
      </c>
      <c r="AA1958" s="1749"/>
      <c r="AB1958" s="1810">
        <f t="shared" si="1167"/>
        <v>0</v>
      </c>
      <c r="AC1958" s="876"/>
      <c r="AD1958" s="1295"/>
      <c r="AE1958" s="1525"/>
      <c r="AF1958" s="1525"/>
      <c r="AG1958" s="1525"/>
      <c r="AH1958" s="1525"/>
      <c r="AI1958" s="1525"/>
      <c r="AJ1958" s="1525"/>
      <c r="AK1958" s="1525"/>
      <c r="AL1958" s="1525"/>
      <c r="AM1958" s="1525"/>
      <c r="AN1958" s="1525"/>
      <c r="AO1958" s="1525"/>
      <c r="AP1958" s="1525"/>
      <c r="AQ1958" s="1525"/>
      <c r="AR1958" s="1525"/>
      <c r="AS1958" s="1525"/>
      <c r="AU1958" s="1525"/>
      <c r="AV1958" s="1291"/>
      <c r="AW1958" s="1292"/>
      <c r="AX1958" s="1292"/>
      <c r="AY1958" s="1292"/>
      <c r="AZ1958" s="1292"/>
      <c r="BA1958" s="1292"/>
      <c r="BB1958" s="1292"/>
      <c r="BC1958" s="1292"/>
      <c r="BD1958" s="1292"/>
      <c r="BE1958" s="1292"/>
      <c r="BF1958" s="1292"/>
      <c r="BG1958" s="1292"/>
      <c r="BH1958" s="1292"/>
      <c r="BI1958" s="1292"/>
      <c r="BJ1958" s="1292"/>
      <c r="BK1958" s="1292"/>
      <c r="BL1958" s="1292"/>
      <c r="BM1958" s="1292"/>
      <c r="BN1958" s="1292"/>
      <c r="BO1958" s="1292"/>
      <c r="BP1958" s="1292"/>
      <c r="BQ1958" s="1292"/>
      <c r="BR1958" s="1292"/>
      <c r="BS1958" s="1292"/>
      <c r="BT1958" s="1765">
        <f t="shared" si="1168"/>
        <v>0</v>
      </c>
      <c r="BU1958" s="65"/>
      <c r="BV1958" s="65"/>
      <c r="BW1958" s="825" t="s">
        <v>871</v>
      </c>
    </row>
    <row r="1959" spans="2:75" ht="12.75" customHeight="1" x14ac:dyDescent="0.2">
      <c r="B1959" s="175">
        <f t="shared" si="1169"/>
        <v>27</v>
      </c>
      <c r="C1959" s="219">
        <v>19</v>
      </c>
      <c r="E1959" s="12" t="s">
        <v>994</v>
      </c>
      <c r="F1959" s="1" t="s">
        <v>1493</v>
      </c>
      <c r="G1959" s="825" t="s">
        <v>2011</v>
      </c>
      <c r="H1959" s="1413">
        <v>170828</v>
      </c>
      <c r="I1959" s="172" t="s">
        <v>1442</v>
      </c>
      <c r="J1959" s="168"/>
      <c r="K1959" s="168"/>
      <c r="L1959" s="841">
        <v>0.5</v>
      </c>
      <c r="M1959" s="858">
        <f t="shared" ref="M1959" si="1171">K1959+L1959</f>
        <v>0.5</v>
      </c>
      <c r="N1959" s="999" t="s">
        <v>892</v>
      </c>
      <c r="O1959" s="1196">
        <v>19427</v>
      </c>
      <c r="P1959" s="1218">
        <f t="shared" ca="1" si="1163"/>
        <v>64.563888888888883</v>
      </c>
      <c r="Q1959" s="1148">
        <v>13200</v>
      </c>
      <c r="R1959" s="874"/>
      <c r="S1959" s="875"/>
      <c r="T1959" s="875"/>
      <c r="U1959" s="875"/>
      <c r="V1959" s="875"/>
      <c r="W1959" s="875"/>
      <c r="X1959" s="1026">
        <f t="shared" si="1164"/>
        <v>6600</v>
      </c>
      <c r="Y1959" s="1512">
        <f t="shared" si="1165"/>
        <v>0</v>
      </c>
      <c r="Z1959" s="1741">
        <f t="shared" si="1166"/>
        <v>0.5</v>
      </c>
      <c r="AA1959" s="1749"/>
      <c r="AB1959" s="1810">
        <f t="shared" si="1167"/>
        <v>0</v>
      </c>
      <c r="AC1959" s="876"/>
      <c r="AD1959" s="1295"/>
      <c r="AE1959" s="1525"/>
      <c r="AF1959" s="1525"/>
      <c r="AG1959" s="1525"/>
      <c r="AH1959" s="1525"/>
      <c r="AI1959" s="1525"/>
      <c r="AJ1959" s="1525"/>
      <c r="AK1959" s="1525"/>
      <c r="AL1959" s="1525"/>
      <c r="AM1959" s="1525"/>
      <c r="AN1959" s="1525"/>
      <c r="AO1959" s="1525"/>
      <c r="AP1959" s="1525"/>
      <c r="AQ1959" s="1525"/>
      <c r="AR1959" s="1525"/>
      <c r="AS1959" s="1525"/>
      <c r="AU1959" s="1525"/>
      <c r="AV1959" s="1291"/>
      <c r="AW1959" s="1292"/>
      <c r="AX1959" s="1292"/>
      <c r="AY1959" s="1292"/>
      <c r="AZ1959" s="1292"/>
      <c r="BA1959" s="1292"/>
      <c r="BB1959" s="1292"/>
      <c r="BC1959" s="1292"/>
      <c r="BD1959" s="1292"/>
      <c r="BE1959" s="1292"/>
      <c r="BF1959" s="1292"/>
      <c r="BG1959" s="1292"/>
      <c r="BH1959" s="1292"/>
      <c r="BI1959" s="1292"/>
      <c r="BJ1959" s="1292"/>
      <c r="BK1959" s="1292"/>
      <c r="BL1959" s="1292"/>
      <c r="BM1959" s="1292"/>
      <c r="BN1959" s="1292"/>
      <c r="BO1959" s="1292"/>
      <c r="BP1959" s="1292"/>
      <c r="BQ1959" s="1292"/>
      <c r="BR1959" s="1292"/>
      <c r="BS1959" s="1292"/>
      <c r="BT1959" s="1765"/>
      <c r="BU1959" s="65"/>
      <c r="BV1959" s="65"/>
      <c r="BW1959" s="825"/>
    </row>
    <row r="1960" spans="2:75" ht="12.75" customHeight="1" x14ac:dyDescent="0.2">
      <c r="B1960" s="175">
        <f t="shared" si="1169"/>
        <v>28</v>
      </c>
      <c r="C1960" s="219">
        <v>19</v>
      </c>
      <c r="E1960" s="12" t="s">
        <v>994</v>
      </c>
      <c r="F1960" s="1" t="s">
        <v>1493</v>
      </c>
      <c r="G1960" s="856" t="s">
        <v>690</v>
      </c>
      <c r="H1960" s="1413">
        <v>215196</v>
      </c>
      <c r="I1960" s="172" t="s">
        <v>1442</v>
      </c>
      <c r="J1960" s="168"/>
      <c r="K1960" s="168"/>
      <c r="L1960" s="841">
        <v>0.5</v>
      </c>
      <c r="M1960" s="858">
        <f t="shared" si="1170"/>
        <v>0.5</v>
      </c>
      <c r="N1960" s="999" t="s">
        <v>892</v>
      </c>
      <c r="O1960" s="1196">
        <v>15042</v>
      </c>
      <c r="P1960" s="1218">
        <f t="shared" ca="1" si="1163"/>
        <v>76.569444444444443</v>
      </c>
      <c r="Q1960" s="1148">
        <v>13200</v>
      </c>
      <c r="R1960" s="874"/>
      <c r="S1960" s="875"/>
      <c r="T1960" s="875"/>
      <c r="U1960" s="875"/>
      <c r="V1960" s="875">
        <v>6120</v>
      </c>
      <c r="W1960" s="875"/>
      <c r="X1960" s="1026">
        <f t="shared" si="1164"/>
        <v>9660</v>
      </c>
      <c r="Y1960" s="1512">
        <f t="shared" si="1165"/>
        <v>0</v>
      </c>
      <c r="Z1960" s="1741">
        <f t="shared" ref="Z1960:Z1972" si="1172">M1960*(1+Y1960)</f>
        <v>0.5</v>
      </c>
      <c r="AA1960" s="1749"/>
      <c r="AB1960" s="1810">
        <f t="shared" si="1167"/>
        <v>0</v>
      </c>
      <c r="AC1960" s="876"/>
      <c r="AD1960" s="1295"/>
      <c r="AE1960" s="1525"/>
      <c r="AF1960" s="1525"/>
      <c r="AG1960" s="1525"/>
      <c r="AH1960" s="1525"/>
      <c r="AI1960" s="1525"/>
      <c r="AJ1960" s="1525"/>
      <c r="AK1960" s="1525"/>
      <c r="AL1960" s="1525"/>
      <c r="AM1960" s="1525"/>
      <c r="AN1960" s="1525"/>
      <c r="AO1960" s="1525"/>
      <c r="AP1960" s="1525"/>
      <c r="AQ1960" s="1525"/>
      <c r="AR1960" s="1525"/>
      <c r="AS1960" s="1525"/>
      <c r="AU1960" s="1525"/>
      <c r="AV1960" s="1291"/>
      <c r="AW1960" s="1292"/>
      <c r="AX1960" s="1292"/>
      <c r="AY1960" s="1292"/>
      <c r="AZ1960" s="1292"/>
      <c r="BA1960" s="1292"/>
      <c r="BB1960" s="1292"/>
      <c r="BC1960" s="1292"/>
      <c r="BD1960" s="1292"/>
      <c r="BE1960" s="1292"/>
      <c r="BF1960" s="1292"/>
      <c r="BG1960" s="1292"/>
      <c r="BH1960" s="1292"/>
      <c r="BI1960" s="1292"/>
      <c r="BJ1960" s="1292"/>
      <c r="BK1960" s="1292"/>
      <c r="BL1960" s="1292"/>
      <c r="BM1960" s="1292"/>
      <c r="BN1960" s="1292"/>
      <c r="BO1960" s="1292"/>
      <c r="BP1960" s="1292"/>
      <c r="BQ1960" s="1292"/>
      <c r="BR1960" s="1292"/>
      <c r="BS1960" s="1292"/>
      <c r="BT1960" s="1765">
        <f t="shared" si="1168"/>
        <v>0</v>
      </c>
      <c r="BU1960" s="65"/>
      <c r="BV1960" s="65"/>
      <c r="BW1960" s="862" t="s">
        <v>690</v>
      </c>
    </row>
    <row r="1961" spans="2:75" ht="12.75" customHeight="1" x14ac:dyDescent="0.2">
      <c r="B1961" s="175">
        <f t="shared" si="1169"/>
        <v>29</v>
      </c>
      <c r="C1961" s="219">
        <v>19</v>
      </c>
      <c r="E1961" s="12" t="s">
        <v>994</v>
      </c>
      <c r="F1961" s="37" t="s">
        <v>1493</v>
      </c>
      <c r="G1961" s="913" t="s">
        <v>77</v>
      </c>
      <c r="H1961" s="1412">
        <v>6548</v>
      </c>
      <c r="I1961" s="180" t="s">
        <v>1442</v>
      </c>
      <c r="J1961" s="173"/>
      <c r="K1961" s="173"/>
      <c r="L1961" s="893">
        <v>0.5</v>
      </c>
      <c r="M1961" s="861">
        <f t="shared" si="1170"/>
        <v>0.5</v>
      </c>
      <c r="N1961" s="999" t="s">
        <v>1326</v>
      </c>
      <c r="O1961" s="1196">
        <v>18743</v>
      </c>
      <c r="P1961" s="1262">
        <f t="shared" ca="1" si="1163"/>
        <v>66.436111111111117</v>
      </c>
      <c r="Q1961" s="1148">
        <v>13200</v>
      </c>
      <c r="R1961" s="874"/>
      <c r="S1961" s="876"/>
      <c r="T1961" s="876"/>
      <c r="U1961" s="876"/>
      <c r="V1961" s="876">
        <v>6730</v>
      </c>
      <c r="W1961" s="876"/>
      <c r="X1961" s="1026">
        <f t="shared" si="1164"/>
        <v>9965</v>
      </c>
      <c r="Y1961" s="1512">
        <f t="shared" si="1165"/>
        <v>0</v>
      </c>
      <c r="Z1961" s="1741">
        <f t="shared" si="1172"/>
        <v>0.5</v>
      </c>
      <c r="AA1961" s="1749"/>
      <c r="AB1961" s="1810">
        <f t="shared" si="1167"/>
        <v>0</v>
      </c>
      <c r="AC1961" s="876"/>
      <c r="AD1961" s="1295"/>
      <c r="AE1961" s="1525"/>
      <c r="AF1961" s="1525"/>
      <c r="AG1961" s="1525"/>
      <c r="AH1961" s="1525"/>
      <c r="AI1961" s="1525"/>
      <c r="AJ1961" s="1525"/>
      <c r="AK1961" s="1525"/>
      <c r="AL1961" s="1525"/>
      <c r="AM1961" s="1525"/>
      <c r="AN1961" s="1525"/>
      <c r="AO1961" s="1525"/>
      <c r="AP1961" s="1525"/>
      <c r="AQ1961" s="1525"/>
      <c r="AR1961" s="1525"/>
      <c r="AS1961" s="1525"/>
      <c r="AU1961" s="1525"/>
      <c r="AV1961" s="1291"/>
      <c r="AW1961" s="1292"/>
      <c r="AX1961" s="1292"/>
      <c r="AY1961" s="1292"/>
      <c r="AZ1961" s="1292"/>
      <c r="BA1961" s="1292"/>
      <c r="BB1961" s="1292"/>
      <c r="BC1961" s="1292"/>
      <c r="BD1961" s="1292"/>
      <c r="BE1961" s="1292"/>
      <c r="BF1961" s="1292"/>
      <c r="BG1961" s="1292"/>
      <c r="BH1961" s="1292"/>
      <c r="BI1961" s="1292"/>
      <c r="BJ1961" s="1292"/>
      <c r="BK1961" s="1292"/>
      <c r="BL1961" s="1292"/>
      <c r="BM1961" s="1292"/>
      <c r="BN1961" s="1292"/>
      <c r="BO1961" s="1292"/>
      <c r="BP1961" s="1292"/>
      <c r="BQ1961" s="1292"/>
      <c r="BR1961" s="1292"/>
      <c r="BS1961" s="1292"/>
      <c r="BT1961" s="1765">
        <f t="shared" si="1168"/>
        <v>0</v>
      </c>
      <c r="BU1961" s="65"/>
      <c r="BV1961" s="65"/>
      <c r="BW1961" s="862" t="s">
        <v>77</v>
      </c>
    </row>
    <row r="1962" spans="2:75" ht="12.75" customHeight="1" x14ac:dyDescent="0.2">
      <c r="B1962" s="175">
        <f t="shared" si="1169"/>
        <v>30</v>
      </c>
      <c r="C1962" s="219">
        <v>19</v>
      </c>
      <c r="E1962" s="12" t="s">
        <v>994</v>
      </c>
      <c r="F1962" s="1" t="s">
        <v>1493</v>
      </c>
      <c r="G1962" s="856" t="s">
        <v>1676</v>
      </c>
      <c r="H1962" s="1413">
        <v>141030</v>
      </c>
      <c r="I1962" s="172" t="s">
        <v>1442</v>
      </c>
      <c r="J1962" s="168"/>
      <c r="K1962" s="168"/>
      <c r="L1962" s="841">
        <v>0.5</v>
      </c>
      <c r="M1962" s="858">
        <f t="shared" si="1170"/>
        <v>0.5</v>
      </c>
      <c r="N1962" s="999" t="s">
        <v>892</v>
      </c>
      <c r="O1962" s="1196">
        <v>23500</v>
      </c>
      <c r="P1962" s="1218">
        <f t="shared" ca="1" si="1163"/>
        <v>53.413888888888891</v>
      </c>
      <c r="Q1962" s="1148">
        <v>13200</v>
      </c>
      <c r="R1962" s="874"/>
      <c r="S1962" s="875"/>
      <c r="T1962" s="875"/>
      <c r="U1962" s="875"/>
      <c r="V1962" s="875">
        <v>6120</v>
      </c>
      <c r="W1962" s="875"/>
      <c r="X1962" s="1026">
        <f t="shared" si="1164"/>
        <v>9660</v>
      </c>
      <c r="Y1962" s="1512">
        <f t="shared" si="1165"/>
        <v>0</v>
      </c>
      <c r="Z1962" s="1741">
        <f t="shared" si="1172"/>
        <v>0.5</v>
      </c>
      <c r="AA1962" s="1749"/>
      <c r="AB1962" s="1810">
        <f t="shared" si="1167"/>
        <v>0</v>
      </c>
      <c r="AC1962" s="876"/>
      <c r="AD1962" s="1295"/>
      <c r="AE1962" s="1525"/>
      <c r="AF1962" s="1525"/>
      <c r="AG1962" s="1525"/>
      <c r="AH1962" s="1525"/>
      <c r="AI1962" s="1525"/>
      <c r="AJ1962" s="1525"/>
      <c r="AK1962" s="1525"/>
      <c r="AL1962" s="1525"/>
      <c r="AM1962" s="1525"/>
      <c r="AN1962" s="1525"/>
      <c r="AO1962" s="1525"/>
      <c r="AP1962" s="1525"/>
      <c r="AQ1962" s="1525"/>
      <c r="AR1962" s="1525"/>
      <c r="AS1962" s="1525"/>
      <c r="AU1962" s="1525"/>
      <c r="AV1962" s="1291"/>
      <c r="AW1962" s="1292"/>
      <c r="AX1962" s="1292"/>
      <c r="AY1962" s="1292"/>
      <c r="AZ1962" s="1292"/>
      <c r="BA1962" s="1292"/>
      <c r="BB1962" s="1292"/>
      <c r="BC1962" s="1292"/>
      <c r="BD1962" s="1292"/>
      <c r="BE1962" s="1292"/>
      <c r="BF1962" s="1292"/>
      <c r="BG1962" s="1292"/>
      <c r="BH1962" s="1292"/>
      <c r="BI1962" s="1292"/>
      <c r="BJ1962" s="1292"/>
      <c r="BK1962" s="1292"/>
      <c r="BL1962" s="1292"/>
      <c r="BM1962" s="1292"/>
      <c r="BN1962" s="1292"/>
      <c r="BO1962" s="1292"/>
      <c r="BP1962" s="1292"/>
      <c r="BQ1962" s="1292"/>
      <c r="BR1962" s="1292"/>
      <c r="BS1962" s="1292"/>
      <c r="BT1962" s="1765">
        <f t="shared" si="1168"/>
        <v>0</v>
      </c>
      <c r="BU1962" s="65"/>
      <c r="BV1962" s="65"/>
      <c r="BW1962" s="862" t="s">
        <v>1676</v>
      </c>
    </row>
    <row r="1963" spans="2:75" ht="12.75" customHeight="1" x14ac:dyDescent="0.2">
      <c r="B1963" s="175">
        <f t="shared" si="1169"/>
        <v>31</v>
      </c>
      <c r="C1963" s="219">
        <v>19</v>
      </c>
      <c r="E1963" s="12" t="s">
        <v>994</v>
      </c>
      <c r="F1963" s="1" t="s">
        <v>1493</v>
      </c>
      <c r="G1963" s="856" t="s">
        <v>78</v>
      </c>
      <c r="H1963" s="1413">
        <v>233170</v>
      </c>
      <c r="I1963" s="172" t="s">
        <v>1442</v>
      </c>
      <c r="J1963" s="168"/>
      <c r="K1963" s="168"/>
      <c r="L1963" s="841">
        <v>0.5</v>
      </c>
      <c r="M1963" s="858">
        <f t="shared" si="1170"/>
        <v>0.5</v>
      </c>
      <c r="N1963" s="999" t="s">
        <v>1326</v>
      </c>
      <c r="O1963" s="1196">
        <v>16940</v>
      </c>
      <c r="P1963" s="1218">
        <f t="shared" ca="1" si="1163"/>
        <v>71.37222222222222</v>
      </c>
      <c r="Q1963" s="1148">
        <v>13200</v>
      </c>
      <c r="R1963" s="874">
        <f>Q1963*0.1</f>
        <v>1320</v>
      </c>
      <c r="S1963" s="875"/>
      <c r="T1963" s="875"/>
      <c r="U1963" s="875"/>
      <c r="V1963" s="875">
        <v>6730</v>
      </c>
      <c r="W1963" s="875"/>
      <c r="X1963" s="1026">
        <f t="shared" si="1164"/>
        <v>10625</v>
      </c>
      <c r="Y1963" s="1512">
        <f t="shared" si="1165"/>
        <v>0</v>
      </c>
      <c r="Z1963" s="1741">
        <f t="shared" si="1172"/>
        <v>0.5</v>
      </c>
      <c r="AA1963" s="1749"/>
      <c r="AB1963" s="1810">
        <f t="shared" si="1167"/>
        <v>0</v>
      </c>
      <c r="AC1963" s="876"/>
      <c r="AD1963" s="1295"/>
      <c r="AE1963" s="1525"/>
      <c r="AF1963" s="1525"/>
      <c r="AG1963" s="1525"/>
      <c r="AH1963" s="1525"/>
      <c r="AI1963" s="1525"/>
      <c r="AJ1963" s="1525"/>
      <c r="AK1963" s="1525"/>
      <c r="AL1963" s="1525"/>
      <c r="AM1963" s="1525"/>
      <c r="AN1963" s="1525"/>
      <c r="AO1963" s="1525"/>
      <c r="AP1963" s="1525"/>
      <c r="AQ1963" s="1525"/>
      <c r="AR1963" s="1525"/>
      <c r="AS1963" s="1525"/>
      <c r="AU1963" s="1525"/>
      <c r="AV1963" s="1291"/>
      <c r="AW1963" s="1292"/>
      <c r="AX1963" s="1292"/>
      <c r="AY1963" s="1292"/>
      <c r="AZ1963" s="1292"/>
      <c r="BA1963" s="1292"/>
      <c r="BB1963" s="1292"/>
      <c r="BC1963" s="1292"/>
      <c r="BD1963" s="1292"/>
      <c r="BE1963" s="1292"/>
      <c r="BF1963" s="1292"/>
      <c r="BG1963" s="1292"/>
      <c r="BH1963" s="1292"/>
      <c r="BI1963" s="1292"/>
      <c r="BJ1963" s="1292"/>
      <c r="BK1963" s="1292"/>
      <c r="BL1963" s="1292"/>
      <c r="BM1963" s="1292"/>
      <c r="BN1963" s="1292"/>
      <c r="BO1963" s="1292"/>
      <c r="BP1963" s="1292"/>
      <c r="BQ1963" s="1292"/>
      <c r="BR1963" s="1292"/>
      <c r="BS1963" s="1292"/>
      <c r="BT1963" s="1765">
        <f t="shared" si="1168"/>
        <v>0</v>
      </c>
      <c r="BU1963" s="65"/>
      <c r="BV1963" s="65"/>
      <c r="BW1963" s="862" t="s">
        <v>78</v>
      </c>
    </row>
    <row r="1964" spans="2:75" ht="12.75" customHeight="1" x14ac:dyDescent="0.2">
      <c r="B1964" s="175">
        <f t="shared" si="1169"/>
        <v>32</v>
      </c>
      <c r="C1964" s="219">
        <v>19</v>
      </c>
      <c r="E1964" s="12" t="s">
        <v>994</v>
      </c>
      <c r="F1964" s="1" t="s">
        <v>1493</v>
      </c>
      <c r="G1964" s="856" t="s">
        <v>872</v>
      </c>
      <c r="H1964" s="1413">
        <v>101710</v>
      </c>
      <c r="I1964" s="172" t="s">
        <v>1442</v>
      </c>
      <c r="J1964" s="168"/>
      <c r="K1964" s="168"/>
      <c r="L1964" s="841">
        <v>0.5</v>
      </c>
      <c r="M1964" s="858">
        <f t="shared" si="1170"/>
        <v>0.5</v>
      </c>
      <c r="N1964" s="836" t="s">
        <v>892</v>
      </c>
      <c r="O1964" s="1196">
        <v>23830</v>
      </c>
      <c r="P1964" s="1218">
        <f t="shared" ca="1" si="1163"/>
        <v>52.508333333333333</v>
      </c>
      <c r="Q1964" s="1148">
        <v>13200</v>
      </c>
      <c r="R1964" s="874"/>
      <c r="S1964" s="875"/>
      <c r="T1964" s="875"/>
      <c r="U1964" s="875"/>
      <c r="V1964" s="875">
        <v>6120</v>
      </c>
      <c r="W1964" s="875"/>
      <c r="X1964" s="1026">
        <f t="shared" si="1164"/>
        <v>9660</v>
      </c>
      <c r="Y1964" s="1512">
        <f t="shared" si="1165"/>
        <v>0</v>
      </c>
      <c r="Z1964" s="1741">
        <f t="shared" si="1172"/>
        <v>0.5</v>
      </c>
      <c r="AA1964" s="1749"/>
      <c r="AB1964" s="1810">
        <f t="shared" si="1167"/>
        <v>0</v>
      </c>
      <c r="AC1964" s="876"/>
      <c r="AD1964" s="1295"/>
      <c r="AE1964" s="1525"/>
      <c r="AF1964" s="1525"/>
      <c r="AG1964" s="1525"/>
      <c r="AH1964" s="1525"/>
      <c r="AI1964" s="1525"/>
      <c r="AJ1964" s="1525"/>
      <c r="AK1964" s="1525"/>
      <c r="AL1964" s="1525"/>
      <c r="AM1964" s="1525"/>
      <c r="AN1964" s="1525"/>
      <c r="AO1964" s="1525"/>
      <c r="AP1964" s="1525"/>
      <c r="AQ1964" s="1525"/>
      <c r="AR1964" s="1525"/>
      <c r="AS1964" s="1525"/>
      <c r="AU1964" s="1525"/>
      <c r="AV1964" s="1291"/>
      <c r="AW1964" s="1292"/>
      <c r="AX1964" s="1292"/>
      <c r="AY1964" s="1292"/>
      <c r="AZ1964" s="1292"/>
      <c r="BA1964" s="1292"/>
      <c r="BB1964" s="1292"/>
      <c r="BC1964" s="1292"/>
      <c r="BD1964" s="1292"/>
      <c r="BE1964" s="1292"/>
      <c r="BF1964" s="1292"/>
      <c r="BG1964" s="1292"/>
      <c r="BH1964" s="1292"/>
      <c r="BI1964" s="1292"/>
      <c r="BJ1964" s="1292"/>
      <c r="BK1964" s="1292"/>
      <c r="BL1964" s="1292"/>
      <c r="BM1964" s="1292"/>
      <c r="BN1964" s="1292"/>
      <c r="BO1964" s="1292"/>
      <c r="BP1964" s="1292"/>
      <c r="BQ1964" s="1292"/>
      <c r="BR1964" s="1292"/>
      <c r="BS1964" s="1292"/>
      <c r="BT1964" s="1765">
        <f t="shared" si="1168"/>
        <v>0</v>
      </c>
      <c r="BU1964" s="65"/>
      <c r="BV1964" s="65"/>
      <c r="BW1964" s="862" t="s">
        <v>872</v>
      </c>
    </row>
    <row r="1965" spans="2:75" ht="12.75" customHeight="1" x14ac:dyDescent="0.2">
      <c r="B1965" s="175">
        <f t="shared" si="1169"/>
        <v>33</v>
      </c>
      <c r="C1965" s="219">
        <v>19</v>
      </c>
      <c r="E1965" s="12" t="s">
        <v>994</v>
      </c>
      <c r="F1965" s="1" t="s">
        <v>1493</v>
      </c>
      <c r="G1965" s="856" t="s">
        <v>1559</v>
      </c>
      <c r="H1965" s="1413">
        <v>253345</v>
      </c>
      <c r="I1965" s="172" t="s">
        <v>1442</v>
      </c>
      <c r="J1965" s="168"/>
      <c r="K1965" s="168"/>
      <c r="L1965" s="841">
        <v>0.5</v>
      </c>
      <c r="M1965" s="858">
        <v>0.5</v>
      </c>
      <c r="N1965" s="836" t="s">
        <v>892</v>
      </c>
      <c r="O1965" s="1196">
        <v>21788</v>
      </c>
      <c r="P1965" s="1218">
        <f t="shared" ca="1" si="1163"/>
        <v>58.1</v>
      </c>
      <c r="Q1965" s="1148">
        <v>13200</v>
      </c>
      <c r="R1965" s="874"/>
      <c r="S1965" s="875"/>
      <c r="T1965" s="875"/>
      <c r="U1965" s="875"/>
      <c r="V1965" s="875">
        <v>6120</v>
      </c>
      <c r="W1965" s="875"/>
      <c r="X1965" s="1026">
        <f t="shared" si="1164"/>
        <v>9660</v>
      </c>
      <c r="Y1965" s="1512">
        <f t="shared" si="1165"/>
        <v>0</v>
      </c>
      <c r="Z1965" s="1741">
        <f t="shared" si="1172"/>
        <v>0.5</v>
      </c>
      <c r="AA1965" s="1749"/>
      <c r="AB1965" s="1810">
        <f t="shared" si="1167"/>
        <v>0</v>
      </c>
      <c r="AC1965" s="876"/>
      <c r="AD1965" s="1295"/>
      <c r="AE1965" s="1525"/>
      <c r="AF1965" s="1525"/>
      <c r="AG1965" s="1525"/>
      <c r="AH1965" s="1525"/>
      <c r="AI1965" s="1525"/>
      <c r="AJ1965" s="1525"/>
      <c r="AK1965" s="1525"/>
      <c r="AL1965" s="1525"/>
      <c r="AM1965" s="1525"/>
      <c r="AN1965" s="1525"/>
      <c r="AO1965" s="1525"/>
      <c r="AP1965" s="1525"/>
      <c r="AQ1965" s="1525"/>
      <c r="AR1965" s="1525"/>
      <c r="AS1965" s="1525"/>
      <c r="AU1965" s="1525"/>
      <c r="AV1965" s="1291"/>
      <c r="AW1965" s="1292"/>
      <c r="AX1965" s="1292"/>
      <c r="AY1965" s="1292"/>
      <c r="AZ1965" s="1292"/>
      <c r="BA1965" s="1292"/>
      <c r="BB1965" s="1292"/>
      <c r="BC1965" s="1292"/>
      <c r="BD1965" s="1292"/>
      <c r="BE1965" s="1292"/>
      <c r="BF1965" s="1292"/>
      <c r="BG1965" s="1292"/>
      <c r="BH1965" s="1292"/>
      <c r="BI1965" s="1292"/>
      <c r="BJ1965" s="1292"/>
      <c r="BK1965" s="1292"/>
      <c r="BL1965" s="1292"/>
      <c r="BM1965" s="1292"/>
      <c r="BN1965" s="1292"/>
      <c r="BO1965" s="1292"/>
      <c r="BP1965" s="1292"/>
      <c r="BQ1965" s="1292"/>
      <c r="BR1965" s="1292"/>
      <c r="BS1965" s="1292"/>
      <c r="BT1965" s="1765">
        <f t="shared" si="1168"/>
        <v>0</v>
      </c>
      <c r="BU1965" s="65"/>
      <c r="BV1965" s="65"/>
      <c r="BW1965" s="862" t="s">
        <v>1559</v>
      </c>
    </row>
    <row r="1966" spans="2:75" ht="12.75" customHeight="1" x14ac:dyDescent="0.2">
      <c r="B1966" s="175">
        <f t="shared" si="1169"/>
        <v>34</v>
      </c>
      <c r="C1966" s="219">
        <v>19</v>
      </c>
      <c r="E1966" s="12" t="s">
        <v>994</v>
      </c>
      <c r="F1966" s="1" t="s">
        <v>1493</v>
      </c>
      <c r="G1966" s="856" t="s">
        <v>417</v>
      </c>
      <c r="H1966" s="1413">
        <v>993664</v>
      </c>
      <c r="I1966" s="172" t="s">
        <v>1442</v>
      </c>
      <c r="J1966" s="173"/>
      <c r="K1966" s="168"/>
      <c r="L1966" s="841">
        <v>1</v>
      </c>
      <c r="M1966" s="858">
        <v>1</v>
      </c>
      <c r="N1966" s="836" t="s">
        <v>892</v>
      </c>
      <c r="O1966" s="1196">
        <v>23340</v>
      </c>
      <c r="P1966" s="1218">
        <f t="shared" ca="1" si="1163"/>
        <v>53.852777777777774</v>
      </c>
      <c r="Q1966" s="1148">
        <v>13200</v>
      </c>
      <c r="R1966" s="874"/>
      <c r="S1966" s="875"/>
      <c r="T1966" s="875"/>
      <c r="U1966" s="875"/>
      <c r="V1966" s="875"/>
      <c r="W1966" s="875"/>
      <c r="X1966" s="1026">
        <f t="shared" si="1164"/>
        <v>13200</v>
      </c>
      <c r="Y1966" s="1512">
        <f t="shared" si="1165"/>
        <v>0</v>
      </c>
      <c r="Z1966" s="1741">
        <f t="shared" si="1172"/>
        <v>1</v>
      </c>
      <c r="AA1966" s="1749"/>
      <c r="AB1966" s="1810">
        <f t="shared" si="1167"/>
        <v>0</v>
      </c>
      <c r="AC1966" s="876"/>
      <c r="AD1966" s="1295"/>
      <c r="AE1966" s="1525"/>
      <c r="AF1966" s="1525"/>
      <c r="AG1966" s="1525"/>
      <c r="AH1966" s="1525"/>
      <c r="AI1966" s="1525"/>
      <c r="AJ1966" s="1525"/>
      <c r="AK1966" s="1525"/>
      <c r="AL1966" s="1525"/>
      <c r="AM1966" s="1525"/>
      <c r="AN1966" s="1525"/>
      <c r="AO1966" s="1525"/>
      <c r="AP1966" s="1525"/>
      <c r="AQ1966" s="1525"/>
      <c r="AR1966" s="1525"/>
      <c r="AS1966" s="1525"/>
      <c r="AU1966" s="1525"/>
      <c r="AV1966" s="1291"/>
      <c r="AW1966" s="1292"/>
      <c r="AX1966" s="1292"/>
      <c r="AY1966" s="1292"/>
      <c r="AZ1966" s="1292"/>
      <c r="BA1966" s="1292"/>
      <c r="BB1966" s="1292"/>
      <c r="BC1966" s="1292"/>
      <c r="BD1966" s="1292"/>
      <c r="BE1966" s="1292"/>
      <c r="BF1966" s="1292"/>
      <c r="BG1966" s="1292"/>
      <c r="BH1966" s="1292"/>
      <c r="BI1966" s="1292"/>
      <c r="BJ1966" s="1292"/>
      <c r="BK1966" s="1292"/>
      <c r="BL1966" s="1292"/>
      <c r="BM1966" s="1292"/>
      <c r="BN1966" s="1292"/>
      <c r="BO1966" s="1292"/>
      <c r="BP1966" s="1292"/>
      <c r="BQ1966" s="1292"/>
      <c r="BR1966" s="1292"/>
      <c r="BS1966" s="1292"/>
      <c r="BT1966" s="1765">
        <f t="shared" si="1168"/>
        <v>0</v>
      </c>
      <c r="BU1966" s="65"/>
      <c r="BV1966" s="65"/>
      <c r="BW1966" s="862" t="s">
        <v>417</v>
      </c>
    </row>
    <row r="1967" spans="2:75" ht="12.75" customHeight="1" x14ac:dyDescent="0.2">
      <c r="B1967" s="175">
        <f t="shared" si="1169"/>
        <v>35</v>
      </c>
      <c r="C1967" s="219">
        <v>20</v>
      </c>
      <c r="E1967" s="12" t="s">
        <v>994</v>
      </c>
      <c r="F1967" s="1" t="s">
        <v>1493</v>
      </c>
      <c r="G1967" s="856" t="s">
        <v>67</v>
      </c>
      <c r="H1967" s="1413">
        <v>124023</v>
      </c>
      <c r="I1967" s="172" t="s">
        <v>1442</v>
      </c>
      <c r="J1967" s="168"/>
      <c r="K1967" s="168"/>
      <c r="L1967" s="841">
        <v>0.5</v>
      </c>
      <c r="M1967" s="858">
        <v>0.5</v>
      </c>
      <c r="N1967" s="836" t="s">
        <v>892</v>
      </c>
      <c r="O1967" s="1196">
        <v>19437</v>
      </c>
      <c r="P1967" s="1218">
        <f t="shared" ca="1" si="1163"/>
        <v>64.536111111111111</v>
      </c>
      <c r="Q1967" s="1148">
        <v>13200</v>
      </c>
      <c r="R1967" s="874"/>
      <c r="S1967" s="875"/>
      <c r="T1967" s="875"/>
      <c r="U1967" s="875"/>
      <c r="V1967" s="875">
        <v>6120</v>
      </c>
      <c r="W1967" s="875"/>
      <c r="X1967" s="1026">
        <f t="shared" si="1164"/>
        <v>9660</v>
      </c>
      <c r="Y1967" s="1512">
        <f t="shared" si="1165"/>
        <v>0</v>
      </c>
      <c r="Z1967" s="1741">
        <f t="shared" si="1172"/>
        <v>0.5</v>
      </c>
      <c r="AA1967" s="1749"/>
      <c r="AB1967" s="1810">
        <f t="shared" si="1167"/>
        <v>0</v>
      </c>
      <c r="AC1967" s="876"/>
      <c r="AD1967" s="1295"/>
      <c r="AE1967" s="1525"/>
      <c r="AF1967" s="1525"/>
      <c r="AG1967" s="1525"/>
      <c r="AH1967" s="1525"/>
      <c r="AI1967" s="1525"/>
      <c r="AJ1967" s="1525"/>
      <c r="AK1967" s="1525"/>
      <c r="AL1967" s="1525"/>
      <c r="AM1967" s="1525"/>
      <c r="AN1967" s="1525"/>
      <c r="AO1967" s="1525"/>
      <c r="AP1967" s="1525"/>
      <c r="AQ1967" s="1525"/>
      <c r="AR1967" s="1525"/>
      <c r="AS1967" s="1525"/>
      <c r="AU1967" s="1525"/>
      <c r="AV1967" s="1291"/>
      <c r="AW1967" s="1292"/>
      <c r="AX1967" s="1292"/>
      <c r="AY1967" s="1292"/>
      <c r="AZ1967" s="1292"/>
      <c r="BA1967" s="1292"/>
      <c r="BB1967" s="1292"/>
      <c r="BC1967" s="1292"/>
      <c r="BD1967" s="1292"/>
      <c r="BE1967" s="1292"/>
      <c r="BF1967" s="1292"/>
      <c r="BG1967" s="1292"/>
      <c r="BH1967" s="1292"/>
      <c r="BI1967" s="1292"/>
      <c r="BJ1967" s="1292"/>
      <c r="BK1967" s="1292"/>
      <c r="BL1967" s="1292"/>
      <c r="BM1967" s="1292"/>
      <c r="BN1967" s="1292"/>
      <c r="BO1967" s="1292"/>
      <c r="BP1967" s="1292"/>
      <c r="BQ1967" s="1292"/>
      <c r="BR1967" s="1292"/>
      <c r="BS1967" s="1292"/>
      <c r="BT1967" s="1765">
        <f t="shared" si="1168"/>
        <v>0</v>
      </c>
      <c r="BU1967" s="65"/>
      <c r="BV1967" s="65"/>
      <c r="BW1967" s="862" t="s">
        <v>67</v>
      </c>
    </row>
    <row r="1968" spans="2:75" ht="12.75" customHeight="1" x14ac:dyDescent="0.2">
      <c r="B1968" s="175">
        <f t="shared" si="1169"/>
        <v>36</v>
      </c>
      <c r="C1968" s="219">
        <v>19</v>
      </c>
      <c r="E1968" s="12" t="s">
        <v>994</v>
      </c>
      <c r="F1968" s="1" t="s">
        <v>1493</v>
      </c>
      <c r="G1968" s="856" t="s">
        <v>1789</v>
      </c>
      <c r="H1968" s="1413">
        <v>151245</v>
      </c>
      <c r="I1968" s="172" t="s">
        <v>1442</v>
      </c>
      <c r="J1968" s="168"/>
      <c r="K1968" s="168"/>
      <c r="L1968" s="841">
        <v>0.5</v>
      </c>
      <c r="M1968" s="858">
        <f>K1968+L1968</f>
        <v>0.5</v>
      </c>
      <c r="N1968" s="836" t="s">
        <v>892</v>
      </c>
      <c r="O1968" s="1196">
        <v>24498</v>
      </c>
      <c r="P1968" s="1218">
        <f t="shared" ca="1" si="1163"/>
        <v>50.68333333333333</v>
      </c>
      <c r="Q1968" s="1148">
        <v>13200</v>
      </c>
      <c r="R1968" s="874"/>
      <c r="S1968" s="875"/>
      <c r="T1968" s="875"/>
      <c r="U1968" s="875"/>
      <c r="V1968" s="875">
        <v>6120</v>
      </c>
      <c r="W1968" s="875"/>
      <c r="X1968" s="1026">
        <f t="shared" si="1164"/>
        <v>9660</v>
      </c>
      <c r="Y1968" s="1512">
        <f t="shared" si="1165"/>
        <v>0</v>
      </c>
      <c r="Z1968" s="1741">
        <f t="shared" si="1172"/>
        <v>0.5</v>
      </c>
      <c r="AA1968" s="1749"/>
      <c r="AB1968" s="1810">
        <f t="shared" si="1167"/>
        <v>0</v>
      </c>
      <c r="AC1968" s="876"/>
      <c r="AD1968" s="1295"/>
      <c r="AE1968" s="1525"/>
      <c r="AF1968" s="1525"/>
      <c r="AG1968" s="1525"/>
      <c r="AH1968" s="1525"/>
      <c r="AI1968" s="1525"/>
      <c r="AJ1968" s="1525"/>
      <c r="AK1968" s="1525"/>
      <c r="AL1968" s="1525"/>
      <c r="AM1968" s="1525"/>
      <c r="AN1968" s="1525"/>
      <c r="AO1968" s="1525"/>
      <c r="AP1968" s="1525"/>
      <c r="AQ1968" s="1525"/>
      <c r="AR1968" s="1525"/>
      <c r="AS1968" s="1525"/>
      <c r="AU1968" s="1525"/>
      <c r="AV1968" s="1291"/>
      <c r="AW1968" s="1292"/>
      <c r="AX1968" s="1292"/>
      <c r="AY1968" s="1292"/>
      <c r="AZ1968" s="1292"/>
      <c r="BA1968" s="1292"/>
      <c r="BB1968" s="1292"/>
      <c r="BC1968" s="1292"/>
      <c r="BD1968" s="1292"/>
      <c r="BE1968" s="1292"/>
      <c r="BF1968" s="1292"/>
      <c r="BG1968" s="1292"/>
      <c r="BH1968" s="1292"/>
      <c r="BI1968" s="1292"/>
      <c r="BJ1968" s="1292"/>
      <c r="BK1968" s="1292"/>
      <c r="BL1968" s="1292"/>
      <c r="BM1968" s="1292"/>
      <c r="BN1968" s="1292"/>
      <c r="BO1968" s="1292"/>
      <c r="BP1968" s="1292"/>
      <c r="BQ1968" s="1292"/>
      <c r="BR1968" s="1292"/>
      <c r="BS1968" s="1292"/>
      <c r="BT1968" s="1765">
        <f t="shared" si="1168"/>
        <v>0</v>
      </c>
      <c r="BU1968" s="65"/>
      <c r="BV1968" s="65"/>
      <c r="BW1968" s="862" t="s">
        <v>1789</v>
      </c>
    </row>
    <row r="1969" spans="1:123" ht="12.75" customHeight="1" x14ac:dyDescent="0.2">
      <c r="B1969" s="175">
        <f t="shared" si="1169"/>
        <v>37</v>
      </c>
      <c r="C1969" s="219">
        <v>19</v>
      </c>
      <c r="E1969" s="12" t="s">
        <v>994</v>
      </c>
      <c r="F1969" s="1" t="s">
        <v>1493</v>
      </c>
      <c r="G1969" s="856" t="s">
        <v>873</v>
      </c>
      <c r="H1969" s="1413">
        <v>101713</v>
      </c>
      <c r="I1969" s="172" t="s">
        <v>1442</v>
      </c>
      <c r="J1969" s="168"/>
      <c r="K1969" s="168"/>
      <c r="L1969" s="841">
        <v>0.5</v>
      </c>
      <c r="M1969" s="858">
        <v>0.5</v>
      </c>
      <c r="N1969" s="836" t="s">
        <v>892</v>
      </c>
      <c r="O1969" s="1196">
        <v>18264</v>
      </c>
      <c r="P1969" s="1218">
        <f t="shared" ca="1" si="1163"/>
        <v>67.75277777777778</v>
      </c>
      <c r="Q1969" s="1148">
        <v>13200</v>
      </c>
      <c r="R1969" s="874"/>
      <c r="S1969" s="875"/>
      <c r="T1969" s="875"/>
      <c r="U1969" s="875"/>
      <c r="V1969" s="875">
        <v>6120</v>
      </c>
      <c r="W1969" s="875"/>
      <c r="X1969" s="1026">
        <f t="shared" si="1164"/>
        <v>9660</v>
      </c>
      <c r="Y1969" s="1512">
        <f t="shared" si="1165"/>
        <v>0</v>
      </c>
      <c r="Z1969" s="1741">
        <f t="shared" si="1172"/>
        <v>0.5</v>
      </c>
      <c r="AA1969" s="1749"/>
      <c r="AB1969" s="1810">
        <f t="shared" si="1167"/>
        <v>0</v>
      </c>
      <c r="AC1969" s="876"/>
      <c r="AD1969" s="1295"/>
      <c r="AE1969" s="1525"/>
      <c r="AF1969" s="1525"/>
      <c r="AG1969" s="1525"/>
      <c r="AH1969" s="1525"/>
      <c r="AI1969" s="1525"/>
      <c r="AJ1969" s="1525"/>
      <c r="AK1969" s="1525"/>
      <c r="AL1969" s="1525"/>
      <c r="AM1969" s="1525"/>
      <c r="AN1969" s="1525"/>
      <c r="AO1969" s="1525"/>
      <c r="AP1969" s="1525"/>
      <c r="AQ1969" s="1525"/>
      <c r="AR1969" s="1525"/>
      <c r="AS1969" s="1525"/>
      <c r="AU1969" s="1525"/>
      <c r="AV1969" s="1291"/>
      <c r="AW1969" s="1292"/>
      <c r="AX1969" s="1292"/>
      <c r="AY1969" s="1292"/>
      <c r="AZ1969" s="1292"/>
      <c r="BA1969" s="1292"/>
      <c r="BB1969" s="1292"/>
      <c r="BC1969" s="1292"/>
      <c r="BD1969" s="1292"/>
      <c r="BE1969" s="1292"/>
      <c r="BF1969" s="1292"/>
      <c r="BG1969" s="1292"/>
      <c r="BH1969" s="1292"/>
      <c r="BI1969" s="1292"/>
      <c r="BJ1969" s="1292"/>
      <c r="BK1969" s="1292"/>
      <c r="BL1969" s="1292"/>
      <c r="BM1969" s="1292"/>
      <c r="BN1969" s="1292"/>
      <c r="BO1969" s="1292"/>
      <c r="BP1969" s="1292"/>
      <c r="BQ1969" s="1292"/>
      <c r="BR1969" s="1292"/>
      <c r="BS1969" s="1292"/>
      <c r="BT1969" s="1765">
        <f t="shared" si="1168"/>
        <v>0</v>
      </c>
      <c r="BU1969" s="65"/>
      <c r="BV1969" s="65"/>
      <c r="BW1969" s="862" t="s">
        <v>873</v>
      </c>
    </row>
    <row r="1970" spans="1:123" ht="12.75" customHeight="1" x14ac:dyDescent="0.2">
      <c r="B1970" s="175">
        <f t="shared" si="1169"/>
        <v>38</v>
      </c>
      <c r="C1970" s="1208">
        <v>19</v>
      </c>
      <c r="D1970"/>
      <c r="E1970" s="12" t="s">
        <v>994</v>
      </c>
      <c r="F1970" s="1" t="s">
        <v>1493</v>
      </c>
      <c r="G1970" s="856" t="s">
        <v>79</v>
      </c>
      <c r="H1970" s="1413">
        <v>40578</v>
      </c>
      <c r="I1970" s="172" t="s">
        <v>1442</v>
      </c>
      <c r="J1970" s="168"/>
      <c r="K1970" s="168"/>
      <c r="L1970" s="841">
        <v>0.5</v>
      </c>
      <c r="M1970" s="858">
        <v>0.5</v>
      </c>
      <c r="N1970" s="999" t="s">
        <v>1326</v>
      </c>
      <c r="O1970" s="1196">
        <v>20566</v>
      </c>
      <c r="P1970" s="1218">
        <f t="shared" ca="1" si="1163"/>
        <v>61.447222222222223</v>
      </c>
      <c r="Q1970" s="1148">
        <v>13200</v>
      </c>
      <c r="R1970" s="874">
        <f>Q1970*0.1</f>
        <v>1320</v>
      </c>
      <c r="S1970" s="875"/>
      <c r="T1970" s="875"/>
      <c r="U1970" s="875"/>
      <c r="V1970" s="875">
        <v>6730</v>
      </c>
      <c r="W1970" s="875"/>
      <c r="X1970" s="1026">
        <f t="shared" si="1164"/>
        <v>10625</v>
      </c>
      <c r="Y1970" s="1512">
        <f t="shared" si="1165"/>
        <v>0</v>
      </c>
      <c r="Z1970" s="1741">
        <f t="shared" si="1172"/>
        <v>0.5</v>
      </c>
      <c r="AA1970" s="1749"/>
      <c r="AB1970" s="1810">
        <f t="shared" si="1167"/>
        <v>0</v>
      </c>
      <c r="AC1970" s="876"/>
      <c r="AD1970" s="1295"/>
      <c r="AE1970" s="1525"/>
      <c r="AF1970" s="1525"/>
      <c r="AG1970" s="1525"/>
      <c r="AH1970" s="1525"/>
      <c r="AI1970" s="1525"/>
      <c r="AJ1970" s="1525"/>
      <c r="AK1970" s="1525"/>
      <c r="AL1970" s="1525"/>
      <c r="AM1970" s="1525"/>
      <c r="AN1970" s="1525"/>
      <c r="AO1970" s="1525"/>
      <c r="AP1970" s="1525"/>
      <c r="AQ1970" s="1525"/>
      <c r="AR1970" s="1525"/>
      <c r="AS1970" s="1525"/>
      <c r="AU1970" s="1525"/>
      <c r="AV1970" s="1291"/>
      <c r="AW1970" s="1292"/>
      <c r="AX1970" s="1292"/>
      <c r="AY1970" s="1292"/>
      <c r="AZ1970" s="1292"/>
      <c r="BA1970" s="1292"/>
      <c r="BB1970" s="1292"/>
      <c r="BC1970" s="1292"/>
      <c r="BD1970" s="1292"/>
      <c r="BE1970" s="1292"/>
      <c r="BF1970" s="1292"/>
      <c r="BG1970" s="1292"/>
      <c r="BH1970" s="1292"/>
      <c r="BI1970" s="1292"/>
      <c r="BJ1970" s="1292"/>
      <c r="BK1970" s="1292"/>
      <c r="BL1970" s="1292"/>
      <c r="BM1970" s="1292"/>
      <c r="BN1970" s="1292"/>
      <c r="BO1970" s="1292"/>
      <c r="BP1970" s="1292"/>
      <c r="BQ1970" s="1292"/>
      <c r="BR1970" s="1292"/>
      <c r="BS1970" s="1292"/>
      <c r="BT1970" s="1765">
        <f t="shared" si="1168"/>
        <v>0</v>
      </c>
      <c r="BU1970" s="65"/>
      <c r="BV1970" s="65"/>
      <c r="BW1970" s="862" t="s">
        <v>79</v>
      </c>
    </row>
    <row r="1971" spans="1:123" ht="12.75" customHeight="1" x14ac:dyDescent="0.2">
      <c r="B1971" s="175">
        <f t="shared" si="1169"/>
        <v>39</v>
      </c>
      <c r="C1971" s="1208">
        <v>19</v>
      </c>
      <c r="D1971"/>
      <c r="E1971" s="12" t="s">
        <v>994</v>
      </c>
      <c r="F1971" s="1" t="s">
        <v>1493</v>
      </c>
      <c r="G1971" s="856" t="s">
        <v>1720</v>
      </c>
      <c r="H1971" s="1413">
        <v>144522</v>
      </c>
      <c r="I1971" s="172" t="s">
        <v>1442</v>
      </c>
      <c r="J1971" s="168"/>
      <c r="K1971" s="168"/>
      <c r="L1971" s="841">
        <v>0.5</v>
      </c>
      <c r="M1971" s="858">
        <v>0.5</v>
      </c>
      <c r="N1971" s="999" t="s">
        <v>892</v>
      </c>
      <c r="O1971" s="1196">
        <v>22266</v>
      </c>
      <c r="P1971" s="1218">
        <f t="shared" ca="1" si="1163"/>
        <v>56.794444444444444</v>
      </c>
      <c r="Q1971" s="1148">
        <v>13200</v>
      </c>
      <c r="R1971" s="874"/>
      <c r="S1971" s="875"/>
      <c r="T1971" s="875"/>
      <c r="U1971" s="875"/>
      <c r="V1971" s="875">
        <v>6120</v>
      </c>
      <c r="W1971" s="875"/>
      <c r="X1971" s="1026">
        <f t="shared" si="1164"/>
        <v>9660</v>
      </c>
      <c r="Y1971" s="1512">
        <f t="shared" si="1165"/>
        <v>0</v>
      </c>
      <c r="Z1971" s="1741">
        <f t="shared" si="1172"/>
        <v>0.5</v>
      </c>
      <c r="AA1971" s="1749"/>
      <c r="AB1971" s="1810">
        <f t="shared" si="1167"/>
        <v>0</v>
      </c>
      <c r="AC1971" s="876"/>
      <c r="AD1971" s="1295"/>
      <c r="AE1971" s="1525"/>
      <c r="AF1971" s="1525"/>
      <c r="AG1971" s="1525"/>
      <c r="AH1971" s="1525"/>
      <c r="AI1971" s="1525"/>
      <c r="AJ1971" s="1525"/>
      <c r="AK1971" s="1525"/>
      <c r="AL1971" s="1525"/>
      <c r="AM1971" s="1525"/>
      <c r="AN1971" s="1525"/>
      <c r="AO1971" s="1525"/>
      <c r="AP1971" s="1525"/>
      <c r="AQ1971" s="1525"/>
      <c r="AR1971" s="1525"/>
      <c r="AS1971" s="1525"/>
      <c r="AU1971" s="1525"/>
      <c r="AV1971" s="1291"/>
      <c r="AW1971" s="1292"/>
      <c r="AX1971" s="1292"/>
      <c r="AY1971" s="1292"/>
      <c r="AZ1971" s="1292"/>
      <c r="BA1971" s="1292"/>
      <c r="BB1971" s="1292"/>
      <c r="BC1971" s="1292"/>
      <c r="BD1971" s="1292"/>
      <c r="BE1971" s="1292"/>
      <c r="BF1971" s="1292"/>
      <c r="BG1971" s="1292"/>
      <c r="BH1971" s="1292"/>
      <c r="BI1971" s="1292"/>
      <c r="BJ1971" s="1292"/>
      <c r="BK1971" s="1292"/>
      <c r="BL1971" s="1292"/>
      <c r="BM1971" s="1292"/>
      <c r="BN1971" s="1292"/>
      <c r="BO1971" s="1292"/>
      <c r="BP1971" s="1292"/>
      <c r="BQ1971" s="1292"/>
      <c r="BR1971" s="1292"/>
      <c r="BS1971" s="1292"/>
      <c r="BT1971" s="1765">
        <f t="shared" si="1168"/>
        <v>0</v>
      </c>
      <c r="BU1971" s="65"/>
      <c r="BV1971" s="65"/>
      <c r="BW1971" s="862" t="s">
        <v>1720</v>
      </c>
    </row>
    <row r="1972" spans="1:123" ht="12.75" customHeight="1" x14ac:dyDescent="0.2">
      <c r="B1972" s="175">
        <f t="shared" si="1169"/>
        <v>40</v>
      </c>
      <c r="C1972" s="219">
        <v>19</v>
      </c>
      <c r="E1972" s="12" t="s">
        <v>994</v>
      </c>
      <c r="F1972" s="1" t="s">
        <v>1493</v>
      </c>
      <c r="G1972" s="945" t="s">
        <v>80</v>
      </c>
      <c r="H1972" s="1414">
        <v>221441</v>
      </c>
      <c r="I1972" s="172" t="s">
        <v>1442</v>
      </c>
      <c r="J1972" s="177"/>
      <c r="K1972" s="177"/>
      <c r="L1972" s="944">
        <v>0.5</v>
      </c>
      <c r="M1972" s="873">
        <f>K1972+L1972</f>
        <v>0.5</v>
      </c>
      <c r="N1972" s="1010" t="s">
        <v>892</v>
      </c>
      <c r="O1972" s="1211">
        <v>20640</v>
      </c>
      <c r="P1972" s="1218">
        <f t="shared" ca="1" si="1163"/>
        <v>61.244444444444447</v>
      </c>
      <c r="Q1972" s="1148">
        <v>13200</v>
      </c>
      <c r="R1972" s="890"/>
      <c r="S1972" s="891"/>
      <c r="T1972" s="891"/>
      <c r="U1972" s="891"/>
      <c r="V1972" s="891">
        <v>6120</v>
      </c>
      <c r="W1972" s="891"/>
      <c r="X1972" s="1026">
        <f t="shared" si="1164"/>
        <v>9660</v>
      </c>
      <c r="Y1972" s="1512">
        <f t="shared" si="1165"/>
        <v>0</v>
      </c>
      <c r="Z1972" s="1741">
        <f t="shared" si="1172"/>
        <v>0.5</v>
      </c>
      <c r="AA1972" s="1750"/>
      <c r="AB1972" s="1810">
        <f t="shared" si="1167"/>
        <v>0</v>
      </c>
      <c r="AC1972" s="876"/>
      <c r="AD1972" s="1290"/>
      <c r="AE1972" s="170"/>
      <c r="AF1972" s="170"/>
      <c r="AG1972" s="170"/>
      <c r="AH1972" s="170"/>
      <c r="AI1972" s="170"/>
      <c r="AJ1972" s="170"/>
      <c r="AK1972" s="170"/>
      <c r="AL1972" s="1294"/>
      <c r="AM1972" s="555"/>
      <c r="AN1972" s="555"/>
      <c r="AO1972" s="555"/>
      <c r="AP1972" s="555"/>
      <c r="AQ1972" s="555"/>
      <c r="AR1972" s="555"/>
      <c r="AS1972" s="170"/>
      <c r="AU1972" s="170"/>
      <c r="AV1972" s="1291"/>
      <c r="BT1972" s="1766">
        <f t="shared" si="1168"/>
        <v>0</v>
      </c>
      <c r="BU1972" s="65"/>
      <c r="BV1972" s="65"/>
      <c r="BW1972" s="862" t="s">
        <v>80</v>
      </c>
    </row>
    <row r="1973" spans="1:123" s="548" customFormat="1" ht="12.75" customHeight="1" x14ac:dyDescent="0.15">
      <c r="A1973" s="164"/>
      <c r="B1973" s="175"/>
      <c r="C1973" s="219" t="s">
        <v>1120</v>
      </c>
      <c r="D1973" s="164"/>
      <c r="E1973" s="164"/>
      <c r="F1973" s="37"/>
      <c r="G1973" s="913"/>
      <c r="H1973" s="1351"/>
      <c r="I1973" s="180"/>
      <c r="J1973" s="173"/>
      <c r="K1973" s="446">
        <f>SUM(K1933:K1972)</f>
        <v>0</v>
      </c>
      <c r="L1973" s="892">
        <f>SUM(L1933:L1972)</f>
        <v>20.5</v>
      </c>
      <c r="M1973" s="892">
        <f>SUM(M1933:M1972)</f>
        <v>20.5</v>
      </c>
      <c r="N1973" s="832"/>
      <c r="O1973" s="175"/>
      <c r="P1973" s="1240"/>
      <c r="Q1973" s="1148"/>
      <c r="R1973" s="885"/>
      <c r="S1973" s="875"/>
      <c r="T1973" s="875"/>
      <c r="U1973" s="875"/>
      <c r="V1973" s="875"/>
      <c r="W1973" s="875"/>
      <c r="X1973" s="1026"/>
      <c r="Y1973" s="875"/>
      <c r="Z1973" s="875"/>
      <c r="AA1973" s="170"/>
      <c r="AB1973" s="1515"/>
      <c r="AC1973" s="876"/>
      <c r="AD1973" s="1762"/>
      <c r="AE1973" s="1763"/>
      <c r="AF1973" s="1763"/>
      <c r="AG1973" s="1763"/>
      <c r="AH1973" s="1763"/>
      <c r="AI1973" s="1763"/>
      <c r="AJ1973" s="1763"/>
      <c r="AK1973" s="1763"/>
      <c r="AL1973" s="1762"/>
      <c r="AM1973" s="1764"/>
      <c r="AN1973" s="1764"/>
      <c r="AO1973" s="1764"/>
      <c r="AP1973" s="1764"/>
      <c r="AQ1973" s="1764"/>
      <c r="AR1973" s="1764"/>
      <c r="AS1973" s="1763"/>
      <c r="AT1973" s="1763"/>
      <c r="AU1973" s="1763"/>
      <c r="AV1973" s="1763"/>
      <c r="AW1973" s="1763"/>
      <c r="AX1973" s="1763"/>
      <c r="AY1973" s="1763"/>
      <c r="AZ1973" s="1763"/>
      <c r="BA1973" s="1763"/>
      <c r="BB1973" s="1763"/>
      <c r="BC1973" s="1763"/>
      <c r="BD1973" s="1763"/>
      <c r="BE1973" s="1763"/>
      <c r="BF1973" s="1763"/>
      <c r="BG1973" s="1763"/>
      <c r="BH1973" s="1763"/>
      <c r="BI1973" s="1763"/>
      <c r="BJ1973" s="1763"/>
      <c r="BK1973" s="1763"/>
      <c r="BL1973" s="1763"/>
      <c r="BM1973" s="1763"/>
      <c r="BN1973" s="1763"/>
      <c r="BO1973" s="1763"/>
      <c r="BP1973" s="1763"/>
      <c r="BQ1973" s="1763"/>
      <c r="BR1973" s="1763"/>
      <c r="BS1973" s="1763"/>
      <c r="BT1973" s="1767"/>
      <c r="BU1973" s="224"/>
      <c r="BV1973" s="65"/>
      <c r="BW1973" s="862"/>
      <c r="BX1973" s="224"/>
      <c r="BY1973" s="224"/>
      <c r="BZ1973" s="224"/>
      <c r="CA1973" s="224"/>
      <c r="CB1973" s="224"/>
      <c r="CC1973" s="224"/>
      <c r="CD1973" s="224"/>
      <c r="CE1973" s="224"/>
      <c r="CF1973" s="224"/>
      <c r="CG1973" s="224"/>
      <c r="CH1973" s="224"/>
      <c r="CI1973" s="224"/>
      <c r="CJ1973" s="224"/>
      <c r="CK1973" s="224"/>
      <c r="CL1973" s="224"/>
      <c r="CM1973" s="224"/>
      <c r="CN1973" s="224"/>
      <c r="CO1973" s="224"/>
      <c r="CP1973" s="224"/>
      <c r="CQ1973" s="224"/>
      <c r="CR1973" s="224"/>
      <c r="CS1973" s="224"/>
      <c r="CT1973" s="224"/>
      <c r="CU1973" s="224"/>
      <c r="CV1973" s="224"/>
      <c r="CW1973" s="224"/>
      <c r="CX1973" s="224"/>
      <c r="CY1973" s="224"/>
      <c r="CZ1973" s="224"/>
      <c r="DA1973" s="224"/>
      <c r="DB1973" s="224"/>
      <c r="DC1973" s="224"/>
      <c r="DD1973" s="224"/>
      <c r="DE1973" s="224"/>
      <c r="DF1973" s="224"/>
      <c r="DG1973" s="224"/>
      <c r="DH1973" s="224"/>
      <c r="DI1973" s="224"/>
      <c r="DJ1973" s="224"/>
      <c r="DK1973" s="224"/>
      <c r="DL1973" s="224"/>
      <c r="DM1973" s="224"/>
      <c r="DN1973" s="224"/>
      <c r="DO1973" s="224"/>
      <c r="DP1973" s="224"/>
      <c r="DQ1973" s="224"/>
      <c r="DR1973" s="224"/>
      <c r="DS1973" s="1768"/>
    </row>
    <row r="1974" spans="1:123" s="548" customFormat="1" ht="12.75" customHeight="1" thickBot="1" x14ac:dyDescent="0.2">
      <c r="A1974" s="164"/>
      <c r="B1974" s="175"/>
      <c r="C1974" s="164"/>
      <c r="D1974" s="164"/>
      <c r="E1974" s="164"/>
      <c r="F1974" s="37"/>
      <c r="G1974" s="913"/>
      <c r="H1974" s="1368"/>
      <c r="I1974" s="180"/>
      <c r="J1974" s="173"/>
      <c r="K1974" s="223"/>
      <c r="L1974" s="917"/>
      <c r="M1974" s="917"/>
      <c r="N1974" s="832"/>
      <c r="O1974" s="175"/>
      <c r="P1974" s="1240"/>
      <c r="Q1974" s="1148"/>
      <c r="R1974" s="885"/>
      <c r="S1974" s="875"/>
      <c r="T1974" s="875"/>
      <c r="U1974" s="875"/>
      <c r="V1974" s="875"/>
      <c r="W1974" s="875"/>
      <c r="X1974" s="1026"/>
      <c r="Y1974" s="875"/>
      <c r="Z1974" s="875"/>
      <c r="AA1974" s="170"/>
      <c r="AB1974" s="1515"/>
      <c r="AC1974" s="876"/>
      <c r="AD1974" s="1762"/>
      <c r="AE1974" s="1763"/>
      <c r="AF1974" s="1763"/>
      <c r="AG1974" s="1763"/>
      <c r="AH1974" s="1763"/>
      <c r="AI1974" s="1763"/>
      <c r="AJ1974" s="1763"/>
      <c r="AK1974" s="1763"/>
      <c r="AL1974" s="1762"/>
      <c r="AM1974" s="1764"/>
      <c r="AN1974" s="1764"/>
      <c r="AO1974" s="1764"/>
      <c r="AP1974" s="1764"/>
      <c r="AQ1974" s="1764"/>
      <c r="AR1974" s="1764"/>
      <c r="AS1974" s="1763"/>
      <c r="AT1974" s="1763"/>
      <c r="AU1974" s="1763"/>
      <c r="AV1974" s="1763"/>
      <c r="AW1974" s="1763"/>
      <c r="AX1974" s="1763"/>
      <c r="AY1974" s="1763"/>
      <c r="AZ1974" s="1763"/>
      <c r="BA1974" s="1763"/>
      <c r="BB1974" s="1763"/>
      <c r="BC1974" s="1763"/>
      <c r="BD1974" s="1763"/>
      <c r="BE1974" s="1763"/>
      <c r="BF1974" s="1763"/>
      <c r="BG1974" s="1763"/>
      <c r="BH1974" s="1763"/>
      <c r="BI1974" s="1763"/>
      <c r="BJ1974" s="1763"/>
      <c r="BK1974" s="1763"/>
      <c r="BL1974" s="1763"/>
      <c r="BM1974" s="1763"/>
      <c r="BN1974" s="1763"/>
      <c r="BO1974" s="1763"/>
      <c r="BP1974" s="1763"/>
      <c r="BQ1974" s="1763"/>
      <c r="BR1974" s="1763"/>
      <c r="BS1974" s="1763"/>
      <c r="BT1974" s="1767"/>
      <c r="BU1974" s="224"/>
      <c r="BV1974" s="65"/>
      <c r="BW1974" s="862"/>
      <c r="BX1974" s="224"/>
      <c r="BY1974" s="224"/>
      <c r="BZ1974" s="224"/>
      <c r="CA1974" s="224"/>
      <c r="CB1974" s="224"/>
      <c r="CC1974" s="224"/>
      <c r="CD1974" s="224"/>
      <c r="CE1974" s="224"/>
      <c r="CF1974" s="224"/>
      <c r="CG1974" s="224"/>
      <c r="CH1974" s="224"/>
      <c r="CI1974" s="224"/>
      <c r="CJ1974" s="224"/>
      <c r="CK1974" s="224"/>
      <c r="CL1974" s="224"/>
      <c r="CM1974" s="224"/>
      <c r="CN1974" s="224"/>
      <c r="CO1974" s="224"/>
      <c r="CP1974" s="224"/>
      <c r="CQ1974" s="224"/>
      <c r="CR1974" s="224"/>
      <c r="CS1974" s="224"/>
      <c r="CT1974" s="224"/>
      <c r="CU1974" s="224"/>
      <c r="CV1974" s="224"/>
      <c r="CW1974" s="224"/>
      <c r="CX1974" s="224"/>
      <c r="CY1974" s="224"/>
      <c r="CZ1974" s="224"/>
      <c r="DA1974" s="224"/>
      <c r="DB1974" s="224"/>
      <c r="DC1974" s="224"/>
      <c r="DD1974" s="224"/>
      <c r="DE1974" s="224"/>
      <c r="DF1974" s="224"/>
      <c r="DG1974" s="224"/>
      <c r="DH1974" s="224"/>
      <c r="DI1974" s="224"/>
      <c r="DJ1974" s="224"/>
      <c r="DK1974" s="224"/>
      <c r="DL1974" s="224"/>
      <c r="DM1974" s="224"/>
      <c r="DN1974" s="224"/>
      <c r="DO1974" s="224"/>
      <c r="DP1974" s="224"/>
      <c r="DQ1974" s="224"/>
      <c r="DR1974" s="224"/>
      <c r="DS1974" s="1768"/>
    </row>
    <row r="1975" spans="1:123" s="548" customFormat="1" ht="12.75" customHeight="1" thickBot="1" x14ac:dyDescent="0.2">
      <c r="A1975" s="164"/>
      <c r="B1975" s="175"/>
      <c r="C1975" s="662" t="s">
        <v>139</v>
      </c>
      <c r="D1975" s="577" t="s">
        <v>346</v>
      </c>
      <c r="E1975" s="342" t="s">
        <v>994</v>
      </c>
      <c r="F1975" s="624" t="s">
        <v>138</v>
      </c>
      <c r="G1975" s="1003">
        <f>COUNTA(G1905:G1974)</f>
        <v>58</v>
      </c>
      <c r="H1975" s="1399"/>
      <c r="I1975" s="585"/>
      <c r="J1975" s="586"/>
      <c r="K1975" s="582">
        <f>K1973+K1929+K1910</f>
        <v>0</v>
      </c>
      <c r="L1975" s="838">
        <f>L1973+L1929+L1910</f>
        <v>37.5</v>
      </c>
      <c r="M1975" s="838">
        <f>M1973+M1929+M1910</f>
        <v>37.5</v>
      </c>
      <c r="N1975" s="1004"/>
      <c r="O1975" s="344"/>
      <c r="P1975" s="1272"/>
      <c r="Q1975" s="1154"/>
      <c r="R1975" s="887"/>
      <c r="S1975" s="880"/>
      <c r="T1975" s="880"/>
      <c r="U1975" s="880"/>
      <c r="V1975" s="880"/>
      <c r="W1975" s="880"/>
      <c r="X1975" s="1276">
        <f>SUM(X1906:X1972)</f>
        <v>882369</v>
      </c>
      <c r="Y1975" s="1276"/>
      <c r="Z1975" s="1665">
        <f t="shared" ref="Z1975:AA1975" si="1173">SUM(Z1906:Z1972)</f>
        <v>37.870011579539792</v>
      </c>
      <c r="AA1975" s="1276">
        <f t="shared" si="1173"/>
        <v>0</v>
      </c>
      <c r="AB1975" s="1813">
        <f t="shared" ref="AB1975" si="1174">100*AA1975/Z1975</f>
        <v>0</v>
      </c>
      <c r="AC1975" s="1721"/>
      <c r="AD1975" s="1762"/>
      <c r="AE1975" s="1763"/>
      <c r="AF1975" s="1763"/>
      <c r="AG1975" s="1763"/>
      <c r="AH1975" s="1763"/>
      <c r="AI1975" s="1763"/>
      <c r="AJ1975" s="1763"/>
      <c r="AK1975" s="1763"/>
      <c r="AL1975" s="1762"/>
      <c r="AM1975" s="1764"/>
      <c r="AN1975" s="1764"/>
      <c r="AO1975" s="1764"/>
      <c r="AP1975" s="1764"/>
      <c r="AQ1975" s="1764"/>
      <c r="AR1975" s="1764"/>
      <c r="AS1975" s="1763"/>
      <c r="AT1975" s="1763"/>
      <c r="AU1975" s="1763"/>
      <c r="AV1975" s="1763"/>
      <c r="AW1975" s="1763"/>
      <c r="AX1975" s="1763"/>
      <c r="AY1975" s="1763"/>
      <c r="AZ1975" s="1763"/>
      <c r="BA1975" s="1763"/>
      <c r="BB1975" s="1763"/>
      <c r="BC1975" s="1763"/>
      <c r="BD1975" s="1763"/>
      <c r="BE1975" s="1763"/>
      <c r="BF1975" s="1763"/>
      <c r="BG1975" s="1763"/>
      <c r="BH1975" s="1763"/>
      <c r="BI1975" s="1763"/>
      <c r="BJ1975" s="1763"/>
      <c r="BK1975" s="1763"/>
      <c r="BL1975" s="1763"/>
      <c r="BM1975" s="1763"/>
      <c r="BN1975" s="1763"/>
      <c r="BO1975" s="1763"/>
      <c r="BP1975" s="1763"/>
      <c r="BQ1975" s="1763"/>
      <c r="BR1975" s="1763"/>
      <c r="BS1975" s="1763"/>
      <c r="BT1975" s="1767"/>
      <c r="BU1975" s="224"/>
      <c r="BV1975" s="65"/>
      <c r="BW1975" s="876"/>
      <c r="BX1975" s="224"/>
      <c r="BY1975" s="224"/>
      <c r="BZ1975" s="224"/>
      <c r="CA1975" s="224"/>
      <c r="CB1975" s="224"/>
      <c r="CC1975" s="224"/>
      <c r="CD1975" s="224"/>
      <c r="CE1975" s="224"/>
      <c r="CF1975" s="224"/>
      <c r="CG1975" s="224"/>
      <c r="CH1975" s="224"/>
      <c r="CI1975" s="224"/>
      <c r="CJ1975" s="224"/>
      <c r="CK1975" s="224"/>
      <c r="CL1975" s="224"/>
      <c r="CM1975" s="224"/>
      <c r="CN1975" s="224"/>
      <c r="CO1975" s="224"/>
      <c r="CP1975" s="224"/>
      <c r="CQ1975" s="224"/>
      <c r="CR1975" s="224"/>
      <c r="CS1975" s="224"/>
      <c r="CT1975" s="224"/>
      <c r="CU1975" s="224"/>
      <c r="CV1975" s="224"/>
      <c r="CW1975" s="224"/>
      <c r="CX1975" s="224"/>
      <c r="CY1975" s="224"/>
      <c r="CZ1975" s="224"/>
      <c r="DA1975" s="224"/>
      <c r="DB1975" s="224"/>
      <c r="DC1975" s="224"/>
      <c r="DD1975" s="224"/>
      <c r="DE1975" s="224"/>
      <c r="DF1975" s="224"/>
      <c r="DG1975" s="224"/>
      <c r="DH1975" s="224"/>
      <c r="DI1975" s="224"/>
      <c r="DJ1975" s="224"/>
      <c r="DK1975" s="224"/>
      <c r="DL1975" s="224"/>
      <c r="DM1975" s="224"/>
      <c r="DN1975" s="224"/>
      <c r="DO1975" s="224"/>
      <c r="DP1975" s="224"/>
      <c r="DQ1975" s="224"/>
      <c r="DR1975" s="224"/>
      <c r="DS1975" s="1768"/>
    </row>
    <row r="1976" spans="1:123" s="548" customFormat="1" ht="12.75" customHeight="1" x14ac:dyDescent="0.15">
      <c r="A1976" s="164"/>
      <c r="B1976" s="175"/>
      <c r="C1976" s="657" t="s">
        <v>1132</v>
      </c>
      <c r="D1976" s="657"/>
      <c r="E1976" s="721" t="s">
        <v>994</v>
      </c>
      <c r="F1976" s="424" t="s">
        <v>893</v>
      </c>
      <c r="G1976" s="867"/>
      <c r="H1976" s="1349"/>
      <c r="I1976" s="426"/>
      <c r="J1976" s="425"/>
      <c r="K1976" s="425"/>
      <c r="L1976" s="866"/>
      <c r="M1976" s="866"/>
      <c r="N1976" s="926"/>
      <c r="O1976" s="521"/>
      <c r="P1976" s="1273"/>
      <c r="Q1976" s="1158"/>
      <c r="R1976" s="1027"/>
      <c r="S1976" s="1028"/>
      <c r="T1976" s="1028"/>
      <c r="U1976" s="1028"/>
      <c r="V1976" s="1028"/>
      <c r="W1976" s="1028"/>
      <c r="X1976" s="1697">
        <v>119886</v>
      </c>
      <c r="Y1976" s="1028"/>
      <c r="Z1976" s="1028"/>
      <c r="AA1976" s="170"/>
      <c r="AB1976" s="1515"/>
      <c r="AC1976" s="876"/>
      <c r="AD1976" s="1762"/>
      <c r="AE1976" s="1763"/>
      <c r="AF1976" s="1763"/>
      <c r="AG1976" s="1763"/>
      <c r="AH1976" s="1763"/>
      <c r="AI1976" s="1763"/>
      <c r="AJ1976" s="1763"/>
      <c r="AK1976" s="1763"/>
      <c r="AL1976" s="1762"/>
      <c r="AM1976" s="1764"/>
      <c r="AN1976" s="1764"/>
      <c r="AO1976" s="1764"/>
      <c r="AP1976" s="1764"/>
      <c r="AQ1976" s="1764"/>
      <c r="AR1976" s="1764"/>
      <c r="AS1976" s="1763"/>
      <c r="AT1976" s="1763"/>
      <c r="AU1976" s="1763"/>
      <c r="AV1976" s="1763"/>
      <c r="AW1976" s="1763"/>
      <c r="AX1976" s="1763"/>
      <c r="AY1976" s="1763"/>
      <c r="AZ1976" s="1763"/>
      <c r="BA1976" s="1763"/>
      <c r="BB1976" s="1763"/>
      <c r="BC1976" s="1763"/>
      <c r="BD1976" s="1763"/>
      <c r="BE1976" s="1763"/>
      <c r="BF1976" s="1763"/>
      <c r="BG1976" s="1763"/>
      <c r="BH1976" s="1763"/>
      <c r="BI1976" s="1763"/>
      <c r="BJ1976" s="1763"/>
      <c r="BK1976" s="1763"/>
      <c r="BL1976" s="1763"/>
      <c r="BM1976" s="1763"/>
      <c r="BN1976" s="1763"/>
      <c r="BO1976" s="1763"/>
      <c r="BP1976" s="1763"/>
      <c r="BQ1976" s="1763"/>
      <c r="BR1976" s="1763"/>
      <c r="BS1976" s="1763"/>
      <c r="BT1976" s="1767"/>
      <c r="BU1976" s="224"/>
      <c r="BV1976" s="65"/>
      <c r="BW1976" s="862"/>
      <c r="BX1976" s="224"/>
      <c r="BY1976" s="224"/>
      <c r="BZ1976" s="224"/>
      <c r="CA1976" s="224"/>
      <c r="CB1976" s="224"/>
      <c r="CC1976" s="224"/>
      <c r="CD1976" s="224"/>
      <c r="CE1976" s="224"/>
      <c r="CF1976" s="224"/>
      <c r="CG1976" s="224"/>
      <c r="CH1976" s="224"/>
      <c r="CI1976" s="224"/>
      <c r="CJ1976" s="224"/>
      <c r="CK1976" s="224"/>
      <c r="CL1976" s="224"/>
      <c r="CM1976" s="224"/>
      <c r="CN1976" s="224"/>
      <c r="CO1976" s="224"/>
      <c r="CP1976" s="224"/>
      <c r="CQ1976" s="224"/>
      <c r="CR1976" s="224"/>
      <c r="CS1976" s="224"/>
      <c r="CT1976" s="224"/>
      <c r="CU1976" s="224"/>
      <c r="CV1976" s="224"/>
      <c r="CW1976" s="224"/>
      <c r="CX1976" s="224"/>
      <c r="CY1976" s="224"/>
      <c r="CZ1976" s="224"/>
      <c r="DA1976" s="224"/>
      <c r="DB1976" s="224"/>
      <c r="DC1976" s="224"/>
      <c r="DD1976" s="224"/>
      <c r="DE1976" s="224"/>
      <c r="DF1976" s="224"/>
      <c r="DG1976" s="224"/>
      <c r="DH1976" s="224"/>
      <c r="DI1976" s="224"/>
      <c r="DJ1976" s="224"/>
      <c r="DK1976" s="224"/>
      <c r="DL1976" s="224"/>
      <c r="DM1976" s="224"/>
      <c r="DN1976" s="224"/>
      <c r="DO1976" s="224"/>
      <c r="DP1976" s="224"/>
      <c r="DQ1976" s="224"/>
      <c r="DR1976" s="224"/>
      <c r="DS1976" s="1768"/>
    </row>
    <row r="1977" spans="1:123" s="548" customFormat="1" ht="12.75" customHeight="1" x14ac:dyDescent="0.15">
      <c r="A1977" s="164"/>
      <c r="B1977" s="175"/>
      <c r="C1977" s="1499" t="s">
        <v>793</v>
      </c>
      <c r="D1977" s="1500"/>
      <c r="E1977" s="1500"/>
      <c r="F1977" s="1491" t="s">
        <v>884</v>
      </c>
      <c r="G1977" s="1452"/>
      <c r="H1977" s="1501"/>
      <c r="I1977" s="1502"/>
      <c r="J1977" s="1502"/>
      <c r="K1977" s="1502"/>
      <c r="L1977" s="1452"/>
      <c r="M1977" s="1452"/>
      <c r="N1977" s="1452"/>
      <c r="O1977" s="1503"/>
      <c r="P1977" s="1449"/>
      <c r="Q1977" s="1504"/>
      <c r="R1977" s="1452"/>
      <c r="S1977" s="1452"/>
      <c r="T1977" s="1452"/>
      <c r="U1977" s="1452"/>
      <c r="V1977" s="1452"/>
      <c r="W1977" s="1452"/>
      <c r="X1977" s="1706"/>
      <c r="Y1977" s="1452"/>
      <c r="Z1977" s="1452"/>
      <c r="AA1977" s="1453"/>
      <c r="AB1977" s="1453"/>
      <c r="AC1977" s="876"/>
      <c r="AD1977" s="1762"/>
      <c r="AE1977" s="1763"/>
      <c r="AF1977" s="1763"/>
      <c r="AG1977" s="1763"/>
      <c r="AH1977" s="1763"/>
      <c r="AI1977" s="1763"/>
      <c r="AJ1977" s="1763"/>
      <c r="AK1977" s="1763"/>
      <c r="AL1977" s="1762"/>
      <c r="AM1977" s="1764"/>
      <c r="AN1977" s="1764"/>
      <c r="AO1977" s="1764"/>
      <c r="AP1977" s="1764"/>
      <c r="AQ1977" s="1764"/>
      <c r="AR1977" s="1764"/>
      <c r="AS1977" s="1763"/>
      <c r="AT1977" s="1763"/>
      <c r="AU1977" s="1763"/>
      <c r="AV1977" s="1763"/>
      <c r="AW1977" s="1763"/>
      <c r="AX1977" s="1763"/>
      <c r="AY1977" s="1763"/>
      <c r="AZ1977" s="1763"/>
      <c r="BA1977" s="1763"/>
      <c r="BB1977" s="1763"/>
      <c r="BC1977" s="1763"/>
      <c r="BD1977" s="1763"/>
      <c r="BE1977" s="1763"/>
      <c r="BF1977" s="1763"/>
      <c r="BG1977" s="1763"/>
      <c r="BH1977" s="1763"/>
      <c r="BI1977" s="1763"/>
      <c r="BJ1977" s="1763"/>
      <c r="BK1977" s="1763"/>
      <c r="BL1977" s="1763"/>
      <c r="BM1977" s="1763"/>
      <c r="BN1977" s="1763"/>
      <c r="BO1977" s="1763"/>
      <c r="BP1977" s="1763"/>
      <c r="BQ1977" s="1763"/>
      <c r="BR1977" s="1763"/>
      <c r="BS1977" s="1763"/>
      <c r="BT1977" s="1767"/>
      <c r="BU1977" s="224"/>
      <c r="BV1977" s="65"/>
      <c r="BW1977" s="876"/>
      <c r="BX1977" s="224"/>
      <c r="BY1977" s="224"/>
      <c r="BZ1977" s="224"/>
      <c r="CA1977" s="224"/>
      <c r="CB1977" s="224"/>
      <c r="CC1977" s="224"/>
      <c r="CD1977" s="224"/>
      <c r="CE1977" s="224"/>
      <c r="CF1977" s="224"/>
      <c r="CG1977" s="224"/>
      <c r="CH1977" s="224"/>
      <c r="CI1977" s="224"/>
      <c r="CJ1977" s="224"/>
      <c r="CK1977" s="224"/>
      <c r="CL1977" s="224"/>
      <c r="CM1977" s="224"/>
      <c r="CN1977" s="224"/>
      <c r="CO1977" s="224"/>
      <c r="CP1977" s="224"/>
      <c r="CQ1977" s="224"/>
      <c r="CR1977" s="224"/>
      <c r="CS1977" s="224"/>
      <c r="CT1977" s="224"/>
      <c r="CU1977" s="224"/>
      <c r="CV1977" s="224"/>
      <c r="CW1977" s="224"/>
      <c r="CX1977" s="224"/>
      <c r="CY1977" s="224"/>
      <c r="CZ1977" s="224"/>
      <c r="DA1977" s="224"/>
      <c r="DB1977" s="224"/>
      <c r="DC1977" s="224"/>
      <c r="DD1977" s="224"/>
      <c r="DE1977" s="224"/>
      <c r="DF1977" s="224"/>
      <c r="DG1977" s="224"/>
      <c r="DH1977" s="224"/>
      <c r="DI1977" s="224"/>
      <c r="DJ1977" s="224"/>
      <c r="DK1977" s="224"/>
      <c r="DL1977" s="224"/>
      <c r="DM1977" s="224"/>
      <c r="DN1977" s="224"/>
      <c r="DO1977" s="224"/>
      <c r="DP1977" s="224"/>
      <c r="DQ1977" s="224"/>
      <c r="DR1977" s="224"/>
      <c r="DS1977" s="1768"/>
    </row>
    <row r="1978" spans="1:123" customFormat="1" ht="12.75" customHeight="1" x14ac:dyDescent="0.15"/>
    <row r="1979" spans="1:123" customFormat="1" ht="12.75" customHeight="1" thickBot="1" x14ac:dyDescent="0.2">
      <c r="F1979" s="1851" t="s">
        <v>2123</v>
      </c>
      <c r="G1979" s="1850">
        <f>SUMIF(C753:C1667,"SO",G753:G1667)</f>
        <v>483</v>
      </c>
    </row>
    <row r="1980" spans="1:123" s="548" customFormat="1" ht="12.75" customHeight="1" thickBot="1" x14ac:dyDescent="0.2">
      <c r="A1980" s="164"/>
      <c r="B1980" s="175"/>
      <c r="C1980" s="662"/>
      <c r="D1980" s="577" t="s">
        <v>346</v>
      </c>
      <c r="E1980" s="1841" t="s">
        <v>2120</v>
      </c>
      <c r="F1980" s="343" t="s">
        <v>2119</v>
      </c>
      <c r="G1980" s="1884">
        <f>SUMIF(C13:C1975,"SO",G13:G1975)</f>
        <v>1094</v>
      </c>
      <c r="H1980" s="1399"/>
      <c r="I1980" s="585"/>
      <c r="J1980" s="586"/>
      <c r="K1980" s="1776">
        <f>K33+K42+K658+K749+K944+K1232+K1457+K1667+K1827+K1865+K1901+K1975</f>
        <v>55.334000000000003</v>
      </c>
      <c r="L1980" s="1776">
        <f>L33+L42+L658+L749+L944+L1232+L1457+L1667+L1827+L1865+L1901+L1975</f>
        <v>919.20600000000002</v>
      </c>
      <c r="M1980" s="1776">
        <f>M33+M42+M658+M749+M944+M1232+M1457+M1667+M1827+M1865+M1901+M1975</f>
        <v>974.54</v>
      </c>
      <c r="N1980" s="1004"/>
      <c r="O1980" s="344"/>
      <c r="P1980" s="1272"/>
      <c r="Q1980" s="1154">
        <f>SUM(Q13:Q1972)</f>
        <v>34690100</v>
      </c>
      <c r="R1980" s="887"/>
      <c r="S1980" s="880"/>
      <c r="T1980" s="880"/>
      <c r="U1980" s="880"/>
      <c r="V1980" s="880"/>
      <c r="W1980" s="880"/>
      <c r="X1980" s="1276">
        <f>X33+X42+X658+X749+X944+X1232+X1457+X1667+X1827+X1865+X1901+X1975</f>
        <v>37083769.75</v>
      </c>
      <c r="Y1980" s="1276"/>
      <c r="Z1980" s="1665">
        <f>Z33+Z42+Z658+Z749+Z944+Z1232+Z1457+Z1667+Z1827+Z1865+Z1901+Z1975</f>
        <v>1079.2869597292402</v>
      </c>
      <c r="AA1980" s="1777">
        <f>AA33+AA42+AA658+AA749+AA944+AA1232+AA1457+AA1667+AA1827+AA1865+AA1901+AA1975</f>
        <v>373.27000000000004</v>
      </c>
      <c r="AB1980" s="1813">
        <f t="shared" ref="AB1980" si="1175">100*AA1980/Z1980</f>
        <v>34.584870745926736</v>
      </c>
      <c r="AC1980" s="1721"/>
      <c r="AD1980" s="1762"/>
      <c r="AE1980" s="1763"/>
      <c r="AF1980" s="1763"/>
      <c r="AG1980" s="1763"/>
      <c r="AH1980" s="1763"/>
      <c r="AI1980" s="1763"/>
      <c r="AJ1980" s="1763"/>
      <c r="AK1980" s="1763"/>
      <c r="AL1980" s="1762"/>
      <c r="AM1980" s="1764"/>
      <c r="AN1980" s="1764"/>
      <c r="AO1980" s="1764"/>
      <c r="AP1980" s="1764"/>
      <c r="AQ1980" s="1764"/>
      <c r="AR1980" s="1764"/>
      <c r="AS1980" s="1763"/>
      <c r="AT1980" s="1763"/>
      <c r="AU1980" s="1763"/>
      <c r="AV1980" s="1763"/>
      <c r="AW1980" s="1763"/>
      <c r="AX1980" s="1763"/>
      <c r="AY1980" s="1763"/>
      <c r="AZ1980" s="1763"/>
      <c r="BA1980" s="1763"/>
      <c r="BB1980" s="1763"/>
      <c r="BC1980" s="1763"/>
      <c r="BD1980" s="1763"/>
      <c r="BE1980" s="1763"/>
      <c r="BF1980" s="1763"/>
      <c r="BG1980" s="1763"/>
      <c r="BH1980" s="1763"/>
      <c r="BI1980" s="1763"/>
      <c r="BJ1980" s="1763"/>
      <c r="BK1980" s="1763"/>
      <c r="BL1980" s="1763"/>
      <c r="BM1980" s="1763"/>
      <c r="BN1980" s="1763"/>
      <c r="BO1980" s="1763"/>
      <c r="BP1980" s="1763"/>
      <c r="BQ1980" s="1763"/>
      <c r="BR1980" s="1763"/>
      <c r="BS1980" s="1763"/>
      <c r="BT1980" s="1767"/>
      <c r="BU1980" s="224"/>
      <c r="BV1980" s="65"/>
      <c r="BW1980" s="876"/>
      <c r="BX1980" s="224"/>
      <c r="BY1980" s="224"/>
      <c r="BZ1980" s="224"/>
      <c r="CA1980" s="224"/>
      <c r="CB1980" s="224"/>
      <c r="CC1980" s="224"/>
      <c r="CD1980" s="224"/>
      <c r="CE1980" s="224"/>
      <c r="CF1980" s="224"/>
      <c r="CG1980" s="224"/>
      <c r="CH1980" s="224"/>
      <c r="CI1980" s="224"/>
      <c r="CJ1980" s="224"/>
      <c r="CK1980" s="224"/>
      <c r="CL1980" s="224"/>
      <c r="CM1980" s="224"/>
      <c r="CN1980" s="224"/>
      <c r="CO1980" s="224"/>
      <c r="CP1980" s="224"/>
      <c r="CQ1980" s="224"/>
      <c r="CR1980" s="224"/>
      <c r="CS1980" s="224"/>
      <c r="CT1980" s="224"/>
      <c r="CU1980" s="224"/>
      <c r="CV1980" s="224"/>
      <c r="CW1980" s="224"/>
      <c r="CX1980" s="224"/>
      <c r="CY1980" s="224"/>
      <c r="CZ1980" s="224"/>
      <c r="DA1980" s="224"/>
      <c r="DB1980" s="224"/>
      <c r="DC1980" s="224"/>
      <c r="DD1980" s="224"/>
      <c r="DE1980" s="224"/>
      <c r="DF1980" s="224"/>
      <c r="DG1980" s="224"/>
      <c r="DH1980" s="224"/>
      <c r="DI1980" s="224"/>
      <c r="DJ1980" s="224"/>
      <c r="DK1980" s="224"/>
      <c r="DL1980" s="224"/>
      <c r="DM1980" s="224"/>
      <c r="DN1980" s="224"/>
      <c r="DO1980" s="224"/>
      <c r="DP1980" s="224"/>
      <c r="DQ1980" s="224"/>
      <c r="DR1980" s="224"/>
      <c r="DS1980" s="1768"/>
    </row>
    <row r="1981" spans="1:123" s="548" customFormat="1" ht="12.75" customHeight="1" x14ac:dyDescent="0.15">
      <c r="A1981" s="164"/>
      <c r="B1981" s="175"/>
      <c r="C1981" s="657"/>
      <c r="D1981" s="657"/>
      <c r="E1981" s="1842" t="s">
        <v>2120</v>
      </c>
      <c r="F1981" s="424" t="s">
        <v>893</v>
      </c>
      <c r="G1981" s="867"/>
      <c r="H1981" s="1349"/>
      <c r="I1981" s="426"/>
      <c r="J1981" s="425"/>
      <c r="K1981" s="425"/>
      <c r="L1981" s="866"/>
      <c r="M1981" s="866"/>
      <c r="N1981" s="926"/>
      <c r="O1981" s="521"/>
      <c r="P1981" s="1273"/>
      <c r="Q1981" s="1158"/>
      <c r="R1981" s="1027"/>
      <c r="S1981" s="1028"/>
      <c r="T1981" s="1028"/>
      <c r="U1981" s="1028"/>
      <c r="V1981" s="1028"/>
      <c r="W1981" s="1028"/>
      <c r="X1981" s="1697"/>
      <c r="Y1981" s="1028"/>
      <c r="Z1981" s="1028"/>
      <c r="AA1981" s="170"/>
      <c r="AB1981" s="1515"/>
      <c r="AC1981" s="876"/>
      <c r="AD1981" s="1762"/>
      <c r="AE1981" s="1763"/>
      <c r="AF1981" s="1763"/>
      <c r="AG1981" s="1763"/>
      <c r="AH1981" s="1763"/>
      <c r="AI1981" s="1763"/>
      <c r="AJ1981" s="1763"/>
      <c r="AK1981" s="1763"/>
      <c r="AL1981" s="1762"/>
      <c r="AM1981" s="1764"/>
      <c r="AN1981" s="1764"/>
      <c r="AO1981" s="1764"/>
      <c r="AP1981" s="1764"/>
      <c r="AQ1981" s="1764"/>
      <c r="AR1981" s="1764"/>
      <c r="AS1981" s="1763"/>
      <c r="AT1981" s="1763"/>
      <c r="AU1981" s="1763"/>
      <c r="AV1981" s="1763"/>
      <c r="AW1981" s="1763"/>
      <c r="AX1981" s="1763"/>
      <c r="AY1981" s="1763"/>
      <c r="AZ1981" s="1763"/>
      <c r="BA1981" s="1763"/>
      <c r="BB1981" s="1763"/>
      <c r="BC1981" s="1763"/>
      <c r="BD1981" s="1763"/>
      <c r="BE1981" s="1763"/>
      <c r="BF1981" s="1763"/>
      <c r="BG1981" s="1763"/>
      <c r="BH1981" s="1763"/>
      <c r="BI1981" s="1763"/>
      <c r="BJ1981" s="1763"/>
      <c r="BK1981" s="1763"/>
      <c r="BL1981" s="1763"/>
      <c r="BM1981" s="1763"/>
      <c r="BN1981" s="1763"/>
      <c r="BO1981" s="1763"/>
      <c r="BP1981" s="1763"/>
      <c r="BQ1981" s="1763"/>
      <c r="BR1981" s="1763"/>
      <c r="BS1981" s="1763"/>
      <c r="BT1981" s="1767"/>
      <c r="BU1981" s="224"/>
      <c r="BV1981" s="65"/>
      <c r="BW1981" s="862"/>
      <c r="BX1981" s="224"/>
      <c r="BY1981" s="224"/>
      <c r="BZ1981" s="224"/>
      <c r="CA1981" s="224"/>
      <c r="CB1981" s="224"/>
      <c r="CC1981" s="224"/>
      <c r="CD1981" s="224"/>
      <c r="CE1981" s="224"/>
      <c r="CF1981" s="224"/>
      <c r="CG1981" s="224"/>
      <c r="CH1981" s="224"/>
      <c r="CI1981" s="224"/>
      <c r="CJ1981" s="224"/>
      <c r="CK1981" s="224"/>
      <c r="CL1981" s="224"/>
      <c r="CM1981" s="224"/>
      <c r="CN1981" s="224"/>
      <c r="CO1981" s="224"/>
      <c r="CP1981" s="224"/>
      <c r="CQ1981" s="224"/>
      <c r="CR1981" s="224"/>
      <c r="CS1981" s="224"/>
      <c r="CT1981" s="224"/>
      <c r="CU1981" s="224"/>
      <c r="CV1981" s="224"/>
      <c r="CW1981" s="224"/>
      <c r="CX1981" s="224"/>
      <c r="CY1981" s="224"/>
      <c r="CZ1981" s="224"/>
      <c r="DA1981" s="224"/>
      <c r="DB1981" s="224"/>
      <c r="DC1981" s="224"/>
      <c r="DD1981" s="224"/>
      <c r="DE1981" s="224"/>
      <c r="DF1981" s="224"/>
      <c r="DG1981" s="224"/>
      <c r="DH1981" s="224"/>
      <c r="DI1981" s="224"/>
      <c r="DJ1981" s="224"/>
      <c r="DK1981" s="224"/>
      <c r="DL1981" s="224"/>
      <c r="DM1981" s="224"/>
      <c r="DN1981" s="224"/>
      <c r="DO1981" s="224"/>
      <c r="DP1981" s="224"/>
      <c r="DQ1981" s="224"/>
      <c r="DR1981" s="224"/>
      <c r="DS1981" s="1768"/>
    </row>
    <row r="1982" spans="1:123" s="548" customFormat="1" ht="12.75" customHeight="1" x14ac:dyDescent="0.15">
      <c r="A1982" s="164"/>
      <c r="B1982" s="175"/>
      <c r="C1982" s="1499"/>
      <c r="D1982" s="1500"/>
      <c r="E1982" s="1500"/>
      <c r="F1982" s="1491" t="s">
        <v>884</v>
      </c>
      <c r="G1982" s="1452"/>
      <c r="H1982" s="1501"/>
      <c r="I1982" s="1502"/>
      <c r="J1982" s="1502"/>
      <c r="K1982" s="1502"/>
      <c r="L1982" s="1452"/>
      <c r="M1982" s="1452"/>
      <c r="N1982" s="1452"/>
      <c r="O1982" s="1503"/>
      <c r="P1982" s="1449"/>
      <c r="Q1982" s="1504"/>
      <c r="R1982" s="1452"/>
      <c r="S1982" s="1452"/>
      <c r="T1982" s="1452"/>
      <c r="U1982" s="1452"/>
      <c r="V1982" s="1452"/>
      <c r="W1982" s="1452"/>
      <c r="X1982" s="1706"/>
      <c r="Y1982" s="1452"/>
      <c r="Z1982" s="1452"/>
      <c r="AA1982" s="1525">
        <f>SUMIF(C13:C1827,"SO",AA13:AA1827)</f>
        <v>373.27000000000004</v>
      </c>
      <c r="AB1982" s="1453"/>
      <c r="AC1982" s="876"/>
      <c r="AD1982" s="1762"/>
      <c r="AE1982" s="1763"/>
      <c r="AF1982" s="1763"/>
      <c r="AG1982" s="1763"/>
      <c r="AH1982" s="1763"/>
      <c r="AI1982" s="1763"/>
      <c r="AJ1982" s="1763"/>
      <c r="AK1982" s="1763"/>
      <c r="AL1982" s="1762"/>
      <c r="AM1982" s="1764"/>
      <c r="AN1982" s="1764"/>
      <c r="AO1982" s="1764"/>
      <c r="AP1982" s="1764"/>
      <c r="AQ1982" s="1764"/>
      <c r="AR1982" s="1764"/>
      <c r="AS1982" s="1763"/>
      <c r="AT1982" s="1763"/>
      <c r="AU1982" s="1763"/>
      <c r="AV1982" s="1763"/>
      <c r="AW1982" s="1763"/>
      <c r="AX1982" s="1763"/>
      <c r="AY1982" s="1763"/>
      <c r="AZ1982" s="1763"/>
      <c r="BA1982" s="1763"/>
      <c r="BB1982" s="1763"/>
      <c r="BC1982" s="1763"/>
      <c r="BD1982" s="1763"/>
      <c r="BE1982" s="1763"/>
      <c r="BF1982" s="1763"/>
      <c r="BG1982" s="1763"/>
      <c r="BH1982" s="1763"/>
      <c r="BI1982" s="1763"/>
      <c r="BJ1982" s="1763"/>
      <c r="BK1982" s="1763"/>
      <c r="BL1982" s="1763"/>
      <c r="BM1982" s="1763"/>
      <c r="BN1982" s="1763"/>
      <c r="BO1982" s="1763"/>
      <c r="BP1982" s="1763"/>
      <c r="BQ1982" s="1763"/>
      <c r="BR1982" s="1763"/>
      <c r="BS1982" s="1763"/>
      <c r="BT1982" s="1767"/>
      <c r="BU1982" s="224"/>
      <c r="BV1982" s="65"/>
      <c r="BW1982" s="876"/>
      <c r="BX1982" s="224"/>
      <c r="BY1982" s="224"/>
      <c r="BZ1982" s="224"/>
      <c r="CA1982" s="224"/>
      <c r="CB1982" s="224"/>
      <c r="CC1982" s="224"/>
      <c r="CD1982" s="224"/>
      <c r="CE1982" s="224"/>
      <c r="CF1982" s="224"/>
      <c r="CG1982" s="224"/>
      <c r="CH1982" s="224"/>
      <c r="CI1982" s="224"/>
      <c r="CJ1982" s="224"/>
      <c r="CK1982" s="224"/>
      <c r="CL1982" s="224"/>
      <c r="CM1982" s="224"/>
      <c r="CN1982" s="224"/>
      <c r="CO1982" s="224"/>
      <c r="CP1982" s="224"/>
      <c r="CQ1982" s="224"/>
      <c r="CR1982" s="224"/>
      <c r="CS1982" s="224"/>
      <c r="CT1982" s="224"/>
      <c r="CU1982" s="224"/>
      <c r="CV1982" s="224"/>
      <c r="CW1982" s="224"/>
      <c r="CX1982" s="224"/>
      <c r="CY1982" s="224"/>
      <c r="CZ1982" s="224"/>
      <c r="DA1982" s="224"/>
      <c r="DB1982" s="224"/>
      <c r="DC1982" s="224"/>
      <c r="DD1982" s="224"/>
      <c r="DE1982" s="224"/>
      <c r="DF1982" s="224"/>
      <c r="DG1982" s="224"/>
      <c r="DH1982" s="224"/>
      <c r="DI1982" s="224"/>
      <c r="DJ1982" s="224"/>
      <c r="DK1982" s="224"/>
      <c r="DL1982" s="224"/>
      <c r="DM1982" s="224"/>
      <c r="DN1982" s="224"/>
      <c r="DO1982" s="224"/>
      <c r="DP1982" s="224"/>
      <c r="DQ1982" s="224"/>
      <c r="DR1982" s="224"/>
      <c r="DS1982" s="1768"/>
    </row>
    <row r="1983" spans="1:123" s="548" customFormat="1" ht="12.75" customHeight="1" x14ac:dyDescent="0.15">
      <c r="A1983"/>
      <c r="B1983" s="175"/>
      <c r="C1983" s="164"/>
      <c r="D1983" s="164"/>
      <c r="E1983" s="12"/>
      <c r="F1983" s="164"/>
      <c r="G1983" s="799"/>
      <c r="H1983" s="1355"/>
      <c r="I1983" s="164"/>
      <c r="J1983" s="164"/>
      <c r="K1983" s="164"/>
      <c r="L1983" s="799"/>
      <c r="M1983" s="799"/>
      <c r="N1983" s="799"/>
      <c r="O1983" s="175"/>
      <c r="P1983" s="1240"/>
      <c r="Q1983" s="876"/>
      <c r="R1983" s="875"/>
      <c r="S1983" s="875"/>
      <c r="T1983" s="875"/>
      <c r="U1983" s="875"/>
      <c r="V1983" s="875"/>
      <c r="W1983" s="875"/>
      <c r="X1983" s="1026"/>
      <c r="Y1983" s="875"/>
      <c r="Z1983" s="875"/>
      <c r="AA1983" s="170"/>
      <c r="AB1983" s="1515"/>
      <c r="AC1983" s="876"/>
      <c r="AD1983" s="1762"/>
      <c r="AE1983" s="1763"/>
      <c r="AF1983" s="1763"/>
      <c r="AG1983" s="1763"/>
      <c r="AH1983" s="1763"/>
      <c r="AI1983" s="1763"/>
      <c r="AJ1983" s="1763"/>
      <c r="AK1983" s="1763"/>
      <c r="AL1983" s="1762"/>
      <c r="AM1983" s="1764"/>
      <c r="AN1983" s="1764"/>
      <c r="AO1983" s="1764"/>
      <c r="AP1983" s="1764"/>
      <c r="AQ1983" s="1764"/>
      <c r="AR1983" s="1764"/>
      <c r="AS1983" s="1763"/>
      <c r="AT1983" s="1763"/>
      <c r="AU1983" s="1763"/>
      <c r="AV1983" s="1763"/>
      <c r="AW1983" s="1763"/>
      <c r="AX1983" s="1763"/>
      <c r="AY1983" s="1763"/>
      <c r="AZ1983" s="1763"/>
      <c r="BA1983" s="1763"/>
      <c r="BB1983" s="1763"/>
      <c r="BC1983" s="1763"/>
      <c r="BD1983" s="1763"/>
      <c r="BE1983" s="1763"/>
      <c r="BF1983" s="1763"/>
      <c r="BG1983" s="1763"/>
      <c r="BH1983" s="1763"/>
      <c r="BI1983" s="1763"/>
      <c r="BJ1983" s="1763"/>
      <c r="BK1983" s="1763"/>
      <c r="BL1983" s="1763"/>
      <c r="BM1983" s="1763"/>
      <c r="BN1983" s="1763"/>
      <c r="BO1983" s="1763"/>
      <c r="BP1983" s="1763"/>
      <c r="BQ1983" s="1763"/>
      <c r="BR1983" s="1763"/>
      <c r="BS1983" s="1763"/>
      <c r="BT1983" s="1767"/>
      <c r="BU1983" s="224"/>
      <c r="BV1983" s="65"/>
      <c r="BW1983" s="876"/>
      <c r="BX1983" s="224"/>
      <c r="BY1983" s="224"/>
      <c r="BZ1983" s="224"/>
      <c r="CA1983" s="224"/>
      <c r="CB1983" s="224"/>
      <c r="CC1983" s="224"/>
      <c r="CD1983" s="224"/>
      <c r="CE1983" s="224"/>
      <c r="CF1983" s="224"/>
      <c r="CG1983" s="224"/>
      <c r="CH1983" s="224"/>
      <c r="CI1983" s="224"/>
      <c r="CJ1983" s="224"/>
      <c r="CK1983" s="224"/>
      <c r="CL1983" s="224"/>
      <c r="CM1983" s="224"/>
      <c r="CN1983" s="224"/>
      <c r="CO1983" s="224"/>
      <c r="CP1983" s="224"/>
      <c r="CQ1983" s="224"/>
      <c r="CR1983" s="224"/>
      <c r="CS1983" s="224"/>
      <c r="CT1983" s="224"/>
      <c r="CU1983" s="224"/>
      <c r="CV1983" s="224"/>
      <c r="CW1983" s="224"/>
      <c r="CX1983" s="224"/>
      <c r="CY1983" s="224"/>
      <c r="CZ1983" s="224"/>
      <c r="DA1983" s="224"/>
      <c r="DB1983" s="224"/>
      <c r="DC1983" s="224"/>
      <c r="DD1983" s="224"/>
      <c r="DE1983" s="224"/>
      <c r="DF1983" s="224"/>
      <c r="DG1983" s="224"/>
      <c r="DH1983" s="224"/>
      <c r="DI1983" s="224"/>
      <c r="DJ1983" s="224"/>
      <c r="DK1983" s="224"/>
      <c r="DL1983" s="224"/>
      <c r="DM1983" s="224"/>
      <c r="DN1983" s="224"/>
      <c r="DO1983" s="224"/>
      <c r="DP1983" s="224"/>
      <c r="DQ1983" s="224"/>
      <c r="DR1983" s="224"/>
      <c r="DS1983" s="1768"/>
    </row>
    <row r="1984" spans="1:123" s="548" customFormat="1" ht="12.75" customHeight="1" x14ac:dyDescent="0.15">
      <c r="A1984"/>
      <c r="B1984" s="175"/>
      <c r="C1984" s="570"/>
      <c r="D1984" s="570"/>
      <c r="E1984" s="472" t="s">
        <v>778</v>
      </c>
      <c r="F1984" s="570"/>
      <c r="G1984" s="798" t="s">
        <v>778</v>
      </c>
      <c r="H1984" s="1355"/>
      <c r="I1984" s="570"/>
      <c r="J1984" s="570"/>
      <c r="K1984" s="570"/>
      <c r="L1984" s="799"/>
      <c r="M1984" s="799"/>
      <c r="N1984" s="799"/>
      <c r="O1984" s="175"/>
      <c r="P1984" s="1240"/>
      <c r="Q1984" s="876"/>
      <c r="R1984" s="798"/>
      <c r="S1984" s="875"/>
      <c r="T1984" s="875"/>
      <c r="U1984" s="875"/>
      <c r="V1984" s="875"/>
      <c r="W1984" s="875"/>
      <c r="X1984" s="1026">
        <v>726000</v>
      </c>
      <c r="Y1984" s="1335"/>
      <c r="Z1984" s="1335"/>
      <c r="AA1984" s="170"/>
      <c r="AB1984" s="1515"/>
      <c r="AC1984" s="876"/>
      <c r="AD1984" s="1762"/>
      <c r="AE1984" s="1763"/>
      <c r="AF1984" s="1763"/>
      <c r="AG1984" s="1763"/>
      <c r="AH1984" s="1763"/>
      <c r="AI1984" s="1763"/>
      <c r="AJ1984" s="1763"/>
      <c r="AK1984" s="1763"/>
      <c r="AL1984" s="1762"/>
      <c r="AM1984" s="1764"/>
      <c r="AN1984" s="1764"/>
      <c r="AO1984" s="1764"/>
      <c r="AP1984" s="1764"/>
      <c r="AQ1984" s="1764"/>
      <c r="AR1984" s="1764"/>
      <c r="AS1984" s="1763"/>
      <c r="AT1984" s="1763"/>
      <c r="AU1984" s="1763"/>
      <c r="AV1984" s="1763"/>
      <c r="AW1984" s="1763"/>
      <c r="AX1984" s="1763"/>
      <c r="AY1984" s="1763"/>
      <c r="AZ1984" s="1763"/>
      <c r="BA1984" s="1763"/>
      <c r="BB1984" s="1763"/>
      <c r="BC1984" s="1763"/>
      <c r="BD1984" s="1763"/>
      <c r="BE1984" s="1763"/>
      <c r="BF1984" s="1763"/>
      <c r="BG1984" s="1763"/>
      <c r="BH1984" s="1763"/>
      <c r="BI1984" s="1763"/>
      <c r="BJ1984" s="1763"/>
      <c r="BK1984" s="1763"/>
      <c r="BL1984" s="1763"/>
      <c r="BM1984" s="1763"/>
      <c r="BN1984" s="1763"/>
      <c r="BO1984" s="1763"/>
      <c r="BP1984" s="1763"/>
      <c r="BQ1984" s="1763"/>
      <c r="BR1984" s="1763"/>
      <c r="BS1984" s="1763"/>
      <c r="BT1984" s="1767"/>
      <c r="BU1984" s="224"/>
      <c r="BV1984" s="65"/>
      <c r="BW1984" s="1326"/>
      <c r="BX1984" s="224"/>
      <c r="BY1984" s="224"/>
      <c r="BZ1984" s="224"/>
      <c r="CA1984" s="224"/>
      <c r="CB1984" s="224"/>
      <c r="CC1984" s="224"/>
      <c r="CD1984" s="224"/>
      <c r="CE1984" s="224"/>
      <c r="CF1984" s="224"/>
      <c r="CG1984" s="224"/>
      <c r="CH1984" s="224"/>
      <c r="CI1984" s="224"/>
      <c r="CJ1984" s="224"/>
      <c r="CK1984" s="224"/>
      <c r="CL1984" s="224"/>
      <c r="CM1984" s="224"/>
      <c r="CN1984" s="224"/>
      <c r="CO1984" s="224"/>
      <c r="CP1984" s="224"/>
      <c r="CQ1984" s="224"/>
      <c r="CR1984" s="224"/>
      <c r="CS1984" s="224"/>
      <c r="CT1984" s="224"/>
      <c r="CU1984" s="224"/>
      <c r="CV1984" s="224"/>
      <c r="CW1984" s="224"/>
      <c r="CX1984" s="224"/>
      <c r="CY1984" s="224"/>
      <c r="CZ1984" s="224"/>
      <c r="DA1984" s="224"/>
      <c r="DB1984" s="224"/>
      <c r="DC1984" s="224"/>
      <c r="DD1984" s="224"/>
      <c r="DE1984" s="224"/>
      <c r="DF1984" s="224"/>
      <c r="DG1984" s="224"/>
      <c r="DH1984" s="224"/>
      <c r="DI1984" s="224"/>
      <c r="DJ1984" s="224"/>
      <c r="DK1984" s="224"/>
      <c r="DL1984" s="224"/>
      <c r="DM1984" s="224"/>
      <c r="DN1984" s="224"/>
      <c r="DO1984" s="224"/>
      <c r="DP1984" s="224"/>
      <c r="DQ1984" s="224"/>
      <c r="DR1984" s="224"/>
      <c r="DS1984" s="1768"/>
    </row>
    <row r="1985" spans="1:123" s="548" customFormat="1" ht="12.75" customHeight="1" x14ac:dyDescent="0.15">
      <c r="A1985"/>
      <c r="B1985" s="175"/>
      <c r="C1985"/>
      <c r="D1985">
        <f>D1984+1</f>
        <v>1</v>
      </c>
      <c r="E1985"/>
      <c r="F1985"/>
      <c r="G1985" s="798" t="s">
        <v>817</v>
      </c>
      <c r="H1985" s="1355"/>
      <c r="I1985"/>
      <c r="J1985">
        <f>J1984+1</f>
        <v>1</v>
      </c>
      <c r="K1985"/>
      <c r="L1985" s="970"/>
      <c r="M1985" s="799"/>
      <c r="N1985" s="799"/>
      <c r="O1985" s="175"/>
      <c r="P1985" s="1240"/>
      <c r="Q1985" s="876"/>
      <c r="R1985" s="798"/>
      <c r="S1985" s="875"/>
      <c r="T1985" s="875"/>
      <c r="U1985" s="875"/>
      <c r="V1985" s="875"/>
      <c r="W1985" s="875"/>
      <c r="X1985" s="1026">
        <v>115000</v>
      </c>
      <c r="Y1985" s="875"/>
      <c r="Z1985" s="875"/>
      <c r="AA1985" s="170"/>
      <c r="AB1985" s="1515"/>
      <c r="AC1985" s="876"/>
      <c r="AD1985" s="1762"/>
      <c r="AE1985" s="1763"/>
      <c r="AF1985" s="1763"/>
      <c r="AG1985" s="1763"/>
      <c r="AH1985" s="1763"/>
      <c r="AI1985" s="1763"/>
      <c r="AJ1985" s="1763"/>
      <c r="AK1985" s="1763"/>
      <c r="AL1985" s="1762"/>
      <c r="AM1985" s="1764"/>
      <c r="AN1985" s="1764"/>
      <c r="AO1985" s="1764"/>
      <c r="AP1985" s="1764"/>
      <c r="AQ1985" s="1764"/>
      <c r="AR1985" s="1764"/>
      <c r="AS1985" s="1763"/>
      <c r="AT1985" s="1763"/>
      <c r="AU1985" s="1763"/>
      <c r="AV1985" s="1763"/>
      <c r="AW1985" s="1763"/>
      <c r="AX1985" s="1763"/>
      <c r="AY1985" s="1763"/>
      <c r="AZ1985" s="1763"/>
      <c r="BA1985" s="1763"/>
      <c r="BB1985" s="1763"/>
      <c r="BC1985" s="1763"/>
      <c r="BD1985" s="1763"/>
      <c r="BE1985" s="1763"/>
      <c r="BF1985" s="1763"/>
      <c r="BG1985" s="1763"/>
      <c r="BH1985" s="1763"/>
      <c r="BI1985" s="1763"/>
      <c r="BJ1985" s="1763"/>
      <c r="BK1985" s="1763"/>
      <c r="BL1985" s="1763"/>
      <c r="BM1985" s="1763"/>
      <c r="BN1985" s="1763"/>
      <c r="BO1985" s="1763"/>
      <c r="BP1985" s="1763"/>
      <c r="BQ1985" s="1763"/>
      <c r="BR1985" s="1763"/>
      <c r="BS1985" s="1763"/>
      <c r="BT1985" s="1767"/>
      <c r="BU1985" s="224"/>
      <c r="BV1985" s="65"/>
      <c r="BW1985" s="1326"/>
      <c r="BX1985" s="224"/>
      <c r="BY1985" s="224"/>
      <c r="BZ1985" s="224"/>
      <c r="CA1985" s="224"/>
      <c r="CB1985" s="224"/>
      <c r="CC1985" s="224"/>
      <c r="CD1985" s="224"/>
      <c r="CE1985" s="224"/>
      <c r="CF1985" s="224"/>
      <c r="CG1985" s="224"/>
      <c r="CH1985" s="224"/>
      <c r="CI1985" s="224"/>
      <c r="CJ1985" s="224"/>
      <c r="CK1985" s="224"/>
      <c r="CL1985" s="224"/>
      <c r="CM1985" s="224"/>
      <c r="CN1985" s="224"/>
      <c r="CO1985" s="224"/>
      <c r="CP1985" s="224"/>
      <c r="CQ1985" s="224"/>
      <c r="CR1985" s="224"/>
      <c r="CS1985" s="224"/>
      <c r="CT1985" s="224"/>
      <c r="CU1985" s="224"/>
      <c r="CV1985" s="224"/>
      <c r="CW1985" s="224"/>
      <c r="CX1985" s="224"/>
      <c r="CY1985" s="224"/>
      <c r="CZ1985" s="224"/>
      <c r="DA1985" s="224"/>
      <c r="DB1985" s="224"/>
      <c r="DC1985" s="224"/>
      <c r="DD1985" s="224"/>
      <c r="DE1985" s="224"/>
      <c r="DF1985" s="224"/>
      <c r="DG1985" s="224"/>
      <c r="DH1985" s="224"/>
      <c r="DI1985" s="224"/>
      <c r="DJ1985" s="224"/>
      <c r="DK1985" s="224"/>
      <c r="DL1985" s="224"/>
      <c r="DM1985" s="224"/>
      <c r="DN1985" s="224"/>
      <c r="DO1985" s="224"/>
      <c r="DP1985" s="224"/>
      <c r="DQ1985" s="224"/>
      <c r="DR1985" s="224"/>
      <c r="DS1985" s="1768"/>
    </row>
    <row r="1986" spans="1:123" s="548" customFormat="1" ht="12.75" customHeight="1" x14ac:dyDescent="0.15">
      <c r="A1986"/>
      <c r="B1986" s="175"/>
      <c r="C1986" s="570"/>
      <c r="D1986" s="570"/>
      <c r="E1986" s="472"/>
      <c r="F1986" s="570"/>
      <c r="G1986" s="798" t="s">
        <v>1313</v>
      </c>
      <c r="H1986" s="1355"/>
      <c r="I1986" s="570"/>
      <c r="J1986" s="570"/>
      <c r="K1986" s="570"/>
      <c r="L1986" s="799"/>
      <c r="M1986" s="799"/>
      <c r="N1986" s="799"/>
      <c r="O1986" s="175"/>
      <c r="P1986" s="1240"/>
      <c r="Q1986" s="876"/>
      <c r="R1986" s="798"/>
      <c r="S1986" s="875"/>
      <c r="T1986" s="875"/>
      <c r="U1986" s="875"/>
      <c r="V1986" s="875"/>
      <c r="W1986" s="875"/>
      <c r="X1986" s="1026">
        <v>20000</v>
      </c>
      <c r="Y1986" s="875"/>
      <c r="Z1986" s="875"/>
      <c r="AA1986" s="170"/>
      <c r="AB1986" s="1515"/>
      <c r="AC1986" s="876"/>
      <c r="AD1986" s="1762"/>
      <c r="AE1986" s="1763"/>
      <c r="AF1986" s="1763"/>
      <c r="AG1986" s="1763"/>
      <c r="AH1986" s="1763"/>
      <c r="AI1986" s="1763"/>
      <c r="AJ1986" s="1763"/>
      <c r="AK1986" s="1763"/>
      <c r="AL1986" s="1762"/>
      <c r="AM1986" s="1764"/>
      <c r="AN1986" s="1764"/>
      <c r="AO1986" s="1764"/>
      <c r="AP1986" s="1764"/>
      <c r="AQ1986" s="1764"/>
      <c r="AR1986" s="1764"/>
      <c r="AS1986" s="1763"/>
      <c r="AT1986" s="1763"/>
      <c r="AU1986" s="1763"/>
      <c r="AV1986" s="1763"/>
      <c r="AW1986" s="1763"/>
      <c r="AX1986" s="1763"/>
      <c r="AY1986" s="1763"/>
      <c r="AZ1986" s="1763"/>
      <c r="BA1986" s="1763"/>
      <c r="BB1986" s="1763"/>
      <c r="BC1986" s="1763"/>
      <c r="BD1986" s="1763"/>
      <c r="BE1986" s="1763"/>
      <c r="BF1986" s="1763"/>
      <c r="BG1986" s="1763"/>
      <c r="BH1986" s="1763"/>
      <c r="BI1986" s="1763"/>
      <c r="BJ1986" s="1763"/>
      <c r="BK1986" s="1763"/>
      <c r="BL1986" s="1763"/>
      <c r="BM1986" s="1763"/>
      <c r="BN1986" s="1763"/>
      <c r="BO1986" s="1763"/>
      <c r="BP1986" s="1763"/>
      <c r="BQ1986" s="1763"/>
      <c r="BR1986" s="1763"/>
      <c r="BS1986" s="1763"/>
      <c r="BT1986" s="1767"/>
      <c r="BU1986" s="224"/>
      <c r="BV1986" s="65"/>
      <c r="BW1986" s="1326"/>
      <c r="BX1986" s="224"/>
      <c r="BY1986" s="224"/>
      <c r="BZ1986" s="224"/>
      <c r="CA1986" s="224"/>
      <c r="CB1986" s="224"/>
      <c r="CC1986" s="224"/>
      <c r="CD1986" s="224"/>
      <c r="CE1986" s="224"/>
      <c r="CF1986" s="224"/>
      <c r="CG1986" s="224"/>
      <c r="CH1986" s="224"/>
      <c r="CI1986" s="224"/>
      <c r="CJ1986" s="224"/>
      <c r="CK1986" s="224"/>
      <c r="CL1986" s="224"/>
      <c r="CM1986" s="224"/>
      <c r="CN1986" s="224"/>
      <c r="CO1986" s="224"/>
      <c r="CP1986" s="224"/>
      <c r="CQ1986" s="224"/>
      <c r="CR1986" s="224"/>
      <c r="CS1986" s="224"/>
      <c r="CT1986" s="224"/>
      <c r="CU1986" s="224"/>
      <c r="CV1986" s="224"/>
      <c r="CW1986" s="224"/>
      <c r="CX1986" s="224"/>
      <c r="CY1986" s="224"/>
      <c r="CZ1986" s="224"/>
      <c r="DA1986" s="224"/>
      <c r="DB1986" s="224"/>
      <c r="DC1986" s="224"/>
      <c r="DD1986" s="224"/>
      <c r="DE1986" s="224"/>
      <c r="DF1986" s="224"/>
      <c r="DG1986" s="224"/>
      <c r="DH1986" s="224"/>
      <c r="DI1986" s="224"/>
      <c r="DJ1986" s="224"/>
      <c r="DK1986" s="224"/>
      <c r="DL1986" s="224"/>
      <c r="DM1986" s="224"/>
      <c r="DN1986" s="224"/>
      <c r="DO1986" s="224"/>
      <c r="DP1986" s="224"/>
      <c r="DQ1986" s="224"/>
      <c r="DR1986" s="224"/>
      <c r="DS1986" s="1768"/>
    </row>
    <row r="1987" spans="1:123" s="548" customFormat="1" ht="12.75" customHeight="1" x14ac:dyDescent="0.15">
      <c r="A1987"/>
      <c r="B1987" s="175"/>
      <c r="C1987" s="570"/>
      <c r="D1987" s="570"/>
      <c r="E1987" s="472" t="s">
        <v>779</v>
      </c>
      <c r="F1987" s="570"/>
      <c r="G1987" s="798" t="s">
        <v>779</v>
      </c>
      <c r="H1987" s="1355"/>
      <c r="I1987" s="570"/>
      <c r="J1987" s="570"/>
      <c r="K1987" s="570"/>
      <c r="L1987" s="799"/>
      <c r="M1987" s="799"/>
      <c r="N1987" s="799"/>
      <c r="O1987" s="175"/>
      <c r="P1987" s="1240"/>
      <c r="Q1987" s="876"/>
      <c r="R1987" s="798"/>
      <c r="S1987" s="875"/>
      <c r="T1987" s="877"/>
      <c r="U1987" s="877"/>
      <c r="V1987" s="877"/>
      <c r="W1987" s="875"/>
      <c r="X1987" s="1026">
        <v>2880000</v>
      </c>
      <c r="Y1987" s="875"/>
      <c r="Z1987" s="875"/>
      <c r="AA1987" s="170"/>
      <c r="AB1987" s="1515"/>
      <c r="AC1987" s="876"/>
      <c r="AD1987" s="1762"/>
      <c r="AE1987" s="1763"/>
      <c r="AF1987" s="1763"/>
      <c r="AG1987" s="1763"/>
      <c r="AH1987" s="1763"/>
      <c r="AI1987" s="1763"/>
      <c r="AJ1987" s="1763"/>
      <c r="AK1987" s="1763"/>
      <c r="AL1987" s="1762"/>
      <c r="AM1987" s="1764"/>
      <c r="AN1987" s="1764"/>
      <c r="AO1987" s="1764"/>
      <c r="AP1987" s="1764"/>
      <c r="AQ1987" s="1764"/>
      <c r="AR1987" s="1764"/>
      <c r="AS1987" s="1763"/>
      <c r="AT1987" s="1763"/>
      <c r="AU1987" s="1763"/>
      <c r="AV1987" s="1763"/>
      <c r="AW1987" s="1763"/>
      <c r="AX1987" s="1763"/>
      <c r="AY1987" s="1763"/>
      <c r="AZ1987" s="1763"/>
      <c r="BA1987" s="1763"/>
      <c r="BB1987" s="1763"/>
      <c r="BC1987" s="1763"/>
      <c r="BD1987" s="1763"/>
      <c r="BE1987" s="1763"/>
      <c r="BF1987" s="1763"/>
      <c r="BG1987" s="1763"/>
      <c r="BH1987" s="1763"/>
      <c r="BI1987" s="1763"/>
      <c r="BJ1987" s="1763"/>
      <c r="BK1987" s="1763"/>
      <c r="BL1987" s="1763"/>
      <c r="BM1987" s="1763"/>
      <c r="BN1987" s="1763"/>
      <c r="BO1987" s="1763"/>
      <c r="BP1987" s="1763"/>
      <c r="BQ1987" s="1763"/>
      <c r="BR1987" s="1763"/>
      <c r="BS1987" s="1763"/>
      <c r="BT1987" s="1767"/>
      <c r="BU1987" s="224"/>
      <c r="BV1987" s="65"/>
      <c r="BW1987" s="1326"/>
      <c r="BX1987" s="224"/>
      <c r="BY1987" s="224"/>
      <c r="BZ1987" s="224"/>
      <c r="CA1987" s="224"/>
      <c r="CB1987" s="224"/>
      <c r="CC1987" s="224"/>
      <c r="CD1987" s="224"/>
      <c r="CE1987" s="224"/>
      <c r="CF1987" s="224"/>
      <c r="CG1987" s="224"/>
      <c r="CH1987" s="224"/>
      <c r="CI1987" s="224"/>
      <c r="CJ1987" s="224"/>
      <c r="CK1987" s="224"/>
      <c r="CL1987" s="224"/>
      <c r="CM1987" s="224"/>
      <c r="CN1987" s="224"/>
      <c r="CO1987" s="224"/>
      <c r="CP1987" s="224"/>
      <c r="CQ1987" s="224"/>
      <c r="CR1987" s="224"/>
      <c r="CS1987" s="224"/>
      <c r="CT1987" s="224"/>
      <c r="CU1987" s="224"/>
      <c r="CV1987" s="224"/>
      <c r="CW1987" s="224"/>
      <c r="CX1987" s="224"/>
      <c r="CY1987" s="224"/>
      <c r="CZ1987" s="224"/>
      <c r="DA1987" s="224"/>
      <c r="DB1987" s="224"/>
      <c r="DC1987" s="224"/>
      <c r="DD1987" s="224"/>
      <c r="DE1987" s="224"/>
      <c r="DF1987" s="224"/>
      <c r="DG1987" s="224"/>
      <c r="DH1987" s="224"/>
      <c r="DI1987" s="224"/>
      <c r="DJ1987" s="224"/>
      <c r="DK1987" s="224"/>
      <c r="DL1987" s="224"/>
      <c r="DM1987" s="224"/>
      <c r="DN1987" s="224"/>
      <c r="DO1987" s="224"/>
      <c r="DP1987" s="224"/>
      <c r="DQ1987" s="224"/>
      <c r="DR1987" s="224"/>
      <c r="DS1987" s="1768"/>
    </row>
    <row r="1988" spans="1:123" s="548" customFormat="1" ht="12.75" customHeight="1" x14ac:dyDescent="0.15">
      <c r="A1988"/>
      <c r="B1988" s="175"/>
      <c r="C1988" s="570"/>
      <c r="D1988" s="570"/>
      <c r="E1988" s="472"/>
      <c r="F1988" s="570"/>
      <c r="G1988" s="798" t="s">
        <v>782</v>
      </c>
      <c r="H1988" s="1355"/>
      <c r="I1988" s="570"/>
      <c r="J1988" s="570"/>
      <c r="K1988" s="570"/>
      <c r="L1988" s="799"/>
      <c r="M1988" s="799"/>
      <c r="N1988" s="799"/>
      <c r="O1988" s="175"/>
      <c r="P1988" s="1240"/>
      <c r="Q1988" s="876"/>
      <c r="R1988" s="798"/>
      <c r="S1988" s="875"/>
      <c r="T1988" s="877"/>
      <c r="U1988" s="877"/>
      <c r="V1988" s="877"/>
      <c r="W1988" s="875"/>
      <c r="X1988" s="1026">
        <v>240000</v>
      </c>
      <c r="Y1988" s="875"/>
      <c r="Z1988" s="875"/>
      <c r="AA1988" s="170"/>
      <c r="AB1988" s="1515"/>
      <c r="AC1988" s="876"/>
      <c r="AD1988" s="1762"/>
      <c r="AE1988" s="1763"/>
      <c r="AF1988" s="1763"/>
      <c r="AG1988" s="1763"/>
      <c r="AH1988" s="1763"/>
      <c r="AI1988" s="1763"/>
      <c r="AJ1988" s="1763"/>
      <c r="AK1988" s="1763"/>
      <c r="AL1988" s="1762"/>
      <c r="AM1988" s="1764"/>
      <c r="AN1988" s="1764"/>
      <c r="AO1988" s="1764"/>
      <c r="AP1988" s="1764"/>
      <c r="AQ1988" s="1764"/>
      <c r="AR1988" s="1764"/>
      <c r="AS1988" s="1763"/>
      <c r="AT1988" s="1763"/>
      <c r="AU1988" s="1763"/>
      <c r="AV1988" s="1763"/>
      <c r="AW1988" s="1763"/>
      <c r="AX1988" s="1763"/>
      <c r="AY1988" s="1763"/>
      <c r="AZ1988" s="1763"/>
      <c r="BA1988" s="1763"/>
      <c r="BB1988" s="1763"/>
      <c r="BC1988" s="1763"/>
      <c r="BD1988" s="1763"/>
      <c r="BE1988" s="1763"/>
      <c r="BF1988" s="1763"/>
      <c r="BG1988" s="1763"/>
      <c r="BH1988" s="1763"/>
      <c r="BI1988" s="1763"/>
      <c r="BJ1988" s="1763"/>
      <c r="BK1988" s="1763"/>
      <c r="BL1988" s="1763"/>
      <c r="BM1988" s="1763"/>
      <c r="BN1988" s="1763"/>
      <c r="BO1988" s="1763"/>
      <c r="BP1988" s="1763"/>
      <c r="BQ1988" s="1763"/>
      <c r="BR1988" s="1763"/>
      <c r="BS1988" s="1763"/>
      <c r="BT1988" s="1767"/>
      <c r="BU1988" s="224"/>
      <c r="BV1988" s="65"/>
      <c r="BW1988" s="1326"/>
      <c r="BX1988" s="224"/>
      <c r="BY1988" s="224"/>
      <c r="BZ1988" s="224"/>
      <c r="CA1988" s="224"/>
      <c r="CB1988" s="224"/>
      <c r="CC1988" s="224"/>
      <c r="CD1988" s="224"/>
      <c r="CE1988" s="224"/>
      <c r="CF1988" s="224"/>
      <c r="CG1988" s="224"/>
      <c r="CH1988" s="224"/>
      <c r="CI1988" s="224"/>
      <c r="CJ1988" s="224"/>
      <c r="CK1988" s="224"/>
      <c r="CL1988" s="224"/>
      <c r="CM1988" s="224"/>
      <c r="CN1988" s="224"/>
      <c r="CO1988" s="224"/>
      <c r="CP1988" s="224"/>
      <c r="CQ1988" s="224"/>
      <c r="CR1988" s="224"/>
      <c r="CS1988" s="224"/>
      <c r="CT1988" s="224"/>
      <c r="CU1988" s="224"/>
      <c r="CV1988" s="224"/>
      <c r="CW1988" s="224"/>
      <c r="CX1988" s="224"/>
      <c r="CY1988" s="224"/>
      <c r="CZ1988" s="224"/>
      <c r="DA1988" s="224"/>
      <c r="DB1988" s="224"/>
      <c r="DC1988" s="224"/>
      <c r="DD1988" s="224"/>
      <c r="DE1988" s="224"/>
      <c r="DF1988" s="224"/>
      <c r="DG1988" s="224"/>
      <c r="DH1988" s="224"/>
      <c r="DI1988" s="224"/>
      <c r="DJ1988" s="224"/>
      <c r="DK1988" s="224"/>
      <c r="DL1988" s="224"/>
      <c r="DM1988" s="224"/>
      <c r="DN1988" s="224"/>
      <c r="DO1988" s="224"/>
      <c r="DP1988" s="224"/>
      <c r="DQ1988" s="224"/>
      <c r="DR1988" s="224"/>
      <c r="DS1988" s="1768"/>
    </row>
    <row r="1989" spans="1:123" s="548" customFormat="1" ht="12.75" customHeight="1" x14ac:dyDescent="0.15">
      <c r="A1989"/>
      <c r="B1989" s="175"/>
      <c r="C1989" s="570"/>
      <c r="D1989" s="570"/>
      <c r="E1989" s="472" t="s">
        <v>780</v>
      </c>
      <c r="F1989" s="570"/>
      <c r="G1989" s="798" t="s">
        <v>987</v>
      </c>
      <c r="H1989" s="1355"/>
      <c r="I1989" s="570"/>
      <c r="J1989" s="570"/>
      <c r="K1989" s="570"/>
      <c r="L1989" s="799"/>
      <c r="M1989" s="799"/>
      <c r="N1989" s="799"/>
      <c r="O1989" s="175"/>
      <c r="P1989" s="1240"/>
      <c r="Q1989" s="876"/>
      <c r="R1989" s="798"/>
      <c r="S1989" s="875"/>
      <c r="T1989" s="877"/>
      <c r="U1989" s="877"/>
      <c r="V1989" s="877"/>
      <c r="W1989" s="875"/>
      <c r="X1989" s="1026">
        <v>43000</v>
      </c>
      <c r="Y1989" s="875"/>
      <c r="Z1989" s="875"/>
      <c r="AA1989" s="170"/>
      <c r="AB1989" s="1515"/>
      <c r="AC1989" s="876"/>
      <c r="AD1989" s="1762"/>
      <c r="AE1989" s="1763"/>
      <c r="AF1989" s="1763"/>
      <c r="AG1989" s="1763"/>
      <c r="AH1989" s="1763"/>
      <c r="AI1989" s="1763"/>
      <c r="AJ1989" s="1763"/>
      <c r="AK1989" s="1763"/>
      <c r="AL1989" s="1762"/>
      <c r="AM1989" s="1764"/>
      <c r="AN1989" s="1764"/>
      <c r="AO1989" s="1764"/>
      <c r="AP1989" s="1764"/>
      <c r="AQ1989" s="1764"/>
      <c r="AR1989" s="1764"/>
      <c r="AS1989" s="1763"/>
      <c r="AT1989" s="1763"/>
      <c r="AU1989" s="1763"/>
      <c r="AV1989" s="1763"/>
      <c r="AW1989" s="1763"/>
      <c r="AX1989" s="1763"/>
      <c r="AY1989" s="1763"/>
      <c r="AZ1989" s="1763"/>
      <c r="BA1989" s="1763"/>
      <c r="BB1989" s="1763"/>
      <c r="BC1989" s="1763"/>
      <c r="BD1989" s="1763"/>
      <c r="BE1989" s="1763"/>
      <c r="BF1989" s="1763"/>
      <c r="BG1989" s="1763"/>
      <c r="BH1989" s="1763"/>
      <c r="BI1989" s="1763"/>
      <c r="BJ1989" s="1763"/>
      <c r="BK1989" s="1763"/>
      <c r="BL1989" s="1763"/>
      <c r="BM1989" s="1763"/>
      <c r="BN1989" s="1763"/>
      <c r="BO1989" s="1763"/>
      <c r="BP1989" s="1763"/>
      <c r="BQ1989" s="1763"/>
      <c r="BR1989" s="1763"/>
      <c r="BS1989" s="1763"/>
      <c r="BT1989" s="1767"/>
      <c r="BU1989" s="224"/>
      <c r="BV1989" s="65"/>
      <c r="BW1989" s="1326"/>
      <c r="BX1989" s="224"/>
      <c r="BY1989" s="224"/>
      <c r="BZ1989" s="224"/>
      <c r="CA1989" s="224"/>
      <c r="CB1989" s="224"/>
      <c r="CC1989" s="224"/>
      <c r="CD1989" s="224"/>
      <c r="CE1989" s="224"/>
      <c r="CF1989" s="224"/>
      <c r="CG1989" s="224"/>
      <c r="CH1989" s="224"/>
      <c r="CI1989" s="224"/>
      <c r="CJ1989" s="224"/>
      <c r="CK1989" s="224"/>
      <c r="CL1989" s="224"/>
      <c r="CM1989" s="224"/>
      <c r="CN1989" s="224"/>
      <c r="CO1989" s="224"/>
      <c r="CP1989" s="224"/>
      <c r="CQ1989" s="224"/>
      <c r="CR1989" s="224"/>
      <c r="CS1989" s="224"/>
      <c r="CT1989" s="224"/>
      <c r="CU1989" s="224"/>
      <c r="CV1989" s="224"/>
      <c r="CW1989" s="224"/>
      <c r="CX1989" s="224"/>
      <c r="CY1989" s="224"/>
      <c r="CZ1989" s="224"/>
      <c r="DA1989" s="224"/>
      <c r="DB1989" s="224"/>
      <c r="DC1989" s="224"/>
      <c r="DD1989" s="224"/>
      <c r="DE1989" s="224"/>
      <c r="DF1989" s="224"/>
      <c r="DG1989" s="224"/>
      <c r="DH1989" s="224"/>
      <c r="DI1989" s="224"/>
      <c r="DJ1989" s="224"/>
      <c r="DK1989" s="224"/>
      <c r="DL1989" s="224"/>
      <c r="DM1989" s="224"/>
      <c r="DN1989" s="224"/>
      <c r="DO1989" s="224"/>
      <c r="DP1989" s="224"/>
      <c r="DQ1989" s="224"/>
      <c r="DR1989" s="224"/>
      <c r="DS1989" s="1768"/>
    </row>
    <row r="1990" spans="1:123" s="548" customFormat="1" ht="12.75" customHeight="1" x14ac:dyDescent="0.15">
      <c r="A1990"/>
      <c r="B1990" s="175"/>
      <c r="C1990" s="570"/>
      <c r="D1990" s="570"/>
      <c r="E1990" s="12" t="s">
        <v>521</v>
      </c>
      <c r="F1990" s="570"/>
      <c r="G1990" s="798" t="s">
        <v>781</v>
      </c>
      <c r="H1990" s="1355"/>
      <c r="I1990" s="570"/>
      <c r="J1990" s="570"/>
      <c r="K1990" s="570"/>
      <c r="L1990" s="799"/>
      <c r="M1990" s="799"/>
      <c r="N1990" s="799"/>
      <c r="O1990" s="175"/>
      <c r="P1990" s="1240"/>
      <c r="Q1990" s="876"/>
      <c r="R1990" s="798"/>
      <c r="S1990" s="875"/>
      <c r="T1990" s="877"/>
      <c r="U1990" s="877"/>
      <c r="V1990" s="877"/>
      <c r="W1990" s="875"/>
      <c r="X1990" s="1722">
        <v>822950</v>
      </c>
      <c r="Y1990" s="875"/>
      <c r="Z1990" s="875"/>
      <c r="AA1990" s="170"/>
      <c r="AB1990" s="1515"/>
      <c r="AC1990" s="1288"/>
      <c r="AD1990" s="1762"/>
      <c r="AE1990" s="1763"/>
      <c r="AF1990" s="1763"/>
      <c r="AG1990" s="1763"/>
      <c r="AH1990" s="1763"/>
      <c r="AI1990" s="1763"/>
      <c r="AJ1990" s="1763"/>
      <c r="AK1990" s="1763"/>
      <c r="AL1990" s="1762"/>
      <c r="AM1990" s="1764"/>
      <c r="AN1990" s="1764"/>
      <c r="AO1990" s="1764"/>
      <c r="AP1990" s="1764"/>
      <c r="AQ1990" s="1764"/>
      <c r="AR1990" s="1764"/>
      <c r="AS1990" s="1763"/>
      <c r="AT1990" s="1763"/>
      <c r="AU1990" s="1763"/>
      <c r="AV1990" s="1763"/>
      <c r="AW1990" s="1763"/>
      <c r="AX1990" s="1763"/>
      <c r="AY1990" s="1763"/>
      <c r="AZ1990" s="1763"/>
      <c r="BA1990" s="1763"/>
      <c r="BB1990" s="1763"/>
      <c r="BC1990" s="1763"/>
      <c r="BD1990" s="1763"/>
      <c r="BE1990" s="1763"/>
      <c r="BF1990" s="1763"/>
      <c r="BG1990" s="1763"/>
      <c r="BH1990" s="1763"/>
      <c r="BI1990" s="1763"/>
      <c r="BJ1990" s="1763"/>
      <c r="BK1990" s="1763"/>
      <c r="BL1990" s="1763"/>
      <c r="BM1990" s="1763"/>
      <c r="BN1990" s="1763"/>
      <c r="BO1990" s="1763"/>
      <c r="BP1990" s="1763"/>
      <c r="BQ1990" s="1763"/>
      <c r="BR1990" s="1763"/>
      <c r="BS1990" s="1763"/>
      <c r="BT1990" s="1767"/>
      <c r="BU1990" s="224"/>
      <c r="BV1990" s="65"/>
      <c r="BW1990" s="1326"/>
      <c r="BX1990" s="224"/>
      <c r="BY1990" s="224"/>
      <c r="BZ1990" s="224"/>
      <c r="CA1990" s="224"/>
      <c r="CB1990" s="224"/>
      <c r="CC1990" s="224"/>
      <c r="CD1990" s="224"/>
      <c r="CE1990" s="224"/>
      <c r="CF1990" s="224"/>
      <c r="CG1990" s="224"/>
      <c r="CH1990" s="224"/>
      <c r="CI1990" s="224"/>
      <c r="CJ1990" s="224"/>
      <c r="CK1990" s="224"/>
      <c r="CL1990" s="224"/>
      <c r="CM1990" s="224"/>
      <c r="CN1990" s="224"/>
      <c r="CO1990" s="224"/>
      <c r="CP1990" s="224"/>
      <c r="CQ1990" s="224"/>
      <c r="CR1990" s="224"/>
      <c r="CS1990" s="224"/>
      <c r="CT1990" s="224"/>
      <c r="CU1990" s="224"/>
      <c r="CV1990" s="224"/>
      <c r="CW1990" s="224"/>
      <c r="CX1990" s="224"/>
      <c r="CY1990" s="224"/>
      <c r="CZ1990" s="224"/>
      <c r="DA1990" s="224"/>
      <c r="DB1990" s="224"/>
      <c r="DC1990" s="224"/>
      <c r="DD1990" s="224"/>
      <c r="DE1990" s="224"/>
      <c r="DF1990" s="224"/>
      <c r="DG1990" s="224"/>
      <c r="DH1990" s="224"/>
      <c r="DI1990" s="224"/>
      <c r="DJ1990" s="224"/>
      <c r="DK1990" s="224"/>
      <c r="DL1990" s="224"/>
      <c r="DM1990" s="224"/>
      <c r="DN1990" s="224"/>
      <c r="DO1990" s="224"/>
      <c r="DP1990" s="224"/>
      <c r="DQ1990" s="224"/>
      <c r="DR1990" s="224"/>
      <c r="DS1990" s="1768"/>
    </row>
    <row r="1991" spans="1:123" s="548" customFormat="1" ht="12.75" customHeight="1" x14ac:dyDescent="0.15">
      <c r="A1991"/>
      <c r="B1991" s="175"/>
      <c r="C1991" s="164"/>
      <c r="D1991" s="164"/>
      <c r="E1991" s="12" t="s">
        <v>987</v>
      </c>
      <c r="F1991" s="164"/>
      <c r="G1991" s="798" t="s">
        <v>780</v>
      </c>
      <c r="H1991" s="1355"/>
      <c r="I1991" s="164"/>
      <c r="J1991" s="164"/>
      <c r="K1991" s="164"/>
      <c r="L1991" s="799"/>
      <c r="M1991" s="799"/>
      <c r="N1991" s="799"/>
      <c r="O1991" s="175"/>
      <c r="P1991" s="1240"/>
      <c r="Q1991" s="876"/>
      <c r="R1991" s="798"/>
      <c r="S1991" s="875"/>
      <c r="T1991" s="877"/>
      <c r="U1991" s="877"/>
      <c r="V1991" s="877"/>
      <c r="W1991" s="875"/>
      <c r="X1991" s="1026">
        <v>271200</v>
      </c>
      <c r="Y1991" s="875"/>
      <c r="Z1991" s="875"/>
      <c r="AA1991" s="170"/>
      <c r="AB1991" s="1515"/>
      <c r="AC1991" s="876"/>
      <c r="AD1991" s="1762"/>
      <c r="AE1991" s="1763"/>
      <c r="AF1991" s="1763"/>
      <c r="AG1991" s="1763"/>
      <c r="AH1991" s="1763"/>
      <c r="AI1991" s="1763"/>
      <c r="AJ1991" s="1763"/>
      <c r="AK1991" s="1763"/>
      <c r="AL1991" s="1762"/>
      <c r="AM1991" s="1764"/>
      <c r="AN1991" s="1764"/>
      <c r="AO1991" s="1764"/>
      <c r="AP1991" s="1764"/>
      <c r="AQ1991" s="1764"/>
      <c r="AR1991" s="1764"/>
      <c r="AS1991" s="1763"/>
      <c r="AT1991" s="1763"/>
      <c r="AU1991" s="1763"/>
      <c r="AV1991" s="1763"/>
      <c r="AW1991" s="1763"/>
      <c r="AX1991" s="1763"/>
      <c r="AY1991" s="1763"/>
      <c r="AZ1991" s="1763"/>
      <c r="BA1991" s="1763"/>
      <c r="BB1991" s="1763"/>
      <c r="BC1991" s="1763"/>
      <c r="BD1991" s="1763"/>
      <c r="BE1991" s="1763"/>
      <c r="BF1991" s="1763"/>
      <c r="BG1991" s="1763"/>
      <c r="BH1991" s="1763"/>
      <c r="BI1991" s="1763"/>
      <c r="BJ1991" s="1763"/>
      <c r="BK1991" s="1763"/>
      <c r="BL1991" s="1763"/>
      <c r="BM1991" s="1763"/>
      <c r="BN1991" s="1763"/>
      <c r="BO1991" s="1763"/>
      <c r="BP1991" s="1763"/>
      <c r="BQ1991" s="1763"/>
      <c r="BR1991" s="1763"/>
      <c r="BS1991" s="1763"/>
      <c r="BT1991" s="1767"/>
      <c r="BU1991" s="224"/>
      <c r="BV1991" s="65"/>
      <c r="BW1991" s="1326"/>
      <c r="BX1991" s="224"/>
      <c r="BY1991" s="224"/>
      <c r="BZ1991" s="224"/>
      <c r="CA1991" s="224"/>
      <c r="CB1991" s="224"/>
      <c r="CC1991" s="224"/>
      <c r="CD1991" s="224"/>
      <c r="CE1991" s="224"/>
      <c r="CF1991" s="224"/>
      <c r="CG1991" s="224"/>
      <c r="CH1991" s="224"/>
      <c r="CI1991" s="224"/>
      <c r="CJ1991" s="224"/>
      <c r="CK1991" s="224"/>
      <c r="CL1991" s="224"/>
      <c r="CM1991" s="224"/>
      <c r="CN1991" s="224"/>
      <c r="CO1991" s="224"/>
      <c r="CP1991" s="224"/>
      <c r="CQ1991" s="224"/>
      <c r="CR1991" s="224"/>
      <c r="CS1991" s="224"/>
      <c r="CT1991" s="224"/>
      <c r="CU1991" s="224"/>
      <c r="CV1991" s="224"/>
      <c r="CW1991" s="224"/>
      <c r="CX1991" s="224"/>
      <c r="CY1991" s="224"/>
      <c r="CZ1991" s="224"/>
      <c r="DA1991" s="224"/>
      <c r="DB1991" s="224"/>
      <c r="DC1991" s="224"/>
      <c r="DD1991" s="224"/>
      <c r="DE1991" s="224"/>
      <c r="DF1991" s="224"/>
      <c r="DG1991" s="224"/>
      <c r="DH1991" s="224"/>
      <c r="DI1991" s="224"/>
      <c r="DJ1991" s="224"/>
      <c r="DK1991" s="224"/>
      <c r="DL1991" s="224"/>
      <c r="DM1991" s="224"/>
      <c r="DN1991" s="224"/>
      <c r="DO1991" s="224"/>
      <c r="DP1991" s="224"/>
      <c r="DQ1991" s="224"/>
      <c r="DR1991" s="224"/>
      <c r="DS1991" s="1768"/>
    </row>
    <row r="1992" spans="1:123" s="548" customFormat="1" ht="12.75" customHeight="1" x14ac:dyDescent="0.15">
      <c r="A1992"/>
      <c r="B1992" s="175"/>
      <c r="C1992" s="164"/>
      <c r="D1992" s="164"/>
      <c r="E1992" s="12" t="s">
        <v>1313</v>
      </c>
      <c r="F1992" s="164"/>
      <c r="G1992" s="798" t="s">
        <v>187</v>
      </c>
      <c r="H1992" s="1355"/>
      <c r="I1992" s="164"/>
      <c r="J1992" s="164"/>
      <c r="K1992" s="164"/>
      <c r="L1992" s="799"/>
      <c r="M1992" s="799"/>
      <c r="N1992" s="799"/>
      <c r="O1992" s="175"/>
      <c r="P1992" s="1240"/>
      <c r="Q1992" s="876"/>
      <c r="R1992" s="798"/>
      <c r="S1992" s="875"/>
      <c r="T1992" s="877"/>
      <c r="U1992" s="877"/>
      <c r="V1992" s="877"/>
      <c r="W1992" s="875"/>
      <c r="X1992" s="1026">
        <v>35800</v>
      </c>
      <c r="Y1992" s="875"/>
      <c r="Z1992" s="875"/>
      <c r="AA1992" s="170"/>
      <c r="AB1992" s="1515"/>
      <c r="AC1992" s="876"/>
      <c r="AD1992" s="1762"/>
      <c r="AE1992" s="1763"/>
      <c r="AF1992" s="1763"/>
      <c r="AG1992" s="1763"/>
      <c r="AH1992" s="1763"/>
      <c r="AI1992" s="1763"/>
      <c r="AJ1992" s="1763"/>
      <c r="AK1992" s="1763"/>
      <c r="AL1992" s="1762"/>
      <c r="AM1992" s="1764"/>
      <c r="AN1992" s="1764"/>
      <c r="AO1992" s="1764"/>
      <c r="AP1992" s="1764"/>
      <c r="AQ1992" s="1764"/>
      <c r="AR1992" s="1764"/>
      <c r="AS1992" s="1763"/>
      <c r="AT1992" s="1763"/>
      <c r="AU1992" s="1763"/>
      <c r="AV1992" s="1763"/>
      <c r="AW1992" s="1763"/>
      <c r="AX1992" s="1763"/>
      <c r="AY1992" s="1763"/>
      <c r="AZ1992" s="1763"/>
      <c r="BA1992" s="1763"/>
      <c r="BB1992" s="1763"/>
      <c r="BC1992" s="1763"/>
      <c r="BD1992" s="1763"/>
      <c r="BE1992" s="1763"/>
      <c r="BF1992" s="1763"/>
      <c r="BG1992" s="1763"/>
      <c r="BH1992" s="1763"/>
      <c r="BI1992" s="1763"/>
      <c r="BJ1992" s="1763"/>
      <c r="BK1992" s="1763"/>
      <c r="BL1992" s="1763"/>
      <c r="BM1992" s="1763"/>
      <c r="BN1992" s="1763"/>
      <c r="BO1992" s="1763"/>
      <c r="BP1992" s="1763"/>
      <c r="BQ1992" s="1763"/>
      <c r="BR1992" s="1763"/>
      <c r="BS1992" s="1763"/>
      <c r="BT1992" s="1767"/>
      <c r="BU1992" s="224"/>
      <c r="BV1992" s="65"/>
      <c r="BW1992" s="1326"/>
      <c r="BX1992" s="224"/>
      <c r="BY1992" s="224"/>
      <c r="BZ1992" s="224"/>
      <c r="CA1992" s="224"/>
      <c r="CB1992" s="224"/>
      <c r="CC1992" s="224"/>
      <c r="CD1992" s="224"/>
      <c r="CE1992" s="224"/>
      <c r="CF1992" s="224"/>
      <c r="CG1992" s="224"/>
      <c r="CH1992" s="224"/>
      <c r="CI1992" s="224"/>
      <c r="CJ1992" s="224"/>
      <c r="CK1992" s="224"/>
      <c r="CL1992" s="224"/>
      <c r="CM1992" s="224"/>
      <c r="CN1992" s="224"/>
      <c r="CO1992" s="224"/>
      <c r="CP1992" s="224"/>
      <c r="CQ1992" s="224"/>
      <c r="CR1992" s="224"/>
      <c r="CS1992" s="224"/>
      <c r="CT1992" s="224"/>
      <c r="CU1992" s="224"/>
      <c r="CV1992" s="224"/>
      <c r="CW1992" s="224"/>
      <c r="CX1992" s="224"/>
      <c r="CY1992" s="224"/>
      <c r="CZ1992" s="224"/>
      <c r="DA1992" s="224"/>
      <c r="DB1992" s="224"/>
      <c r="DC1992" s="224"/>
      <c r="DD1992" s="224"/>
      <c r="DE1992" s="224"/>
      <c r="DF1992" s="224"/>
      <c r="DG1992" s="224"/>
      <c r="DH1992" s="224"/>
      <c r="DI1992" s="224"/>
      <c r="DJ1992" s="224"/>
      <c r="DK1992" s="224"/>
      <c r="DL1992" s="224"/>
      <c r="DM1992" s="224"/>
      <c r="DN1992" s="224"/>
      <c r="DO1992" s="224"/>
      <c r="DP1992" s="224"/>
      <c r="DQ1992" s="224"/>
      <c r="DR1992" s="224"/>
      <c r="DS1992" s="1768"/>
    </row>
    <row r="1993" spans="1:123" s="548" customFormat="1" ht="12.75" customHeight="1" x14ac:dyDescent="0.15">
      <c r="A1993"/>
      <c r="B1993" s="175"/>
      <c r="C1993" s="570"/>
      <c r="D1993" s="570"/>
      <c r="E1993" s="570" t="s">
        <v>914</v>
      </c>
      <c r="F1993" s="570"/>
      <c r="G1993" s="799" t="s">
        <v>914</v>
      </c>
      <c r="H1993" s="1355"/>
      <c r="I1993" s="570"/>
      <c r="J1993" s="570"/>
      <c r="K1993" s="570"/>
      <c r="L1993" s="799"/>
      <c r="M1993" s="799"/>
      <c r="N1993" s="799"/>
      <c r="O1993" s="175"/>
      <c r="P1993" s="1240"/>
      <c r="Q1993" s="876"/>
      <c r="R1993" s="799"/>
      <c r="S1993" s="875"/>
      <c r="T1993" s="877"/>
      <c r="U1993" s="877"/>
      <c r="V1993" s="877"/>
      <c r="W1993" s="875"/>
      <c r="X1993" s="1026">
        <v>55000</v>
      </c>
      <c r="Y1993" s="875"/>
      <c r="Z1993" s="875"/>
      <c r="AA1993" s="170"/>
      <c r="AB1993" s="1515"/>
      <c r="AC1993" s="876"/>
      <c r="AD1993" s="1762"/>
      <c r="AE1993" s="1763"/>
      <c r="AF1993" s="1763"/>
      <c r="AG1993" s="1763"/>
      <c r="AH1993" s="1763"/>
      <c r="AI1993" s="1763"/>
      <c r="AJ1993" s="1763"/>
      <c r="AK1993" s="1763"/>
      <c r="AL1993" s="1762"/>
      <c r="AM1993" s="1764"/>
      <c r="AN1993" s="1764"/>
      <c r="AO1993" s="1764"/>
      <c r="AP1993" s="1764"/>
      <c r="AQ1993" s="1764"/>
      <c r="AR1993" s="1764"/>
      <c r="AS1993" s="1763"/>
      <c r="AT1993" s="1763"/>
      <c r="AU1993" s="1763"/>
      <c r="AV1993" s="1763"/>
      <c r="AW1993" s="1763"/>
      <c r="AX1993" s="1763"/>
      <c r="AY1993" s="1763"/>
      <c r="AZ1993" s="1763"/>
      <c r="BA1993" s="1763"/>
      <c r="BB1993" s="1763"/>
      <c r="BC1993" s="1763"/>
      <c r="BD1993" s="1763"/>
      <c r="BE1993" s="1763"/>
      <c r="BF1993" s="1763"/>
      <c r="BG1993" s="1763"/>
      <c r="BH1993" s="1763"/>
      <c r="BI1993" s="1763"/>
      <c r="BJ1993" s="1763"/>
      <c r="BK1993" s="1763"/>
      <c r="BL1993" s="1763"/>
      <c r="BM1993" s="1763"/>
      <c r="BN1993" s="1763"/>
      <c r="BO1993" s="1763"/>
      <c r="BP1993" s="1763"/>
      <c r="BQ1993" s="1763"/>
      <c r="BR1993" s="1763"/>
      <c r="BS1993" s="1763"/>
      <c r="BT1993" s="1767"/>
      <c r="BU1993" s="224"/>
      <c r="BV1993" s="65"/>
      <c r="BW1993" s="876"/>
      <c r="BX1993" s="224"/>
      <c r="BY1993" s="224"/>
      <c r="BZ1993" s="224"/>
      <c r="CA1993" s="224"/>
      <c r="CB1993" s="224"/>
      <c r="CC1993" s="224"/>
      <c r="CD1993" s="224"/>
      <c r="CE1993" s="224"/>
      <c r="CF1993" s="224"/>
      <c r="CG1993" s="224"/>
      <c r="CH1993" s="224"/>
      <c r="CI1993" s="224"/>
      <c r="CJ1993" s="224"/>
      <c r="CK1993" s="224"/>
      <c r="CL1993" s="224"/>
      <c r="CM1993" s="224"/>
      <c r="CN1993" s="224"/>
      <c r="CO1993" s="224"/>
      <c r="CP1993" s="224"/>
      <c r="CQ1993" s="224"/>
      <c r="CR1993" s="224"/>
      <c r="CS1993" s="224"/>
      <c r="CT1993" s="224"/>
      <c r="CU1993" s="224"/>
      <c r="CV1993" s="224"/>
      <c r="CW1993" s="224"/>
      <c r="CX1993" s="224"/>
      <c r="CY1993" s="224"/>
      <c r="CZ1993" s="224"/>
      <c r="DA1993" s="224"/>
      <c r="DB1993" s="224"/>
      <c r="DC1993" s="224"/>
      <c r="DD1993" s="224"/>
      <c r="DE1993" s="224"/>
      <c r="DF1993" s="224"/>
      <c r="DG1993" s="224"/>
      <c r="DH1993" s="224"/>
      <c r="DI1993" s="224"/>
      <c r="DJ1993" s="224"/>
      <c r="DK1993" s="224"/>
      <c r="DL1993" s="224"/>
      <c r="DM1993" s="224"/>
      <c r="DN1993" s="224"/>
      <c r="DO1993" s="224"/>
      <c r="DP1993" s="224"/>
      <c r="DQ1993" s="224"/>
      <c r="DR1993" s="224"/>
      <c r="DS1993" s="1768"/>
    </row>
    <row r="1994" spans="1:123" s="548" customFormat="1" ht="12.75" customHeight="1" x14ac:dyDescent="0.15">
      <c r="A1994"/>
      <c r="B1994" s="175"/>
      <c r="C1994" s="570"/>
      <c r="D1994" s="570"/>
      <c r="E1994" s="570" t="s">
        <v>874</v>
      </c>
      <c r="F1994" s="570"/>
      <c r="G1994" s="799" t="s">
        <v>1682</v>
      </c>
      <c r="H1994" s="1355"/>
      <c r="I1994" s="570"/>
      <c r="J1994" s="570"/>
      <c r="K1994" s="570"/>
      <c r="L1994" s="799"/>
      <c r="M1994" s="799"/>
      <c r="N1994" s="799"/>
      <c r="O1994" s="175"/>
      <c r="P1994" s="1240"/>
      <c r="Q1994" s="876"/>
      <c r="R1994" s="799"/>
      <c r="S1994" s="875"/>
      <c r="T1994" s="877"/>
      <c r="U1994" s="877"/>
      <c r="V1994" s="877"/>
      <c r="W1994" s="875"/>
      <c r="X1994" s="1026">
        <v>77000</v>
      </c>
      <c r="Y1994" s="875"/>
      <c r="Z1994" s="875"/>
      <c r="AA1994" s="170"/>
      <c r="AB1994" s="1515"/>
      <c r="AC1994" s="876"/>
      <c r="AD1994" s="1762"/>
      <c r="AE1994" s="1763"/>
      <c r="AF1994" s="1763"/>
      <c r="AG1994" s="1763"/>
      <c r="AH1994" s="1763"/>
      <c r="AI1994" s="1763"/>
      <c r="AJ1994" s="1763"/>
      <c r="AK1994" s="1763"/>
      <c r="AL1994" s="1762"/>
      <c r="AM1994" s="1764"/>
      <c r="AN1994" s="1764"/>
      <c r="AO1994" s="1764"/>
      <c r="AP1994" s="1764"/>
      <c r="AQ1994" s="1764"/>
      <c r="AR1994" s="1764"/>
      <c r="AS1994" s="1763"/>
      <c r="AT1994" s="1763"/>
      <c r="AU1994" s="1763"/>
      <c r="AV1994" s="1763"/>
      <c r="AW1994" s="1763"/>
      <c r="AX1994" s="1763"/>
      <c r="AY1994" s="1763"/>
      <c r="AZ1994" s="1763"/>
      <c r="BA1994" s="1763"/>
      <c r="BB1994" s="1763"/>
      <c r="BC1994" s="1763"/>
      <c r="BD1994" s="1763"/>
      <c r="BE1994" s="1763"/>
      <c r="BF1994" s="1763"/>
      <c r="BG1994" s="1763"/>
      <c r="BH1994" s="1763"/>
      <c r="BI1994" s="1763"/>
      <c r="BJ1994" s="1763"/>
      <c r="BK1994" s="1763"/>
      <c r="BL1994" s="1763"/>
      <c r="BM1994" s="1763"/>
      <c r="BN1994" s="1763"/>
      <c r="BO1994" s="1763"/>
      <c r="BP1994" s="1763"/>
      <c r="BQ1994" s="1763"/>
      <c r="BR1994" s="1763"/>
      <c r="BS1994" s="1763"/>
      <c r="BT1994" s="1767"/>
      <c r="BU1994" s="224"/>
      <c r="BV1994" s="65"/>
      <c r="BW1994" s="876"/>
      <c r="BX1994" s="224"/>
      <c r="BY1994" s="224"/>
      <c r="BZ1994" s="224"/>
      <c r="CA1994" s="224"/>
      <c r="CB1994" s="224"/>
      <c r="CC1994" s="224"/>
      <c r="CD1994" s="224"/>
      <c r="CE1994" s="224"/>
      <c r="CF1994" s="224"/>
      <c r="CG1994" s="224"/>
      <c r="CH1994" s="224"/>
      <c r="CI1994" s="224"/>
      <c r="CJ1994" s="224"/>
      <c r="CK1994" s="224"/>
      <c r="CL1994" s="224"/>
      <c r="CM1994" s="224"/>
      <c r="CN1994" s="224"/>
      <c r="CO1994" s="224"/>
      <c r="CP1994" s="224"/>
      <c r="CQ1994" s="224"/>
      <c r="CR1994" s="224"/>
      <c r="CS1994" s="224"/>
      <c r="CT1994" s="224"/>
      <c r="CU1994" s="224"/>
      <c r="CV1994" s="224"/>
      <c r="CW1994" s="224"/>
      <c r="CX1994" s="224"/>
      <c r="CY1994" s="224"/>
      <c r="CZ1994" s="224"/>
      <c r="DA1994" s="224"/>
      <c r="DB1994" s="224"/>
      <c r="DC1994" s="224"/>
      <c r="DD1994" s="224"/>
      <c r="DE1994" s="224"/>
      <c r="DF1994" s="224"/>
      <c r="DG1994" s="224"/>
      <c r="DH1994" s="224"/>
      <c r="DI1994" s="224"/>
      <c r="DJ1994" s="224"/>
      <c r="DK1994" s="224"/>
      <c r="DL1994" s="224"/>
      <c r="DM1994" s="224"/>
      <c r="DN1994" s="224"/>
      <c r="DO1994" s="224"/>
      <c r="DP1994" s="224"/>
      <c r="DQ1994" s="224"/>
      <c r="DR1994" s="224"/>
      <c r="DS1994" s="1768"/>
    </row>
    <row r="1995" spans="1:123" s="548" customFormat="1" ht="12.75" customHeight="1" x14ac:dyDescent="0.15">
      <c r="A1995"/>
      <c r="B1995" s="175"/>
      <c r="C1995" s="570"/>
      <c r="D1995" s="570"/>
      <c r="E1995" s="570"/>
      <c r="F1995" s="570"/>
      <c r="G1995" s="799"/>
      <c r="H1995" s="1355"/>
      <c r="I1995" s="570"/>
      <c r="J1995" s="570"/>
      <c r="K1995" s="570"/>
      <c r="L1995" s="799"/>
      <c r="M1995" s="799"/>
      <c r="N1995" s="799"/>
      <c r="O1995" s="175"/>
      <c r="P1995" s="1240"/>
      <c r="Q1995" s="876"/>
      <c r="R1995" s="875"/>
      <c r="S1995" s="875"/>
      <c r="T1995" s="877"/>
      <c r="U1995" s="877" t="s">
        <v>1119</v>
      </c>
      <c r="V1995" s="877"/>
      <c r="W1995" s="875"/>
      <c r="X1995" s="1721">
        <f>SUM(X1984:X1994)</f>
        <v>5285950</v>
      </c>
      <c r="Y1995" s="875"/>
      <c r="Z1995" s="875"/>
      <c r="AA1995" s="170"/>
      <c r="AB1995" s="1515"/>
      <c r="AC1995" s="1055"/>
      <c r="AD1995" s="1762"/>
      <c r="AE1995" s="1763"/>
      <c r="AF1995" s="1763"/>
      <c r="AG1995" s="1763"/>
      <c r="AH1995" s="1763"/>
      <c r="AI1995" s="1763"/>
      <c r="AJ1995" s="1763"/>
      <c r="AK1995" s="1763"/>
      <c r="AL1995" s="1762"/>
      <c r="AM1995" s="1764"/>
      <c r="AN1995" s="1764"/>
      <c r="AO1995" s="1764"/>
      <c r="AP1995" s="1764"/>
      <c r="AQ1995" s="1764"/>
      <c r="AR1995" s="1764"/>
      <c r="AS1995" s="1763"/>
      <c r="AT1995" s="1763"/>
      <c r="AU1995" s="1763"/>
      <c r="AV1995" s="1763"/>
      <c r="AW1995" s="1763"/>
      <c r="AX1995" s="1763"/>
      <c r="AY1995" s="1763"/>
      <c r="AZ1995" s="1763"/>
      <c r="BA1995" s="1763"/>
      <c r="BB1995" s="1763"/>
      <c r="BC1995" s="1763"/>
      <c r="BD1995" s="1763"/>
      <c r="BE1995" s="1763"/>
      <c r="BF1995" s="1763"/>
      <c r="BG1995" s="1763"/>
      <c r="BH1995" s="1763"/>
      <c r="BI1995" s="1763"/>
      <c r="BJ1995" s="1763"/>
      <c r="BK1995" s="1763"/>
      <c r="BL1995" s="1763"/>
      <c r="BM1995" s="1763"/>
      <c r="BN1995" s="1763"/>
      <c r="BO1995" s="1763"/>
      <c r="BP1995" s="1763"/>
      <c r="BQ1995" s="1763"/>
      <c r="BR1995" s="1763"/>
      <c r="BS1995" s="1763"/>
      <c r="BT1995" s="1767"/>
      <c r="BU1995" s="224"/>
      <c r="BV1995" s="65"/>
      <c r="BW1995" s="876"/>
      <c r="BX1995" s="224"/>
      <c r="BY1995" s="224"/>
      <c r="BZ1995" s="224"/>
      <c r="CA1995" s="224"/>
      <c r="CB1995" s="224"/>
      <c r="CC1995" s="224"/>
      <c r="CD1995" s="224"/>
      <c r="CE1995" s="224"/>
      <c r="CF1995" s="224"/>
      <c r="CG1995" s="224"/>
      <c r="CH1995" s="224"/>
      <c r="CI1995" s="224"/>
      <c r="CJ1995" s="224"/>
      <c r="CK1995" s="224"/>
      <c r="CL1995" s="224"/>
      <c r="CM1995" s="224"/>
      <c r="CN1995" s="224"/>
      <c r="CO1995" s="224"/>
      <c r="CP1995" s="224"/>
      <c r="CQ1995" s="224"/>
      <c r="CR1995" s="224"/>
      <c r="CS1995" s="224"/>
      <c r="CT1995" s="224"/>
      <c r="CU1995" s="224"/>
      <c r="CV1995" s="224"/>
      <c r="CW1995" s="224"/>
      <c r="CX1995" s="224"/>
      <c r="CY1995" s="224"/>
      <c r="CZ1995" s="224"/>
      <c r="DA1995" s="224"/>
      <c r="DB1995" s="224"/>
      <c r="DC1995" s="224"/>
      <c r="DD1995" s="224"/>
      <c r="DE1995" s="224"/>
      <c r="DF1995" s="224"/>
      <c r="DG1995" s="224"/>
      <c r="DH1995" s="224"/>
      <c r="DI1995" s="224"/>
      <c r="DJ1995" s="224"/>
      <c r="DK1995" s="224"/>
      <c r="DL1995" s="224"/>
      <c r="DM1995" s="224"/>
      <c r="DN1995" s="224"/>
      <c r="DO1995" s="224"/>
      <c r="DP1995" s="224"/>
      <c r="DQ1995" s="224"/>
      <c r="DR1995" s="224"/>
      <c r="DS1995" s="1768"/>
    </row>
    <row r="1996" spans="1:123" s="548" customFormat="1" ht="12.75" customHeight="1" x14ac:dyDescent="0.15">
      <c r="A1996"/>
      <c r="B1996" s="175"/>
      <c r="C1996" s="164"/>
      <c r="D1996" s="164"/>
      <c r="E1996" s="164"/>
      <c r="F1996" s="164"/>
      <c r="G1996" s="799"/>
      <c r="H1996" s="1355"/>
      <c r="I1996" s="164"/>
      <c r="J1996" s="164"/>
      <c r="K1996" s="164"/>
      <c r="L1996" s="799"/>
      <c r="M1996" s="799"/>
      <c r="N1996" s="799"/>
      <c r="O1996" s="175"/>
      <c r="P1996" s="1240"/>
      <c r="Q1996" s="876"/>
      <c r="R1996" s="875"/>
      <c r="S1996" s="875"/>
      <c r="T1996" s="877"/>
      <c r="U1996" s="877"/>
      <c r="V1996" s="877"/>
      <c r="W1996" s="875"/>
      <c r="X1996" s="1026"/>
      <c r="Y1996" s="875"/>
      <c r="Z1996" s="875"/>
      <c r="AA1996" s="170"/>
      <c r="AB1996" s="1515"/>
      <c r="AC1996" s="876"/>
      <c r="AD1996" s="1762"/>
      <c r="AE1996" s="1763"/>
      <c r="AF1996" s="1763"/>
      <c r="AG1996" s="1763"/>
      <c r="AH1996" s="1763"/>
      <c r="AI1996" s="1763"/>
      <c r="AJ1996" s="1763"/>
      <c r="AK1996" s="1763"/>
      <c r="AL1996" s="1762"/>
      <c r="AM1996" s="1764"/>
      <c r="AN1996" s="1764"/>
      <c r="AO1996" s="1764"/>
      <c r="AP1996" s="1764"/>
      <c r="AQ1996" s="1764"/>
      <c r="AR1996" s="1764"/>
      <c r="AS1996" s="1763"/>
      <c r="AT1996" s="1763"/>
      <c r="AU1996" s="1763"/>
      <c r="AV1996" s="1763"/>
      <c r="AW1996" s="1763"/>
      <c r="AX1996" s="1763"/>
      <c r="AY1996" s="1763"/>
      <c r="AZ1996" s="1763"/>
      <c r="BA1996" s="1763"/>
      <c r="BB1996" s="1763"/>
      <c r="BC1996" s="1763"/>
      <c r="BD1996" s="1763"/>
      <c r="BE1996" s="1763"/>
      <c r="BF1996" s="1763"/>
      <c r="BG1996" s="1763"/>
      <c r="BH1996" s="1763"/>
      <c r="BI1996" s="1763"/>
      <c r="BJ1996" s="1763"/>
      <c r="BK1996" s="1763"/>
      <c r="BL1996" s="1763"/>
      <c r="BM1996" s="1763"/>
      <c r="BN1996" s="1763"/>
      <c r="BO1996" s="1763"/>
      <c r="BP1996" s="1763"/>
      <c r="BQ1996" s="1763"/>
      <c r="BR1996" s="1763"/>
      <c r="BS1996" s="1763"/>
      <c r="BT1996" s="1767"/>
      <c r="BU1996" s="224"/>
      <c r="BV1996" s="65"/>
      <c r="BW1996" s="876"/>
      <c r="BX1996" s="224"/>
      <c r="BY1996" s="224"/>
      <c r="BZ1996" s="224"/>
      <c r="CA1996" s="224"/>
      <c r="CB1996" s="224"/>
      <c r="CC1996" s="224"/>
      <c r="CD1996" s="224"/>
      <c r="CE1996" s="224"/>
      <c r="CF1996" s="224"/>
      <c r="CG1996" s="224"/>
      <c r="CH1996" s="224"/>
      <c r="CI1996" s="224"/>
      <c r="CJ1996" s="224"/>
      <c r="CK1996" s="224"/>
      <c r="CL1996" s="224"/>
      <c r="CM1996" s="224"/>
      <c r="CN1996" s="224"/>
      <c r="CO1996" s="224"/>
      <c r="CP1996" s="224"/>
      <c r="CQ1996" s="224"/>
      <c r="CR1996" s="224"/>
      <c r="CS1996" s="224"/>
      <c r="CT1996" s="224"/>
      <c r="CU1996" s="224"/>
      <c r="CV1996" s="224"/>
      <c r="CW1996" s="224"/>
      <c r="CX1996" s="224"/>
      <c r="CY1996" s="224"/>
      <c r="CZ1996" s="224"/>
      <c r="DA1996" s="224"/>
      <c r="DB1996" s="224"/>
      <c r="DC1996" s="224"/>
      <c r="DD1996" s="224"/>
      <c r="DE1996" s="224"/>
      <c r="DF1996" s="224"/>
      <c r="DG1996" s="224"/>
      <c r="DH1996" s="224"/>
      <c r="DI1996" s="224"/>
      <c r="DJ1996" s="224"/>
      <c r="DK1996" s="224"/>
      <c r="DL1996" s="224"/>
      <c r="DM1996" s="224"/>
      <c r="DN1996" s="224"/>
      <c r="DO1996" s="224"/>
      <c r="DP1996" s="224"/>
      <c r="DQ1996" s="224"/>
      <c r="DR1996" s="224"/>
      <c r="DS1996" s="1768"/>
    </row>
    <row r="1997" spans="1:123" s="548" customFormat="1" ht="12.75" customHeight="1" x14ac:dyDescent="0.15">
      <c r="A1997"/>
      <c r="B1997" s="175"/>
      <c r="C1997" s="164"/>
      <c r="D1997" s="164"/>
      <c r="E1997" s="12"/>
      <c r="F1997" s="164"/>
      <c r="G1997" s="799"/>
      <c r="H1997" s="1355"/>
      <c r="I1997" s="164"/>
      <c r="J1997" s="164"/>
      <c r="K1997" s="164"/>
      <c r="L1997" s="799"/>
      <c r="M1997" s="799"/>
      <c r="N1997" s="799"/>
      <c r="O1997" s="175"/>
      <c r="P1997" s="1240"/>
      <c r="Q1997" s="876"/>
      <c r="R1997" s="875"/>
      <c r="S1997" s="875"/>
      <c r="T1997" s="877"/>
      <c r="U1997" s="877"/>
      <c r="V1997" s="877"/>
      <c r="W1997" s="875"/>
      <c r="X1997" s="1026"/>
      <c r="Y1997" s="875"/>
      <c r="Z1997" s="875"/>
      <c r="AA1997" s="170"/>
      <c r="AB1997" s="1515"/>
      <c r="AC1997" s="876"/>
      <c r="AD1997" s="1762"/>
      <c r="AE1997" s="1763"/>
      <c r="AF1997" s="1763"/>
      <c r="AG1997" s="1763"/>
      <c r="AH1997" s="1763"/>
      <c r="AI1997" s="1763"/>
      <c r="AJ1997" s="1763"/>
      <c r="AK1997" s="1763"/>
      <c r="AL1997" s="1762"/>
      <c r="AM1997" s="1764"/>
      <c r="AN1997" s="1764"/>
      <c r="AO1997" s="1764"/>
      <c r="AP1997" s="1764"/>
      <c r="AQ1997" s="1764"/>
      <c r="AR1997" s="1764"/>
      <c r="AS1997" s="1763"/>
      <c r="AT1997" s="1763"/>
      <c r="AU1997" s="1763"/>
      <c r="AV1997" s="1763"/>
      <c r="AW1997" s="1763"/>
      <c r="AX1997" s="1763"/>
      <c r="AY1997" s="1763"/>
      <c r="AZ1997" s="1763"/>
      <c r="BA1997" s="1763"/>
      <c r="BB1997" s="1763"/>
      <c r="BC1997" s="1763"/>
      <c r="BD1997" s="1763"/>
      <c r="BE1997" s="1763"/>
      <c r="BF1997" s="1763"/>
      <c r="BG1997" s="1763"/>
      <c r="BH1997" s="1763"/>
      <c r="BI1997" s="1763"/>
      <c r="BJ1997" s="1763"/>
      <c r="BK1997" s="1763"/>
      <c r="BL1997" s="1763"/>
      <c r="BM1997" s="1763"/>
      <c r="BN1997" s="1763"/>
      <c r="BO1997" s="1763"/>
      <c r="BP1997" s="1763"/>
      <c r="BQ1997" s="1763"/>
      <c r="BR1997" s="1763"/>
      <c r="BS1997" s="1763"/>
      <c r="BT1997" s="1767"/>
      <c r="BU1997" s="224"/>
      <c r="BV1997" s="65"/>
      <c r="BW1997" s="876"/>
      <c r="BX1997" s="224"/>
      <c r="BY1997" s="224"/>
      <c r="BZ1997" s="224"/>
      <c r="CA1997" s="224"/>
      <c r="CB1997" s="224"/>
      <c r="CC1997" s="224"/>
      <c r="CD1997" s="224"/>
      <c r="CE1997" s="224"/>
      <c r="CF1997" s="224"/>
      <c r="CG1997" s="224"/>
      <c r="CH1997" s="224"/>
      <c r="CI1997" s="224"/>
      <c r="CJ1997" s="224"/>
      <c r="CK1997" s="224"/>
      <c r="CL1997" s="224"/>
      <c r="CM1997" s="224"/>
      <c r="CN1997" s="224"/>
      <c r="CO1997" s="224"/>
      <c r="CP1997" s="224"/>
      <c r="CQ1997" s="224"/>
      <c r="CR1997" s="224"/>
      <c r="CS1997" s="224"/>
      <c r="CT1997" s="224"/>
      <c r="CU1997" s="224"/>
      <c r="CV1997" s="224"/>
      <c r="CW1997" s="224"/>
      <c r="CX1997" s="224"/>
      <c r="CY1997" s="224"/>
      <c r="CZ1997" s="224"/>
      <c r="DA1997" s="224"/>
      <c r="DB1997" s="224"/>
      <c r="DC1997" s="224"/>
      <c r="DD1997" s="224"/>
      <c r="DE1997" s="224"/>
      <c r="DF1997" s="224"/>
      <c r="DG1997" s="224"/>
      <c r="DH1997" s="224"/>
      <c r="DI1997" s="224"/>
      <c r="DJ1997" s="224"/>
      <c r="DK1997" s="224"/>
      <c r="DL1997" s="224"/>
      <c r="DM1997" s="224"/>
      <c r="DN1997" s="224"/>
      <c r="DO1997" s="224"/>
      <c r="DP1997" s="224"/>
      <c r="DQ1997" s="224"/>
      <c r="DR1997" s="224"/>
      <c r="DS1997" s="1768"/>
    </row>
    <row r="1998" spans="1:123" s="548" customFormat="1" ht="12.75" customHeight="1" x14ac:dyDescent="0.15">
      <c r="A1998"/>
      <c r="B1998" s="175"/>
      <c r="C1998" s="218"/>
      <c r="D1998" s="218"/>
      <c r="E1998" s="218"/>
      <c r="F1998" s="218"/>
      <c r="G1998" s="799"/>
      <c r="H1998" s="1355"/>
      <c r="I1998" s="218"/>
      <c r="J1998" s="218"/>
      <c r="K1998" s="218"/>
      <c r="L1998" s="799"/>
      <c r="M1998" s="799"/>
      <c r="N1998" s="799"/>
      <c r="O1998" s="175"/>
      <c r="P1998" s="1240"/>
      <c r="Q1998" s="876" t="s">
        <v>1790</v>
      </c>
      <c r="R1998" s="875"/>
      <c r="S1998" s="875"/>
      <c r="T1998" s="877"/>
      <c r="U1998" s="877"/>
      <c r="V1998" s="877"/>
      <c r="W1998" s="875"/>
      <c r="X1998" s="1696">
        <v>33747600</v>
      </c>
      <c r="Y1998" s="875"/>
      <c r="Z1998" s="875"/>
      <c r="AA1998" s="170"/>
      <c r="AB1998" s="1515"/>
      <c r="AC1998" s="876"/>
      <c r="AD1998" s="1762"/>
      <c r="AE1998" s="1763"/>
      <c r="AF1998" s="1763"/>
      <c r="AG1998" s="1763"/>
      <c r="AH1998" s="1763"/>
      <c r="AI1998" s="1763"/>
      <c r="AJ1998" s="1763"/>
      <c r="AK1998" s="1763"/>
      <c r="AL1998" s="1762"/>
      <c r="AM1998" s="1764"/>
      <c r="AN1998" s="1764"/>
      <c r="AO1998" s="1764"/>
      <c r="AP1998" s="1764"/>
      <c r="AQ1998" s="1764"/>
      <c r="AR1998" s="1764"/>
      <c r="AS1998" s="1763"/>
      <c r="AT1998" s="1763"/>
      <c r="AU1998" s="1763"/>
      <c r="AV1998" s="1763"/>
      <c r="AW1998" s="1763"/>
      <c r="AX1998" s="1763"/>
      <c r="AY1998" s="1763"/>
      <c r="AZ1998" s="1763"/>
      <c r="BA1998" s="1763"/>
      <c r="BB1998" s="1763"/>
      <c r="BC1998" s="1763"/>
      <c r="BD1998" s="1763"/>
      <c r="BE1998" s="1763"/>
      <c r="BF1998" s="1763"/>
      <c r="BG1998" s="1763"/>
      <c r="BH1998" s="1763"/>
      <c r="BI1998" s="1763"/>
      <c r="BJ1998" s="1763"/>
      <c r="BK1998" s="1763"/>
      <c r="BL1998" s="1763"/>
      <c r="BM1998" s="1763"/>
      <c r="BN1998" s="1763"/>
      <c r="BO1998" s="1763"/>
      <c r="BP1998" s="1763"/>
      <c r="BQ1998" s="1763"/>
      <c r="BR1998" s="1763"/>
      <c r="BS1998" s="1763"/>
      <c r="BT1998" s="1767"/>
      <c r="BU1998" s="224"/>
      <c r="BV1998" s="65"/>
      <c r="BW1998" s="876"/>
      <c r="BX1998" s="224"/>
      <c r="BY1998" s="224"/>
      <c r="BZ1998" s="224"/>
      <c r="CA1998" s="224"/>
      <c r="CB1998" s="224"/>
      <c r="CC1998" s="224"/>
      <c r="CD1998" s="224"/>
      <c r="CE1998" s="224"/>
      <c r="CF1998" s="224"/>
      <c r="CG1998" s="224"/>
      <c r="CH1998" s="224"/>
      <c r="CI1998" s="224"/>
      <c r="CJ1998" s="224"/>
      <c r="CK1998" s="224"/>
      <c r="CL1998" s="224"/>
      <c r="CM1998" s="224"/>
      <c r="CN1998" s="224"/>
      <c r="CO1998" s="224"/>
      <c r="CP1998" s="224"/>
      <c r="CQ1998" s="224"/>
      <c r="CR1998" s="224"/>
      <c r="CS1998" s="224"/>
      <c r="CT1998" s="224"/>
      <c r="CU1998" s="224"/>
      <c r="CV1998" s="224"/>
      <c r="CW1998" s="224"/>
      <c r="CX1998" s="224"/>
      <c r="CY1998" s="224"/>
      <c r="CZ1998" s="224"/>
      <c r="DA1998" s="224"/>
      <c r="DB1998" s="224"/>
      <c r="DC1998" s="224"/>
      <c r="DD1998" s="224"/>
      <c r="DE1998" s="224"/>
      <c r="DF1998" s="224"/>
      <c r="DG1998" s="224"/>
      <c r="DH1998" s="224"/>
      <c r="DI1998" s="224"/>
      <c r="DJ1998" s="224"/>
      <c r="DK1998" s="224"/>
      <c r="DL1998" s="224"/>
      <c r="DM1998" s="224"/>
      <c r="DN1998" s="224"/>
      <c r="DO1998" s="224"/>
      <c r="DP1998" s="224"/>
      <c r="DQ1998" s="224"/>
      <c r="DR1998" s="224"/>
      <c r="DS1998" s="1768"/>
    </row>
    <row r="1999" spans="1:123" s="548" customFormat="1" ht="12.75" customHeight="1" x14ac:dyDescent="0.15">
      <c r="A1999"/>
      <c r="B1999" s="175"/>
      <c r="C1999" s="164"/>
      <c r="D1999" s="164"/>
      <c r="E1999" s="456"/>
      <c r="F1999" s="170"/>
      <c r="G1999" s="799"/>
      <c r="H1999" s="1355"/>
      <c r="I1999" s="164"/>
      <c r="J1999" s="164"/>
      <c r="K1999" s="164"/>
      <c r="L1999" s="799"/>
      <c r="M1999" s="799"/>
      <c r="N1999" s="799"/>
      <c r="O1999" s="175"/>
      <c r="P1999" s="1240"/>
      <c r="Q1999" s="876"/>
      <c r="R1999" s="875"/>
      <c r="S1999" s="875"/>
      <c r="T1999" s="877"/>
      <c r="U1999" s="877"/>
      <c r="V1999" s="877"/>
      <c r="W1999" s="875"/>
      <c r="X1999" s="1026"/>
      <c r="Y1999" s="875"/>
      <c r="Z1999" s="875"/>
      <c r="AA1999" s="170"/>
      <c r="AB1999" s="1515"/>
      <c r="AC1999" s="876"/>
      <c r="AD1999" s="1762"/>
      <c r="AE1999" s="1763"/>
      <c r="AF1999" s="1763"/>
      <c r="AG1999" s="1763"/>
      <c r="AH1999" s="1763"/>
      <c r="AI1999" s="1763"/>
      <c r="AJ1999" s="1763"/>
      <c r="AK1999" s="1763"/>
      <c r="AL1999" s="1762"/>
      <c r="AM1999" s="1764"/>
      <c r="AN1999" s="1764"/>
      <c r="AO1999" s="1764"/>
      <c r="AP1999" s="1764"/>
      <c r="AQ1999" s="1764"/>
      <c r="AR1999" s="1764"/>
      <c r="AS1999" s="1763"/>
      <c r="AT1999" s="1763"/>
      <c r="AU1999" s="1763"/>
      <c r="AV1999" s="1763"/>
      <c r="AW1999" s="1763"/>
      <c r="AX1999" s="1763"/>
      <c r="AY1999" s="1763"/>
      <c r="AZ1999" s="1763"/>
      <c r="BA1999" s="1763"/>
      <c r="BB1999" s="1763"/>
      <c r="BC1999" s="1763"/>
      <c r="BD1999" s="1763"/>
      <c r="BE1999" s="1763"/>
      <c r="BF1999" s="1763"/>
      <c r="BG1999" s="1763"/>
      <c r="BH1999" s="1763"/>
      <c r="BI1999" s="1763"/>
      <c r="BJ1999" s="1763"/>
      <c r="BK1999" s="1763"/>
      <c r="BL1999" s="1763"/>
      <c r="BM1999" s="1763"/>
      <c r="BN1999" s="1763"/>
      <c r="BO1999" s="1763"/>
      <c r="BP1999" s="1763"/>
      <c r="BQ1999" s="1763"/>
      <c r="BR1999" s="1763"/>
      <c r="BS1999" s="1763"/>
      <c r="BT1999" s="1767"/>
      <c r="BU1999" s="224"/>
      <c r="BV1999" s="65"/>
      <c r="BW1999" s="876"/>
      <c r="BX1999" s="224"/>
      <c r="BY1999" s="224"/>
      <c r="BZ1999" s="224"/>
      <c r="CA1999" s="224"/>
      <c r="CB1999" s="224"/>
      <c r="CC1999" s="224"/>
      <c r="CD1999" s="224"/>
      <c r="CE1999" s="224"/>
      <c r="CF1999" s="224"/>
      <c r="CG1999" s="224"/>
      <c r="CH1999" s="224"/>
      <c r="CI1999" s="224"/>
      <c r="CJ1999" s="224"/>
      <c r="CK1999" s="224"/>
      <c r="CL1999" s="224"/>
      <c r="CM1999" s="224"/>
      <c r="CN1999" s="224"/>
      <c r="CO1999" s="224"/>
      <c r="CP1999" s="224"/>
      <c r="CQ1999" s="224"/>
      <c r="CR1999" s="224"/>
      <c r="CS1999" s="224"/>
      <c r="CT1999" s="224"/>
      <c r="CU1999" s="224"/>
      <c r="CV1999" s="224"/>
      <c r="CW1999" s="224"/>
      <c r="CX1999" s="224"/>
      <c r="CY1999" s="224"/>
      <c r="CZ1999" s="224"/>
      <c r="DA1999" s="224"/>
      <c r="DB1999" s="224"/>
      <c r="DC1999" s="224"/>
      <c r="DD1999" s="224"/>
      <c r="DE1999" s="224"/>
      <c r="DF1999" s="224"/>
      <c r="DG1999" s="224"/>
      <c r="DH1999" s="224"/>
      <c r="DI1999" s="224"/>
      <c r="DJ1999" s="224"/>
      <c r="DK1999" s="224"/>
      <c r="DL1999" s="224"/>
      <c r="DM1999" s="224"/>
      <c r="DN1999" s="224"/>
      <c r="DO1999" s="224"/>
      <c r="DP1999" s="224"/>
      <c r="DQ1999" s="224"/>
      <c r="DR1999" s="224"/>
      <c r="DS1999" s="1768"/>
    </row>
    <row r="2000" spans="1:123" s="548" customFormat="1" ht="12.75" customHeight="1" x14ac:dyDescent="0.15">
      <c r="A2000"/>
      <c r="B2000" s="175"/>
      <c r="C2000" s="218"/>
      <c r="D2000" s="218"/>
      <c r="E2000" s="218"/>
      <c r="F2000" s="218"/>
      <c r="G2000" s="799"/>
      <c r="H2000" s="1355"/>
      <c r="I2000" s="218"/>
      <c r="J2000" s="218"/>
      <c r="K2000" s="218"/>
      <c r="L2000" s="799"/>
      <c r="M2000" s="799"/>
      <c r="N2000" s="799"/>
      <c r="O2000" s="175"/>
      <c r="P2000" s="1240"/>
      <c r="Q2000" s="876" t="s">
        <v>1791</v>
      </c>
      <c r="R2000" s="875"/>
      <c r="S2000" s="875"/>
      <c r="T2000" s="877"/>
      <c r="U2000" s="877"/>
      <c r="V2000" s="877"/>
      <c r="W2000" s="875"/>
      <c r="X2000" s="1696">
        <v>42184500</v>
      </c>
      <c r="Y2000" s="875"/>
      <c r="Z2000" s="875"/>
      <c r="AA2000" s="170"/>
      <c r="AB2000" s="1515"/>
      <c r="AC2000" s="876"/>
      <c r="AD2000" s="1762"/>
      <c r="AE2000" s="1763"/>
      <c r="AF2000" s="1763"/>
      <c r="AG2000" s="1763"/>
      <c r="AH2000" s="1763"/>
      <c r="AI2000" s="1763"/>
      <c r="AJ2000" s="1763"/>
      <c r="AK2000" s="1763"/>
      <c r="AL2000" s="1762"/>
      <c r="AM2000" s="1764"/>
      <c r="AN2000" s="1764"/>
      <c r="AO2000" s="1764"/>
      <c r="AP2000" s="1764"/>
      <c r="AQ2000" s="1764"/>
      <c r="AR2000" s="1764"/>
      <c r="AS2000" s="1763"/>
      <c r="AT2000" s="1763"/>
      <c r="AU2000" s="1763"/>
      <c r="AV2000" s="1763"/>
      <c r="AW2000" s="1763"/>
      <c r="AX2000" s="1763"/>
      <c r="AY2000" s="1763"/>
      <c r="AZ2000" s="1763"/>
      <c r="BA2000" s="1763"/>
      <c r="BB2000" s="1763"/>
      <c r="BC2000" s="1763"/>
      <c r="BD2000" s="1763"/>
      <c r="BE2000" s="1763"/>
      <c r="BF2000" s="1763"/>
      <c r="BG2000" s="1763"/>
      <c r="BH2000" s="1763"/>
      <c r="BI2000" s="1763"/>
      <c r="BJ2000" s="1763"/>
      <c r="BK2000" s="1763"/>
      <c r="BL2000" s="1763"/>
      <c r="BM2000" s="1763"/>
      <c r="BN2000" s="1763"/>
      <c r="BO2000" s="1763"/>
      <c r="BP2000" s="1763"/>
      <c r="BQ2000" s="1763"/>
      <c r="BR2000" s="1763"/>
      <c r="BS2000" s="1763"/>
      <c r="BT2000" s="1767"/>
      <c r="BU2000" s="224"/>
      <c r="BV2000" s="65"/>
      <c r="BW2000" s="876"/>
      <c r="BX2000" s="224"/>
      <c r="BY2000" s="224"/>
      <c r="BZ2000" s="224"/>
      <c r="CA2000" s="224"/>
      <c r="CB2000" s="224"/>
      <c r="CC2000" s="224"/>
      <c r="CD2000" s="224"/>
      <c r="CE2000" s="224"/>
      <c r="CF2000" s="224"/>
      <c r="CG2000" s="224"/>
      <c r="CH2000" s="224"/>
      <c r="CI2000" s="224"/>
      <c r="CJ2000" s="224"/>
      <c r="CK2000" s="224"/>
      <c r="CL2000" s="224"/>
      <c r="CM2000" s="224"/>
      <c r="CN2000" s="224"/>
      <c r="CO2000" s="224"/>
      <c r="CP2000" s="224"/>
      <c r="CQ2000" s="224"/>
      <c r="CR2000" s="224"/>
      <c r="CS2000" s="224"/>
      <c r="CT2000" s="224"/>
      <c r="CU2000" s="224"/>
      <c r="CV2000" s="224"/>
      <c r="CW2000" s="224"/>
      <c r="CX2000" s="224"/>
      <c r="CY2000" s="224"/>
      <c r="CZ2000" s="224"/>
      <c r="DA2000" s="224"/>
      <c r="DB2000" s="224"/>
      <c r="DC2000" s="224"/>
      <c r="DD2000" s="224"/>
      <c r="DE2000" s="224"/>
      <c r="DF2000" s="224"/>
      <c r="DG2000" s="224"/>
      <c r="DH2000" s="224"/>
      <c r="DI2000" s="224"/>
      <c r="DJ2000" s="224"/>
      <c r="DK2000" s="224"/>
      <c r="DL2000" s="224"/>
      <c r="DM2000" s="224"/>
      <c r="DN2000" s="224"/>
      <c r="DO2000" s="224"/>
      <c r="DP2000" s="224"/>
      <c r="DQ2000" s="224"/>
      <c r="DR2000" s="224"/>
      <c r="DS2000" s="1768"/>
    </row>
    <row r="2001" spans="1:124" s="548" customFormat="1" ht="12.75" customHeight="1" x14ac:dyDescent="0.15">
      <c r="A2001"/>
      <c r="B2001" s="175"/>
      <c r="C2001" s="164"/>
      <c r="D2001" s="164"/>
      <c r="E2001" s="164"/>
      <c r="F2001" s="164"/>
      <c r="G2001" s="799"/>
      <c r="H2001" s="1355"/>
      <c r="I2001" s="164"/>
      <c r="J2001" s="164"/>
      <c r="K2001" s="164"/>
      <c r="L2001" s="799"/>
      <c r="M2001" s="799"/>
      <c r="N2001" s="799"/>
      <c r="O2001" s="175"/>
      <c r="P2001" s="1240"/>
      <c r="Q2001" s="876"/>
      <c r="R2001" s="875"/>
      <c r="S2001" s="875"/>
      <c r="T2001" s="877"/>
      <c r="U2001" s="877"/>
      <c r="V2001" s="877"/>
      <c r="W2001" s="875"/>
      <c r="X2001" s="1723"/>
      <c r="Y2001" s="875"/>
      <c r="Z2001" s="875"/>
      <c r="AA2001" s="170"/>
      <c r="AB2001" s="1515"/>
      <c r="AC2001" s="1078"/>
      <c r="AD2001" s="1762"/>
      <c r="AE2001" s="1763"/>
      <c r="AF2001" s="1763"/>
      <c r="AG2001" s="1763"/>
      <c r="AH2001" s="1763"/>
      <c r="AI2001" s="1763"/>
      <c r="AJ2001" s="1763"/>
      <c r="AK2001" s="1763"/>
      <c r="AL2001" s="1762"/>
      <c r="AM2001" s="1764"/>
      <c r="AN2001" s="1764"/>
      <c r="AO2001" s="1764"/>
      <c r="AP2001" s="1764"/>
      <c r="AQ2001" s="1764"/>
      <c r="AR2001" s="1764"/>
      <c r="AS2001" s="1763"/>
      <c r="AT2001" s="1763"/>
      <c r="AU2001" s="1763"/>
      <c r="AV2001" s="1763"/>
      <c r="AW2001" s="1763"/>
      <c r="AX2001" s="1763"/>
      <c r="AY2001" s="1763"/>
      <c r="AZ2001" s="1763"/>
      <c r="BA2001" s="1763"/>
      <c r="BB2001" s="1763"/>
      <c r="BC2001" s="1763"/>
      <c r="BD2001" s="1763"/>
      <c r="BE2001" s="1763"/>
      <c r="BF2001" s="1763"/>
      <c r="BG2001" s="1763"/>
      <c r="BH2001" s="1763"/>
      <c r="BI2001" s="1763"/>
      <c r="BJ2001" s="1763"/>
      <c r="BK2001" s="1763"/>
      <c r="BL2001" s="1763"/>
      <c r="BM2001" s="1763"/>
      <c r="BN2001" s="1763"/>
      <c r="BO2001" s="1763"/>
      <c r="BP2001" s="1763"/>
      <c r="BQ2001" s="1763"/>
      <c r="BR2001" s="1763"/>
      <c r="BS2001" s="1763"/>
      <c r="BT2001" s="1767"/>
      <c r="BU2001" s="224"/>
      <c r="BV2001" s="65"/>
      <c r="BW2001" s="876"/>
      <c r="BX2001" s="224"/>
      <c r="BY2001" s="224"/>
      <c r="BZ2001" s="224"/>
      <c r="CA2001" s="224"/>
      <c r="CB2001" s="224"/>
      <c r="CC2001" s="224"/>
      <c r="CD2001" s="224"/>
      <c r="CE2001" s="224"/>
      <c r="CF2001" s="224"/>
      <c r="CG2001" s="224"/>
      <c r="CH2001" s="224"/>
      <c r="CI2001" s="224"/>
      <c r="CJ2001" s="224"/>
      <c r="CK2001" s="224"/>
      <c r="CL2001" s="224"/>
      <c r="CM2001" s="224"/>
      <c r="CN2001" s="224"/>
      <c r="CO2001" s="224"/>
      <c r="CP2001" s="224"/>
      <c r="CQ2001" s="224"/>
      <c r="CR2001" s="224"/>
      <c r="CS2001" s="224"/>
      <c r="CT2001" s="224"/>
      <c r="CU2001" s="224"/>
      <c r="CV2001" s="224"/>
      <c r="CW2001" s="224"/>
      <c r="CX2001" s="224"/>
      <c r="CY2001" s="224"/>
      <c r="CZ2001" s="224"/>
      <c r="DA2001" s="224"/>
      <c r="DB2001" s="224"/>
      <c r="DC2001" s="224"/>
      <c r="DD2001" s="224"/>
      <c r="DE2001" s="224"/>
      <c r="DF2001" s="224"/>
      <c r="DG2001" s="224"/>
      <c r="DH2001" s="224"/>
      <c r="DI2001" s="224"/>
      <c r="DJ2001" s="224"/>
      <c r="DK2001" s="224"/>
      <c r="DL2001" s="224"/>
      <c r="DM2001" s="224"/>
      <c r="DN2001" s="224"/>
      <c r="DO2001" s="224"/>
      <c r="DP2001" s="224"/>
      <c r="DQ2001" s="224"/>
      <c r="DR2001" s="224"/>
      <c r="DS2001" s="1768"/>
    </row>
    <row r="2002" spans="1:124" s="548" customFormat="1" ht="12.75" customHeight="1" x14ac:dyDescent="0.15">
      <c r="A2002"/>
      <c r="B2002" s="175"/>
      <c r="C2002" s="218"/>
      <c r="D2002" s="218"/>
      <c r="E2002" s="218"/>
      <c r="F2002" s="218"/>
      <c r="G2002" s="799"/>
      <c r="H2002" s="1355"/>
      <c r="I2002" s="218"/>
      <c r="J2002" s="218"/>
      <c r="K2002" s="218"/>
      <c r="L2002" s="799"/>
      <c r="M2002" s="799"/>
      <c r="N2002" s="799"/>
      <c r="O2002" s="175"/>
      <c r="P2002" s="1240"/>
      <c r="Q2002" s="876" t="s">
        <v>160</v>
      </c>
      <c r="R2002" s="875"/>
      <c r="S2002" s="875"/>
      <c r="T2002" s="877"/>
      <c r="U2002" s="877"/>
      <c r="V2002" s="877"/>
      <c r="W2002" s="875"/>
      <c r="X2002" s="1724">
        <f>X2000-X1998</f>
        <v>8436900</v>
      </c>
      <c r="Y2002" s="875"/>
      <c r="Z2002" s="875"/>
      <c r="AA2002" s="170"/>
      <c r="AB2002" s="1515"/>
      <c r="AC2002" s="876"/>
      <c r="AD2002" s="1762"/>
      <c r="AE2002" s="1763"/>
      <c r="AF2002" s="1763"/>
      <c r="AG2002" s="1763"/>
      <c r="AH2002" s="1763"/>
      <c r="AI2002" s="1763"/>
      <c r="AJ2002" s="1763"/>
      <c r="AK2002" s="1763"/>
      <c r="AL2002" s="1762"/>
      <c r="AM2002" s="1764"/>
      <c r="AN2002" s="1764"/>
      <c r="AO2002" s="1764"/>
      <c r="AP2002" s="1764"/>
      <c r="AQ2002" s="1764"/>
      <c r="AR2002" s="1764"/>
      <c r="AS2002" s="1763"/>
      <c r="AT2002" s="1763"/>
      <c r="AU2002" s="1763"/>
      <c r="AV2002" s="1763"/>
      <c r="AW2002" s="1763"/>
      <c r="AX2002" s="1763"/>
      <c r="AY2002" s="1763"/>
      <c r="AZ2002" s="1763"/>
      <c r="BA2002" s="1763"/>
      <c r="BB2002" s="1763"/>
      <c r="BC2002" s="1763"/>
      <c r="BD2002" s="1763"/>
      <c r="BE2002" s="1763"/>
      <c r="BF2002" s="1763"/>
      <c r="BG2002" s="1763"/>
      <c r="BH2002" s="1763"/>
      <c r="BI2002" s="1763"/>
      <c r="BJ2002" s="1763"/>
      <c r="BK2002" s="1763"/>
      <c r="BL2002" s="1763"/>
      <c r="BM2002" s="1763"/>
      <c r="BN2002" s="1763"/>
      <c r="BO2002" s="1763"/>
      <c r="BP2002" s="1763"/>
      <c r="BQ2002" s="1763"/>
      <c r="BR2002" s="1763"/>
      <c r="BS2002" s="1763"/>
      <c r="BT2002" s="1767"/>
      <c r="BU2002" s="224"/>
      <c r="BV2002" s="65"/>
      <c r="BW2002" s="876"/>
      <c r="BX2002" s="224"/>
      <c r="BY2002" s="224"/>
      <c r="BZ2002" s="224"/>
      <c r="CA2002" s="224"/>
      <c r="CB2002" s="224"/>
      <c r="CC2002" s="224"/>
      <c r="CD2002" s="224"/>
      <c r="CE2002" s="224"/>
      <c r="CF2002" s="224"/>
      <c r="CG2002" s="224"/>
      <c r="CH2002" s="224"/>
      <c r="CI2002" s="224"/>
      <c r="CJ2002" s="224"/>
      <c r="CK2002" s="224"/>
      <c r="CL2002" s="224"/>
      <c r="CM2002" s="224"/>
      <c r="CN2002" s="224"/>
      <c r="CO2002" s="224"/>
      <c r="CP2002" s="224"/>
      <c r="CQ2002" s="224"/>
      <c r="CR2002" s="224"/>
      <c r="CS2002" s="224"/>
      <c r="CT2002" s="224"/>
      <c r="CU2002" s="224"/>
      <c r="CV2002" s="224"/>
      <c r="CW2002" s="224"/>
      <c r="CX2002" s="224"/>
      <c r="CY2002" s="224"/>
      <c r="CZ2002" s="224"/>
      <c r="DA2002" s="224"/>
      <c r="DB2002" s="224"/>
      <c r="DC2002" s="224"/>
      <c r="DD2002" s="224"/>
      <c r="DE2002" s="224"/>
      <c r="DF2002" s="224"/>
      <c r="DG2002" s="224"/>
      <c r="DH2002" s="224"/>
      <c r="DI2002" s="224"/>
      <c r="DJ2002" s="224"/>
      <c r="DK2002" s="224"/>
      <c r="DL2002" s="224"/>
      <c r="DM2002" s="224"/>
      <c r="DN2002" s="224"/>
      <c r="DO2002" s="224"/>
      <c r="DP2002" s="224"/>
      <c r="DQ2002" s="224"/>
      <c r="DR2002" s="224"/>
      <c r="DS2002" s="1768"/>
    </row>
    <row r="2003" spans="1:124" s="548" customFormat="1" ht="12.75" customHeight="1" x14ac:dyDescent="0.15">
      <c r="A2003"/>
      <c r="B2003" s="175"/>
      <c r="C2003" s="164"/>
      <c r="D2003" s="164"/>
      <c r="E2003" s="164"/>
      <c r="F2003" s="164"/>
      <c r="G2003" s="799"/>
      <c r="H2003" s="1355"/>
      <c r="I2003" s="164"/>
      <c r="J2003" s="164"/>
      <c r="K2003" s="164"/>
      <c r="L2003" s="799"/>
      <c r="M2003" s="799"/>
      <c r="N2003" s="799"/>
      <c r="O2003" s="175"/>
      <c r="P2003" s="1240"/>
      <c r="Q2003" s="876"/>
      <c r="R2003" s="875"/>
      <c r="S2003" s="875"/>
      <c r="T2003" s="877"/>
      <c r="U2003" s="877"/>
      <c r="V2003" s="877"/>
      <c r="W2003" s="875"/>
      <c r="X2003" s="876"/>
      <c r="Y2003" s="875"/>
      <c r="Z2003" s="875"/>
      <c r="AA2003" s="170"/>
      <c r="AB2003" s="1515"/>
      <c r="AC2003" s="876"/>
      <c r="AD2003" s="1762"/>
      <c r="AE2003" s="1763"/>
      <c r="AF2003" s="1763"/>
      <c r="AG2003" s="1763"/>
      <c r="AH2003" s="1763"/>
      <c r="AI2003" s="1763"/>
      <c r="AJ2003" s="1763"/>
      <c r="AK2003" s="1763"/>
      <c r="AL2003" s="1762"/>
      <c r="AM2003" s="1764"/>
      <c r="AN2003" s="1764"/>
      <c r="AO2003" s="1764"/>
      <c r="AP2003" s="1764"/>
      <c r="AQ2003" s="1764"/>
      <c r="AR2003" s="1764"/>
      <c r="AS2003" s="1763"/>
      <c r="AT2003" s="1763"/>
      <c r="AU2003" s="1763"/>
      <c r="AV2003" s="1763"/>
      <c r="AW2003" s="1763"/>
      <c r="AX2003" s="1763"/>
      <c r="AY2003" s="1763"/>
      <c r="AZ2003" s="1763"/>
      <c r="BA2003" s="1763"/>
      <c r="BB2003" s="1763"/>
      <c r="BC2003" s="1763"/>
      <c r="BD2003" s="1763"/>
      <c r="BE2003" s="1763"/>
      <c r="BF2003" s="1763"/>
      <c r="BG2003" s="1763"/>
      <c r="BH2003" s="1763"/>
      <c r="BI2003" s="1763"/>
      <c r="BJ2003" s="1763"/>
      <c r="BK2003" s="1763"/>
      <c r="BL2003" s="1763"/>
      <c r="BM2003" s="1763"/>
      <c r="BN2003" s="1763"/>
      <c r="BO2003" s="1763"/>
      <c r="BP2003" s="1763"/>
      <c r="BQ2003" s="1763"/>
      <c r="BR2003" s="1763"/>
      <c r="BS2003" s="1763"/>
      <c r="BT2003" s="1767"/>
      <c r="BU2003" s="224"/>
      <c r="BV2003" s="65"/>
      <c r="BW2003" s="876"/>
      <c r="BX2003" s="224"/>
      <c r="BY2003" s="224"/>
      <c r="BZ2003" s="224"/>
      <c r="CA2003" s="224"/>
      <c r="CB2003" s="224"/>
      <c r="CC2003" s="224"/>
      <c r="CD2003" s="224"/>
      <c r="CE2003" s="224"/>
      <c r="CF2003" s="224"/>
      <c r="CG2003" s="224"/>
      <c r="CH2003" s="224"/>
      <c r="CI2003" s="224"/>
      <c r="CJ2003" s="224"/>
      <c r="CK2003" s="224"/>
      <c r="CL2003" s="224"/>
      <c r="CM2003" s="224"/>
      <c r="CN2003" s="224"/>
      <c r="CO2003" s="224"/>
      <c r="CP2003" s="224"/>
      <c r="CQ2003" s="224"/>
      <c r="CR2003" s="224"/>
      <c r="CS2003" s="224"/>
      <c r="CT2003" s="224"/>
      <c r="CU2003" s="224"/>
      <c r="CV2003" s="224"/>
      <c r="CW2003" s="224"/>
      <c r="CX2003" s="224"/>
      <c r="CY2003" s="224"/>
      <c r="CZ2003" s="224"/>
      <c r="DA2003" s="224"/>
      <c r="DB2003" s="224"/>
      <c r="DC2003" s="224"/>
      <c r="DD2003" s="224"/>
      <c r="DE2003" s="224"/>
      <c r="DF2003" s="224"/>
      <c r="DG2003" s="224"/>
      <c r="DH2003" s="224"/>
      <c r="DI2003" s="224"/>
      <c r="DJ2003" s="224"/>
      <c r="DK2003" s="224"/>
      <c r="DL2003" s="224"/>
      <c r="DM2003" s="224"/>
      <c r="DN2003" s="224"/>
      <c r="DO2003" s="224"/>
      <c r="DP2003" s="224"/>
      <c r="DQ2003" s="224"/>
      <c r="DR2003" s="224"/>
      <c r="DS2003" s="224"/>
      <c r="DT2003" s="1761"/>
    </row>
    <row r="2004" spans="1:124" s="548" customFormat="1" ht="12.75" customHeight="1" x14ac:dyDescent="0.15">
      <c r="A2004"/>
      <c r="B2004" s="175"/>
      <c r="C2004" s="164"/>
      <c r="D2004" s="164"/>
      <c r="E2004" s="164"/>
      <c r="F2004" s="164"/>
      <c r="G2004" s="799"/>
      <c r="H2004" s="1355"/>
      <c r="I2004" s="164"/>
      <c r="J2004" s="164"/>
      <c r="K2004" s="164"/>
      <c r="L2004" s="799"/>
      <c r="M2004" s="799"/>
      <c r="N2004" s="799"/>
      <c r="O2004" s="175"/>
      <c r="P2004" s="1240"/>
      <c r="Q2004" s="876"/>
      <c r="R2004" s="875"/>
      <c r="S2004" s="875"/>
      <c r="T2004" s="877"/>
      <c r="U2004" s="877"/>
      <c r="V2004" s="877"/>
      <c r="W2004" s="875"/>
      <c r="X2004" s="1289">
        <f>X2000/X1998</f>
        <v>1.25</v>
      </c>
      <c r="Y2004" s="875"/>
      <c r="Z2004" s="875"/>
      <c r="AA2004" s="170"/>
      <c r="AB2004" s="1515"/>
      <c r="AC2004" s="1289"/>
      <c r="AD2004" s="1762"/>
      <c r="AE2004" s="1763"/>
      <c r="AF2004" s="1763"/>
      <c r="AG2004" s="1763"/>
      <c r="AH2004" s="1763"/>
      <c r="AI2004" s="1763"/>
      <c r="AJ2004" s="1763"/>
      <c r="AK2004" s="1763"/>
      <c r="AL2004" s="1762"/>
      <c r="AM2004" s="1764"/>
      <c r="AN2004" s="1764"/>
      <c r="AO2004" s="1764"/>
      <c r="AP2004" s="1764"/>
      <c r="AQ2004" s="1764"/>
      <c r="AR2004" s="1764"/>
      <c r="AS2004" s="1763"/>
      <c r="AT2004" s="1763"/>
      <c r="AU2004" s="1763"/>
      <c r="AV2004" s="1763"/>
      <c r="AW2004" s="1763"/>
      <c r="AX2004" s="1763"/>
      <c r="AY2004" s="1763"/>
      <c r="AZ2004" s="1763"/>
      <c r="BA2004" s="1763"/>
      <c r="BB2004" s="1763"/>
      <c r="BC2004" s="1763"/>
      <c r="BD2004" s="1763"/>
      <c r="BE2004" s="1763"/>
      <c r="BF2004" s="1763"/>
      <c r="BG2004" s="1763"/>
      <c r="BH2004" s="1763"/>
      <c r="BI2004" s="1763"/>
      <c r="BJ2004" s="1763"/>
      <c r="BK2004" s="1763"/>
      <c r="BL2004" s="1763"/>
      <c r="BM2004" s="1763"/>
      <c r="BN2004" s="1763"/>
      <c r="BO2004" s="1763"/>
      <c r="BP2004" s="1763"/>
      <c r="BQ2004" s="1763"/>
      <c r="BR2004" s="1763"/>
      <c r="BS2004" s="1763"/>
      <c r="BT2004" s="1767"/>
      <c r="BU2004" s="224"/>
      <c r="BV2004" s="65"/>
      <c r="BW2004" s="876"/>
      <c r="BX2004" s="224"/>
      <c r="BY2004" s="224"/>
      <c r="BZ2004" s="224"/>
      <c r="CA2004" s="224"/>
      <c r="CB2004" s="224"/>
      <c r="CC2004" s="224"/>
      <c r="CD2004" s="224"/>
      <c r="CE2004" s="224"/>
      <c r="CF2004" s="224"/>
      <c r="CG2004" s="224"/>
      <c r="CH2004" s="224"/>
      <c r="CI2004" s="224"/>
      <c r="CJ2004" s="224"/>
      <c r="CK2004" s="224"/>
      <c r="CL2004" s="224"/>
      <c r="CM2004" s="224"/>
      <c r="CN2004" s="224"/>
      <c r="CO2004" s="224"/>
      <c r="CP2004" s="224"/>
      <c r="CQ2004" s="224"/>
      <c r="CR2004" s="224"/>
      <c r="CS2004" s="224"/>
      <c r="CT2004" s="224"/>
      <c r="CU2004" s="224"/>
      <c r="CV2004" s="224"/>
      <c r="CW2004" s="224"/>
      <c r="CX2004" s="224"/>
      <c r="CY2004" s="224"/>
      <c r="CZ2004" s="224"/>
      <c r="DA2004" s="224"/>
      <c r="DB2004" s="224"/>
      <c r="DC2004" s="224"/>
      <c r="DD2004" s="224"/>
      <c r="DE2004" s="224"/>
      <c r="DF2004" s="224"/>
      <c r="DG2004" s="224"/>
      <c r="DH2004" s="224"/>
      <c r="DI2004" s="224"/>
      <c r="DJ2004" s="224"/>
      <c r="DK2004" s="224"/>
      <c r="DL2004" s="224"/>
      <c r="DM2004" s="224"/>
      <c r="DN2004" s="224"/>
      <c r="DO2004" s="224"/>
      <c r="DP2004" s="224"/>
      <c r="DQ2004" s="224"/>
      <c r="DR2004" s="224"/>
      <c r="DS2004" s="224"/>
      <c r="DT2004" s="1761"/>
    </row>
    <row r="2005" spans="1:124" s="548" customFormat="1" ht="12.75" customHeight="1" x14ac:dyDescent="0.15">
      <c r="A2005"/>
      <c r="B2005" s="164"/>
      <c r="C2005" s="164"/>
      <c r="D2005" s="164"/>
      <c r="E2005" s="164"/>
      <c r="F2005" s="164"/>
      <c r="G2005" s="799"/>
      <c r="H2005" s="1355"/>
      <c r="I2005" s="164"/>
      <c r="J2005" s="164"/>
      <c r="K2005" s="164"/>
      <c r="L2005" s="799"/>
      <c r="M2005" s="799"/>
      <c r="N2005" s="799"/>
      <c r="O2005" s="175"/>
      <c r="P2005" s="1240"/>
      <c r="Q2005" s="876"/>
      <c r="R2005" s="875"/>
      <c r="S2005" s="875"/>
      <c r="T2005" s="877"/>
      <c r="U2005" s="877"/>
      <c r="V2005" s="877"/>
      <c r="W2005" s="875"/>
      <c r="X2005" s="876"/>
      <c r="Y2005" s="875"/>
      <c r="Z2005" s="875"/>
      <c r="AA2005" s="170"/>
      <c r="AB2005" s="1515"/>
      <c r="AC2005" s="876"/>
      <c r="AD2005" s="1762"/>
      <c r="AE2005" s="1763"/>
      <c r="AF2005" s="1763"/>
      <c r="AG2005" s="1763"/>
      <c r="AH2005" s="1763"/>
      <c r="AI2005" s="1763"/>
      <c r="AJ2005" s="1763"/>
      <c r="AK2005" s="1763"/>
      <c r="AL2005" s="1762"/>
      <c r="AM2005" s="1764"/>
      <c r="AN2005" s="1764"/>
      <c r="AO2005" s="1764"/>
      <c r="AP2005" s="1764"/>
      <c r="AQ2005" s="1764"/>
      <c r="AR2005" s="1764"/>
      <c r="AS2005" s="1763"/>
      <c r="AT2005" s="1763"/>
      <c r="AU2005" s="1763"/>
      <c r="AV2005" s="1763"/>
      <c r="AW2005" s="1763"/>
      <c r="AX2005" s="1763"/>
      <c r="AY2005" s="1763"/>
      <c r="AZ2005" s="1763"/>
      <c r="BA2005" s="1763"/>
      <c r="BB2005" s="1763"/>
      <c r="BC2005" s="1763"/>
      <c r="BD2005" s="1763"/>
      <c r="BE2005" s="1763"/>
      <c r="BF2005" s="1763"/>
      <c r="BG2005" s="1763"/>
      <c r="BH2005" s="1763"/>
      <c r="BI2005" s="1763"/>
      <c r="BJ2005" s="1763"/>
      <c r="BK2005" s="1763"/>
      <c r="BL2005" s="1763"/>
      <c r="BM2005" s="1763"/>
      <c r="BN2005" s="1763"/>
      <c r="BO2005" s="1763"/>
      <c r="BP2005" s="1763"/>
      <c r="BQ2005" s="1763"/>
      <c r="BR2005" s="1763"/>
      <c r="BS2005" s="1763"/>
      <c r="BT2005" s="1767"/>
      <c r="BU2005" s="224"/>
      <c r="BV2005" s="65"/>
      <c r="BW2005" s="876"/>
      <c r="BX2005" s="224"/>
      <c r="BY2005" s="224"/>
      <c r="BZ2005" s="224"/>
      <c r="CA2005" s="224"/>
      <c r="CB2005" s="224"/>
      <c r="CC2005" s="224"/>
      <c r="CD2005" s="224"/>
      <c r="CE2005" s="224"/>
      <c r="CF2005" s="224"/>
      <c r="CG2005" s="224"/>
      <c r="CH2005" s="224"/>
      <c r="CI2005" s="224"/>
      <c r="CJ2005" s="224"/>
      <c r="CK2005" s="224"/>
      <c r="CL2005" s="224"/>
      <c r="CM2005" s="224"/>
      <c r="CN2005" s="224"/>
      <c r="CO2005" s="224"/>
      <c r="CP2005" s="224"/>
      <c r="CQ2005" s="224"/>
      <c r="CR2005" s="224"/>
      <c r="CS2005" s="224"/>
      <c r="CT2005" s="224"/>
      <c r="CU2005" s="224"/>
      <c r="CV2005" s="224"/>
      <c r="CW2005" s="224"/>
      <c r="CX2005" s="224"/>
      <c r="CY2005" s="224"/>
      <c r="CZ2005" s="224"/>
      <c r="DA2005" s="224"/>
      <c r="DB2005" s="224"/>
      <c r="DC2005" s="224"/>
      <c r="DD2005" s="224"/>
      <c r="DE2005" s="224"/>
      <c r="DF2005" s="224"/>
      <c r="DG2005" s="224"/>
      <c r="DH2005" s="224"/>
      <c r="DI2005" s="224"/>
      <c r="DJ2005" s="224"/>
      <c r="DK2005" s="224"/>
      <c r="DL2005" s="224"/>
      <c r="DM2005" s="224"/>
      <c r="DN2005" s="224"/>
      <c r="DO2005" s="224"/>
      <c r="DP2005" s="224"/>
      <c r="DQ2005" s="224"/>
      <c r="DR2005" s="224"/>
      <c r="DS2005" s="224"/>
      <c r="DT2005" s="1761"/>
    </row>
    <row r="2006" spans="1:124" s="548" customFormat="1" ht="12.75" customHeight="1" x14ac:dyDescent="0.15">
      <c r="A2006"/>
      <c r="B2006" s="164"/>
      <c r="C2006" s="164"/>
      <c r="D2006" s="164"/>
      <c r="E2006" s="164"/>
      <c r="F2006" s="164"/>
      <c r="G2006" s="799"/>
      <c r="H2006" s="1355"/>
      <c r="I2006" s="164"/>
      <c r="J2006" s="164"/>
      <c r="K2006" s="164"/>
      <c r="L2006" s="799"/>
      <c r="M2006" s="799"/>
      <c r="N2006" s="799"/>
      <c r="O2006" s="175"/>
      <c r="P2006" s="1240"/>
      <c r="Q2006" s="876"/>
      <c r="R2006" s="876"/>
      <c r="S2006" s="876"/>
      <c r="T2006" s="876"/>
      <c r="U2006" s="876"/>
      <c r="V2006" s="876"/>
      <c r="W2006" s="876"/>
      <c r="X2006" s="876"/>
      <c r="Y2006" s="876"/>
      <c r="Z2006" s="876"/>
      <c r="AA2006" s="170"/>
      <c r="AB2006" s="1515"/>
      <c r="AC2006" s="876"/>
      <c r="AD2006" s="1762"/>
      <c r="AE2006" s="1763"/>
      <c r="AF2006" s="1763"/>
      <c r="AG2006" s="1763"/>
      <c r="AH2006" s="1763"/>
      <c r="AI2006" s="1763"/>
      <c r="AJ2006" s="1763"/>
      <c r="AK2006" s="1763"/>
      <c r="AL2006" s="1762"/>
      <c r="AM2006" s="1764"/>
      <c r="AN2006" s="1764"/>
      <c r="AO2006" s="1764"/>
      <c r="AP2006" s="1764"/>
      <c r="AQ2006" s="1764"/>
      <c r="AR2006" s="1764"/>
      <c r="AS2006" s="1763"/>
      <c r="AT2006" s="1763"/>
      <c r="AU2006" s="1763"/>
      <c r="AV2006" s="1763"/>
      <c r="AW2006" s="1763"/>
      <c r="AX2006" s="1763"/>
      <c r="AY2006" s="1763"/>
      <c r="AZ2006" s="1763"/>
      <c r="BA2006" s="1763"/>
      <c r="BB2006" s="1763"/>
      <c r="BC2006" s="1763"/>
      <c r="BD2006" s="1763"/>
      <c r="BE2006" s="1763"/>
      <c r="BF2006" s="1763"/>
      <c r="BG2006" s="1763"/>
      <c r="BH2006" s="1763"/>
      <c r="BI2006" s="1763"/>
      <c r="BJ2006" s="1763"/>
      <c r="BK2006" s="1763"/>
      <c r="BL2006" s="1763"/>
      <c r="BM2006" s="1763"/>
      <c r="BN2006" s="1763"/>
      <c r="BO2006" s="1763"/>
      <c r="BP2006" s="1763"/>
      <c r="BQ2006" s="1763"/>
      <c r="BR2006" s="1763"/>
      <c r="BS2006" s="1763"/>
      <c r="BT2006" s="1767"/>
      <c r="BU2006" s="224"/>
      <c r="BV2006" s="65"/>
      <c r="BW2006" s="876"/>
      <c r="BX2006" s="224"/>
      <c r="BY2006" s="224"/>
      <c r="BZ2006" s="224"/>
      <c r="CA2006" s="224"/>
      <c r="CB2006" s="224"/>
      <c r="CC2006" s="224"/>
      <c r="CD2006" s="224"/>
      <c r="CE2006" s="224"/>
      <c r="CF2006" s="224"/>
      <c r="CG2006" s="224"/>
      <c r="CH2006" s="224"/>
      <c r="CI2006" s="224"/>
      <c r="CJ2006" s="224"/>
      <c r="CK2006" s="224"/>
      <c r="CL2006" s="224"/>
      <c r="CM2006" s="224"/>
      <c r="CN2006" s="224"/>
      <c r="CO2006" s="224"/>
      <c r="CP2006" s="224"/>
      <c r="CQ2006" s="224"/>
      <c r="CR2006" s="224"/>
      <c r="CS2006" s="224"/>
      <c r="CT2006" s="224"/>
      <c r="CU2006" s="224"/>
      <c r="CV2006" s="224"/>
      <c r="CW2006" s="224"/>
      <c r="CX2006" s="224"/>
      <c r="CY2006" s="224"/>
      <c r="CZ2006" s="224"/>
      <c r="DA2006" s="224"/>
      <c r="DB2006" s="224"/>
      <c r="DC2006" s="224"/>
      <c r="DD2006" s="224"/>
      <c r="DE2006" s="224"/>
      <c r="DF2006" s="224"/>
      <c r="DG2006" s="224"/>
      <c r="DH2006" s="224"/>
      <c r="DI2006" s="224"/>
      <c r="DJ2006" s="224"/>
      <c r="DK2006" s="224"/>
      <c r="DL2006" s="224"/>
      <c r="DM2006" s="224"/>
      <c r="DN2006" s="224"/>
      <c r="DO2006" s="224"/>
      <c r="DP2006" s="224"/>
      <c r="DQ2006" s="224"/>
      <c r="DR2006" s="224"/>
      <c r="DS2006" s="224"/>
      <c r="DT2006" s="1761"/>
    </row>
    <row r="2007" spans="1:124" s="548" customFormat="1" ht="12.75" customHeight="1" x14ac:dyDescent="0.15">
      <c r="A2007"/>
      <c r="B2007" s="164"/>
      <c r="C2007" s="164"/>
      <c r="D2007" s="164"/>
      <c r="E2007" s="164"/>
      <c r="F2007" s="164"/>
      <c r="G2007" s="799"/>
      <c r="H2007" s="1355"/>
      <c r="I2007" s="164"/>
      <c r="J2007" s="164"/>
      <c r="K2007" s="164"/>
      <c r="L2007" s="799"/>
      <c r="M2007" s="799"/>
      <c r="N2007" s="799"/>
      <c r="O2007" s="175"/>
      <c r="P2007" s="1240"/>
      <c r="Q2007" s="876"/>
      <c r="R2007" s="876"/>
      <c r="S2007" s="876"/>
      <c r="T2007" s="876"/>
      <c r="U2007" s="876"/>
      <c r="V2007" s="876"/>
      <c r="W2007" s="876"/>
      <c r="X2007" s="876"/>
      <c r="Y2007" s="876"/>
      <c r="Z2007" s="876"/>
      <c r="AA2007" s="170"/>
      <c r="AB2007" s="1515"/>
      <c r="AC2007" s="876"/>
      <c r="AD2007" s="1762"/>
      <c r="AE2007" s="1763"/>
      <c r="AF2007" s="1763"/>
      <c r="AG2007" s="1763"/>
      <c r="AH2007" s="1763"/>
      <c r="AI2007" s="1763"/>
      <c r="AJ2007" s="1763"/>
      <c r="AK2007" s="1763"/>
      <c r="AL2007" s="1762"/>
      <c r="AM2007" s="1764"/>
      <c r="AN2007" s="1764"/>
      <c r="AO2007" s="1764"/>
      <c r="AP2007" s="1764"/>
      <c r="AQ2007" s="1764"/>
      <c r="AR2007" s="1764"/>
      <c r="AS2007" s="1763"/>
      <c r="AT2007" s="1763"/>
      <c r="AU2007" s="1763"/>
      <c r="AV2007" s="1763"/>
      <c r="AW2007" s="1763"/>
      <c r="AX2007" s="1763"/>
      <c r="AY2007" s="1763"/>
      <c r="AZ2007" s="1763"/>
      <c r="BA2007" s="1763"/>
      <c r="BB2007" s="1763"/>
      <c r="BC2007" s="1763"/>
      <c r="BD2007" s="1763"/>
      <c r="BE2007" s="1763"/>
      <c r="BF2007" s="1763"/>
      <c r="BG2007" s="1763"/>
      <c r="BH2007" s="1763"/>
      <c r="BI2007" s="1763"/>
      <c r="BJ2007" s="1763"/>
      <c r="BK2007" s="1763"/>
      <c r="BL2007" s="1763"/>
      <c r="BM2007" s="1763"/>
      <c r="BN2007" s="1763"/>
      <c r="BO2007" s="1763"/>
      <c r="BP2007" s="1763"/>
      <c r="BQ2007" s="1763"/>
      <c r="BR2007" s="1763"/>
      <c r="BS2007" s="1763"/>
      <c r="BT2007" s="1767"/>
      <c r="BU2007" s="224"/>
      <c r="BV2007" s="65"/>
      <c r="BW2007" s="876"/>
      <c r="BX2007" s="224"/>
      <c r="BY2007" s="224"/>
      <c r="BZ2007" s="224"/>
      <c r="CA2007" s="224"/>
      <c r="CB2007" s="224"/>
      <c r="CC2007" s="224"/>
      <c r="CD2007" s="224"/>
      <c r="CE2007" s="224"/>
      <c r="CF2007" s="224"/>
      <c r="CG2007" s="224"/>
      <c r="CH2007" s="224"/>
      <c r="CI2007" s="224"/>
      <c r="CJ2007" s="224"/>
      <c r="CK2007" s="224"/>
      <c r="CL2007" s="224"/>
      <c r="CM2007" s="224"/>
      <c r="CN2007" s="224"/>
      <c r="CO2007" s="224"/>
      <c r="CP2007" s="224"/>
      <c r="CQ2007" s="224"/>
      <c r="CR2007" s="224"/>
      <c r="CS2007" s="224"/>
      <c r="CT2007" s="224"/>
      <c r="CU2007" s="224"/>
      <c r="CV2007" s="224"/>
      <c r="CW2007" s="224"/>
      <c r="CX2007" s="224"/>
      <c r="CY2007" s="224"/>
      <c r="CZ2007" s="224"/>
      <c r="DA2007" s="224"/>
      <c r="DB2007" s="224"/>
      <c r="DC2007" s="224"/>
      <c r="DD2007" s="224"/>
      <c r="DE2007" s="224"/>
      <c r="DF2007" s="224"/>
      <c r="DG2007" s="224"/>
      <c r="DH2007" s="224"/>
      <c r="DI2007" s="224"/>
      <c r="DJ2007" s="224"/>
      <c r="DK2007" s="224"/>
      <c r="DL2007" s="224"/>
      <c r="DM2007" s="224"/>
      <c r="DN2007" s="224"/>
      <c r="DO2007" s="224"/>
      <c r="DP2007" s="224"/>
      <c r="DQ2007" s="224"/>
      <c r="DR2007" s="224"/>
      <c r="DS2007" s="224"/>
      <c r="DT2007" s="1761"/>
    </row>
    <row r="2008" spans="1:124" s="548" customFormat="1" ht="12.75" customHeight="1" x14ac:dyDescent="0.15">
      <c r="A2008"/>
      <c r="B2008" s="164"/>
      <c r="C2008" s="164"/>
      <c r="D2008" s="164"/>
      <c r="E2008" s="164"/>
      <c r="F2008" s="164"/>
      <c r="G2008" s="799"/>
      <c r="H2008" s="1355"/>
      <c r="I2008" s="164"/>
      <c r="J2008" s="164"/>
      <c r="K2008" s="164"/>
      <c r="L2008" s="799"/>
      <c r="M2008" s="799"/>
      <c r="N2008" s="799"/>
      <c r="O2008" s="175"/>
      <c r="P2008" s="1240"/>
      <c r="Q2008" s="876"/>
      <c r="R2008" s="876"/>
      <c r="S2008" s="876"/>
      <c r="T2008" s="876"/>
      <c r="U2008" s="876"/>
      <c r="V2008" s="876"/>
      <c r="W2008" s="876"/>
      <c r="X2008" s="876"/>
      <c r="Y2008" s="876"/>
      <c r="Z2008" s="876"/>
      <c r="AA2008" s="170"/>
      <c r="AB2008" s="1515"/>
      <c r="AC2008" s="876"/>
      <c r="AD2008" s="1762"/>
      <c r="AE2008" s="1763"/>
      <c r="AF2008" s="1763"/>
      <c r="AG2008" s="1763"/>
      <c r="AH2008" s="1763"/>
      <c r="AI2008" s="1763"/>
      <c r="AJ2008" s="1763"/>
      <c r="AK2008" s="1763"/>
      <c r="AL2008" s="1762"/>
      <c r="AM2008" s="1764"/>
      <c r="AN2008" s="1764"/>
      <c r="AO2008" s="1764"/>
      <c r="AP2008" s="1764"/>
      <c r="AQ2008" s="1764"/>
      <c r="AR2008" s="1764"/>
      <c r="AS2008" s="1763"/>
      <c r="AT2008" s="1763"/>
      <c r="AU2008" s="1763"/>
      <c r="AV2008" s="1763"/>
      <c r="AW2008" s="1763"/>
      <c r="AX2008" s="1763"/>
      <c r="AY2008" s="1763"/>
      <c r="AZ2008" s="1763"/>
      <c r="BA2008" s="1763"/>
      <c r="BB2008" s="1763"/>
      <c r="BC2008" s="1763"/>
      <c r="BD2008" s="1763"/>
      <c r="BE2008" s="1763"/>
      <c r="BF2008" s="1763"/>
      <c r="BG2008" s="1763"/>
      <c r="BH2008" s="1763"/>
      <c r="BI2008" s="1763"/>
      <c r="BJ2008" s="1763"/>
      <c r="BK2008" s="1763"/>
      <c r="BL2008" s="1763"/>
      <c r="BM2008" s="1763"/>
      <c r="BN2008" s="1763"/>
      <c r="BO2008" s="1763"/>
      <c r="BP2008" s="1763"/>
      <c r="BQ2008" s="1763"/>
      <c r="BR2008" s="1763"/>
      <c r="BS2008" s="1763"/>
      <c r="BT2008" s="1767"/>
      <c r="BU2008" s="224"/>
      <c r="BV2008" s="65"/>
      <c r="BW2008" s="876"/>
      <c r="BX2008" s="224"/>
      <c r="BY2008" s="224"/>
      <c r="BZ2008" s="224"/>
      <c r="CA2008" s="224"/>
      <c r="CB2008" s="224"/>
      <c r="CC2008" s="224"/>
      <c r="CD2008" s="224"/>
      <c r="CE2008" s="224"/>
      <c r="CF2008" s="224"/>
      <c r="CG2008" s="224"/>
      <c r="CH2008" s="224"/>
      <c r="CI2008" s="224"/>
      <c r="CJ2008" s="224"/>
      <c r="CK2008" s="224"/>
      <c r="CL2008" s="224"/>
      <c r="CM2008" s="224"/>
      <c r="CN2008" s="224"/>
      <c r="CO2008" s="224"/>
      <c r="CP2008" s="224"/>
      <c r="CQ2008" s="224"/>
      <c r="CR2008" s="224"/>
      <c r="CS2008" s="224"/>
      <c r="CT2008" s="224"/>
      <c r="CU2008" s="224"/>
      <c r="CV2008" s="224"/>
      <c r="CW2008" s="224"/>
      <c r="CX2008" s="224"/>
      <c r="CY2008" s="224"/>
      <c r="CZ2008" s="224"/>
      <c r="DA2008" s="224"/>
      <c r="DB2008" s="224"/>
      <c r="DC2008" s="224"/>
      <c r="DD2008" s="224"/>
      <c r="DE2008" s="224"/>
      <c r="DF2008" s="224"/>
      <c r="DG2008" s="224"/>
      <c r="DH2008" s="224"/>
      <c r="DI2008" s="224"/>
      <c r="DJ2008" s="224"/>
      <c r="DK2008" s="224"/>
      <c r="DL2008" s="224"/>
      <c r="DM2008" s="224"/>
      <c r="DN2008" s="224"/>
      <c r="DO2008" s="224"/>
      <c r="DP2008" s="224"/>
      <c r="DQ2008" s="224"/>
      <c r="DR2008" s="224"/>
      <c r="DS2008" s="224"/>
      <c r="DT2008" s="1761"/>
    </row>
    <row r="2009" spans="1:124" s="548" customFormat="1" ht="12.75" customHeight="1" x14ac:dyDescent="0.15">
      <c r="A2009"/>
      <c r="B2009" s="164"/>
      <c r="C2009" s="164"/>
      <c r="D2009" s="164"/>
      <c r="E2009" s="164"/>
      <c r="F2009" s="164"/>
      <c r="G2009" s="799"/>
      <c r="H2009" s="1355"/>
      <c r="I2009" s="164"/>
      <c r="J2009" s="164"/>
      <c r="K2009" s="164"/>
      <c r="L2009" s="799"/>
      <c r="M2009" s="799"/>
      <c r="N2009" s="799"/>
      <c r="O2009" s="175"/>
      <c r="P2009" s="1240"/>
      <c r="Q2009" s="876"/>
      <c r="R2009" s="876"/>
      <c r="S2009" s="876"/>
      <c r="T2009" s="876"/>
      <c r="U2009" s="876"/>
      <c r="V2009" s="876"/>
      <c r="W2009" s="876"/>
      <c r="X2009" s="876"/>
      <c r="Y2009" s="876"/>
      <c r="Z2009" s="876"/>
      <c r="AA2009" s="170"/>
      <c r="AB2009" s="1515"/>
      <c r="AC2009" s="876"/>
      <c r="AD2009" s="1762"/>
      <c r="AE2009" s="1763"/>
      <c r="AF2009" s="1763"/>
      <c r="AG2009" s="1763"/>
      <c r="AH2009" s="1763"/>
      <c r="AI2009" s="1763"/>
      <c r="AJ2009" s="1763"/>
      <c r="AK2009" s="1763"/>
      <c r="AL2009" s="1762"/>
      <c r="AM2009" s="1764"/>
      <c r="AN2009" s="1764"/>
      <c r="AO2009" s="1764"/>
      <c r="AP2009" s="1764"/>
      <c r="AQ2009" s="1764"/>
      <c r="AR2009" s="1764"/>
      <c r="AS2009" s="1763"/>
      <c r="AT2009" s="1763"/>
      <c r="AU2009" s="1763"/>
      <c r="AV2009" s="1763"/>
      <c r="AW2009" s="1763"/>
      <c r="AX2009" s="1763"/>
      <c r="AY2009" s="1763"/>
      <c r="AZ2009" s="1763"/>
      <c r="BA2009" s="1763"/>
      <c r="BB2009" s="1763"/>
      <c r="BC2009" s="1763"/>
      <c r="BD2009" s="1763"/>
      <c r="BE2009" s="1763"/>
      <c r="BF2009" s="1763"/>
      <c r="BG2009" s="1763"/>
      <c r="BH2009" s="1763"/>
      <c r="BI2009" s="1763"/>
      <c r="BJ2009" s="1763"/>
      <c r="BK2009" s="1763"/>
      <c r="BL2009" s="1763"/>
      <c r="BM2009" s="1763"/>
      <c r="BN2009" s="1763"/>
      <c r="BO2009" s="1763"/>
      <c r="BP2009" s="1763"/>
      <c r="BQ2009" s="1763"/>
      <c r="BR2009" s="1763"/>
      <c r="BS2009" s="1763"/>
      <c r="BT2009" s="1767"/>
      <c r="BU2009" s="224"/>
      <c r="BV2009" s="65"/>
      <c r="BW2009" s="876"/>
      <c r="BX2009" s="224"/>
      <c r="BY2009" s="224"/>
      <c r="BZ2009" s="224"/>
      <c r="CA2009" s="224"/>
      <c r="CB2009" s="224"/>
      <c r="CC2009" s="224"/>
      <c r="CD2009" s="224"/>
      <c r="CE2009" s="224"/>
      <c r="CF2009" s="224"/>
      <c r="CG2009" s="224"/>
      <c r="CH2009" s="224"/>
      <c r="CI2009" s="224"/>
      <c r="CJ2009" s="224"/>
      <c r="CK2009" s="224"/>
      <c r="CL2009" s="224"/>
      <c r="CM2009" s="224"/>
      <c r="CN2009" s="224"/>
      <c r="CO2009" s="224"/>
      <c r="CP2009" s="224"/>
      <c r="CQ2009" s="224"/>
      <c r="CR2009" s="224"/>
      <c r="CS2009" s="224"/>
      <c r="CT2009" s="224"/>
      <c r="CU2009" s="224"/>
      <c r="CV2009" s="224"/>
      <c r="CW2009" s="224"/>
      <c r="CX2009" s="224"/>
      <c r="CY2009" s="224"/>
      <c r="CZ2009" s="224"/>
      <c r="DA2009" s="224"/>
      <c r="DB2009" s="224"/>
      <c r="DC2009" s="224"/>
      <c r="DD2009" s="224"/>
      <c r="DE2009" s="224"/>
      <c r="DF2009" s="224"/>
      <c r="DG2009" s="224"/>
      <c r="DH2009" s="224"/>
      <c r="DI2009" s="224"/>
      <c r="DJ2009" s="224"/>
      <c r="DK2009" s="224"/>
      <c r="DL2009" s="224"/>
      <c r="DM2009" s="224"/>
      <c r="DN2009" s="224"/>
      <c r="DO2009" s="224"/>
      <c r="DP2009" s="224"/>
      <c r="DQ2009" s="224"/>
      <c r="DR2009" s="224"/>
      <c r="DS2009" s="224"/>
      <c r="DT2009" s="1761"/>
    </row>
    <row r="2010" spans="1:124" s="548" customFormat="1" ht="12.75" customHeight="1" x14ac:dyDescent="0.15">
      <c r="A2010"/>
      <c r="B2010" s="164"/>
      <c r="C2010" s="164"/>
      <c r="D2010" s="164"/>
      <c r="E2010" s="164"/>
      <c r="F2010" s="164"/>
      <c r="G2010" s="799"/>
      <c r="H2010" s="1355"/>
      <c r="I2010" s="164"/>
      <c r="J2010" s="164"/>
      <c r="K2010" s="164"/>
      <c r="L2010" s="799"/>
      <c r="M2010" s="799"/>
      <c r="N2010" s="799"/>
      <c r="O2010" s="175"/>
      <c r="P2010" s="1240"/>
      <c r="Q2010" s="876"/>
      <c r="R2010" s="876"/>
      <c r="S2010" s="876"/>
      <c r="T2010" s="876"/>
      <c r="U2010" s="876"/>
      <c r="V2010" s="876"/>
      <c r="W2010" s="876"/>
      <c r="X2010" s="876"/>
      <c r="Y2010" s="876"/>
      <c r="Z2010" s="876"/>
      <c r="AA2010" s="170"/>
      <c r="AB2010" s="1515"/>
      <c r="AC2010" s="876"/>
      <c r="AD2010" s="1762"/>
      <c r="AE2010" s="1763"/>
      <c r="AF2010" s="1763"/>
      <c r="AG2010" s="1763"/>
      <c r="AH2010" s="1763"/>
      <c r="AI2010" s="1763"/>
      <c r="AJ2010" s="1763"/>
      <c r="AK2010" s="1763"/>
      <c r="AL2010" s="1762"/>
      <c r="AM2010" s="1764"/>
      <c r="AN2010" s="1764"/>
      <c r="AO2010" s="1764"/>
      <c r="AP2010" s="1764"/>
      <c r="AQ2010" s="1764"/>
      <c r="AR2010" s="1764"/>
      <c r="AS2010" s="1763"/>
      <c r="AT2010" s="1763"/>
      <c r="AU2010" s="1763"/>
      <c r="AV2010" s="1763"/>
      <c r="AW2010" s="1763"/>
      <c r="AX2010" s="1763"/>
      <c r="AY2010" s="1763"/>
      <c r="AZ2010" s="1763"/>
      <c r="BA2010" s="1763"/>
      <c r="BB2010" s="1763"/>
      <c r="BC2010" s="1763"/>
      <c r="BD2010" s="1763"/>
      <c r="BE2010" s="1763"/>
      <c r="BF2010" s="1763"/>
      <c r="BG2010" s="1763"/>
      <c r="BH2010" s="1763"/>
      <c r="BI2010" s="1763"/>
      <c r="BJ2010" s="1763"/>
      <c r="BK2010" s="1763"/>
      <c r="BL2010" s="1763"/>
      <c r="BM2010" s="1763"/>
      <c r="BN2010" s="1763"/>
      <c r="BO2010" s="1763"/>
      <c r="BP2010" s="1763"/>
      <c r="BQ2010" s="1763"/>
      <c r="BR2010" s="1763"/>
      <c r="BS2010" s="1763"/>
      <c r="BT2010" s="1767"/>
      <c r="BU2010" s="224"/>
      <c r="BV2010" s="65"/>
      <c r="BW2010" s="876"/>
      <c r="BX2010" s="224"/>
      <c r="BY2010" s="224"/>
      <c r="BZ2010" s="224"/>
      <c r="CA2010" s="224"/>
      <c r="CB2010" s="224"/>
      <c r="CC2010" s="224"/>
      <c r="CD2010" s="224"/>
      <c r="CE2010" s="224"/>
      <c r="CF2010" s="224"/>
      <c r="CG2010" s="224"/>
      <c r="CH2010" s="224"/>
      <c r="CI2010" s="224"/>
      <c r="CJ2010" s="224"/>
      <c r="CK2010" s="224"/>
      <c r="CL2010" s="224"/>
      <c r="CM2010" s="224"/>
      <c r="CN2010" s="224"/>
      <c r="CO2010" s="224"/>
      <c r="CP2010" s="224"/>
      <c r="CQ2010" s="224"/>
      <c r="CR2010" s="224"/>
      <c r="CS2010" s="224"/>
      <c r="CT2010" s="224"/>
      <c r="CU2010" s="224"/>
      <c r="CV2010" s="224"/>
      <c r="CW2010" s="224"/>
      <c r="CX2010" s="224"/>
      <c r="CY2010" s="224"/>
      <c r="CZ2010" s="224"/>
      <c r="DA2010" s="224"/>
      <c r="DB2010" s="224"/>
      <c r="DC2010" s="224"/>
      <c r="DD2010" s="224"/>
      <c r="DE2010" s="224"/>
      <c r="DF2010" s="224"/>
      <c r="DG2010" s="224"/>
      <c r="DH2010" s="224"/>
      <c r="DI2010" s="224"/>
      <c r="DJ2010" s="224"/>
      <c r="DK2010" s="224"/>
      <c r="DL2010" s="224"/>
      <c r="DM2010" s="224"/>
      <c r="DN2010" s="224"/>
      <c r="DO2010" s="224"/>
      <c r="DP2010" s="224"/>
      <c r="DQ2010" s="224"/>
      <c r="DR2010" s="224"/>
      <c r="DS2010" s="224"/>
      <c r="DT2010" s="1761"/>
    </row>
    <row r="2011" spans="1:124" s="548" customFormat="1" ht="12.75" customHeight="1" x14ac:dyDescent="0.15">
      <c r="A2011"/>
      <c r="B2011" s="164"/>
      <c r="C2011" s="164"/>
      <c r="D2011" s="164"/>
      <c r="E2011" s="164"/>
      <c r="F2011" s="164"/>
      <c r="G2011" s="799"/>
      <c r="H2011" s="1355"/>
      <c r="I2011" s="164"/>
      <c r="J2011" s="164"/>
      <c r="K2011" s="164"/>
      <c r="L2011" s="799"/>
      <c r="M2011" s="799"/>
      <c r="N2011" s="799"/>
      <c r="O2011" s="175"/>
      <c r="P2011" s="1240"/>
      <c r="Q2011" s="1078"/>
      <c r="R2011" s="1078"/>
      <c r="S2011" s="1078"/>
      <c r="T2011" s="1078"/>
      <c r="U2011" s="1078"/>
      <c r="V2011" s="1078"/>
      <c r="W2011" s="1078"/>
      <c r="X2011" s="1078"/>
      <c r="Y2011" s="1078"/>
      <c r="Z2011" s="1078"/>
      <c r="AA2011" s="170"/>
      <c r="AB2011" s="1515"/>
      <c r="AC2011" s="1078"/>
      <c r="AD2011" s="1762"/>
      <c r="AE2011" s="1763"/>
      <c r="AF2011" s="1763"/>
      <c r="AG2011" s="1763"/>
      <c r="AH2011" s="1763"/>
      <c r="AI2011" s="1763"/>
      <c r="AJ2011" s="1763"/>
      <c r="AK2011" s="1763"/>
      <c r="AL2011" s="1762"/>
      <c r="AM2011" s="1764"/>
      <c r="AN2011" s="1764"/>
      <c r="AO2011" s="1764"/>
      <c r="AP2011" s="1764"/>
      <c r="AQ2011" s="1764"/>
      <c r="AR2011" s="1764"/>
      <c r="AS2011" s="1763"/>
      <c r="AT2011" s="1763"/>
      <c r="AU2011" s="1763"/>
      <c r="AV2011" s="1763"/>
      <c r="AW2011" s="1763"/>
      <c r="AX2011" s="1763"/>
      <c r="AY2011" s="1763"/>
      <c r="AZ2011" s="1763"/>
      <c r="BA2011" s="1763"/>
      <c r="BB2011" s="1763"/>
      <c r="BC2011" s="1763"/>
      <c r="BD2011" s="1763"/>
      <c r="BE2011" s="1763"/>
      <c r="BF2011" s="1763"/>
      <c r="BG2011" s="1763"/>
      <c r="BH2011" s="1763"/>
      <c r="BI2011" s="1763"/>
      <c r="BJ2011" s="1763"/>
      <c r="BK2011" s="1763"/>
      <c r="BL2011" s="1763"/>
      <c r="BM2011" s="1763"/>
      <c r="BN2011" s="1763"/>
      <c r="BO2011" s="1763"/>
      <c r="BP2011" s="1763"/>
      <c r="BQ2011" s="1763"/>
      <c r="BR2011" s="1763"/>
      <c r="BS2011" s="1763"/>
      <c r="BT2011" s="1767"/>
      <c r="BU2011" s="224"/>
      <c r="BV2011" s="65"/>
      <c r="BW2011" s="876"/>
      <c r="BX2011" s="224"/>
      <c r="BY2011" s="224"/>
      <c r="BZ2011" s="224"/>
      <c r="CA2011" s="224"/>
      <c r="CB2011" s="224"/>
      <c r="CC2011" s="224"/>
      <c r="CD2011" s="224"/>
      <c r="CE2011" s="224"/>
      <c r="CF2011" s="224"/>
      <c r="CG2011" s="224"/>
      <c r="CH2011" s="224"/>
      <c r="CI2011" s="224"/>
      <c r="CJ2011" s="224"/>
      <c r="CK2011" s="224"/>
      <c r="CL2011" s="224"/>
      <c r="CM2011" s="224"/>
      <c r="CN2011" s="224"/>
      <c r="CO2011" s="224"/>
      <c r="CP2011" s="224"/>
      <c r="CQ2011" s="224"/>
      <c r="CR2011" s="224"/>
      <c r="CS2011" s="224"/>
      <c r="CT2011" s="224"/>
      <c r="CU2011" s="224"/>
      <c r="CV2011" s="224"/>
      <c r="CW2011" s="224"/>
      <c r="CX2011" s="224"/>
      <c r="CY2011" s="224"/>
      <c r="CZ2011" s="224"/>
      <c r="DA2011" s="224"/>
      <c r="DB2011" s="224"/>
      <c r="DC2011" s="224"/>
      <c r="DD2011" s="224"/>
      <c r="DE2011" s="224"/>
      <c r="DF2011" s="224"/>
      <c r="DG2011" s="224"/>
      <c r="DH2011" s="224"/>
      <c r="DI2011" s="224"/>
      <c r="DJ2011" s="224"/>
      <c r="DK2011" s="224"/>
      <c r="DL2011" s="224"/>
      <c r="DM2011" s="224"/>
      <c r="DN2011" s="224"/>
      <c r="DO2011" s="224"/>
      <c r="DP2011" s="224"/>
      <c r="DQ2011" s="224"/>
      <c r="DR2011" s="224"/>
      <c r="DS2011" s="224"/>
      <c r="DT2011" s="1761"/>
    </row>
    <row r="2012" spans="1:124" s="548" customFormat="1" ht="12.75" customHeight="1" thickBot="1" x14ac:dyDescent="0.2">
      <c r="A2012"/>
      <c r="B2012" s="164"/>
      <c r="C2012" s="164"/>
      <c r="D2012" s="164"/>
      <c r="E2012" s="164"/>
      <c r="F2012" s="164"/>
      <c r="G2012" s="799"/>
      <c r="H2012" s="1355"/>
      <c r="I2012" s="164"/>
      <c r="J2012" s="164"/>
      <c r="K2012" s="164"/>
      <c r="L2012" s="799"/>
      <c r="M2012" s="799"/>
      <c r="N2012" s="799"/>
      <c r="O2012" s="175"/>
      <c r="P2012" s="1240"/>
      <c r="Q2012" s="876"/>
      <c r="R2012" s="876"/>
      <c r="S2012" s="876"/>
      <c r="T2012" s="876"/>
      <c r="U2012" s="876"/>
      <c r="V2012" s="876"/>
      <c r="W2012" s="876"/>
      <c r="X2012" s="876"/>
      <c r="Y2012" s="876"/>
      <c r="Z2012" s="876"/>
      <c r="AA2012" s="170"/>
      <c r="AB2012" s="1515"/>
      <c r="AC2012" s="876"/>
      <c r="AD2012" s="1762"/>
      <c r="AE2012" s="1763"/>
      <c r="AF2012" s="1763"/>
      <c r="AG2012" s="1763"/>
      <c r="AH2012" s="1763"/>
      <c r="AI2012" s="1763"/>
      <c r="AJ2012" s="1763"/>
      <c r="AK2012" s="1763"/>
      <c r="AL2012" s="1762"/>
      <c r="AM2012" s="1764"/>
      <c r="AN2012" s="1764"/>
      <c r="AO2012" s="1764"/>
      <c r="AP2012" s="1764"/>
      <c r="AQ2012" s="1764"/>
      <c r="AR2012" s="1764"/>
      <c r="AS2012" s="1763"/>
      <c r="AT2012" s="1763"/>
      <c r="AU2012" s="1763"/>
      <c r="AV2012" s="1763"/>
      <c r="AW2012" s="1763"/>
      <c r="AX2012" s="1763"/>
      <c r="AY2012" s="1763"/>
      <c r="AZ2012" s="1763"/>
      <c r="BA2012" s="1763"/>
      <c r="BB2012" s="1763"/>
      <c r="BC2012" s="1763"/>
      <c r="BD2012" s="1763"/>
      <c r="BE2012" s="1763"/>
      <c r="BF2012" s="1763"/>
      <c r="BG2012" s="1763"/>
      <c r="BH2012" s="1763"/>
      <c r="BI2012" s="1763"/>
      <c r="BJ2012" s="1763"/>
      <c r="BK2012" s="1763"/>
      <c r="BL2012" s="1763"/>
      <c r="BM2012" s="1763"/>
      <c r="BN2012" s="1763"/>
      <c r="BO2012" s="1763"/>
      <c r="BP2012" s="1763"/>
      <c r="BQ2012" s="1763"/>
      <c r="BR2012" s="1763"/>
      <c r="BS2012" s="1763"/>
      <c r="BT2012" s="1767"/>
      <c r="BU2012" s="224"/>
      <c r="BV2012" s="65"/>
      <c r="BW2012" s="876"/>
      <c r="BX2012" s="224"/>
      <c r="BY2012" s="224"/>
      <c r="BZ2012" s="224"/>
      <c r="CA2012" s="224"/>
      <c r="CB2012" s="224"/>
      <c r="CC2012" s="224"/>
      <c r="CD2012" s="224"/>
      <c r="CE2012" s="224"/>
      <c r="CF2012" s="224"/>
      <c r="CG2012" s="224"/>
      <c r="CH2012" s="224"/>
      <c r="CI2012" s="224"/>
      <c r="CJ2012" s="224"/>
      <c r="CK2012" s="224"/>
      <c r="CL2012" s="224"/>
      <c r="CM2012" s="224"/>
      <c r="CN2012" s="224"/>
      <c r="CO2012" s="224"/>
      <c r="CP2012" s="224"/>
      <c r="CQ2012" s="224"/>
      <c r="CR2012" s="224"/>
      <c r="CS2012" s="224"/>
      <c r="CT2012" s="224"/>
      <c r="CU2012" s="224"/>
      <c r="CV2012" s="224"/>
      <c r="CW2012" s="224"/>
      <c r="CX2012" s="224"/>
      <c r="CY2012" s="224"/>
      <c r="CZ2012" s="224"/>
      <c r="DA2012" s="224"/>
      <c r="DB2012" s="224"/>
      <c r="DC2012" s="224"/>
      <c r="DD2012" s="224"/>
      <c r="DE2012" s="224"/>
      <c r="DF2012" s="224"/>
      <c r="DG2012" s="224"/>
      <c r="DH2012" s="224"/>
      <c r="DI2012" s="224"/>
      <c r="DJ2012" s="224"/>
      <c r="DK2012" s="224"/>
      <c r="DL2012" s="224"/>
      <c r="DM2012" s="224"/>
      <c r="DN2012" s="224"/>
      <c r="DO2012" s="224"/>
      <c r="DP2012" s="224"/>
      <c r="DQ2012" s="224"/>
      <c r="DR2012" s="224"/>
      <c r="DS2012" s="224"/>
      <c r="DT2012" s="1761"/>
    </row>
    <row r="2013" spans="1:124" s="548" customFormat="1" ht="12.75" customHeight="1" thickBot="1" x14ac:dyDescent="0.2">
      <c r="A2013"/>
      <c r="B2013" s="164"/>
      <c r="C2013" s="529" t="s">
        <v>139</v>
      </c>
      <c r="D2013" s="722" t="s">
        <v>346</v>
      </c>
      <c r="E2013" s="723" t="s">
        <v>893</v>
      </c>
      <c r="F2013" s="724"/>
      <c r="G2013" s="1023"/>
      <c r="H2013" s="1408"/>
      <c r="I2013" s="725"/>
      <c r="J2013" s="722"/>
      <c r="K2013" s="722"/>
      <c r="L2013" s="1022"/>
      <c r="M2013" s="1022"/>
      <c r="N2013" s="1022"/>
      <c r="O2013" s="530"/>
      <c r="P2013" s="1274"/>
      <c r="Q2013" s="1079"/>
      <c r="R2013" s="1079"/>
      <c r="S2013" s="1079"/>
      <c r="T2013" s="1079"/>
      <c r="U2013" s="1079"/>
      <c r="V2013" s="1079"/>
      <c r="W2013" s="1079"/>
      <c r="X2013" s="1079">
        <f>X1995</f>
        <v>5285950</v>
      </c>
      <c r="Y2013" s="1079"/>
      <c r="Z2013" s="1079"/>
      <c r="AA2013" s="1296"/>
      <c r="AB2013" s="1515"/>
      <c r="AC2013" s="1721"/>
      <c r="AD2013" s="1762"/>
      <c r="AE2013" s="1763"/>
      <c r="AF2013" s="1763"/>
      <c r="AG2013" s="1763"/>
      <c r="AH2013" s="1763"/>
      <c r="AI2013" s="1763"/>
      <c r="AJ2013" s="1763"/>
      <c r="AK2013" s="1763"/>
      <c r="AL2013" s="1762"/>
      <c r="AM2013" s="1764"/>
      <c r="AN2013" s="1764"/>
      <c r="AO2013" s="1764"/>
      <c r="AP2013" s="1764"/>
      <c r="AQ2013" s="1764"/>
      <c r="AR2013" s="1764"/>
      <c r="AS2013" s="1763"/>
      <c r="AT2013" s="1763"/>
      <c r="AU2013" s="1763"/>
      <c r="AV2013" s="1763"/>
      <c r="AW2013" s="1763"/>
      <c r="AX2013" s="1763"/>
      <c r="AY2013" s="1763"/>
      <c r="AZ2013" s="1763"/>
      <c r="BA2013" s="1763"/>
      <c r="BB2013" s="1763"/>
      <c r="BC2013" s="1763"/>
      <c r="BD2013" s="1763"/>
      <c r="BE2013" s="1763"/>
      <c r="BF2013" s="1763"/>
      <c r="BG2013" s="1763"/>
      <c r="BH2013" s="1763"/>
      <c r="BI2013" s="1763"/>
      <c r="BJ2013" s="1763"/>
      <c r="BK2013" s="1763"/>
      <c r="BL2013" s="1763"/>
      <c r="BM2013" s="1763"/>
      <c r="BN2013" s="1763"/>
      <c r="BO2013" s="1763"/>
      <c r="BP2013" s="1763"/>
      <c r="BQ2013" s="1763"/>
      <c r="BR2013" s="1763"/>
      <c r="BS2013" s="1763"/>
      <c r="BT2013" s="1767"/>
      <c r="BU2013" s="224"/>
      <c r="BV2013" s="65"/>
      <c r="BW2013" s="876"/>
      <c r="BX2013" s="224"/>
      <c r="BY2013" s="224"/>
      <c r="BZ2013" s="224"/>
      <c r="CA2013" s="224"/>
      <c r="CB2013" s="224"/>
      <c r="CC2013" s="224"/>
      <c r="CD2013" s="224"/>
      <c r="CE2013" s="224"/>
      <c r="CF2013" s="224"/>
      <c r="CG2013" s="224"/>
      <c r="CH2013" s="224"/>
      <c r="CI2013" s="224"/>
      <c r="CJ2013" s="224"/>
      <c r="CK2013" s="224"/>
      <c r="CL2013" s="224"/>
      <c r="CM2013" s="224"/>
      <c r="CN2013" s="224"/>
      <c r="CO2013" s="224"/>
      <c r="CP2013" s="224"/>
      <c r="CQ2013" s="224"/>
      <c r="CR2013" s="224"/>
      <c r="CS2013" s="224"/>
      <c r="CT2013" s="224"/>
      <c r="CU2013" s="224"/>
      <c r="CV2013" s="224"/>
      <c r="CW2013" s="224"/>
      <c r="CX2013" s="224"/>
      <c r="CY2013" s="224"/>
      <c r="CZ2013" s="224"/>
      <c r="DA2013" s="224"/>
      <c r="DB2013" s="224"/>
      <c r="DC2013" s="224"/>
      <c r="DD2013" s="224"/>
      <c r="DE2013" s="224"/>
      <c r="DF2013" s="224"/>
      <c r="DG2013" s="224"/>
      <c r="DH2013" s="224"/>
      <c r="DI2013" s="224"/>
      <c r="DJ2013" s="224"/>
      <c r="DK2013" s="224"/>
      <c r="DL2013" s="224"/>
      <c r="DM2013" s="224"/>
      <c r="DN2013" s="224"/>
      <c r="DO2013" s="224"/>
      <c r="DP2013" s="224"/>
      <c r="DQ2013" s="224"/>
      <c r="DR2013" s="224"/>
      <c r="DS2013" s="224"/>
      <c r="DT2013" s="1761"/>
    </row>
    <row r="2014" spans="1:124" s="548" customFormat="1" ht="12.75" customHeight="1" x14ac:dyDescent="0.15">
      <c r="A2014"/>
      <c r="B2014" s="164"/>
      <c r="C2014" s="164"/>
      <c r="D2014" s="164"/>
      <c r="E2014" s="164"/>
      <c r="F2014" s="164"/>
      <c r="G2014" s="799"/>
      <c r="H2014" s="1355"/>
      <c r="I2014" s="164"/>
      <c r="J2014" s="164"/>
      <c r="K2014" s="164"/>
      <c r="L2014" s="799"/>
      <c r="M2014" s="799"/>
      <c r="N2014" s="799"/>
      <c r="O2014" s="175"/>
      <c r="P2014" s="1240"/>
      <c r="Q2014" s="876"/>
      <c r="R2014" s="876"/>
      <c r="S2014" s="876"/>
      <c r="T2014" s="876"/>
      <c r="U2014" s="876"/>
      <c r="V2014" s="876"/>
      <c r="W2014" s="876"/>
      <c r="X2014" s="876"/>
      <c r="Y2014" s="876"/>
      <c r="Z2014" s="876"/>
      <c r="AA2014" s="164"/>
      <c r="AB2014" s="1515"/>
      <c r="AC2014" s="876"/>
      <c r="AD2014" s="1762"/>
      <c r="AE2014" s="1763"/>
      <c r="AF2014" s="1763"/>
      <c r="AG2014" s="1763"/>
      <c r="AH2014" s="1763"/>
      <c r="AI2014" s="1763"/>
      <c r="AJ2014" s="1763"/>
      <c r="AK2014" s="1763"/>
      <c r="AL2014" s="1762"/>
      <c r="AM2014" s="1764"/>
      <c r="AN2014" s="1764"/>
      <c r="AO2014" s="1764"/>
      <c r="AP2014" s="1764"/>
      <c r="AQ2014" s="1764"/>
      <c r="AR2014" s="1764"/>
      <c r="AS2014" s="1763"/>
      <c r="AT2014" s="1763"/>
      <c r="AU2014" s="1763"/>
      <c r="AV2014" s="1763"/>
      <c r="AW2014" s="1763"/>
      <c r="AX2014" s="1763"/>
      <c r="AY2014" s="1763"/>
      <c r="AZ2014" s="1763"/>
      <c r="BA2014" s="1763"/>
      <c r="BB2014" s="1763"/>
      <c r="BC2014" s="1763"/>
      <c r="BD2014" s="1763"/>
      <c r="BE2014" s="1763"/>
      <c r="BF2014" s="1763"/>
      <c r="BG2014" s="1763"/>
      <c r="BH2014" s="1763"/>
      <c r="BI2014" s="1763"/>
      <c r="BJ2014" s="1763"/>
      <c r="BK2014" s="1763"/>
      <c r="BL2014" s="1763"/>
      <c r="BM2014" s="1763"/>
      <c r="BN2014" s="1763"/>
      <c r="BO2014" s="1763"/>
      <c r="BP2014" s="1763"/>
      <c r="BQ2014" s="1763"/>
      <c r="BR2014" s="1763"/>
      <c r="BS2014" s="1763"/>
      <c r="BT2014" s="1767"/>
      <c r="BU2014" s="224"/>
      <c r="BV2014" s="65"/>
      <c r="BW2014" s="876"/>
      <c r="BX2014" s="224"/>
      <c r="BY2014" s="224"/>
      <c r="BZ2014" s="224"/>
      <c r="CA2014" s="224"/>
      <c r="CB2014" s="224"/>
      <c r="CC2014" s="224"/>
      <c r="CD2014" s="224"/>
      <c r="CE2014" s="224"/>
      <c r="CF2014" s="224"/>
      <c r="CG2014" s="224"/>
      <c r="CH2014" s="224"/>
      <c r="CI2014" s="224"/>
      <c r="CJ2014" s="224"/>
      <c r="CK2014" s="224"/>
      <c r="CL2014" s="224"/>
      <c r="CM2014" s="224"/>
      <c r="CN2014" s="224"/>
      <c r="CO2014" s="224"/>
      <c r="CP2014" s="224"/>
      <c r="CQ2014" s="224"/>
      <c r="CR2014" s="224"/>
      <c r="CS2014" s="224"/>
      <c r="CT2014" s="224"/>
      <c r="CU2014" s="224"/>
      <c r="CV2014" s="224"/>
      <c r="CW2014" s="224"/>
      <c r="CX2014" s="224"/>
      <c r="CY2014" s="224"/>
      <c r="CZ2014" s="224"/>
      <c r="DA2014" s="224"/>
      <c r="DB2014" s="224"/>
      <c r="DC2014" s="224"/>
      <c r="DD2014" s="224"/>
      <c r="DE2014" s="224"/>
      <c r="DF2014" s="224"/>
      <c r="DG2014" s="224"/>
      <c r="DH2014" s="224"/>
      <c r="DI2014" s="224"/>
      <c r="DJ2014" s="224"/>
      <c r="DK2014" s="224"/>
      <c r="DL2014" s="224"/>
      <c r="DM2014" s="224"/>
      <c r="DN2014" s="224"/>
      <c r="DO2014" s="224"/>
      <c r="DP2014" s="224"/>
      <c r="DQ2014" s="224"/>
      <c r="DR2014" s="224"/>
      <c r="DS2014" s="224"/>
      <c r="DT2014" s="1761"/>
    </row>
    <row r="2015" spans="1:124" s="548" customFormat="1" ht="12.75" customHeight="1" x14ac:dyDescent="0.15">
      <c r="A2015"/>
      <c r="B2015" s="164"/>
      <c r="C2015" s="164"/>
      <c r="D2015" s="164"/>
      <c r="E2015" s="164"/>
      <c r="F2015" s="164"/>
      <c r="G2015" s="799"/>
      <c r="H2015" s="1355"/>
      <c r="I2015" s="164"/>
      <c r="J2015" s="164"/>
      <c r="K2015" s="164"/>
      <c r="L2015" s="799"/>
      <c r="M2015" s="799"/>
      <c r="N2015" s="799"/>
      <c r="O2015" s="175"/>
      <c r="P2015" s="1240">
        <f ca="1">SUBTOTAL(9,P13:P1975)</f>
        <v>58106.125000000051</v>
      </c>
      <c r="Q2015" s="876"/>
      <c r="R2015" s="876"/>
      <c r="S2015" s="876"/>
      <c r="T2015" s="876"/>
      <c r="U2015" s="876"/>
      <c r="V2015" s="876"/>
      <c r="W2015" s="876"/>
      <c r="X2015" s="876"/>
      <c r="Y2015" s="876"/>
      <c r="Z2015" s="876"/>
      <c r="AA2015" s="164"/>
      <c r="AB2015" s="1515"/>
      <c r="AC2015" s="876"/>
      <c r="AD2015" s="1762"/>
      <c r="AE2015" s="1763"/>
      <c r="AF2015" s="1763"/>
      <c r="AG2015" s="1763"/>
      <c r="AH2015" s="1763"/>
      <c r="AI2015" s="1763"/>
      <c r="AJ2015" s="1763"/>
      <c r="AK2015" s="1763"/>
      <c r="AL2015" s="1762"/>
      <c r="AM2015" s="1764"/>
      <c r="AN2015" s="1764"/>
      <c r="AO2015" s="1764"/>
      <c r="AP2015" s="1764"/>
      <c r="AQ2015" s="1764"/>
      <c r="AR2015" s="1764"/>
      <c r="AS2015" s="1763"/>
      <c r="AT2015" s="1763"/>
      <c r="AU2015" s="1763"/>
      <c r="AV2015" s="1763"/>
      <c r="AW2015" s="1763"/>
      <c r="AX2015" s="1763"/>
      <c r="AY2015" s="1763"/>
      <c r="AZ2015" s="1763"/>
      <c r="BA2015" s="1763"/>
      <c r="BB2015" s="1763"/>
      <c r="BC2015" s="1763"/>
      <c r="BD2015" s="1763"/>
      <c r="BE2015" s="1763"/>
      <c r="BF2015" s="1763"/>
      <c r="BG2015" s="1763"/>
      <c r="BH2015" s="1763"/>
      <c r="BI2015" s="1763"/>
      <c r="BJ2015" s="1763"/>
      <c r="BK2015" s="1763"/>
      <c r="BL2015" s="1763"/>
      <c r="BM2015" s="1763"/>
      <c r="BN2015" s="1763"/>
      <c r="BO2015" s="1763"/>
      <c r="BP2015" s="1763"/>
      <c r="BQ2015" s="1763"/>
      <c r="BR2015" s="1763"/>
      <c r="BS2015" s="1763"/>
      <c r="BT2015" s="1767"/>
      <c r="BU2015" s="224"/>
      <c r="BV2015" s="65"/>
      <c r="BW2015" s="876"/>
      <c r="BX2015" s="224"/>
      <c r="BY2015" s="224"/>
      <c r="BZ2015" s="224"/>
      <c r="CA2015" s="224"/>
      <c r="CB2015" s="224"/>
      <c r="CC2015" s="224"/>
      <c r="CD2015" s="224"/>
      <c r="CE2015" s="224"/>
      <c r="CF2015" s="224"/>
      <c r="CG2015" s="224"/>
      <c r="CH2015" s="224"/>
      <c r="CI2015" s="224"/>
      <c r="CJ2015" s="224"/>
      <c r="CK2015" s="224"/>
      <c r="CL2015" s="224"/>
      <c r="CM2015" s="224"/>
      <c r="CN2015" s="224"/>
      <c r="CO2015" s="224"/>
      <c r="CP2015" s="224"/>
      <c r="CQ2015" s="224"/>
      <c r="CR2015" s="224"/>
      <c r="CS2015" s="224"/>
      <c r="CT2015" s="224"/>
      <c r="CU2015" s="224"/>
      <c r="CV2015" s="224"/>
      <c r="CW2015" s="224"/>
      <c r="CX2015" s="224"/>
      <c r="CY2015" s="224"/>
      <c r="CZ2015" s="224"/>
      <c r="DA2015" s="224"/>
      <c r="DB2015" s="224"/>
      <c r="DC2015" s="224"/>
      <c r="DD2015" s="224"/>
      <c r="DE2015" s="224"/>
      <c r="DF2015" s="224"/>
      <c r="DG2015" s="224"/>
      <c r="DH2015" s="224"/>
      <c r="DI2015" s="224"/>
      <c r="DJ2015" s="224"/>
      <c r="DK2015" s="224"/>
      <c r="DL2015" s="224"/>
      <c r="DM2015" s="224"/>
      <c r="DN2015" s="224"/>
      <c r="DO2015" s="224"/>
      <c r="DP2015" s="224"/>
      <c r="DQ2015" s="224"/>
      <c r="DR2015" s="224"/>
      <c r="DS2015" s="224"/>
      <c r="DT2015" s="1761"/>
    </row>
    <row r="2016" spans="1:124" s="548" customFormat="1" ht="12.75" customHeight="1" x14ac:dyDescent="0.15">
      <c r="A2016"/>
      <c r="B2016" s="164"/>
      <c r="C2016" s="164">
        <v>1111</v>
      </c>
      <c r="D2016" s="164"/>
      <c r="E2016" s="164"/>
      <c r="F2016" s="164"/>
      <c r="G2016" s="799"/>
      <c r="H2016" s="1355"/>
      <c r="I2016" s="164"/>
      <c r="J2016" s="164"/>
      <c r="K2016" s="164"/>
      <c r="L2016" s="799" t="s">
        <v>2082</v>
      </c>
      <c r="M2016" s="1240">
        <f>SUBTOTAL(9,M13:M1975)</f>
        <v>3902.9599999999991</v>
      </c>
      <c r="N2016" s="799"/>
      <c r="O2016" s="175"/>
      <c r="P2016" s="1240">
        <f ca="1">SUBTOTAL(2,P13:P1975)</f>
        <v>1091</v>
      </c>
      <c r="Q2016" s="1055"/>
      <c r="R2016" s="1055"/>
      <c r="S2016" s="1055"/>
      <c r="T2016" s="1055"/>
      <c r="U2016" s="1055"/>
      <c r="V2016" s="1055"/>
      <c r="W2016" s="1055"/>
      <c r="X2016" s="1055"/>
      <c r="Y2016" s="1055"/>
      <c r="Z2016" s="1055"/>
      <c r="AA2016" s="164"/>
      <c r="AB2016" s="1515"/>
      <c r="AC2016" s="1055"/>
      <c r="AD2016" s="1762"/>
      <c r="AE2016" s="1763"/>
      <c r="AF2016" s="1763"/>
      <c r="AG2016" s="1763"/>
      <c r="AH2016" s="1763"/>
      <c r="AI2016" s="1763"/>
      <c r="AJ2016" s="1763"/>
      <c r="AK2016" s="1763"/>
      <c r="AL2016" s="1762"/>
      <c r="AM2016" s="1764"/>
      <c r="AN2016" s="1764"/>
      <c r="AO2016" s="1764"/>
      <c r="AP2016" s="1764"/>
      <c r="AQ2016" s="1764"/>
      <c r="AR2016" s="1764"/>
      <c r="AS2016" s="1763"/>
      <c r="AT2016" s="1763"/>
      <c r="AU2016" s="1763"/>
      <c r="AV2016" s="1763"/>
      <c r="AW2016" s="1763"/>
      <c r="AX2016" s="1763"/>
      <c r="AY2016" s="1763"/>
      <c r="AZ2016" s="1763"/>
      <c r="BA2016" s="1763"/>
      <c r="BB2016" s="1763"/>
      <c r="BC2016" s="1763"/>
      <c r="BD2016" s="1763"/>
      <c r="BE2016" s="1763"/>
      <c r="BF2016" s="1763"/>
      <c r="BG2016" s="1763"/>
      <c r="BH2016" s="1763"/>
      <c r="BI2016" s="1763"/>
      <c r="BJ2016" s="1763"/>
      <c r="BK2016" s="1763"/>
      <c r="BL2016" s="1763"/>
      <c r="BM2016" s="1763"/>
      <c r="BN2016" s="1763"/>
      <c r="BO2016" s="1763"/>
      <c r="BP2016" s="1763"/>
      <c r="BQ2016" s="1763"/>
      <c r="BR2016" s="1763"/>
      <c r="BS2016" s="1763"/>
      <c r="BT2016" s="1767"/>
      <c r="BU2016" s="224"/>
      <c r="BV2016" s="65"/>
      <c r="BW2016" s="876"/>
      <c r="BX2016" s="224"/>
      <c r="BY2016" s="224"/>
      <c r="BZ2016" s="224"/>
      <c r="CA2016" s="224"/>
      <c r="CB2016" s="224"/>
      <c r="CC2016" s="224"/>
      <c r="CD2016" s="224"/>
      <c r="CE2016" s="224"/>
      <c r="CF2016" s="224"/>
      <c r="CG2016" s="224"/>
      <c r="CH2016" s="224"/>
      <c r="CI2016" s="224"/>
      <c r="CJ2016" s="224"/>
      <c r="CK2016" s="224"/>
      <c r="CL2016" s="224"/>
      <c r="CM2016" s="224"/>
      <c r="CN2016" s="224"/>
      <c r="CO2016" s="224"/>
      <c r="CP2016" s="224"/>
      <c r="CQ2016" s="224"/>
      <c r="CR2016" s="224"/>
      <c r="CS2016" s="224"/>
      <c r="CT2016" s="224"/>
      <c r="CU2016" s="224"/>
      <c r="CV2016" s="224"/>
      <c r="CW2016" s="224"/>
      <c r="CX2016" s="224"/>
      <c r="CY2016" s="224"/>
      <c r="CZ2016" s="224"/>
      <c r="DA2016" s="224"/>
      <c r="DB2016" s="224"/>
      <c r="DC2016" s="224"/>
      <c r="DD2016" s="224"/>
      <c r="DE2016" s="224"/>
      <c r="DF2016" s="224"/>
      <c r="DG2016" s="224"/>
      <c r="DH2016" s="224"/>
      <c r="DI2016" s="224"/>
      <c r="DJ2016" s="224"/>
      <c r="DK2016" s="224"/>
      <c r="DL2016" s="224"/>
      <c r="DM2016" s="224"/>
      <c r="DN2016" s="224"/>
      <c r="DO2016" s="224"/>
      <c r="DP2016" s="224"/>
      <c r="DQ2016" s="224"/>
      <c r="DR2016" s="224"/>
      <c r="DS2016" s="224"/>
      <c r="DT2016" s="1761"/>
    </row>
    <row r="2017" spans="1:124" s="548" customFormat="1" ht="12.75" customHeight="1" x14ac:dyDescent="0.15">
      <c r="A2017"/>
      <c r="B2017" s="164"/>
      <c r="C2017" s="164"/>
      <c r="D2017" s="164"/>
      <c r="E2017" s="164"/>
      <c r="F2017" s="164"/>
      <c r="G2017" s="799" t="s">
        <v>1957</v>
      </c>
      <c r="H2017" s="1355"/>
      <c r="I2017" s="164"/>
      <c r="J2017" s="164"/>
      <c r="K2017" s="164"/>
      <c r="L2017" s="799"/>
      <c r="M2017" s="799"/>
      <c r="N2017" s="799"/>
      <c r="O2017" s="175"/>
      <c r="P2017" s="1215">
        <f ca="1">P2015/P2016</f>
        <v>53.259509624198031</v>
      </c>
      <c r="Q2017" s="876"/>
      <c r="R2017" s="876"/>
      <c r="S2017" s="876"/>
      <c r="T2017" s="876"/>
      <c r="U2017" s="876"/>
      <c r="V2017" s="876"/>
      <c r="W2017" s="876"/>
      <c r="X2017" s="876"/>
      <c r="Y2017" s="876"/>
      <c r="Z2017" s="876"/>
      <c r="AA2017" s="164"/>
      <c r="AB2017" s="1515"/>
      <c r="AC2017" s="876"/>
      <c r="AD2017" s="1762"/>
      <c r="AE2017" s="1763"/>
      <c r="AF2017" s="1763"/>
      <c r="AG2017" s="1763"/>
      <c r="AH2017" s="1763"/>
      <c r="AI2017" s="1763"/>
      <c r="AJ2017" s="1763"/>
      <c r="AK2017" s="1763"/>
      <c r="AL2017" s="1762"/>
      <c r="AM2017" s="1764"/>
      <c r="AN2017" s="1764"/>
      <c r="AO2017" s="1764"/>
      <c r="AP2017" s="1764"/>
      <c r="AQ2017" s="1764"/>
      <c r="AR2017" s="1764"/>
      <c r="AS2017" s="1763"/>
      <c r="AT2017" s="1763"/>
      <c r="AU2017" s="1763"/>
      <c r="AV2017" s="1763"/>
      <c r="AW2017" s="1763"/>
      <c r="AX2017" s="1763"/>
      <c r="AY2017" s="1763"/>
      <c r="AZ2017" s="1763"/>
      <c r="BA2017" s="1763"/>
      <c r="BB2017" s="1763"/>
      <c r="BC2017" s="1763"/>
      <c r="BD2017" s="1763"/>
      <c r="BE2017" s="1763"/>
      <c r="BF2017" s="1763"/>
      <c r="BG2017" s="1763"/>
      <c r="BH2017" s="1763"/>
      <c r="BI2017" s="1763"/>
      <c r="BJ2017" s="1763"/>
      <c r="BK2017" s="1763"/>
      <c r="BL2017" s="1763"/>
      <c r="BM2017" s="1763"/>
      <c r="BN2017" s="1763"/>
      <c r="BO2017" s="1763"/>
      <c r="BP2017" s="1763"/>
      <c r="BQ2017" s="1763"/>
      <c r="BR2017" s="1763"/>
      <c r="BS2017" s="1763"/>
      <c r="BT2017" s="1767"/>
      <c r="BU2017" s="224"/>
      <c r="BV2017" s="65"/>
      <c r="BW2017" s="876"/>
      <c r="BX2017" s="224"/>
      <c r="BY2017" s="224"/>
      <c r="BZ2017" s="224"/>
      <c r="CA2017" s="224"/>
      <c r="CB2017" s="224"/>
      <c r="CC2017" s="224"/>
      <c r="CD2017" s="224"/>
      <c r="CE2017" s="224"/>
      <c r="CF2017" s="224"/>
      <c r="CG2017" s="224"/>
      <c r="CH2017" s="224"/>
      <c r="CI2017" s="224"/>
      <c r="CJ2017" s="224"/>
      <c r="CK2017" s="224"/>
      <c r="CL2017" s="224"/>
      <c r="CM2017" s="224"/>
      <c r="CN2017" s="224"/>
      <c r="CO2017" s="224"/>
      <c r="CP2017" s="224"/>
      <c r="CQ2017" s="224"/>
      <c r="CR2017" s="224"/>
      <c r="CS2017" s="224"/>
      <c r="CT2017" s="224"/>
      <c r="CU2017" s="224"/>
      <c r="CV2017" s="224"/>
      <c r="CW2017" s="224"/>
      <c r="CX2017" s="224"/>
      <c r="CY2017" s="224"/>
      <c r="CZ2017" s="224"/>
      <c r="DA2017" s="224"/>
      <c r="DB2017" s="224"/>
      <c r="DC2017" s="224"/>
      <c r="DD2017" s="224"/>
      <c r="DE2017" s="224"/>
      <c r="DF2017" s="224"/>
      <c r="DG2017" s="224"/>
      <c r="DH2017" s="224"/>
      <c r="DI2017" s="224"/>
      <c r="DJ2017" s="224"/>
      <c r="DK2017" s="224"/>
      <c r="DL2017" s="224"/>
      <c r="DM2017" s="224"/>
      <c r="DN2017" s="224"/>
      <c r="DO2017" s="224"/>
      <c r="DP2017" s="224"/>
      <c r="DQ2017" s="224"/>
      <c r="DR2017" s="224"/>
      <c r="DS2017" s="224"/>
      <c r="DT2017" s="1761"/>
    </row>
    <row r="2018" spans="1:124" s="548" customFormat="1" ht="12.75" customHeight="1" x14ac:dyDescent="0.15">
      <c r="A2018"/>
      <c r="B2018" s="164"/>
      <c r="C2018" s="164"/>
      <c r="D2018" s="164"/>
      <c r="E2018" s="164"/>
      <c r="F2018" s="164"/>
      <c r="G2018" s="799"/>
      <c r="H2018" s="1355"/>
      <c r="I2018" s="164"/>
      <c r="J2018" s="164"/>
      <c r="K2018" s="164"/>
      <c r="L2018" s="799"/>
      <c r="M2018" s="799"/>
      <c r="N2018" s="799"/>
      <c r="O2018" s="175"/>
      <c r="P2018" s="1240"/>
      <c r="Q2018" s="876"/>
      <c r="R2018" s="876"/>
      <c r="S2018" s="876"/>
      <c r="T2018" s="876"/>
      <c r="U2018" s="876"/>
      <c r="V2018" s="876"/>
      <c r="W2018" s="876"/>
      <c r="X2018" s="876"/>
      <c r="Y2018" s="876"/>
      <c r="Z2018" s="876"/>
      <c r="AA2018" s="164"/>
      <c r="AB2018" s="1515"/>
      <c r="AC2018" s="876"/>
      <c r="AD2018" s="1762"/>
      <c r="AE2018" s="1763"/>
      <c r="AF2018" s="1763"/>
      <c r="AG2018" s="1763"/>
      <c r="AH2018" s="1763"/>
      <c r="AI2018" s="1763"/>
      <c r="AJ2018" s="1763"/>
      <c r="AK2018" s="1763"/>
      <c r="AL2018" s="1762"/>
      <c r="AM2018" s="1764"/>
      <c r="AN2018" s="1764"/>
      <c r="AO2018" s="1764"/>
      <c r="AP2018" s="1764"/>
      <c r="AQ2018" s="1764"/>
      <c r="AR2018" s="1764"/>
      <c r="AS2018" s="1763"/>
      <c r="AT2018" s="1763"/>
      <c r="AU2018" s="1763"/>
      <c r="AV2018" s="1763"/>
      <c r="AW2018" s="1763"/>
      <c r="AX2018" s="1763"/>
      <c r="AY2018" s="1763"/>
      <c r="AZ2018" s="1763"/>
      <c r="BA2018" s="1763"/>
      <c r="BB2018" s="1763"/>
      <c r="BC2018" s="1763"/>
      <c r="BD2018" s="1763"/>
      <c r="BE2018" s="1763"/>
      <c r="BF2018" s="1763"/>
      <c r="BG2018" s="1763"/>
      <c r="BH2018" s="1763"/>
      <c r="BI2018" s="1763"/>
      <c r="BJ2018" s="1763"/>
      <c r="BK2018" s="1763"/>
      <c r="BL2018" s="1763"/>
      <c r="BM2018" s="1763"/>
      <c r="BN2018" s="1763"/>
      <c r="BO2018" s="1763"/>
      <c r="BP2018" s="1763"/>
      <c r="BQ2018" s="1763"/>
      <c r="BR2018" s="1763"/>
      <c r="BS2018" s="1763"/>
      <c r="BT2018" s="1767"/>
      <c r="BU2018" s="224"/>
      <c r="BV2018" s="65"/>
      <c r="BW2018" s="876"/>
      <c r="BX2018" s="224"/>
      <c r="BY2018" s="224"/>
      <c r="BZ2018" s="224"/>
      <c r="CA2018" s="224"/>
      <c r="CB2018" s="224"/>
      <c r="CC2018" s="224"/>
      <c r="CD2018" s="224"/>
      <c r="CE2018" s="224"/>
      <c r="CF2018" s="224"/>
      <c r="CG2018" s="224"/>
      <c r="CH2018" s="224"/>
      <c r="CI2018" s="224"/>
      <c r="CJ2018" s="224"/>
      <c r="CK2018" s="224"/>
      <c r="CL2018" s="224"/>
      <c r="CM2018" s="224"/>
      <c r="CN2018" s="224"/>
      <c r="CO2018" s="224"/>
      <c r="CP2018" s="224"/>
      <c r="CQ2018" s="224"/>
      <c r="CR2018" s="224"/>
      <c r="CS2018" s="224"/>
      <c r="CT2018" s="224"/>
      <c r="CU2018" s="224"/>
      <c r="CV2018" s="224"/>
      <c r="CW2018" s="224"/>
      <c r="CX2018" s="224"/>
      <c r="CY2018" s="224"/>
      <c r="CZ2018" s="224"/>
      <c r="DA2018" s="224"/>
      <c r="DB2018" s="224"/>
      <c r="DC2018" s="224"/>
      <c r="DD2018" s="224"/>
      <c r="DE2018" s="224"/>
      <c r="DF2018" s="224"/>
      <c r="DG2018" s="224"/>
      <c r="DH2018" s="224"/>
      <c r="DI2018" s="224"/>
      <c r="DJ2018" s="224"/>
      <c r="DK2018" s="224"/>
      <c r="DL2018" s="224"/>
      <c r="DM2018" s="224"/>
      <c r="DN2018" s="224"/>
      <c r="DO2018" s="224"/>
      <c r="DP2018" s="224"/>
      <c r="DQ2018" s="224"/>
      <c r="DR2018" s="224"/>
      <c r="DS2018" s="224"/>
      <c r="DT2018" s="1761"/>
    </row>
    <row r="2019" spans="1:124" s="548" customFormat="1" ht="12.75" customHeight="1" x14ac:dyDescent="0.15">
      <c r="A2019"/>
      <c r="B2019" s="164"/>
      <c r="C2019" s="164"/>
      <c r="D2019" s="164"/>
      <c r="E2019" s="164"/>
      <c r="F2019" s="164"/>
      <c r="G2019" s="799"/>
      <c r="H2019" s="1355"/>
      <c r="I2019" s="164"/>
      <c r="J2019" s="164"/>
      <c r="K2019" s="164"/>
      <c r="L2019" s="799"/>
      <c r="M2019" s="799"/>
      <c r="N2019" s="799"/>
      <c r="O2019" s="175"/>
      <c r="P2019" s="1240"/>
      <c r="Q2019" s="876"/>
      <c r="R2019" s="876"/>
      <c r="S2019" s="876"/>
      <c r="T2019" s="876"/>
      <c r="U2019" s="876"/>
      <c r="V2019" s="876"/>
      <c r="W2019" s="876"/>
      <c r="X2019" s="876"/>
      <c r="Y2019" s="876"/>
      <c r="Z2019" s="876"/>
      <c r="AA2019" s="164"/>
      <c r="AB2019" s="1515"/>
      <c r="AC2019" s="876"/>
      <c r="AD2019" s="1762"/>
      <c r="AE2019" s="1763"/>
      <c r="AF2019" s="1763"/>
      <c r="AG2019" s="1763"/>
      <c r="AH2019" s="1763"/>
      <c r="AI2019" s="1763"/>
      <c r="AJ2019" s="1763"/>
      <c r="AK2019" s="1763"/>
      <c r="AL2019" s="1762"/>
      <c r="AM2019" s="1764"/>
      <c r="AN2019" s="1764"/>
      <c r="AO2019" s="1764"/>
      <c r="AP2019" s="1764"/>
      <c r="AQ2019" s="1764"/>
      <c r="AR2019" s="1764"/>
      <c r="AS2019" s="1763"/>
      <c r="AT2019" s="1763"/>
      <c r="AU2019" s="1763"/>
      <c r="AV2019" s="1763"/>
      <c r="AW2019" s="1763"/>
      <c r="AX2019" s="1763"/>
      <c r="AY2019" s="1763"/>
      <c r="AZ2019" s="1763"/>
      <c r="BA2019" s="1763"/>
      <c r="BB2019" s="1763"/>
      <c r="BC2019" s="1763"/>
      <c r="BD2019" s="1763"/>
      <c r="BE2019" s="1763"/>
      <c r="BF2019" s="1763"/>
      <c r="BG2019" s="1763"/>
      <c r="BH2019" s="1763"/>
      <c r="BI2019" s="1763"/>
      <c r="BJ2019" s="1763"/>
      <c r="BK2019" s="1763"/>
      <c r="BL2019" s="1763"/>
      <c r="BM2019" s="1763"/>
      <c r="BN2019" s="1763"/>
      <c r="BO2019" s="1763"/>
      <c r="BP2019" s="1763"/>
      <c r="BQ2019" s="1763"/>
      <c r="BR2019" s="1763"/>
      <c r="BS2019" s="1763"/>
      <c r="BT2019" s="1767"/>
      <c r="BU2019" s="224"/>
      <c r="BV2019" s="65"/>
      <c r="BW2019" s="876"/>
      <c r="BX2019" s="224"/>
      <c r="BY2019" s="224"/>
      <c r="BZ2019" s="224"/>
      <c r="CA2019" s="224"/>
      <c r="CB2019" s="224"/>
      <c r="CC2019" s="224"/>
      <c r="CD2019" s="224"/>
      <c r="CE2019" s="224"/>
      <c r="CF2019" s="224"/>
      <c r="CG2019" s="224"/>
      <c r="CH2019" s="224"/>
      <c r="CI2019" s="224"/>
      <c r="CJ2019" s="224"/>
      <c r="CK2019" s="224"/>
      <c r="CL2019" s="224"/>
      <c r="CM2019" s="224"/>
      <c r="CN2019" s="224"/>
      <c r="CO2019" s="224"/>
      <c r="CP2019" s="224"/>
      <c r="CQ2019" s="224"/>
      <c r="CR2019" s="224"/>
      <c r="CS2019" s="224"/>
      <c r="CT2019" s="224"/>
      <c r="CU2019" s="224"/>
      <c r="CV2019" s="224"/>
      <c r="CW2019" s="224"/>
      <c r="CX2019" s="224"/>
      <c r="CY2019" s="224"/>
      <c r="CZ2019" s="224"/>
      <c r="DA2019" s="224"/>
      <c r="DB2019" s="224"/>
      <c r="DC2019" s="224"/>
      <c r="DD2019" s="224"/>
      <c r="DE2019" s="224"/>
      <c r="DF2019" s="224"/>
      <c r="DG2019" s="224"/>
      <c r="DH2019" s="224"/>
      <c r="DI2019" s="224"/>
      <c r="DJ2019" s="224"/>
      <c r="DK2019" s="224"/>
      <c r="DL2019" s="224"/>
      <c r="DM2019" s="224"/>
      <c r="DN2019" s="224"/>
      <c r="DO2019" s="224"/>
      <c r="DP2019" s="224"/>
      <c r="DQ2019" s="224"/>
      <c r="DR2019" s="224"/>
      <c r="DS2019" s="224"/>
      <c r="DT2019" s="1761"/>
    </row>
    <row r="2020" spans="1:124" s="548" customFormat="1" ht="12.75" customHeight="1" x14ac:dyDescent="0.15">
      <c r="A2020"/>
      <c r="B2020" s="164"/>
      <c r="C2020" s="164"/>
      <c r="D2020" s="164"/>
      <c r="E2020" s="164"/>
      <c r="F2020" s="164"/>
      <c r="G2020" s="799"/>
      <c r="H2020" s="1355"/>
      <c r="I2020" s="164"/>
      <c r="J2020" s="164"/>
      <c r="K2020" s="164"/>
      <c r="L2020" s="799"/>
      <c r="M2020" s="799"/>
      <c r="N2020" s="799"/>
      <c r="O2020" s="175"/>
      <c r="P2020" s="1240"/>
      <c r="Q2020" s="876"/>
      <c r="R2020" s="876"/>
      <c r="S2020" s="876"/>
      <c r="T2020" s="876"/>
      <c r="U2020" s="876"/>
      <c r="V2020" s="876"/>
      <c r="W2020" s="876"/>
      <c r="X2020" s="876"/>
      <c r="Y2020" s="876"/>
      <c r="Z2020" s="876"/>
      <c r="AA2020" s="164"/>
      <c r="AB2020" s="1515"/>
      <c r="AC2020" s="876"/>
      <c r="AD2020" s="1762"/>
      <c r="AE2020" s="1763"/>
      <c r="AF2020" s="1763"/>
      <c r="AG2020" s="1763"/>
      <c r="AH2020" s="1763"/>
      <c r="AI2020" s="1763"/>
      <c r="AJ2020" s="1763"/>
      <c r="AK2020" s="1763"/>
      <c r="AL2020" s="1762"/>
      <c r="AM2020" s="1764"/>
      <c r="AN2020" s="1764"/>
      <c r="AO2020" s="1764"/>
      <c r="AP2020" s="1764"/>
      <c r="AQ2020" s="1764"/>
      <c r="AR2020" s="1764"/>
      <c r="AS2020" s="1763"/>
      <c r="AT2020" s="1763"/>
      <c r="AU2020" s="1763"/>
      <c r="AV2020" s="1763"/>
      <c r="AW2020" s="1763"/>
      <c r="AX2020" s="1763"/>
      <c r="AY2020" s="1763"/>
      <c r="AZ2020" s="1763"/>
      <c r="BA2020" s="1763"/>
      <c r="BB2020" s="1763"/>
      <c r="BC2020" s="1763"/>
      <c r="BD2020" s="1763"/>
      <c r="BE2020" s="1763"/>
      <c r="BF2020" s="1763"/>
      <c r="BG2020" s="1763"/>
      <c r="BH2020" s="1763"/>
      <c r="BI2020" s="1763"/>
      <c r="BJ2020" s="1763"/>
      <c r="BK2020" s="1763"/>
      <c r="BL2020" s="1763"/>
      <c r="BM2020" s="1763"/>
      <c r="BN2020" s="1763"/>
      <c r="BO2020" s="1763"/>
      <c r="BP2020" s="1763"/>
      <c r="BQ2020" s="1763"/>
      <c r="BR2020" s="1763"/>
      <c r="BS2020" s="1763"/>
      <c r="BT2020" s="1767"/>
      <c r="BU2020" s="224"/>
      <c r="BV2020" s="65"/>
      <c r="BW2020" s="876"/>
      <c r="BX2020" s="224"/>
      <c r="BY2020" s="224"/>
      <c r="BZ2020" s="224"/>
      <c r="CA2020" s="224"/>
      <c r="CB2020" s="224"/>
      <c r="CC2020" s="224"/>
      <c r="CD2020" s="224"/>
      <c r="CE2020" s="224"/>
      <c r="CF2020" s="224"/>
      <c r="CG2020" s="224"/>
      <c r="CH2020" s="224"/>
      <c r="CI2020" s="224"/>
      <c r="CJ2020" s="224"/>
      <c r="CK2020" s="224"/>
      <c r="CL2020" s="224"/>
      <c r="CM2020" s="224"/>
      <c r="CN2020" s="224"/>
      <c r="CO2020" s="224"/>
      <c r="CP2020" s="224"/>
      <c r="CQ2020" s="224"/>
      <c r="CR2020" s="224"/>
      <c r="CS2020" s="224"/>
      <c r="CT2020" s="224"/>
      <c r="CU2020" s="224"/>
      <c r="CV2020" s="224"/>
      <c r="CW2020" s="224"/>
      <c r="CX2020" s="224"/>
      <c r="CY2020" s="224"/>
      <c r="CZ2020" s="224"/>
      <c r="DA2020" s="224"/>
      <c r="DB2020" s="224"/>
      <c r="DC2020" s="224"/>
      <c r="DD2020" s="224"/>
      <c r="DE2020" s="224"/>
      <c r="DF2020" s="224"/>
      <c r="DG2020" s="224"/>
      <c r="DH2020" s="224"/>
      <c r="DI2020" s="224"/>
      <c r="DJ2020" s="224"/>
      <c r="DK2020" s="224"/>
      <c r="DL2020" s="224"/>
      <c r="DM2020" s="224"/>
      <c r="DN2020" s="224"/>
      <c r="DO2020" s="224"/>
      <c r="DP2020" s="224"/>
      <c r="DQ2020" s="224"/>
      <c r="DR2020" s="224"/>
      <c r="DS2020" s="224"/>
      <c r="DT2020" s="1761"/>
    </row>
    <row r="2021" spans="1:124" s="548" customFormat="1" ht="12.75" customHeight="1" x14ac:dyDescent="0.15">
      <c r="A2021"/>
      <c r="B2021" s="164"/>
      <c r="C2021" s="164"/>
      <c r="D2021" s="164"/>
      <c r="E2021" s="164"/>
      <c r="F2021" s="164"/>
      <c r="G2021" s="799"/>
      <c r="H2021" s="1355"/>
      <c r="I2021" s="164"/>
      <c r="J2021" s="164"/>
      <c r="K2021" s="164"/>
      <c r="L2021" s="799"/>
      <c r="M2021" s="799"/>
      <c r="N2021" s="799"/>
      <c r="O2021" s="175"/>
      <c r="P2021" s="1240"/>
      <c r="Q2021" s="876"/>
      <c r="R2021" s="876"/>
      <c r="S2021" s="876"/>
      <c r="T2021" s="876"/>
      <c r="U2021" s="876"/>
      <c r="V2021" s="876"/>
      <c r="W2021" s="876"/>
      <c r="X2021" s="876"/>
      <c r="Y2021" s="876"/>
      <c r="Z2021" s="876"/>
      <c r="AA2021" s="164"/>
      <c r="AB2021" s="1515"/>
      <c r="AC2021" s="876"/>
      <c r="AD2021" s="1762"/>
      <c r="AE2021" s="1763"/>
      <c r="AF2021" s="1763"/>
      <c r="AG2021" s="1763"/>
      <c r="AH2021" s="1763"/>
      <c r="AI2021" s="1763"/>
      <c r="AJ2021" s="1763"/>
      <c r="AK2021" s="1763"/>
      <c r="AL2021" s="1762"/>
      <c r="AM2021" s="1764"/>
      <c r="AN2021" s="1764"/>
      <c r="AO2021" s="1764"/>
      <c r="AP2021" s="1764"/>
      <c r="AQ2021" s="1764"/>
      <c r="AR2021" s="1764"/>
      <c r="AS2021" s="1763"/>
      <c r="AT2021" s="1763"/>
      <c r="AU2021" s="1763"/>
      <c r="AV2021" s="1763"/>
      <c r="AW2021" s="1763"/>
      <c r="AX2021" s="1763"/>
      <c r="AY2021" s="1763"/>
      <c r="AZ2021" s="1763"/>
      <c r="BA2021" s="1763"/>
      <c r="BB2021" s="1763"/>
      <c r="BC2021" s="1763"/>
      <c r="BD2021" s="1763"/>
      <c r="BE2021" s="1763"/>
      <c r="BF2021" s="1763"/>
      <c r="BG2021" s="1763"/>
      <c r="BH2021" s="1763"/>
      <c r="BI2021" s="1763"/>
      <c r="BJ2021" s="1763"/>
      <c r="BK2021" s="1763"/>
      <c r="BL2021" s="1763"/>
      <c r="BM2021" s="1763"/>
      <c r="BN2021" s="1763"/>
      <c r="BO2021" s="1763"/>
      <c r="BP2021" s="1763"/>
      <c r="BQ2021" s="1763"/>
      <c r="BR2021" s="1763"/>
      <c r="BS2021" s="1763"/>
      <c r="BT2021" s="1767"/>
      <c r="BU2021" s="224"/>
      <c r="BV2021" s="65"/>
      <c r="BW2021" s="876"/>
      <c r="BX2021" s="224"/>
      <c r="BY2021" s="224"/>
      <c r="BZ2021" s="224"/>
      <c r="CA2021" s="224"/>
      <c r="CB2021" s="224"/>
      <c r="CC2021" s="224"/>
      <c r="CD2021" s="224"/>
      <c r="CE2021" s="224"/>
      <c r="CF2021" s="224"/>
      <c r="CG2021" s="224"/>
      <c r="CH2021" s="224"/>
      <c r="CI2021" s="224"/>
      <c r="CJ2021" s="224"/>
      <c r="CK2021" s="224"/>
      <c r="CL2021" s="224"/>
      <c r="CM2021" s="224"/>
      <c r="CN2021" s="224"/>
      <c r="CO2021" s="224"/>
      <c r="CP2021" s="224"/>
      <c r="CQ2021" s="224"/>
      <c r="CR2021" s="224"/>
      <c r="CS2021" s="224"/>
      <c r="CT2021" s="224"/>
      <c r="CU2021" s="224"/>
      <c r="CV2021" s="224"/>
      <c r="CW2021" s="224"/>
      <c r="CX2021" s="224"/>
      <c r="CY2021" s="224"/>
      <c r="CZ2021" s="224"/>
      <c r="DA2021" s="224"/>
      <c r="DB2021" s="224"/>
      <c r="DC2021" s="224"/>
      <c r="DD2021" s="224"/>
      <c r="DE2021" s="224"/>
      <c r="DF2021" s="224"/>
      <c r="DG2021" s="224"/>
      <c r="DH2021" s="224"/>
      <c r="DI2021" s="224"/>
      <c r="DJ2021" s="224"/>
      <c r="DK2021" s="224"/>
      <c r="DL2021" s="224"/>
      <c r="DM2021" s="224"/>
      <c r="DN2021" s="224"/>
      <c r="DO2021" s="224"/>
      <c r="DP2021" s="224"/>
      <c r="DQ2021" s="224"/>
      <c r="DR2021" s="224"/>
      <c r="DS2021" s="224"/>
      <c r="DT2021" s="1761"/>
    </row>
    <row r="2022" spans="1:124" s="548" customFormat="1" ht="12.75" customHeight="1" x14ac:dyDescent="0.15">
      <c r="A2022"/>
      <c r="B2022" s="164"/>
      <c r="C2022" s="164"/>
      <c r="D2022" s="164"/>
      <c r="E2022" s="164"/>
      <c r="F2022" s="164"/>
      <c r="G2022" s="799"/>
      <c r="H2022" s="1355"/>
      <c r="I2022" s="164"/>
      <c r="J2022" s="164"/>
      <c r="K2022" s="164"/>
      <c r="L2022" s="799"/>
      <c r="M2022" s="799"/>
      <c r="N2022" s="799"/>
      <c r="O2022" s="175"/>
      <c r="P2022" s="1240"/>
      <c r="Q2022" s="876"/>
      <c r="R2022" s="876"/>
      <c r="S2022" s="876"/>
      <c r="T2022" s="876"/>
      <c r="U2022" s="876"/>
      <c r="V2022" s="876"/>
      <c r="W2022" s="876"/>
      <c r="X2022" s="876"/>
      <c r="Y2022" s="876"/>
      <c r="Z2022" s="876"/>
      <c r="AA2022" s="164"/>
      <c r="AB2022" s="1515"/>
      <c r="AC2022" s="876"/>
      <c r="AD2022" s="1762"/>
      <c r="AE2022" s="1763"/>
      <c r="AF2022" s="1763"/>
      <c r="AG2022" s="1763"/>
      <c r="AH2022" s="1763"/>
      <c r="AI2022" s="1763"/>
      <c r="AJ2022" s="1763"/>
      <c r="AK2022" s="1763"/>
      <c r="AL2022" s="1762"/>
      <c r="AM2022" s="1764"/>
      <c r="AN2022" s="1764"/>
      <c r="AO2022" s="1764"/>
      <c r="AP2022" s="1764"/>
      <c r="AQ2022" s="1764"/>
      <c r="AR2022" s="1764"/>
      <c r="AS2022" s="1763"/>
      <c r="AT2022" s="1763"/>
      <c r="AU2022" s="1763"/>
      <c r="AV2022" s="1763"/>
      <c r="AW2022" s="1763"/>
      <c r="AX2022" s="1763"/>
      <c r="AY2022" s="1763"/>
      <c r="AZ2022" s="1763"/>
      <c r="BA2022" s="1763"/>
      <c r="BB2022" s="1763"/>
      <c r="BC2022" s="1763"/>
      <c r="BD2022" s="1763"/>
      <c r="BE2022" s="1763"/>
      <c r="BF2022" s="1763"/>
      <c r="BG2022" s="1763"/>
      <c r="BH2022" s="1763"/>
      <c r="BI2022" s="1763"/>
      <c r="BJ2022" s="1763"/>
      <c r="BK2022" s="1763"/>
      <c r="BL2022" s="1763"/>
      <c r="BM2022" s="1763"/>
      <c r="BN2022" s="1763"/>
      <c r="BO2022" s="1763"/>
      <c r="BP2022" s="1763"/>
      <c r="BQ2022" s="1763"/>
      <c r="BR2022" s="1763"/>
      <c r="BS2022" s="1763"/>
      <c r="BT2022" s="1767"/>
      <c r="BU2022" s="224"/>
      <c r="BV2022" s="65"/>
      <c r="BW2022" s="876"/>
      <c r="BX2022" s="224"/>
      <c r="BY2022" s="224"/>
      <c r="BZ2022" s="224"/>
      <c r="CA2022" s="224"/>
      <c r="CB2022" s="224"/>
      <c r="CC2022" s="224"/>
      <c r="CD2022" s="224"/>
      <c r="CE2022" s="224"/>
      <c r="CF2022" s="224"/>
      <c r="CG2022" s="224"/>
      <c r="CH2022" s="224"/>
      <c r="CI2022" s="224"/>
      <c r="CJ2022" s="224"/>
      <c r="CK2022" s="224"/>
      <c r="CL2022" s="224"/>
      <c r="CM2022" s="224"/>
      <c r="CN2022" s="224"/>
      <c r="CO2022" s="224"/>
      <c r="CP2022" s="224"/>
      <c r="CQ2022" s="224"/>
      <c r="CR2022" s="224"/>
      <c r="CS2022" s="224"/>
      <c r="CT2022" s="224"/>
      <c r="CU2022" s="224"/>
      <c r="CV2022" s="224"/>
      <c r="CW2022" s="224"/>
      <c r="CX2022" s="224"/>
      <c r="CY2022" s="224"/>
      <c r="CZ2022" s="224"/>
      <c r="DA2022" s="224"/>
      <c r="DB2022" s="224"/>
      <c r="DC2022" s="224"/>
      <c r="DD2022" s="224"/>
      <c r="DE2022" s="224"/>
      <c r="DF2022" s="224"/>
      <c r="DG2022" s="224"/>
      <c r="DH2022" s="224"/>
      <c r="DI2022" s="224"/>
      <c r="DJ2022" s="224"/>
      <c r="DK2022" s="224"/>
      <c r="DL2022" s="224"/>
      <c r="DM2022" s="224"/>
      <c r="DN2022" s="224"/>
      <c r="DO2022" s="224"/>
      <c r="DP2022" s="224"/>
      <c r="DQ2022" s="224"/>
      <c r="DR2022" s="224"/>
      <c r="DS2022" s="224"/>
      <c r="DT2022" s="1761"/>
    </row>
    <row r="2023" spans="1:124" s="548" customFormat="1" ht="12.75" customHeight="1" x14ac:dyDescent="0.15">
      <c r="A2023"/>
      <c r="B2023" s="164"/>
      <c r="C2023" s="164"/>
      <c r="D2023" s="164"/>
      <c r="E2023" s="164"/>
      <c r="F2023" s="164"/>
      <c r="G2023" s="799"/>
      <c r="H2023" s="1355"/>
      <c r="I2023" s="164"/>
      <c r="J2023" s="164"/>
      <c r="K2023" s="164"/>
      <c r="L2023" s="799"/>
      <c r="M2023" s="799"/>
      <c r="N2023" s="799"/>
      <c r="O2023" s="175"/>
      <c r="P2023" s="1240"/>
      <c r="Q2023" s="876"/>
      <c r="R2023" s="876"/>
      <c r="S2023" s="876"/>
      <c r="T2023" s="876"/>
      <c r="U2023" s="876"/>
      <c r="V2023" s="876"/>
      <c r="W2023" s="876"/>
      <c r="X2023" s="876"/>
      <c r="Y2023" s="876"/>
      <c r="Z2023" s="876"/>
      <c r="AA2023" s="164"/>
      <c r="AB2023" s="1515"/>
      <c r="AC2023" s="876"/>
      <c r="AD2023" s="1762"/>
      <c r="AE2023" s="1763"/>
      <c r="AF2023" s="1763"/>
      <c r="AG2023" s="1763"/>
      <c r="AH2023" s="1763"/>
      <c r="AI2023" s="1763"/>
      <c r="AJ2023" s="1763"/>
      <c r="AK2023" s="1763"/>
      <c r="AL2023" s="1762"/>
      <c r="AM2023" s="1764"/>
      <c r="AN2023" s="1764"/>
      <c r="AO2023" s="1764"/>
      <c r="AP2023" s="1764"/>
      <c r="AQ2023" s="1764"/>
      <c r="AR2023" s="1764"/>
      <c r="AS2023" s="1763"/>
      <c r="AT2023" s="1763"/>
      <c r="AU2023" s="1763"/>
      <c r="AV2023" s="1763"/>
      <c r="AW2023" s="1763"/>
      <c r="AX2023" s="1763"/>
      <c r="AY2023" s="1763"/>
      <c r="AZ2023" s="1763"/>
      <c r="BA2023" s="1763"/>
      <c r="BB2023" s="1763"/>
      <c r="BC2023" s="1763"/>
      <c r="BD2023" s="1763"/>
      <c r="BE2023" s="1763"/>
      <c r="BF2023" s="1763"/>
      <c r="BG2023" s="1763"/>
      <c r="BH2023" s="1763"/>
      <c r="BI2023" s="1763"/>
      <c r="BJ2023" s="1763"/>
      <c r="BK2023" s="1763"/>
      <c r="BL2023" s="1763"/>
      <c r="BM2023" s="1763"/>
      <c r="BN2023" s="1763"/>
      <c r="BO2023" s="1763"/>
      <c r="BP2023" s="1763"/>
      <c r="BQ2023" s="1763"/>
      <c r="BR2023" s="1763"/>
      <c r="BS2023" s="1763"/>
      <c r="BT2023" s="1767"/>
      <c r="BU2023" s="224"/>
      <c r="BV2023" s="65"/>
      <c r="BW2023" s="876"/>
      <c r="BX2023" s="224"/>
      <c r="BY2023" s="224"/>
      <c r="BZ2023" s="224"/>
      <c r="CA2023" s="224"/>
      <c r="CB2023" s="224"/>
      <c r="CC2023" s="224"/>
      <c r="CD2023" s="224"/>
      <c r="CE2023" s="224"/>
      <c r="CF2023" s="224"/>
      <c r="CG2023" s="224"/>
      <c r="CH2023" s="224"/>
      <c r="CI2023" s="224"/>
      <c r="CJ2023" s="224"/>
      <c r="CK2023" s="224"/>
      <c r="CL2023" s="224"/>
      <c r="CM2023" s="224"/>
      <c r="CN2023" s="224"/>
      <c r="CO2023" s="224"/>
      <c r="CP2023" s="224"/>
      <c r="CQ2023" s="224"/>
      <c r="CR2023" s="224"/>
      <c r="CS2023" s="224"/>
      <c r="CT2023" s="224"/>
      <c r="CU2023" s="224"/>
      <c r="CV2023" s="224"/>
      <c r="CW2023" s="224"/>
      <c r="CX2023" s="224"/>
      <c r="CY2023" s="224"/>
      <c r="CZ2023" s="224"/>
      <c r="DA2023" s="224"/>
      <c r="DB2023" s="224"/>
      <c r="DC2023" s="224"/>
      <c r="DD2023" s="224"/>
      <c r="DE2023" s="224"/>
      <c r="DF2023" s="224"/>
      <c r="DG2023" s="224"/>
      <c r="DH2023" s="224"/>
      <c r="DI2023" s="224"/>
      <c r="DJ2023" s="224"/>
      <c r="DK2023" s="224"/>
      <c r="DL2023" s="224"/>
      <c r="DM2023" s="224"/>
      <c r="DN2023" s="224"/>
      <c r="DO2023" s="224"/>
      <c r="DP2023" s="224"/>
      <c r="DQ2023" s="224"/>
      <c r="DR2023" s="224"/>
      <c r="DS2023" s="224"/>
      <c r="DT2023" s="1761"/>
    </row>
    <row r="2024" spans="1:124" s="548" customFormat="1" ht="12.75" customHeight="1" x14ac:dyDescent="0.15">
      <c r="A2024"/>
      <c r="B2024" s="164"/>
      <c r="C2024" s="164"/>
      <c r="D2024" s="164"/>
      <c r="E2024" s="164"/>
      <c r="F2024" s="164"/>
      <c r="G2024" s="799"/>
      <c r="H2024" s="1355"/>
      <c r="I2024" s="164"/>
      <c r="J2024" s="164"/>
      <c r="K2024" s="164"/>
      <c r="L2024" s="799"/>
      <c r="M2024" s="799"/>
      <c r="N2024" s="799"/>
      <c r="O2024" s="175"/>
      <c r="P2024" s="1240"/>
      <c r="Q2024" s="876"/>
      <c r="R2024" s="876"/>
      <c r="S2024" s="876"/>
      <c r="T2024" s="876"/>
      <c r="U2024" s="876"/>
      <c r="V2024" s="876"/>
      <c r="W2024" s="876"/>
      <c r="X2024" s="876"/>
      <c r="Y2024" s="876"/>
      <c r="Z2024" s="876"/>
      <c r="AA2024" s="164"/>
      <c r="AB2024" s="1515"/>
      <c r="AC2024" s="876"/>
      <c r="AD2024" s="1762"/>
      <c r="AE2024" s="1763"/>
      <c r="AF2024" s="1763"/>
      <c r="AG2024" s="1763"/>
      <c r="AH2024" s="1763"/>
      <c r="AI2024" s="1763"/>
      <c r="AJ2024" s="1763"/>
      <c r="AK2024" s="1763"/>
      <c r="AL2024" s="1762"/>
      <c r="AM2024" s="1764"/>
      <c r="AN2024" s="1764"/>
      <c r="AO2024" s="1764"/>
      <c r="AP2024" s="1764"/>
      <c r="AQ2024" s="1764"/>
      <c r="AR2024" s="1764"/>
      <c r="AS2024" s="1763"/>
      <c r="AT2024" s="1763"/>
      <c r="AU2024" s="1763"/>
      <c r="AV2024" s="1763"/>
      <c r="AW2024" s="1763"/>
      <c r="AX2024" s="1763"/>
      <c r="AY2024" s="1763"/>
      <c r="AZ2024" s="1763"/>
      <c r="BA2024" s="1763"/>
      <c r="BB2024" s="1763"/>
      <c r="BC2024" s="1763"/>
      <c r="BD2024" s="1763"/>
      <c r="BE2024" s="1763"/>
      <c r="BF2024" s="1763"/>
      <c r="BG2024" s="1763"/>
      <c r="BH2024" s="1763"/>
      <c r="BI2024" s="1763"/>
      <c r="BJ2024" s="1763"/>
      <c r="BK2024" s="1763"/>
      <c r="BL2024" s="1763"/>
      <c r="BM2024" s="1763"/>
      <c r="BN2024" s="1763"/>
      <c r="BO2024" s="1763"/>
      <c r="BP2024" s="1763"/>
      <c r="BQ2024" s="1763"/>
      <c r="BR2024" s="1763"/>
      <c r="BS2024" s="1763"/>
      <c r="BT2024" s="1767"/>
      <c r="BU2024" s="224"/>
      <c r="BV2024" s="65"/>
      <c r="BW2024" s="876"/>
      <c r="BX2024" s="224"/>
      <c r="BY2024" s="224"/>
      <c r="BZ2024" s="224"/>
      <c r="CA2024" s="224"/>
      <c r="CB2024" s="224"/>
      <c r="CC2024" s="224"/>
      <c r="CD2024" s="224"/>
      <c r="CE2024" s="224"/>
      <c r="CF2024" s="224"/>
      <c r="CG2024" s="224"/>
      <c r="CH2024" s="224"/>
      <c r="CI2024" s="224"/>
      <c r="CJ2024" s="224"/>
      <c r="CK2024" s="224"/>
      <c r="CL2024" s="224"/>
      <c r="CM2024" s="224"/>
      <c r="CN2024" s="224"/>
      <c r="CO2024" s="224"/>
      <c r="CP2024" s="224"/>
      <c r="CQ2024" s="224"/>
      <c r="CR2024" s="224"/>
      <c r="CS2024" s="224"/>
      <c r="CT2024" s="224"/>
      <c r="CU2024" s="224"/>
      <c r="CV2024" s="224"/>
      <c r="CW2024" s="224"/>
      <c r="CX2024" s="224"/>
      <c r="CY2024" s="224"/>
      <c r="CZ2024" s="224"/>
      <c r="DA2024" s="224"/>
      <c r="DB2024" s="224"/>
      <c r="DC2024" s="224"/>
      <c r="DD2024" s="224"/>
      <c r="DE2024" s="224"/>
      <c r="DF2024" s="224"/>
      <c r="DG2024" s="224"/>
      <c r="DH2024" s="224"/>
      <c r="DI2024" s="224"/>
      <c r="DJ2024" s="224"/>
      <c r="DK2024" s="224"/>
      <c r="DL2024" s="224"/>
      <c r="DM2024" s="224"/>
      <c r="DN2024" s="224"/>
      <c r="DO2024" s="224"/>
      <c r="DP2024" s="224"/>
      <c r="DQ2024" s="224"/>
      <c r="DR2024" s="224"/>
      <c r="DS2024" s="224"/>
      <c r="DT2024" s="1761"/>
    </row>
    <row r="2025" spans="1:124" s="548" customFormat="1" ht="12.75" customHeight="1" x14ac:dyDescent="0.15">
      <c r="A2025"/>
      <c r="B2025" s="164"/>
      <c r="C2025" s="164"/>
      <c r="D2025" s="164"/>
      <c r="E2025" s="164"/>
      <c r="F2025" s="164"/>
      <c r="G2025" s="799"/>
      <c r="H2025" s="1355"/>
      <c r="I2025" s="164"/>
      <c r="J2025" s="164"/>
      <c r="K2025" s="164"/>
      <c r="L2025" s="799"/>
      <c r="M2025" s="799"/>
      <c r="N2025" s="799"/>
      <c r="O2025" s="175"/>
      <c r="P2025" s="1240"/>
      <c r="Q2025" s="876"/>
      <c r="R2025" s="876"/>
      <c r="S2025" s="876"/>
      <c r="T2025" s="876"/>
      <c r="U2025" s="876"/>
      <c r="V2025" s="876"/>
      <c r="W2025" s="876"/>
      <c r="X2025" s="876"/>
      <c r="Y2025" s="876"/>
      <c r="Z2025" s="876"/>
      <c r="AA2025" s="164"/>
      <c r="AB2025" s="1515"/>
      <c r="AC2025" s="876"/>
      <c r="AD2025" s="1762"/>
      <c r="AE2025" s="1763"/>
      <c r="AF2025" s="1763"/>
      <c r="AG2025" s="1763"/>
      <c r="AH2025" s="1763"/>
      <c r="AI2025" s="1763"/>
      <c r="AJ2025" s="1763"/>
      <c r="AK2025" s="1763"/>
      <c r="AL2025" s="1762"/>
      <c r="AM2025" s="1764"/>
      <c r="AN2025" s="1764"/>
      <c r="AO2025" s="1764"/>
      <c r="AP2025" s="1764"/>
      <c r="AQ2025" s="1764"/>
      <c r="AR2025" s="1764"/>
      <c r="AS2025" s="1763"/>
      <c r="AT2025" s="1763"/>
      <c r="AU2025" s="1763"/>
      <c r="AV2025" s="1763"/>
      <c r="AW2025" s="1763"/>
      <c r="AX2025" s="1763"/>
      <c r="AY2025" s="1763"/>
      <c r="AZ2025" s="1763"/>
      <c r="BA2025" s="1763"/>
      <c r="BB2025" s="1763"/>
      <c r="BC2025" s="1763"/>
      <c r="BD2025" s="1763"/>
      <c r="BE2025" s="1763"/>
      <c r="BF2025" s="1763"/>
      <c r="BG2025" s="1763"/>
      <c r="BH2025" s="1763"/>
      <c r="BI2025" s="1763"/>
      <c r="BJ2025" s="1763"/>
      <c r="BK2025" s="1763"/>
      <c r="BL2025" s="1763"/>
      <c r="BM2025" s="1763"/>
      <c r="BN2025" s="1763"/>
      <c r="BO2025" s="1763"/>
      <c r="BP2025" s="1763"/>
      <c r="BQ2025" s="1763"/>
      <c r="BR2025" s="1763"/>
      <c r="BS2025" s="1763"/>
      <c r="BT2025" s="1767"/>
      <c r="BU2025" s="224"/>
      <c r="BV2025" s="65"/>
      <c r="BW2025" s="876"/>
      <c r="BX2025" s="224"/>
      <c r="BY2025" s="224"/>
      <c r="BZ2025" s="224"/>
      <c r="CA2025" s="224"/>
      <c r="CB2025" s="224"/>
      <c r="CC2025" s="224"/>
      <c r="CD2025" s="224"/>
      <c r="CE2025" s="224"/>
      <c r="CF2025" s="224"/>
      <c r="CG2025" s="224"/>
      <c r="CH2025" s="224"/>
      <c r="CI2025" s="224"/>
      <c r="CJ2025" s="224"/>
      <c r="CK2025" s="224"/>
      <c r="CL2025" s="224"/>
      <c r="CM2025" s="224"/>
      <c r="CN2025" s="224"/>
      <c r="CO2025" s="224"/>
      <c r="CP2025" s="224"/>
      <c r="CQ2025" s="224"/>
      <c r="CR2025" s="224"/>
      <c r="CS2025" s="224"/>
      <c r="CT2025" s="224"/>
      <c r="CU2025" s="224"/>
      <c r="CV2025" s="224"/>
      <c r="CW2025" s="224"/>
      <c r="CX2025" s="224"/>
      <c r="CY2025" s="224"/>
      <c r="CZ2025" s="224"/>
      <c r="DA2025" s="224"/>
      <c r="DB2025" s="224"/>
      <c r="DC2025" s="224"/>
      <c r="DD2025" s="224"/>
      <c r="DE2025" s="224"/>
      <c r="DF2025" s="224"/>
      <c r="DG2025" s="224"/>
      <c r="DH2025" s="224"/>
      <c r="DI2025" s="224"/>
      <c r="DJ2025" s="224"/>
      <c r="DK2025" s="224"/>
      <c r="DL2025" s="224"/>
      <c r="DM2025" s="224"/>
      <c r="DN2025" s="224"/>
      <c r="DO2025" s="224"/>
      <c r="DP2025" s="224"/>
      <c r="DQ2025" s="224"/>
      <c r="DR2025" s="224"/>
      <c r="DS2025" s="224"/>
      <c r="DT2025" s="1761"/>
    </row>
    <row r="2026" spans="1:124" s="548" customFormat="1" ht="12.75" customHeight="1" x14ac:dyDescent="0.15">
      <c r="A2026"/>
      <c r="B2026" s="164"/>
      <c r="C2026" s="164"/>
      <c r="D2026" s="164"/>
      <c r="E2026" s="164"/>
      <c r="F2026" s="164"/>
      <c r="G2026" s="799"/>
      <c r="H2026" s="1355"/>
      <c r="I2026" s="164"/>
      <c r="J2026" s="164"/>
      <c r="K2026" s="164"/>
      <c r="L2026" s="799"/>
      <c r="M2026" s="799"/>
      <c r="N2026" s="799"/>
      <c r="O2026" s="175"/>
      <c r="P2026" s="1240"/>
      <c r="Q2026" s="876"/>
      <c r="R2026" s="876"/>
      <c r="S2026" s="876"/>
      <c r="T2026" s="876"/>
      <c r="U2026" s="876"/>
      <c r="V2026" s="876"/>
      <c r="W2026" s="876"/>
      <c r="X2026" s="876"/>
      <c r="Y2026" s="876"/>
      <c r="Z2026" s="876"/>
      <c r="AA2026" s="164"/>
      <c r="AB2026" s="1515"/>
      <c r="AC2026" s="876"/>
      <c r="AD2026" s="1762"/>
      <c r="AE2026" s="1763"/>
      <c r="AF2026" s="1763"/>
      <c r="AG2026" s="1763"/>
      <c r="AH2026" s="1763"/>
      <c r="AI2026" s="1763"/>
      <c r="AJ2026" s="1763"/>
      <c r="AK2026" s="1763"/>
      <c r="AL2026" s="1762"/>
      <c r="AM2026" s="1764"/>
      <c r="AN2026" s="1764"/>
      <c r="AO2026" s="1764"/>
      <c r="AP2026" s="1764"/>
      <c r="AQ2026" s="1764"/>
      <c r="AR2026" s="1764"/>
      <c r="AS2026" s="1763"/>
      <c r="AT2026" s="1763"/>
      <c r="AU2026" s="1763"/>
      <c r="AV2026" s="1763"/>
      <c r="AW2026" s="1763"/>
      <c r="AX2026" s="1763"/>
      <c r="AY2026" s="1763"/>
      <c r="AZ2026" s="1763"/>
      <c r="BA2026" s="1763"/>
      <c r="BB2026" s="1763"/>
      <c r="BC2026" s="1763"/>
      <c r="BD2026" s="1763"/>
      <c r="BE2026" s="1763"/>
      <c r="BF2026" s="1763"/>
      <c r="BG2026" s="1763"/>
      <c r="BH2026" s="1763"/>
      <c r="BI2026" s="1763"/>
      <c r="BJ2026" s="1763"/>
      <c r="BK2026" s="1763"/>
      <c r="BL2026" s="1763"/>
      <c r="BM2026" s="1763"/>
      <c r="BN2026" s="1763"/>
      <c r="BO2026" s="1763"/>
      <c r="BP2026" s="1763"/>
      <c r="BQ2026" s="1763"/>
      <c r="BR2026" s="1763"/>
      <c r="BS2026" s="1763"/>
      <c r="BT2026" s="1767"/>
      <c r="BU2026" s="224"/>
      <c r="BV2026" s="65"/>
      <c r="BW2026" s="876"/>
      <c r="BX2026" s="224"/>
      <c r="BY2026" s="224"/>
      <c r="BZ2026" s="224"/>
      <c r="CA2026" s="224"/>
      <c r="CB2026" s="224"/>
      <c r="CC2026" s="224"/>
      <c r="CD2026" s="224"/>
      <c r="CE2026" s="224"/>
      <c r="CF2026" s="224"/>
      <c r="CG2026" s="224"/>
      <c r="CH2026" s="224"/>
      <c r="CI2026" s="224"/>
      <c r="CJ2026" s="224"/>
      <c r="CK2026" s="224"/>
      <c r="CL2026" s="224"/>
      <c r="CM2026" s="224"/>
      <c r="CN2026" s="224"/>
      <c r="CO2026" s="224"/>
      <c r="CP2026" s="224"/>
      <c r="CQ2026" s="224"/>
      <c r="CR2026" s="224"/>
      <c r="CS2026" s="224"/>
      <c r="CT2026" s="224"/>
      <c r="CU2026" s="224"/>
      <c r="CV2026" s="224"/>
      <c r="CW2026" s="224"/>
      <c r="CX2026" s="224"/>
      <c r="CY2026" s="224"/>
      <c r="CZ2026" s="224"/>
      <c r="DA2026" s="224"/>
      <c r="DB2026" s="224"/>
      <c r="DC2026" s="224"/>
      <c r="DD2026" s="224"/>
      <c r="DE2026" s="224"/>
      <c r="DF2026" s="224"/>
      <c r="DG2026" s="224"/>
      <c r="DH2026" s="224"/>
      <c r="DI2026" s="224"/>
      <c r="DJ2026" s="224"/>
      <c r="DK2026" s="224"/>
      <c r="DL2026" s="224"/>
      <c r="DM2026" s="224"/>
      <c r="DN2026" s="224"/>
      <c r="DO2026" s="224"/>
      <c r="DP2026" s="224"/>
      <c r="DQ2026" s="224"/>
      <c r="DR2026" s="224"/>
      <c r="DS2026" s="224"/>
      <c r="DT2026" s="1761"/>
    </row>
    <row r="2027" spans="1:124" s="548" customFormat="1" ht="12.75" customHeight="1" x14ac:dyDescent="0.15">
      <c r="A2027"/>
      <c r="B2027" s="164"/>
      <c r="C2027" s="164"/>
      <c r="D2027" s="164"/>
      <c r="E2027" s="164"/>
      <c r="F2027" s="164"/>
      <c r="G2027" s="799"/>
      <c r="H2027" s="1355"/>
      <c r="I2027" s="164"/>
      <c r="J2027" s="164"/>
      <c r="K2027" s="164"/>
      <c r="L2027" s="799"/>
      <c r="M2027" s="799"/>
      <c r="N2027" s="799"/>
      <c r="O2027" s="175"/>
      <c r="P2027" s="1240"/>
      <c r="Q2027" s="876"/>
      <c r="R2027" s="876"/>
      <c r="S2027" s="876"/>
      <c r="T2027" s="876"/>
      <c r="U2027" s="876"/>
      <c r="V2027" s="876"/>
      <c r="W2027" s="876"/>
      <c r="X2027" s="876"/>
      <c r="Y2027" s="876"/>
      <c r="Z2027" s="876"/>
      <c r="AA2027" s="164"/>
      <c r="AB2027" s="1515"/>
      <c r="AC2027" s="876"/>
      <c r="AD2027" s="1762"/>
      <c r="AE2027" s="1763"/>
      <c r="AF2027" s="1763"/>
      <c r="AG2027" s="1763"/>
      <c r="AH2027" s="1763"/>
      <c r="AI2027" s="1763"/>
      <c r="AJ2027" s="1763"/>
      <c r="AK2027" s="1763"/>
      <c r="AL2027" s="1762"/>
      <c r="AM2027" s="1764"/>
      <c r="AN2027" s="1764"/>
      <c r="AO2027" s="1764"/>
      <c r="AP2027" s="1764"/>
      <c r="AQ2027" s="1764"/>
      <c r="AR2027" s="1764"/>
      <c r="AS2027" s="1763"/>
      <c r="AT2027" s="1763"/>
      <c r="AU2027" s="1763"/>
      <c r="AV2027" s="1763"/>
      <c r="AW2027" s="1763"/>
      <c r="AX2027" s="1763"/>
      <c r="AY2027" s="1763"/>
      <c r="AZ2027" s="1763"/>
      <c r="BA2027" s="1763"/>
      <c r="BB2027" s="1763"/>
      <c r="BC2027" s="1763"/>
      <c r="BD2027" s="1763"/>
      <c r="BE2027" s="1763"/>
      <c r="BF2027" s="1763"/>
      <c r="BG2027" s="1763"/>
      <c r="BH2027" s="1763"/>
      <c r="BI2027" s="1763"/>
      <c r="BJ2027" s="1763"/>
      <c r="BK2027" s="1763"/>
      <c r="BL2027" s="1763"/>
      <c r="BM2027" s="1763"/>
      <c r="BN2027" s="1763"/>
      <c r="BO2027" s="1763"/>
      <c r="BP2027" s="1763"/>
      <c r="BQ2027" s="1763"/>
      <c r="BR2027" s="1763"/>
      <c r="BS2027" s="1763"/>
      <c r="BT2027" s="1767"/>
      <c r="BU2027" s="224"/>
      <c r="BV2027" s="65"/>
      <c r="BW2027" s="876"/>
      <c r="BX2027" s="224"/>
      <c r="BY2027" s="224"/>
      <c r="BZ2027" s="224"/>
      <c r="CA2027" s="224"/>
      <c r="CB2027" s="224"/>
      <c r="CC2027" s="224"/>
      <c r="CD2027" s="224"/>
      <c r="CE2027" s="224"/>
      <c r="CF2027" s="224"/>
      <c r="CG2027" s="224"/>
      <c r="CH2027" s="224"/>
      <c r="CI2027" s="224"/>
      <c r="CJ2027" s="224"/>
      <c r="CK2027" s="224"/>
      <c r="CL2027" s="224"/>
      <c r="CM2027" s="224"/>
      <c r="CN2027" s="224"/>
      <c r="CO2027" s="224"/>
      <c r="CP2027" s="224"/>
      <c r="CQ2027" s="224"/>
      <c r="CR2027" s="224"/>
      <c r="CS2027" s="224"/>
      <c r="CT2027" s="224"/>
      <c r="CU2027" s="224"/>
      <c r="CV2027" s="224"/>
      <c r="CW2027" s="224"/>
      <c r="CX2027" s="224"/>
      <c r="CY2027" s="224"/>
      <c r="CZ2027" s="224"/>
      <c r="DA2027" s="224"/>
      <c r="DB2027" s="224"/>
      <c r="DC2027" s="224"/>
      <c r="DD2027" s="224"/>
      <c r="DE2027" s="224"/>
      <c r="DF2027" s="224"/>
      <c r="DG2027" s="224"/>
      <c r="DH2027" s="224"/>
      <c r="DI2027" s="224"/>
      <c r="DJ2027" s="224"/>
      <c r="DK2027" s="224"/>
      <c r="DL2027" s="224"/>
      <c r="DM2027" s="224"/>
      <c r="DN2027" s="224"/>
      <c r="DO2027" s="224"/>
      <c r="DP2027" s="224"/>
      <c r="DQ2027" s="224"/>
      <c r="DR2027" s="224"/>
      <c r="DS2027" s="224"/>
      <c r="DT2027" s="1761"/>
    </row>
    <row r="2028" spans="1:124" s="164" customFormat="1" ht="12.75" customHeight="1" x14ac:dyDescent="0.15">
      <c r="G2028" s="799"/>
      <c r="H2028" s="1355"/>
      <c r="L2028" s="799"/>
      <c r="M2028" s="799"/>
      <c r="N2028" s="799"/>
      <c r="P2028" s="550"/>
      <c r="Q2028" s="876"/>
      <c r="R2028" s="876"/>
      <c r="S2028" s="876"/>
      <c r="T2028" s="876"/>
      <c r="U2028" s="876"/>
      <c r="V2028" s="876"/>
      <c r="W2028" s="876"/>
      <c r="X2028" s="876"/>
      <c r="Y2028" s="876"/>
      <c r="Z2028" s="876"/>
      <c r="AC2028" s="876"/>
      <c r="AD2028" s="1763"/>
      <c r="AE2028" s="1763"/>
      <c r="AF2028" s="1763"/>
      <c r="AG2028" s="1763"/>
      <c r="AH2028" s="1763"/>
      <c r="AI2028" s="1763"/>
      <c r="AJ2028" s="1763"/>
      <c r="AK2028" s="1763"/>
      <c r="AL2028" s="1763"/>
      <c r="AM2028" s="1763"/>
      <c r="AN2028" s="1763"/>
      <c r="AO2028" s="1763"/>
      <c r="AP2028" s="1763"/>
      <c r="AQ2028" s="1763"/>
      <c r="AR2028" s="1763"/>
      <c r="AS2028" s="1763"/>
      <c r="AT2028" s="1763"/>
      <c r="AU2028" s="1763"/>
      <c r="AV2028" s="1763"/>
      <c r="AW2028" s="1763"/>
      <c r="AX2028" s="1763"/>
      <c r="AY2028" s="1763"/>
      <c r="AZ2028" s="1763"/>
      <c r="BA2028" s="1763"/>
      <c r="BB2028" s="1763"/>
      <c r="BC2028" s="1763"/>
      <c r="BD2028" s="1763"/>
      <c r="BE2028" s="1763"/>
      <c r="BF2028" s="1763"/>
      <c r="BG2028" s="1763"/>
      <c r="BH2028" s="1763"/>
      <c r="BI2028" s="1763"/>
      <c r="BJ2028" s="1763"/>
      <c r="BK2028" s="1763"/>
      <c r="BL2028" s="1763"/>
      <c r="BM2028" s="1763"/>
      <c r="BN2028" s="1763"/>
      <c r="BO2028" s="1763"/>
      <c r="BP2028" s="1763"/>
      <c r="BQ2028" s="1763"/>
      <c r="BR2028" s="1763"/>
      <c r="BS2028" s="1763"/>
      <c r="BT2028" s="1763"/>
      <c r="BU2028" s="1769"/>
      <c r="BV2028"/>
      <c r="BW2028" s="799"/>
    </row>
    <row r="2029" spans="1:124" s="164" customFormat="1" ht="12.75" customHeight="1" x14ac:dyDescent="0.15">
      <c r="G2029" s="799"/>
      <c r="H2029" s="1355"/>
      <c r="L2029" s="799"/>
      <c r="M2029" s="799"/>
      <c r="N2029" s="799"/>
      <c r="P2029" s="550"/>
      <c r="Q2029" s="876"/>
      <c r="R2029" s="876"/>
      <c r="S2029" s="876"/>
      <c r="T2029" s="876"/>
      <c r="U2029" s="876"/>
      <c r="V2029" s="876"/>
      <c r="W2029" s="876"/>
      <c r="X2029" s="876"/>
      <c r="Y2029" s="876"/>
      <c r="Z2029" s="876"/>
      <c r="AC2029" s="876"/>
      <c r="BV2029"/>
      <c r="BW2029" s="799"/>
    </row>
    <row r="2030" spans="1:124" s="164" customFormat="1" ht="12.75" customHeight="1" x14ac:dyDescent="0.15">
      <c r="G2030" s="799"/>
      <c r="H2030" s="1355"/>
      <c r="L2030" s="799"/>
      <c r="M2030" s="799"/>
      <c r="N2030" s="799"/>
      <c r="P2030" s="550"/>
      <c r="Q2030" s="876"/>
      <c r="R2030" s="876"/>
      <c r="S2030" s="876"/>
      <c r="T2030" s="876"/>
      <c r="U2030" s="876"/>
      <c r="V2030" s="876"/>
      <c r="W2030" s="876"/>
      <c r="X2030" s="876"/>
      <c r="Y2030" s="876"/>
      <c r="Z2030" s="876"/>
      <c r="AC2030" s="876"/>
      <c r="BV2030"/>
      <c r="BW2030" s="799"/>
    </row>
    <row r="2031" spans="1:124" s="164" customFormat="1" ht="12.75" customHeight="1" x14ac:dyDescent="0.15">
      <c r="G2031" s="799"/>
      <c r="H2031" s="1355"/>
      <c r="L2031" s="799"/>
      <c r="M2031" s="799"/>
      <c r="N2031" s="799"/>
      <c r="P2031" s="550"/>
      <c r="Q2031" s="876"/>
      <c r="R2031" s="876"/>
      <c r="S2031" s="876"/>
      <c r="T2031" s="876"/>
      <c r="U2031" s="876"/>
      <c r="V2031" s="876"/>
      <c r="W2031" s="876"/>
      <c r="X2031" s="876"/>
      <c r="Y2031" s="876"/>
      <c r="Z2031" s="876"/>
      <c r="AC2031" s="876"/>
      <c r="AV2031" s="224"/>
      <c r="BV2031"/>
      <c r="BW2031" s="799"/>
    </row>
    <row r="2032" spans="1:124" s="164" customFormat="1" ht="12.75" customHeight="1" x14ac:dyDescent="0.15">
      <c r="G2032" s="799"/>
      <c r="H2032" s="1355"/>
      <c r="L2032" s="799"/>
      <c r="M2032" s="799"/>
      <c r="N2032" s="799"/>
      <c r="P2032" s="550"/>
      <c r="Q2032" s="876"/>
      <c r="R2032" s="876"/>
      <c r="S2032" s="876"/>
      <c r="T2032" s="876"/>
      <c r="U2032" s="876"/>
      <c r="V2032" s="876"/>
      <c r="W2032" s="876"/>
      <c r="X2032" s="876"/>
      <c r="Y2032" s="876"/>
      <c r="Z2032" s="876"/>
      <c r="AC2032" s="876"/>
      <c r="AV2032" s="224"/>
      <c r="BV2032"/>
      <c r="BW2032" s="799"/>
    </row>
    <row r="2033" spans="7:75" s="164" customFormat="1" ht="12.75" customHeight="1" x14ac:dyDescent="0.15">
      <c r="G2033" s="799"/>
      <c r="H2033" s="1355"/>
      <c r="L2033" s="799"/>
      <c r="M2033" s="799"/>
      <c r="N2033" s="799"/>
      <c r="P2033" s="550"/>
      <c r="Q2033" s="876"/>
      <c r="R2033" s="876"/>
      <c r="S2033" s="876"/>
      <c r="T2033" s="876"/>
      <c r="U2033" s="876"/>
      <c r="V2033" s="876"/>
      <c r="W2033" s="876"/>
      <c r="X2033" s="876"/>
      <c r="Y2033" s="876"/>
      <c r="Z2033" s="876"/>
      <c r="AC2033" s="876"/>
      <c r="AV2033" s="224"/>
      <c r="BV2033"/>
      <c r="BW2033" s="799"/>
    </row>
    <row r="2034" spans="7:75" s="164" customFormat="1" ht="12.75" customHeight="1" x14ac:dyDescent="0.15">
      <c r="G2034" s="799"/>
      <c r="H2034" s="1355"/>
      <c r="L2034" s="799"/>
      <c r="M2034" s="799"/>
      <c r="N2034" s="799"/>
      <c r="P2034" s="550"/>
      <c r="Q2034" s="876"/>
      <c r="R2034" s="876"/>
      <c r="S2034" s="876"/>
      <c r="T2034" s="876"/>
      <c r="U2034" s="876"/>
      <c r="V2034" s="876"/>
      <c r="W2034" s="876"/>
      <c r="X2034" s="876"/>
      <c r="Y2034" s="876"/>
      <c r="Z2034" s="876"/>
      <c r="AC2034" s="876"/>
      <c r="AV2034" s="224"/>
      <c r="BV2034"/>
      <c r="BW2034" s="799"/>
    </row>
    <row r="2035" spans="7:75" s="164" customFormat="1" ht="12.75" customHeight="1" x14ac:dyDescent="0.15">
      <c r="G2035" s="799"/>
      <c r="H2035" s="1355"/>
      <c r="L2035" s="799"/>
      <c r="M2035" s="799"/>
      <c r="N2035" s="799"/>
      <c r="P2035" s="550"/>
      <c r="Q2035" s="876"/>
      <c r="R2035" s="876"/>
      <c r="S2035" s="876"/>
      <c r="T2035" s="876"/>
      <c r="U2035" s="876"/>
      <c r="V2035" s="876"/>
      <c r="W2035" s="876"/>
      <c r="X2035" s="876"/>
      <c r="Y2035" s="876"/>
      <c r="Z2035" s="876"/>
      <c r="AC2035" s="876"/>
      <c r="AV2035" s="224"/>
      <c r="BV2035"/>
      <c r="BW2035" s="799"/>
    </row>
    <row r="2036" spans="7:75" s="164" customFormat="1" ht="12.75" customHeight="1" x14ac:dyDescent="0.15">
      <c r="G2036" s="799"/>
      <c r="H2036" s="1355"/>
      <c r="L2036" s="799"/>
      <c r="M2036" s="799"/>
      <c r="N2036" s="799"/>
      <c r="P2036" s="550"/>
      <c r="Q2036" s="876"/>
      <c r="R2036" s="876"/>
      <c r="S2036" s="876"/>
      <c r="T2036" s="876"/>
      <c r="U2036" s="876"/>
      <c r="V2036" s="876"/>
      <c r="W2036" s="876"/>
      <c r="X2036" s="876"/>
      <c r="Y2036" s="876"/>
      <c r="Z2036" s="876"/>
      <c r="AC2036" s="876"/>
      <c r="AV2036" s="224"/>
      <c r="BV2036"/>
      <c r="BW2036" s="799"/>
    </row>
    <row r="2037" spans="7:75" s="164" customFormat="1" ht="12.75" customHeight="1" x14ac:dyDescent="0.15">
      <c r="G2037" s="799"/>
      <c r="H2037" s="1355"/>
      <c r="L2037" s="799"/>
      <c r="M2037" s="799"/>
      <c r="N2037" s="799"/>
      <c r="P2037" s="550"/>
      <c r="Q2037" s="876"/>
      <c r="R2037" s="876"/>
      <c r="S2037" s="876"/>
      <c r="T2037" s="876"/>
      <c r="U2037" s="876"/>
      <c r="V2037" s="876"/>
      <c r="W2037" s="876"/>
      <c r="X2037" s="876"/>
      <c r="Y2037" s="876"/>
      <c r="Z2037" s="876"/>
      <c r="AC2037" s="876"/>
      <c r="AV2037" s="224"/>
      <c r="BV2037"/>
      <c r="BW2037" s="799"/>
    </row>
    <row r="2038" spans="7:75" s="164" customFormat="1" ht="12.75" customHeight="1" x14ac:dyDescent="0.15">
      <c r="G2038" s="799"/>
      <c r="H2038" s="1355"/>
      <c r="L2038" s="799"/>
      <c r="M2038" s="799"/>
      <c r="N2038" s="799"/>
      <c r="P2038" s="550"/>
      <c r="Q2038" s="876"/>
      <c r="R2038" s="876"/>
      <c r="S2038" s="876"/>
      <c r="T2038" s="876"/>
      <c r="U2038" s="876"/>
      <c r="V2038" s="876"/>
      <c r="W2038" s="876"/>
      <c r="X2038" s="876"/>
      <c r="Y2038" s="876"/>
      <c r="Z2038" s="876"/>
      <c r="AC2038" s="876"/>
      <c r="AV2038" s="224"/>
      <c r="BV2038"/>
      <c r="BW2038" s="799"/>
    </row>
    <row r="2039" spans="7:75" s="164" customFormat="1" ht="12.75" customHeight="1" x14ac:dyDescent="0.15">
      <c r="G2039" s="799"/>
      <c r="H2039" s="1355"/>
      <c r="L2039" s="799"/>
      <c r="M2039" s="799"/>
      <c r="N2039" s="799"/>
      <c r="P2039" s="550"/>
      <c r="Q2039" s="876"/>
      <c r="R2039" s="876"/>
      <c r="S2039" s="876"/>
      <c r="T2039" s="876"/>
      <c r="U2039" s="876"/>
      <c r="V2039" s="876"/>
      <c r="W2039" s="876"/>
      <c r="X2039" s="876"/>
      <c r="Y2039" s="876"/>
      <c r="Z2039" s="876"/>
      <c r="AC2039" s="876"/>
      <c r="AV2039" s="224"/>
      <c r="BV2039"/>
      <c r="BW2039" s="799"/>
    </row>
    <row r="2040" spans="7:75" s="164" customFormat="1" ht="12.75" customHeight="1" x14ac:dyDescent="0.15">
      <c r="G2040" s="799"/>
      <c r="H2040" s="1355"/>
      <c r="L2040" s="799"/>
      <c r="M2040" s="799"/>
      <c r="N2040" s="799"/>
      <c r="P2040" s="550"/>
      <c r="Q2040" s="876"/>
      <c r="R2040" s="876"/>
      <c r="S2040" s="876"/>
      <c r="T2040" s="876"/>
      <c r="U2040" s="876"/>
      <c r="V2040" s="876"/>
      <c r="W2040" s="876"/>
      <c r="X2040" s="876"/>
      <c r="Y2040" s="876"/>
      <c r="Z2040" s="876"/>
      <c r="AC2040" s="876"/>
      <c r="AV2040" s="224"/>
      <c r="BV2040"/>
      <c r="BW2040" s="799"/>
    </row>
    <row r="2041" spans="7:75" s="164" customFormat="1" ht="12.75" customHeight="1" x14ac:dyDescent="0.15">
      <c r="G2041" s="799"/>
      <c r="H2041" s="1355"/>
      <c r="L2041" s="799"/>
      <c r="M2041" s="799"/>
      <c r="N2041" s="799"/>
      <c r="P2041" s="550"/>
      <c r="Q2041" s="876"/>
      <c r="R2041" s="876"/>
      <c r="S2041" s="876"/>
      <c r="T2041" s="876"/>
      <c r="U2041" s="876"/>
      <c r="V2041" s="876"/>
      <c r="W2041" s="876"/>
      <c r="X2041" s="876"/>
      <c r="Y2041" s="876"/>
      <c r="Z2041" s="876"/>
      <c r="AC2041" s="876"/>
      <c r="AV2041" s="224"/>
      <c r="BV2041"/>
      <c r="BW2041" s="799"/>
    </row>
    <row r="2042" spans="7:75" s="164" customFormat="1" ht="12.75" customHeight="1" x14ac:dyDescent="0.15">
      <c r="G2042" s="799"/>
      <c r="H2042" s="1355"/>
      <c r="L2042" s="799"/>
      <c r="M2042" s="799"/>
      <c r="N2042" s="799"/>
      <c r="P2042" s="550"/>
      <c r="Q2042" s="876"/>
      <c r="R2042" s="876"/>
      <c r="S2042" s="876"/>
      <c r="T2042" s="876"/>
      <c r="U2042" s="876"/>
      <c r="V2042" s="876"/>
      <c r="W2042" s="876"/>
      <c r="X2042" s="876"/>
      <c r="Y2042" s="876"/>
      <c r="Z2042" s="876"/>
      <c r="AC2042" s="876"/>
      <c r="AV2042" s="224"/>
      <c r="BV2042"/>
      <c r="BW2042" s="799"/>
    </row>
    <row r="2043" spans="7:75" s="164" customFormat="1" ht="12.75" customHeight="1" x14ac:dyDescent="0.15">
      <c r="G2043" s="799"/>
      <c r="H2043" s="1355"/>
      <c r="L2043" s="799"/>
      <c r="M2043" s="799"/>
      <c r="N2043" s="799"/>
      <c r="P2043" s="550"/>
      <c r="Q2043" s="876"/>
      <c r="R2043" s="876"/>
      <c r="S2043" s="876"/>
      <c r="T2043" s="876"/>
      <c r="U2043" s="876"/>
      <c r="V2043" s="876"/>
      <c r="W2043" s="876"/>
      <c r="X2043" s="876"/>
      <c r="Y2043" s="876"/>
      <c r="Z2043" s="876"/>
      <c r="AC2043" s="876"/>
      <c r="AV2043" s="224"/>
      <c r="BV2043"/>
      <c r="BW2043" s="799"/>
    </row>
    <row r="2044" spans="7:75" s="164" customFormat="1" ht="12.75" customHeight="1" x14ac:dyDescent="0.15">
      <c r="G2044" s="799"/>
      <c r="H2044" s="1355"/>
      <c r="L2044" s="799"/>
      <c r="M2044" s="799"/>
      <c r="N2044" s="799"/>
      <c r="P2044" s="550"/>
      <c r="Q2044" s="876"/>
      <c r="R2044" s="876"/>
      <c r="S2044" s="876"/>
      <c r="T2044" s="876"/>
      <c r="U2044" s="876"/>
      <c r="V2044" s="876"/>
      <c r="W2044" s="876"/>
      <c r="X2044" s="876"/>
      <c r="Y2044" s="876"/>
      <c r="Z2044" s="876"/>
      <c r="AC2044" s="876"/>
      <c r="AV2044" s="224"/>
      <c r="BV2044"/>
      <c r="BW2044" s="799"/>
    </row>
    <row r="2045" spans="7:75" s="164" customFormat="1" ht="12.75" customHeight="1" x14ac:dyDescent="0.15">
      <c r="G2045" s="799"/>
      <c r="H2045" s="1355"/>
      <c r="L2045" s="799"/>
      <c r="M2045" s="799"/>
      <c r="N2045" s="799"/>
      <c r="P2045" s="550"/>
      <c r="Q2045" s="876"/>
      <c r="R2045" s="876"/>
      <c r="S2045" s="876"/>
      <c r="T2045" s="876"/>
      <c r="U2045" s="876"/>
      <c r="V2045" s="876"/>
      <c r="W2045" s="876"/>
      <c r="X2045" s="876"/>
      <c r="Y2045" s="876"/>
      <c r="Z2045" s="876"/>
      <c r="AC2045" s="876"/>
      <c r="AV2045" s="224"/>
      <c r="BV2045"/>
      <c r="BW2045" s="799"/>
    </row>
    <row r="2046" spans="7:75" s="164" customFormat="1" ht="12.75" customHeight="1" x14ac:dyDescent="0.15">
      <c r="G2046" s="799"/>
      <c r="H2046" s="1355"/>
      <c r="L2046" s="799"/>
      <c r="M2046" s="799"/>
      <c r="N2046" s="799"/>
      <c r="P2046" s="550"/>
      <c r="Q2046" s="876"/>
      <c r="R2046" s="876"/>
      <c r="S2046" s="876"/>
      <c r="T2046" s="876"/>
      <c r="U2046" s="876"/>
      <c r="V2046" s="876"/>
      <c r="W2046" s="876"/>
      <c r="X2046" s="876"/>
      <c r="Y2046" s="876"/>
      <c r="Z2046" s="876"/>
      <c r="AC2046" s="876"/>
      <c r="AV2046" s="224"/>
      <c r="BV2046"/>
      <c r="BW2046" s="799"/>
    </row>
    <row r="2047" spans="7:75" s="164" customFormat="1" ht="12.75" customHeight="1" x14ac:dyDescent="0.15">
      <c r="G2047" s="799"/>
      <c r="H2047" s="1355"/>
      <c r="L2047" s="799"/>
      <c r="M2047" s="799"/>
      <c r="N2047" s="799"/>
      <c r="O2047" s="435"/>
      <c r="P2047" s="1275"/>
      <c r="Q2047" s="876"/>
      <c r="R2047" s="876"/>
      <c r="S2047" s="876"/>
      <c r="T2047" s="876"/>
      <c r="U2047" s="876"/>
      <c r="V2047" s="876"/>
      <c r="W2047" s="876"/>
      <c r="X2047" s="876"/>
      <c r="Y2047" s="876"/>
      <c r="Z2047" s="876"/>
      <c r="AC2047" s="876"/>
      <c r="AV2047" s="224"/>
      <c r="BV2047"/>
      <c r="BW2047" s="799"/>
    </row>
    <row r="2048" spans="7:75" s="164" customFormat="1" ht="12.75" customHeight="1" x14ac:dyDescent="0.15">
      <c r="G2048" s="799"/>
      <c r="H2048" s="1355"/>
      <c r="L2048" s="799"/>
      <c r="M2048" s="799"/>
      <c r="N2048" s="799"/>
      <c r="P2048" s="550"/>
      <c r="Q2048" s="876"/>
      <c r="R2048" s="876"/>
      <c r="S2048" s="876"/>
      <c r="T2048" s="876"/>
      <c r="U2048" s="876"/>
      <c r="V2048" s="876"/>
      <c r="W2048" s="876"/>
      <c r="X2048" s="876"/>
      <c r="Y2048" s="876"/>
      <c r="Z2048" s="876"/>
      <c r="AC2048" s="876"/>
      <c r="AV2048" s="224"/>
      <c r="BV2048"/>
      <c r="BW2048" s="799"/>
    </row>
    <row r="2049" spans="3:75" s="164" customFormat="1" ht="12.75" customHeight="1" x14ac:dyDescent="0.15">
      <c r="G2049" s="799"/>
      <c r="H2049" s="1355"/>
      <c r="L2049" s="799"/>
      <c r="M2049" s="799"/>
      <c r="N2049" s="799"/>
      <c r="P2049" s="550"/>
      <c r="Q2049" s="876"/>
      <c r="R2049" s="876"/>
      <c r="S2049" s="876"/>
      <c r="T2049" s="876"/>
      <c r="U2049" s="876"/>
      <c r="V2049" s="876"/>
      <c r="W2049" s="876"/>
      <c r="X2049" s="876"/>
      <c r="Y2049" s="876"/>
      <c r="Z2049" s="876"/>
      <c r="AC2049" s="876"/>
      <c r="AV2049" s="224"/>
      <c r="BV2049"/>
      <c r="BW2049" s="799"/>
    </row>
    <row r="2050" spans="3:75" s="164" customFormat="1" ht="12.75" customHeight="1" x14ac:dyDescent="0.15">
      <c r="G2050" s="799"/>
      <c r="H2050" s="1355"/>
      <c r="L2050" s="799"/>
      <c r="M2050" s="799"/>
      <c r="N2050" s="799"/>
      <c r="P2050" s="550"/>
      <c r="Q2050" s="876"/>
      <c r="R2050" s="876"/>
      <c r="S2050" s="876"/>
      <c r="T2050" s="876"/>
      <c r="U2050" s="876"/>
      <c r="V2050" s="876"/>
      <c r="W2050" s="876"/>
      <c r="X2050" s="876"/>
      <c r="Y2050" s="876"/>
      <c r="Z2050" s="876"/>
      <c r="AC2050" s="876"/>
      <c r="AV2050" s="224"/>
      <c r="BV2050"/>
      <c r="BW2050" s="799"/>
    </row>
    <row r="2051" spans="3:75" s="164" customFormat="1" ht="12.75" customHeight="1" x14ac:dyDescent="0.15">
      <c r="G2051" s="799"/>
      <c r="H2051" s="1355"/>
      <c r="L2051" s="799"/>
      <c r="M2051" s="799"/>
      <c r="N2051" s="799"/>
      <c r="P2051" s="550"/>
      <c r="Q2051" s="876"/>
      <c r="R2051" s="876"/>
      <c r="S2051" s="876"/>
      <c r="T2051" s="876"/>
      <c r="U2051" s="876"/>
      <c r="V2051" s="876"/>
      <c r="W2051" s="876"/>
      <c r="X2051" s="876"/>
      <c r="Y2051" s="876"/>
      <c r="Z2051" s="876"/>
      <c r="AC2051" s="876"/>
      <c r="AV2051" s="224"/>
      <c r="BV2051"/>
      <c r="BW2051" s="799"/>
    </row>
    <row r="2052" spans="3:75" s="164" customFormat="1" ht="12.75" customHeight="1" x14ac:dyDescent="0.15">
      <c r="G2052" s="799"/>
      <c r="H2052" s="1355"/>
      <c r="L2052" s="799"/>
      <c r="M2052" s="799"/>
      <c r="N2052" s="799"/>
      <c r="P2052" s="550"/>
      <c r="Q2052" s="876"/>
      <c r="R2052" s="876"/>
      <c r="S2052" s="876"/>
      <c r="T2052" s="876"/>
      <c r="U2052" s="876"/>
      <c r="V2052" s="876"/>
      <c r="W2052" s="876"/>
      <c r="X2052" s="876"/>
      <c r="Y2052" s="876"/>
      <c r="Z2052" s="876"/>
      <c r="AC2052" s="876"/>
      <c r="AV2052" s="224"/>
      <c r="BV2052"/>
      <c r="BW2052" s="799"/>
    </row>
    <row r="2053" spans="3:75" s="164" customFormat="1" ht="12.75" customHeight="1" x14ac:dyDescent="0.15">
      <c r="G2053" s="799"/>
      <c r="H2053" s="1355"/>
      <c r="L2053" s="799"/>
      <c r="M2053" s="799"/>
      <c r="N2053" s="799"/>
      <c r="P2053" s="550"/>
      <c r="Q2053" s="876"/>
      <c r="R2053" s="876"/>
      <c r="S2053" s="876"/>
      <c r="T2053" s="876"/>
      <c r="U2053" s="876"/>
      <c r="V2053" s="876"/>
      <c r="W2053" s="876"/>
      <c r="X2053" s="876"/>
      <c r="Y2053" s="876"/>
      <c r="Z2053" s="876"/>
      <c r="AC2053" s="876"/>
      <c r="AV2053" s="224"/>
      <c r="BV2053"/>
      <c r="BW2053" s="799"/>
    </row>
    <row r="2054" spans="3:75" s="164" customFormat="1" ht="12.75" customHeight="1" x14ac:dyDescent="0.15">
      <c r="G2054" s="799"/>
      <c r="H2054" s="1355"/>
      <c r="L2054" s="799"/>
      <c r="M2054" s="799"/>
      <c r="N2054" s="799"/>
      <c r="P2054" s="550"/>
      <c r="Q2054" s="876"/>
      <c r="R2054" s="876"/>
      <c r="S2054" s="876"/>
      <c r="T2054" s="876"/>
      <c r="U2054" s="876"/>
      <c r="V2054" s="876"/>
      <c r="W2054" s="876"/>
      <c r="X2054" s="876"/>
      <c r="Y2054" s="876"/>
      <c r="Z2054" s="876"/>
      <c r="AC2054" s="876"/>
      <c r="AV2054" s="224"/>
      <c r="BV2054"/>
      <c r="BW2054" s="799"/>
    </row>
    <row r="2055" spans="3:75" s="164" customFormat="1" ht="12.75" customHeight="1" x14ac:dyDescent="0.15">
      <c r="G2055" s="799"/>
      <c r="H2055" s="1355"/>
      <c r="L2055" s="799"/>
      <c r="M2055" s="799"/>
      <c r="N2055" s="799"/>
      <c r="P2055" s="550"/>
      <c r="Q2055" s="876"/>
      <c r="R2055" s="876"/>
      <c r="S2055" s="876"/>
      <c r="T2055" s="876"/>
      <c r="U2055" s="876"/>
      <c r="V2055" s="876"/>
      <c r="W2055" s="876"/>
      <c r="X2055" s="876"/>
      <c r="Y2055" s="876"/>
      <c r="Z2055" s="876"/>
      <c r="AC2055" s="876"/>
      <c r="AV2055" s="224"/>
      <c r="BV2055"/>
      <c r="BW2055" s="799"/>
    </row>
    <row r="2056" spans="3:75" s="164" customFormat="1" ht="12.75" customHeight="1" x14ac:dyDescent="0.15">
      <c r="E2056" s="12"/>
      <c r="G2056" s="799"/>
      <c r="H2056" s="1341"/>
      <c r="K2056" s="219">
        <f>SUBTOTAL(9,K13:K2013)</f>
        <v>270.17</v>
      </c>
      <c r="L2056" s="831">
        <f>SUBTOTAL(9,L13:L2013)</f>
        <v>4608.329999999999</v>
      </c>
      <c r="M2056" s="831">
        <f>SUBTOTAL(9,M13:M2013)</f>
        <v>4877.4999999999991</v>
      </c>
      <c r="N2056" s="799"/>
      <c r="P2056" s="1218">
        <f ca="1">SUBTOTAL(2,P13:P1974)</f>
        <v>1091</v>
      </c>
      <c r="Q2056" s="875"/>
      <c r="R2056" s="875"/>
      <c r="S2056" s="875"/>
      <c r="T2056" s="875"/>
      <c r="U2056" s="875"/>
      <c r="V2056" s="875"/>
      <c r="W2056" s="875"/>
      <c r="X2056" s="875"/>
      <c r="Y2056" s="875"/>
      <c r="Z2056" s="875"/>
      <c r="AC2056" s="875"/>
      <c r="AV2056" s="224"/>
      <c r="BV2056"/>
      <c r="BW2056" s="799"/>
    </row>
    <row r="2057" spans="3:75" s="164" customFormat="1" ht="12.75" customHeight="1" x14ac:dyDescent="0.15">
      <c r="E2057" s="12"/>
      <c r="G2057" s="799"/>
      <c r="H2057" s="1355"/>
      <c r="L2057" s="799"/>
      <c r="M2057" s="799"/>
      <c r="N2057" s="799"/>
      <c r="P2057" s="1218">
        <f ca="1">SUBTOTAL(9,P13:P1974)</f>
        <v>58106.125000000051</v>
      </c>
      <c r="Q2057" s="875"/>
      <c r="R2057" s="875"/>
      <c r="S2057" s="875"/>
      <c r="T2057" s="875"/>
      <c r="U2057" s="875"/>
      <c r="V2057" s="875"/>
      <c r="W2057" s="875"/>
      <c r="X2057" s="875"/>
      <c r="Y2057" s="875"/>
      <c r="Z2057" s="875"/>
      <c r="AC2057" s="875"/>
      <c r="AV2057" s="224"/>
      <c r="BV2057"/>
      <c r="BW2057" s="799"/>
    </row>
    <row r="2058" spans="3:75" s="164" customFormat="1" ht="12.75" customHeight="1" x14ac:dyDescent="0.15">
      <c r="E2058" s="12"/>
      <c r="G2058" s="799"/>
      <c r="H2058" s="1355"/>
      <c r="L2058" s="799"/>
      <c r="M2058" s="799"/>
      <c r="N2058" s="799"/>
      <c r="P2058" s="1218"/>
      <c r="Q2058" s="875"/>
      <c r="R2058" s="875"/>
      <c r="S2058" s="875"/>
      <c r="T2058" s="875"/>
      <c r="U2058" s="875"/>
      <c r="V2058" s="875"/>
      <c r="W2058" s="875"/>
      <c r="X2058" s="875"/>
      <c r="Y2058" s="875"/>
      <c r="Z2058" s="875"/>
      <c r="AC2058" s="875"/>
      <c r="AV2058" s="224"/>
      <c r="BV2058"/>
      <c r="BW2058" s="799"/>
    </row>
    <row r="2059" spans="3:75" s="164" customFormat="1" ht="12.75" customHeight="1" x14ac:dyDescent="0.15">
      <c r="G2059" s="799"/>
      <c r="H2059" s="1355"/>
      <c r="L2059" s="799"/>
      <c r="M2059" s="799"/>
      <c r="N2059" s="799"/>
      <c r="P2059" s="1218">
        <f ca="1">P2057/P2056</f>
        <v>53.259509624198031</v>
      </c>
      <c r="Q2059" s="875"/>
      <c r="R2059" s="875"/>
      <c r="S2059" s="875"/>
      <c r="T2059" s="875"/>
      <c r="U2059" s="875"/>
      <c r="V2059" s="875"/>
      <c r="W2059" s="875"/>
      <c r="X2059" s="875"/>
      <c r="Y2059" s="875"/>
      <c r="Z2059" s="875"/>
      <c r="AC2059" s="875"/>
      <c r="AV2059" s="224"/>
      <c r="BV2059"/>
      <c r="BW2059" s="799"/>
    </row>
    <row r="2060" spans="3:75" s="164" customFormat="1" ht="12.75" customHeight="1" x14ac:dyDescent="0.15">
      <c r="G2060" s="799"/>
      <c r="H2060" s="1355"/>
      <c r="L2060" s="799"/>
      <c r="M2060" s="799"/>
      <c r="N2060" s="799"/>
      <c r="P2060" s="550"/>
      <c r="Q2060" s="875"/>
      <c r="R2060" s="875"/>
      <c r="S2060" s="875"/>
      <c r="T2060" s="875"/>
      <c r="U2060" s="875"/>
      <c r="V2060" s="875"/>
      <c r="W2060" s="875"/>
      <c r="X2060" s="875"/>
      <c r="Y2060" s="875"/>
      <c r="Z2060" s="875"/>
      <c r="AC2060" s="875"/>
      <c r="AV2060" s="224"/>
      <c r="BV2060"/>
      <c r="BW2060" s="799"/>
    </row>
    <row r="2061" spans="3:75" s="164" customFormat="1" ht="12.75" customHeight="1" x14ac:dyDescent="0.15">
      <c r="G2061" s="799"/>
      <c r="H2061" s="1355"/>
      <c r="L2061" s="799"/>
      <c r="M2061" s="799"/>
      <c r="N2061" s="799"/>
      <c r="P2061" s="550"/>
      <c r="Q2061" s="875"/>
      <c r="R2061" s="875"/>
      <c r="S2061" s="875"/>
      <c r="T2061" s="875"/>
      <c r="U2061" s="875"/>
      <c r="V2061" s="875"/>
      <c r="W2061" s="875"/>
      <c r="X2061" s="875"/>
      <c r="Y2061" s="875"/>
      <c r="Z2061" s="875"/>
      <c r="AC2061" s="875"/>
      <c r="AV2061" s="224"/>
      <c r="BV2061"/>
      <c r="BW2061" s="799"/>
    </row>
    <row r="2062" spans="3:75" s="164" customFormat="1" ht="12.75" customHeight="1" x14ac:dyDescent="0.15">
      <c r="G2062" s="799"/>
      <c r="H2062" s="1355"/>
      <c r="L2062" s="799"/>
      <c r="M2062" s="799"/>
      <c r="N2062" s="799"/>
      <c r="P2062" s="550"/>
      <c r="Q2062" s="875"/>
      <c r="R2062" s="875"/>
      <c r="S2062" s="875"/>
      <c r="T2062" s="875"/>
      <c r="U2062" s="875"/>
      <c r="V2062" s="875"/>
      <c r="W2062" s="875"/>
      <c r="X2062" s="875"/>
      <c r="Y2062" s="875"/>
      <c r="Z2062" s="875"/>
      <c r="AC2062" s="875"/>
      <c r="AV2062" s="224"/>
      <c r="BV2062"/>
      <c r="BW2062" s="799"/>
    </row>
    <row r="2063" spans="3:75" s="164" customFormat="1" ht="12.75" customHeight="1" x14ac:dyDescent="0.15">
      <c r="G2063" s="799"/>
      <c r="H2063" s="1355"/>
      <c r="L2063" s="799"/>
      <c r="M2063" s="799"/>
      <c r="N2063" s="799"/>
      <c r="P2063" s="550"/>
      <c r="Q2063" s="799"/>
      <c r="R2063" s="799"/>
      <c r="S2063" s="799"/>
      <c r="T2063" s="799"/>
      <c r="U2063" s="799"/>
      <c r="V2063" s="799"/>
      <c r="W2063" s="799"/>
      <c r="X2063" s="799"/>
      <c r="Y2063" s="799"/>
      <c r="Z2063" s="799"/>
      <c r="AA2063" s="553">
        <f>SUM(AA13:AA2062)</f>
        <v>1862.1999999999996</v>
      </c>
      <c r="AC2063" s="799"/>
      <c r="AU2063" s="553"/>
      <c r="BV2063"/>
      <c r="BW2063" s="799"/>
    </row>
    <row r="2064" spans="3:75" s="164" customFormat="1" ht="12.75" customHeight="1" x14ac:dyDescent="0.15">
      <c r="C2064" s="726" t="s">
        <v>561</v>
      </c>
      <c r="D2064" s="727"/>
      <c r="E2064" s="727"/>
      <c r="F2064" s="727"/>
      <c r="G2064" s="799"/>
      <c r="H2064" s="1409"/>
      <c r="I2064" s="727"/>
      <c r="J2064" s="727"/>
      <c r="K2064" s="485">
        <f>SUBTOTAL(9,K13:K2063)</f>
        <v>270.17</v>
      </c>
      <c r="L2064" s="1024">
        <f>SUBTOTAL(2,L13:L2063)</f>
        <v>1211</v>
      </c>
      <c r="M2064" s="1024">
        <f>SUBTOTAL(2,M13:M2063)</f>
        <v>1276</v>
      </c>
      <c r="N2064" s="799"/>
      <c r="O2064" s="175">
        <f ca="1">SUBTOTAL(9,P1966:P1972)</f>
        <v>416.31111111111113</v>
      </c>
      <c r="P2064" s="1240" t="s">
        <v>854</v>
      </c>
      <c r="Q2064" s="1024"/>
      <c r="R2064" s="1024"/>
      <c r="S2064" s="1024"/>
      <c r="T2064" s="1024"/>
      <c r="U2064" s="1024"/>
      <c r="V2064" s="1024"/>
      <c r="W2064" s="1024"/>
      <c r="X2064" s="1024"/>
      <c r="Y2064" s="1024"/>
      <c r="Z2064" s="1024"/>
      <c r="AA2064" s="556">
        <f>SUM(AD2064:AP2064)</f>
        <v>349.77</v>
      </c>
      <c r="AC2064" s="1024"/>
      <c r="AD2064" s="554">
        <f t="shared" ref="AD2064:AP2064" si="1176">SUBTOTAL(9,AD13:AD2063)</f>
        <v>180.5</v>
      </c>
      <c r="AE2064" s="485">
        <f t="shared" si="1176"/>
        <v>22.8</v>
      </c>
      <c r="AF2064" s="485">
        <f t="shared" si="1176"/>
        <v>9.8999999999999986</v>
      </c>
      <c r="AG2064" s="485">
        <f t="shared" si="1176"/>
        <v>24.660000000000004</v>
      </c>
      <c r="AH2064" s="485">
        <f t="shared" si="1176"/>
        <v>14.5</v>
      </c>
      <c r="AI2064" s="485">
        <f t="shared" si="1176"/>
        <v>20.45</v>
      </c>
      <c r="AJ2064" s="485">
        <f t="shared" si="1176"/>
        <v>20.640000000000011</v>
      </c>
      <c r="AK2064" s="485">
        <f t="shared" si="1176"/>
        <v>9.8400000000000016</v>
      </c>
      <c r="AL2064" s="485">
        <f t="shared" si="1176"/>
        <v>7.9799999999999995</v>
      </c>
      <c r="AM2064" s="485">
        <f t="shared" si="1176"/>
        <v>14.480000000000002</v>
      </c>
      <c r="AN2064" s="485">
        <f t="shared" si="1176"/>
        <v>5.65</v>
      </c>
      <c r="AO2064" s="485">
        <f t="shared" si="1176"/>
        <v>16.57</v>
      </c>
      <c r="AP2064" s="485">
        <f t="shared" si="1176"/>
        <v>1.8</v>
      </c>
      <c r="AQ2064" s="485"/>
      <c r="AR2064" s="485"/>
      <c r="AS2064" s="485">
        <f>SUBTOTAL(9,AS13:AS2063)</f>
        <v>14.4</v>
      </c>
      <c r="AU2064" s="556"/>
      <c r="BV2064"/>
      <c r="BW2064" s="799"/>
    </row>
    <row r="2065" spans="1:75" s="164" customFormat="1" ht="12.75" customHeight="1" x14ac:dyDescent="0.15">
      <c r="G2065" s="799"/>
      <c r="H2065" s="1355"/>
      <c r="L2065" s="799"/>
      <c r="M2065" s="799"/>
      <c r="N2065" s="799"/>
      <c r="P2065" s="550"/>
      <c r="Q2065" s="799"/>
      <c r="R2065" s="799"/>
      <c r="S2065" s="799"/>
      <c r="T2065" s="799"/>
      <c r="U2065" s="799"/>
      <c r="V2065" s="799"/>
      <c r="W2065" s="799"/>
      <c r="X2065" s="799"/>
      <c r="Y2065" s="799"/>
      <c r="Z2065" s="799"/>
      <c r="AC2065" s="799"/>
      <c r="BV2065"/>
      <c r="BW2065" s="799"/>
    </row>
    <row r="2066" spans="1:75" s="164" customFormat="1" ht="12.75" customHeight="1" x14ac:dyDescent="0.15">
      <c r="C2066" s="570"/>
      <c r="D2066" s="570"/>
      <c r="E2066" s="570"/>
      <c r="F2066" s="570"/>
      <c r="G2066" s="799"/>
      <c r="H2066" s="1355"/>
      <c r="I2066" s="570"/>
      <c r="J2066" s="570"/>
      <c r="K2066" s="570"/>
      <c r="L2066" s="799"/>
      <c r="M2066" s="799"/>
      <c r="N2066" s="799"/>
      <c r="P2066" s="550"/>
      <c r="Q2066" s="1025"/>
      <c r="R2066" s="1025"/>
      <c r="S2066" s="1025"/>
      <c r="T2066" s="1025"/>
      <c r="U2066" s="1025"/>
      <c r="V2066" s="1025"/>
      <c r="W2066" s="1025"/>
      <c r="X2066" s="1025"/>
      <c r="Y2066" s="1025"/>
      <c r="Z2066" s="1025"/>
      <c r="AC2066" s="1025"/>
      <c r="BV2066"/>
      <c r="BW2066" s="799"/>
    </row>
    <row r="2067" spans="1:75" s="164" customFormat="1" ht="12.75" customHeight="1" x14ac:dyDescent="0.15">
      <c r="G2067" s="799"/>
      <c r="H2067" s="1355"/>
      <c r="L2067" s="799"/>
      <c r="M2067" s="799"/>
      <c r="N2067" s="799"/>
      <c r="P2067" s="550"/>
      <c r="Q2067" s="1025"/>
      <c r="R2067" s="1025"/>
      <c r="S2067" s="1025"/>
      <c r="T2067" s="1025"/>
      <c r="U2067" s="1025"/>
      <c r="V2067" s="1025"/>
      <c r="W2067" s="1025"/>
      <c r="X2067" s="1025"/>
      <c r="Y2067" s="1025"/>
      <c r="Z2067" s="1025"/>
      <c r="AC2067" s="1025"/>
      <c r="BV2067"/>
      <c r="BW2067" s="799"/>
    </row>
    <row r="2068" spans="1:75" s="550" customFormat="1" ht="12.75" customHeight="1" x14ac:dyDescent="0.15">
      <c r="A2068" s="164"/>
      <c r="B2068" s="164"/>
      <c r="C2068" s="164"/>
      <c r="D2068" s="164"/>
      <c r="E2068" s="164"/>
      <c r="F2068" s="164"/>
      <c r="G2068" s="799"/>
      <c r="H2068" s="1355"/>
      <c r="I2068" s="164"/>
      <c r="J2068" s="164"/>
      <c r="K2068" s="164"/>
      <c r="L2068" s="799"/>
      <c r="M2068" s="799"/>
      <c r="N2068" s="799"/>
      <c r="O2068" s="175"/>
      <c r="P2068" s="1240"/>
      <c r="Q2068" s="1080"/>
      <c r="R2068" s="1080"/>
      <c r="S2068" s="1080"/>
      <c r="T2068" s="1080"/>
      <c r="U2068" s="1080"/>
      <c r="V2068" s="1080"/>
      <c r="W2068" s="1080"/>
      <c r="X2068" s="1080"/>
      <c r="Y2068" s="1080"/>
      <c r="Z2068" s="1080"/>
      <c r="AA2068" s="164"/>
      <c r="AC2068" s="1080"/>
      <c r="AE2068" s="164"/>
      <c r="AF2068" s="164"/>
      <c r="AG2068" s="164"/>
      <c r="AH2068" s="164"/>
      <c r="AI2068" s="164"/>
      <c r="AJ2068" s="164"/>
      <c r="AK2068" s="164"/>
      <c r="AM2068" s="549"/>
      <c r="AN2068" s="549"/>
      <c r="AO2068" s="549"/>
      <c r="AP2068" s="549"/>
      <c r="AQ2068" s="549"/>
      <c r="AR2068" s="549"/>
      <c r="AS2068" s="164"/>
      <c r="AU2068" s="164"/>
      <c r="BV2068"/>
      <c r="BW2068" s="799"/>
    </row>
    <row r="2069" spans="1:75" s="550" customFormat="1" ht="12.75" customHeight="1" x14ac:dyDescent="0.15">
      <c r="A2069" s="164"/>
      <c r="B2069" s="164"/>
      <c r="C2069" s="574"/>
      <c r="D2069" s="574"/>
      <c r="E2069" s="574"/>
      <c r="F2069" s="574"/>
      <c r="G2069" s="799"/>
      <c r="H2069" s="1355"/>
      <c r="I2069" s="574"/>
      <c r="J2069" s="574"/>
      <c r="K2069" s="574"/>
      <c r="L2069" s="799"/>
      <c r="M2069" s="799"/>
      <c r="N2069" s="799"/>
      <c r="O2069" s="175"/>
      <c r="P2069" s="1240"/>
      <c r="Q2069" s="1081"/>
      <c r="R2069" s="1081"/>
      <c r="S2069" s="1081"/>
      <c r="T2069" s="1081"/>
      <c r="U2069" s="1081"/>
      <c r="V2069" s="1081"/>
      <c r="W2069" s="1081"/>
      <c r="X2069" s="1081"/>
      <c r="Y2069" s="1081"/>
      <c r="Z2069" s="1081"/>
      <c r="AA2069" s="164"/>
      <c r="AC2069" s="1081"/>
      <c r="AE2069" s="164"/>
      <c r="AF2069" s="164"/>
      <c r="AG2069" s="164"/>
      <c r="AH2069" s="164"/>
      <c r="AI2069" s="164"/>
      <c r="AJ2069" s="164"/>
      <c r="AK2069" s="164"/>
      <c r="AM2069" s="549"/>
      <c r="AN2069" s="549"/>
      <c r="AO2069" s="549"/>
      <c r="AP2069" s="549"/>
      <c r="AQ2069" s="549"/>
      <c r="AR2069" s="549"/>
      <c r="AS2069" s="164"/>
      <c r="AU2069" s="164"/>
      <c r="BV2069"/>
      <c r="BW2069" s="799"/>
    </row>
    <row r="2070" spans="1:75" ht="14" x14ac:dyDescent="0.15">
      <c r="C2070" s="574"/>
      <c r="D2070" s="574"/>
      <c r="E2070" s="574"/>
      <c r="F2070" s="574"/>
      <c r="G2070" s="799"/>
      <c r="H2070" s="1355"/>
      <c r="I2070" s="574"/>
      <c r="J2070" s="574"/>
      <c r="K2070" s="574"/>
      <c r="L2070" s="799"/>
      <c r="M2070" s="799"/>
      <c r="N2070" s="799"/>
      <c r="Q2070" s="799"/>
      <c r="R2070" s="799"/>
      <c r="S2070" s="799"/>
      <c r="T2070" s="799"/>
      <c r="U2070" s="799"/>
      <c r="V2070" s="799"/>
      <c r="W2070" s="799"/>
      <c r="X2070" s="799"/>
      <c r="Y2070" s="799"/>
      <c r="Z2070" s="799"/>
      <c r="AC2070" s="799"/>
      <c r="BW2070" s="799"/>
    </row>
    <row r="2071" spans="1:75" ht="14" x14ac:dyDescent="0.15">
      <c r="C2071" s="574"/>
      <c r="D2071" s="574"/>
      <c r="E2071" s="574"/>
      <c r="F2071" s="574"/>
      <c r="G2071" s="799"/>
      <c r="H2071" s="1355"/>
      <c r="I2071" s="574"/>
      <c r="J2071" s="574"/>
      <c r="K2071" s="574"/>
      <c r="L2071" s="799"/>
      <c r="M2071" s="799"/>
      <c r="N2071" s="799"/>
      <c r="Q2071" s="799"/>
      <c r="R2071" s="799"/>
      <c r="S2071" s="799"/>
      <c r="T2071" s="799"/>
      <c r="U2071" s="799"/>
      <c r="V2071" s="799"/>
      <c r="W2071" s="799"/>
      <c r="X2071" s="799"/>
      <c r="Y2071" s="799"/>
      <c r="Z2071" s="799"/>
      <c r="AC2071" s="799"/>
      <c r="BW2071" s="799"/>
    </row>
    <row r="2072" spans="1:75" ht="16" x14ac:dyDescent="0.15">
      <c r="C2072" s="561"/>
      <c r="D2072" s="561"/>
      <c r="E2072" s="561"/>
      <c r="F2072" s="561"/>
      <c r="G2072" s="799"/>
      <c r="H2072" s="1410"/>
      <c r="I2072" s="561"/>
      <c r="J2072" s="561"/>
      <c r="K2072" s="771">
        <f>SUBTOTAL(9,K13:K2071)</f>
        <v>270.17</v>
      </c>
      <c r="L2072" s="1025">
        <f>SUBTOTAL(9,L13:L2071)</f>
        <v>4608.329999999999</v>
      </c>
      <c r="M2072" s="1025">
        <f>SUBTOTAL(9,M13:M2071)</f>
        <v>4877.4999999999991</v>
      </c>
      <c r="N2072" s="799"/>
      <c r="Q2072" s="1025">
        <f>SUBTOTAL(9,Q13:Q2071)</f>
        <v>69380200</v>
      </c>
      <c r="R2072" s="1025"/>
      <c r="S2072" s="1025"/>
      <c r="T2072" s="1025"/>
      <c r="U2072" s="1025"/>
      <c r="V2072" s="1025"/>
      <c r="W2072" s="1025"/>
      <c r="X2072" s="1025">
        <f>SUBTOTAL(9,X13:X2071)</f>
        <v>248844044.75</v>
      </c>
      <c r="Y2072" s="1025"/>
      <c r="Z2072" s="1025"/>
      <c r="AC2072" s="1025"/>
      <c r="BW2072" s="799"/>
    </row>
    <row r="2073" spans="1:75" ht="16" x14ac:dyDescent="0.15">
      <c r="C2073" s="561"/>
      <c r="D2073" s="561"/>
      <c r="E2073" s="561"/>
      <c r="F2073" s="561"/>
      <c r="G2073" s="799"/>
      <c r="H2073" s="1355"/>
      <c r="I2073" s="561"/>
      <c r="J2073" s="561"/>
      <c r="K2073" s="561"/>
      <c r="L2073" s="799"/>
      <c r="M2073" s="799"/>
      <c r="N2073" s="799"/>
      <c r="Q2073" s="799"/>
      <c r="R2073" s="799"/>
      <c r="S2073" s="799"/>
      <c r="T2073" s="799"/>
      <c r="U2073" s="799"/>
      <c r="V2073" s="799"/>
      <c r="W2073" s="799"/>
      <c r="X2073" s="799" t="e">
        <f>#REF!-X2072</f>
        <v>#REF!</v>
      </c>
      <c r="Y2073" s="799"/>
      <c r="Z2073" s="799"/>
      <c r="AC2073" s="799"/>
      <c r="BW2073" s="799"/>
    </row>
    <row r="2074" spans="1:75" ht="16" x14ac:dyDescent="0.15">
      <c r="C2074" s="561"/>
      <c r="D2074" s="561"/>
      <c r="E2074" s="561"/>
      <c r="F2074" s="561"/>
      <c r="G2074" s="799"/>
      <c r="H2074" s="1355"/>
      <c r="I2074" s="561"/>
      <c r="J2074" s="561"/>
      <c r="K2074" s="561"/>
      <c r="L2074" s="799"/>
      <c r="M2074" s="799"/>
      <c r="N2074" s="799"/>
      <c r="Q2074" s="799"/>
      <c r="R2074" s="799"/>
      <c r="S2074" s="799"/>
      <c r="T2074" s="799"/>
      <c r="U2074" s="799"/>
      <c r="V2074" s="799"/>
      <c r="W2074" s="799"/>
      <c r="X2074" s="1082" t="e">
        <f>#REF!+#REF!+#REF!+X2013-#REF!</f>
        <v>#REF!</v>
      </c>
      <c r="Y2074" s="799"/>
      <c r="Z2074" s="799"/>
      <c r="AC2074" s="1082"/>
      <c r="BW2074" s="799"/>
    </row>
    <row r="2075" spans="1:75" ht="16" x14ac:dyDescent="0.15">
      <c r="C2075" s="561"/>
      <c r="D2075" s="561"/>
      <c r="E2075" s="561"/>
      <c r="F2075" s="561"/>
      <c r="G2075" s="799"/>
      <c r="H2075" s="1355"/>
      <c r="I2075" s="561"/>
      <c r="J2075" s="561"/>
      <c r="K2075" s="561"/>
      <c r="L2075" s="799"/>
      <c r="M2075" s="799"/>
      <c r="N2075" s="799"/>
      <c r="Q2075" s="799"/>
      <c r="R2075" s="799"/>
      <c r="S2075" s="799"/>
      <c r="T2075" s="799"/>
      <c r="U2075" s="799"/>
      <c r="V2075" s="799"/>
      <c r="W2075" s="799"/>
      <c r="X2075" s="1082" t="e">
        <f>X2072-X2074</f>
        <v>#REF!</v>
      </c>
      <c r="Y2075" s="799"/>
      <c r="Z2075" s="799"/>
      <c r="AC2075" s="1082"/>
      <c r="BW2075" s="799"/>
    </row>
    <row r="2076" spans="1:75" ht="16" x14ac:dyDescent="0.15">
      <c r="C2076" s="561"/>
      <c r="D2076" s="561"/>
      <c r="E2076" s="561"/>
      <c r="F2076" s="561"/>
      <c r="G2076" s="799"/>
      <c r="H2076" s="1355"/>
      <c r="I2076" s="561"/>
      <c r="J2076" s="561"/>
      <c r="K2076" s="561"/>
      <c r="L2076" s="799"/>
      <c r="M2076" s="799"/>
      <c r="N2076" s="799"/>
      <c r="Q2076" s="799"/>
      <c r="R2076" s="799"/>
      <c r="S2076" s="799"/>
      <c r="T2076" s="799" t="e">
        <f>#REF!/882</f>
        <v>#REF!</v>
      </c>
      <c r="U2076" s="799"/>
      <c r="V2076" s="799"/>
      <c r="W2076" s="799"/>
      <c r="X2076" s="1082" t="e">
        <f>#REF!+X2075</f>
        <v>#REF!</v>
      </c>
      <c r="Y2076" s="799"/>
      <c r="Z2076" s="799"/>
      <c r="AC2076" s="1082"/>
      <c r="BW2076" s="799"/>
    </row>
    <row r="2077" spans="1:75" ht="16" x14ac:dyDescent="0.15">
      <c r="C2077" s="561"/>
      <c r="D2077" s="561"/>
      <c r="E2077" s="561"/>
      <c r="F2077" s="561"/>
      <c r="G2077" s="799"/>
      <c r="H2077" s="1355"/>
      <c r="I2077" s="561"/>
      <c r="J2077" s="561"/>
      <c r="K2077" s="561"/>
      <c r="L2077" s="799"/>
      <c r="M2077" s="799"/>
      <c r="N2077" s="799"/>
      <c r="Q2077" s="799"/>
      <c r="R2077" s="799"/>
      <c r="S2077" s="799"/>
      <c r="T2077" s="799"/>
      <c r="U2077" s="799"/>
      <c r="V2077" s="799"/>
      <c r="W2077" s="799"/>
      <c r="X2077" s="799"/>
      <c r="Y2077" s="799"/>
      <c r="Z2077" s="799"/>
      <c r="AC2077" s="799"/>
      <c r="BW2077" s="799"/>
    </row>
    <row r="2078" spans="1:75" ht="16" x14ac:dyDescent="0.15">
      <c r="C2078" s="561"/>
      <c r="D2078" s="561"/>
      <c r="E2078" s="561"/>
      <c r="F2078" s="561"/>
      <c r="G2078" s="799"/>
      <c r="H2078" s="1355"/>
      <c r="I2078" s="561"/>
      <c r="J2078" s="561"/>
      <c r="K2078" s="561"/>
      <c r="L2078" s="799"/>
      <c r="M2078" s="799"/>
      <c r="N2078" s="799"/>
      <c r="Q2078" s="799"/>
      <c r="R2078" s="799"/>
      <c r="S2078" s="799"/>
      <c r="T2078" s="799"/>
      <c r="U2078" s="799"/>
      <c r="V2078" s="799"/>
      <c r="W2078" s="799"/>
      <c r="X2078" s="799" t="e">
        <f>X2072/#REF!</f>
        <v>#REF!</v>
      </c>
      <c r="Y2078" s="799"/>
      <c r="Z2078" s="799"/>
      <c r="AC2078" s="799"/>
      <c r="BW2078" s="799"/>
    </row>
    <row r="2079" spans="1:75" ht="16" x14ac:dyDescent="0.15">
      <c r="C2079" s="561"/>
      <c r="D2079" s="561"/>
      <c r="E2079" s="561"/>
      <c r="F2079" s="561"/>
      <c r="G2079" s="799"/>
      <c r="H2079" s="1355"/>
      <c r="I2079" s="561"/>
      <c r="J2079" s="561"/>
      <c r="K2079" s="561"/>
      <c r="L2079" s="799"/>
      <c r="M2079" s="799"/>
      <c r="N2079" s="799"/>
      <c r="Q2079" s="799"/>
      <c r="R2079" s="799"/>
      <c r="S2079" s="799"/>
      <c r="T2079" s="799"/>
      <c r="U2079" s="799"/>
      <c r="V2079" s="799"/>
      <c r="W2079" s="799"/>
      <c r="X2079" s="799">
        <f>2000000/150</f>
        <v>13333.333333333334</v>
      </c>
      <c r="Y2079" s="799"/>
      <c r="Z2079" s="799"/>
      <c r="AC2079" s="799"/>
      <c r="BW2079" s="799"/>
    </row>
    <row r="2080" spans="1:75" ht="16" x14ac:dyDescent="0.15">
      <c r="C2080" s="561"/>
      <c r="D2080" s="561"/>
      <c r="E2080" s="561"/>
      <c r="F2080" s="561"/>
      <c r="G2080" s="799"/>
      <c r="H2080" s="1355"/>
      <c r="I2080" s="561"/>
      <c r="J2080" s="561"/>
      <c r="K2080" s="561"/>
      <c r="L2080" s="799"/>
      <c r="M2080" s="799"/>
      <c r="N2080" s="799"/>
      <c r="Q2080" s="799"/>
      <c r="R2080" s="799"/>
      <c r="S2080" s="799"/>
      <c r="T2080" s="799"/>
      <c r="U2080" s="799"/>
      <c r="V2080" s="799"/>
      <c r="W2080" s="799"/>
      <c r="X2080" s="799" t="e">
        <f>X2078+X2079</f>
        <v>#REF!</v>
      </c>
      <c r="Y2080" s="799"/>
      <c r="Z2080" s="799"/>
      <c r="AC2080" s="799"/>
      <c r="BW2080" s="799"/>
    </row>
    <row r="2081" spans="3:75" ht="16" x14ac:dyDescent="0.15">
      <c r="C2081" s="561"/>
      <c r="D2081" s="561"/>
      <c r="E2081" s="561"/>
      <c r="F2081" s="561"/>
      <c r="G2081" s="799"/>
      <c r="H2081" s="1355"/>
      <c r="I2081" s="561"/>
      <c r="J2081" s="561"/>
      <c r="K2081" s="561"/>
      <c r="L2081" s="799"/>
      <c r="M2081" s="799"/>
      <c r="N2081" s="799"/>
      <c r="Q2081" s="799"/>
      <c r="R2081" s="799"/>
      <c r="S2081" s="799"/>
      <c r="T2081" s="799"/>
      <c r="U2081" s="799"/>
      <c r="V2081" s="799"/>
      <c r="W2081" s="799"/>
      <c r="X2081" s="799"/>
      <c r="Y2081" s="799"/>
      <c r="Z2081" s="799"/>
      <c r="AC2081" s="799"/>
      <c r="BW2081" s="799"/>
    </row>
    <row r="2082" spans="3:75" ht="16" x14ac:dyDescent="0.15">
      <c r="C2082" s="561"/>
      <c r="D2082" s="561"/>
      <c r="E2082" s="561"/>
      <c r="F2082" s="561"/>
      <c r="G2082" s="799"/>
      <c r="H2082" s="1355"/>
      <c r="I2082" s="561"/>
      <c r="J2082" s="561"/>
      <c r="K2082" s="561"/>
      <c r="L2082" s="799"/>
      <c r="M2082" s="799"/>
      <c r="N2082" s="799"/>
      <c r="Q2082" s="799"/>
      <c r="R2082" s="799"/>
      <c r="S2082" s="799"/>
      <c r="T2082" s="799"/>
      <c r="U2082" s="799"/>
      <c r="V2082" s="799"/>
      <c r="W2082" s="799"/>
      <c r="X2082" s="799"/>
      <c r="Y2082" s="799"/>
      <c r="Z2082" s="799"/>
      <c r="AC2082" s="799"/>
      <c r="BW2082" s="799"/>
    </row>
    <row r="2083" spans="3:75" ht="16" x14ac:dyDescent="0.15">
      <c r="C2083" s="561"/>
      <c r="D2083" s="561"/>
      <c r="E2083" s="561"/>
      <c r="F2083" s="561"/>
      <c r="G2083" s="799"/>
      <c r="H2083" s="1355"/>
      <c r="I2083" s="561"/>
      <c r="J2083" s="561"/>
      <c r="K2083" s="561"/>
      <c r="L2083" s="799"/>
      <c r="M2083" s="799"/>
      <c r="N2083" s="799"/>
      <c r="Q2083" s="799"/>
      <c r="R2083" s="799"/>
      <c r="S2083" s="799"/>
      <c r="T2083" s="799"/>
      <c r="U2083" s="799"/>
      <c r="V2083" s="799"/>
      <c r="W2083" s="799"/>
      <c r="X2083" s="799"/>
      <c r="Y2083" s="799"/>
      <c r="Z2083" s="799"/>
      <c r="AC2083" s="799"/>
      <c r="BW2083" s="799"/>
    </row>
    <row r="2084" spans="3:75" ht="16" x14ac:dyDescent="0.15">
      <c r="C2084" s="561"/>
      <c r="D2084" s="561"/>
      <c r="E2084" s="561"/>
      <c r="F2084" s="561"/>
      <c r="G2084" s="799"/>
      <c r="H2084" s="1355"/>
      <c r="I2084" s="561"/>
      <c r="J2084" s="561"/>
      <c r="K2084" s="561"/>
      <c r="L2084" s="799"/>
      <c r="M2084" s="799"/>
      <c r="N2084" s="799"/>
      <c r="Q2084" s="799"/>
      <c r="R2084" s="799"/>
      <c r="S2084" s="799"/>
      <c r="T2084" s="799"/>
      <c r="U2084" s="799"/>
      <c r="V2084" s="799"/>
      <c r="W2084" s="799"/>
      <c r="X2084" s="799"/>
      <c r="Y2084" s="799"/>
      <c r="Z2084" s="799"/>
      <c r="AC2084" s="799"/>
      <c r="BW2084" s="799"/>
    </row>
    <row r="2085" spans="3:75" ht="16" x14ac:dyDescent="0.15">
      <c r="C2085" s="561"/>
      <c r="D2085" s="561"/>
      <c r="E2085" s="561"/>
      <c r="F2085" s="561"/>
      <c r="G2085" s="799"/>
      <c r="H2085" s="1355"/>
      <c r="I2085" s="561"/>
      <c r="J2085" s="561"/>
      <c r="K2085" s="561"/>
      <c r="L2085" s="799"/>
      <c r="M2085" s="799"/>
      <c r="N2085" s="799"/>
      <c r="Q2085" s="799"/>
      <c r="R2085" s="799"/>
      <c r="S2085" s="799"/>
      <c r="T2085" s="799"/>
      <c r="U2085" s="799"/>
      <c r="V2085" s="799"/>
      <c r="W2085" s="799"/>
      <c r="X2085" s="799"/>
      <c r="Y2085" s="799"/>
      <c r="Z2085" s="799"/>
      <c r="AC2085" s="799"/>
      <c r="BW2085" s="799"/>
    </row>
    <row r="2086" spans="3:75" ht="16" x14ac:dyDescent="0.15">
      <c r="C2086" s="561"/>
      <c r="D2086" s="561"/>
      <c r="E2086" s="561"/>
      <c r="F2086" s="561"/>
      <c r="G2086" s="799"/>
      <c r="H2086" s="1355"/>
      <c r="I2086" s="561"/>
      <c r="J2086" s="561"/>
      <c r="K2086" s="561"/>
      <c r="L2086" s="799"/>
      <c r="M2086" s="799"/>
      <c r="N2086" s="799"/>
      <c r="Q2086" s="799"/>
      <c r="R2086" s="799"/>
      <c r="S2086" s="799"/>
      <c r="T2086" s="799"/>
      <c r="U2086" s="799"/>
      <c r="V2086" s="799"/>
      <c r="W2086" s="799"/>
      <c r="X2086" s="799"/>
      <c r="Y2086" s="799"/>
      <c r="Z2086" s="799"/>
      <c r="AC2086" s="799"/>
      <c r="BW2086" s="799"/>
    </row>
    <row r="2087" spans="3:75" ht="16" x14ac:dyDescent="0.15">
      <c r="C2087" s="561"/>
      <c r="D2087" s="561"/>
      <c r="E2087" s="561"/>
      <c r="F2087" s="561"/>
      <c r="G2087" s="799"/>
      <c r="H2087" s="1355"/>
      <c r="I2087" s="561"/>
      <c r="J2087" s="561"/>
      <c r="K2087" s="561"/>
      <c r="L2087" s="799"/>
      <c r="M2087" s="799"/>
      <c r="N2087" s="799"/>
      <c r="Q2087" s="799"/>
      <c r="R2087" s="799"/>
      <c r="S2087" s="799"/>
      <c r="T2087" s="799"/>
      <c r="U2087" s="799"/>
      <c r="V2087" s="799"/>
      <c r="W2087" s="799"/>
      <c r="X2087" s="799"/>
      <c r="Y2087" s="799"/>
      <c r="Z2087" s="799"/>
      <c r="AC2087" s="799"/>
      <c r="BW2087" s="799"/>
    </row>
    <row r="2088" spans="3:75" ht="16" x14ac:dyDescent="0.15">
      <c r="C2088" s="561"/>
      <c r="D2088" s="561"/>
      <c r="E2088" s="561"/>
      <c r="F2088" s="561"/>
      <c r="G2088" s="799"/>
      <c r="H2088" s="1355"/>
      <c r="I2088" s="561"/>
      <c r="J2088" s="561"/>
      <c r="K2088" s="561"/>
      <c r="L2088" s="799"/>
      <c r="M2088" s="799"/>
      <c r="N2088" s="799"/>
      <c r="Q2088" s="799"/>
      <c r="R2088" s="799"/>
      <c r="S2088" s="799"/>
      <c r="T2088" s="799"/>
      <c r="U2088" s="799"/>
      <c r="V2088" s="799"/>
      <c r="W2088" s="799"/>
      <c r="X2088" s="799"/>
      <c r="Y2088" s="799"/>
      <c r="Z2088" s="799"/>
      <c r="AC2088" s="799"/>
      <c r="BW2088" s="799"/>
    </row>
    <row r="2089" spans="3:75" ht="16" x14ac:dyDescent="0.15">
      <c r="C2089" s="561"/>
      <c r="D2089" s="561"/>
      <c r="E2089" s="561"/>
      <c r="F2089" s="561"/>
      <c r="G2089" s="799"/>
      <c r="H2089" s="1355"/>
      <c r="I2089" s="561"/>
      <c r="J2089" s="561"/>
      <c r="K2089" s="561"/>
      <c r="L2089" s="799"/>
      <c r="M2089" s="799"/>
      <c r="N2089" s="799"/>
      <c r="Q2089" s="799"/>
      <c r="R2089" s="799"/>
      <c r="S2089" s="799"/>
      <c r="T2089" s="799"/>
      <c r="U2089" s="799"/>
      <c r="V2089" s="799"/>
      <c r="W2089" s="799"/>
      <c r="X2089" s="799"/>
      <c r="Y2089" s="799"/>
      <c r="Z2089" s="799"/>
      <c r="AC2089" s="799"/>
      <c r="BW2089" s="799"/>
    </row>
    <row r="2090" spans="3:75" ht="16" x14ac:dyDescent="0.15">
      <c r="C2090" s="561"/>
      <c r="D2090" s="561"/>
      <c r="E2090" s="561"/>
      <c r="F2090" s="561"/>
      <c r="G2090" s="799"/>
      <c r="H2090" s="1355"/>
      <c r="I2090" s="561"/>
      <c r="J2090" s="561"/>
      <c r="K2090" s="561"/>
      <c r="L2090" s="799"/>
      <c r="M2090" s="799"/>
      <c r="N2090" s="799"/>
      <c r="Q2090" s="799"/>
      <c r="R2090" s="799"/>
      <c r="S2090" s="799"/>
      <c r="T2090" s="799"/>
      <c r="U2090" s="799"/>
      <c r="V2090" s="799"/>
      <c r="W2090" s="799"/>
      <c r="X2090" s="799"/>
      <c r="Y2090" s="799"/>
      <c r="Z2090" s="799"/>
      <c r="AC2090" s="799"/>
      <c r="BW2090" s="799"/>
    </row>
    <row r="2091" spans="3:75" ht="16" x14ac:dyDescent="0.15">
      <c r="C2091" s="561"/>
      <c r="D2091" s="561"/>
      <c r="E2091" s="561"/>
      <c r="F2091" s="561"/>
      <c r="G2091" s="799"/>
      <c r="H2091" s="1355"/>
      <c r="I2091" s="561"/>
      <c r="J2091" s="561"/>
      <c r="K2091" s="561"/>
      <c r="L2091" s="799"/>
      <c r="M2091" s="799"/>
      <c r="N2091" s="799"/>
      <c r="Q2091" s="799"/>
      <c r="R2091" s="799"/>
      <c r="S2091" s="799"/>
      <c r="T2091" s="799"/>
      <c r="U2091" s="799"/>
      <c r="V2091" s="799"/>
      <c r="W2091" s="799"/>
      <c r="X2091" s="799"/>
      <c r="Y2091" s="799"/>
      <c r="Z2091" s="799"/>
      <c r="AC2091" s="799"/>
      <c r="BW2091" s="799"/>
    </row>
    <row r="2092" spans="3:75" ht="16" x14ac:dyDescent="0.15">
      <c r="C2092" s="561"/>
      <c r="D2092" s="561"/>
      <c r="E2092" s="561"/>
      <c r="F2092" s="561"/>
      <c r="G2092" s="799"/>
      <c r="H2092" s="1355"/>
      <c r="I2092" s="561"/>
      <c r="J2092" s="561"/>
      <c r="K2092" s="561"/>
      <c r="L2092" s="799"/>
      <c r="M2092" s="799"/>
      <c r="N2092" s="799"/>
      <c r="Q2092" s="799"/>
      <c r="R2092" s="799"/>
      <c r="S2092" s="799"/>
      <c r="T2092" s="799"/>
      <c r="U2092" s="799"/>
      <c r="V2092" s="799"/>
      <c r="W2092" s="799"/>
      <c r="X2092" s="799"/>
      <c r="Y2092" s="799"/>
      <c r="Z2092" s="799"/>
      <c r="AC2092" s="799"/>
      <c r="BW2092" s="799"/>
    </row>
    <row r="2093" spans="3:75" ht="16" x14ac:dyDescent="0.15">
      <c r="C2093" s="561"/>
      <c r="D2093" s="561"/>
      <c r="E2093" s="561"/>
      <c r="F2093" s="561"/>
      <c r="G2093" s="799"/>
      <c r="H2093" s="1355"/>
      <c r="I2093" s="561"/>
      <c r="J2093" s="561"/>
      <c r="K2093" s="561"/>
      <c r="L2093" s="799"/>
      <c r="M2093" s="799"/>
      <c r="N2093" s="799"/>
      <c r="Q2093" s="799"/>
      <c r="R2093" s="799"/>
      <c r="S2093" s="799"/>
      <c r="T2093" s="799"/>
      <c r="U2093" s="799"/>
      <c r="V2093" s="799"/>
      <c r="W2093" s="799"/>
      <c r="X2093" s="799"/>
      <c r="Y2093" s="799"/>
      <c r="Z2093" s="799"/>
      <c r="AC2093" s="799"/>
      <c r="BW2093" s="799"/>
    </row>
    <row r="2094" spans="3:75" ht="16" x14ac:dyDescent="0.15">
      <c r="C2094" s="561"/>
      <c r="D2094" s="561"/>
      <c r="E2094" s="561"/>
      <c r="F2094" s="561"/>
      <c r="G2094" s="799"/>
      <c r="H2094" s="1355"/>
      <c r="I2094" s="561"/>
      <c r="J2094" s="561"/>
      <c r="K2094" s="561"/>
      <c r="L2094" s="799"/>
      <c r="M2094" s="799"/>
      <c r="N2094" s="799"/>
      <c r="Q2094" s="799"/>
      <c r="R2094" s="799"/>
      <c r="S2094" s="799"/>
      <c r="T2094" s="799"/>
      <c r="U2094" s="799"/>
      <c r="V2094" s="799"/>
      <c r="W2094" s="799"/>
      <c r="X2094" s="799"/>
      <c r="Y2094" s="799"/>
      <c r="Z2094" s="799"/>
      <c r="AC2094" s="799"/>
      <c r="BW2094" s="799"/>
    </row>
    <row r="2095" spans="3:75" ht="16" x14ac:dyDescent="0.15">
      <c r="C2095" s="561"/>
      <c r="D2095" s="561"/>
      <c r="E2095" s="561"/>
      <c r="F2095" s="561"/>
      <c r="G2095" s="799"/>
      <c r="H2095" s="1355"/>
      <c r="I2095" s="561"/>
      <c r="J2095" s="561"/>
      <c r="K2095" s="561"/>
      <c r="L2095" s="799"/>
      <c r="M2095" s="799"/>
      <c r="N2095" s="799"/>
      <c r="Q2095" s="799"/>
      <c r="R2095" s="799"/>
      <c r="S2095" s="799"/>
      <c r="T2095" s="799"/>
      <c r="U2095" s="799"/>
      <c r="V2095" s="799"/>
      <c r="W2095" s="799"/>
      <c r="X2095" s="799"/>
      <c r="Y2095" s="799"/>
      <c r="Z2095" s="799"/>
      <c r="AC2095" s="799"/>
      <c r="BW2095" s="799"/>
    </row>
    <row r="2096" spans="3:75" ht="16" x14ac:dyDescent="0.15">
      <c r="C2096" s="561"/>
      <c r="D2096" s="561"/>
      <c r="E2096" s="561"/>
      <c r="F2096" s="561"/>
      <c r="G2096" s="799"/>
      <c r="H2096" s="1355"/>
      <c r="I2096" s="561"/>
      <c r="J2096" s="561"/>
      <c r="K2096" s="561"/>
      <c r="L2096" s="799"/>
      <c r="M2096" s="799"/>
      <c r="N2096" s="799"/>
      <c r="Q2096" s="799"/>
      <c r="R2096" s="799"/>
      <c r="S2096" s="799"/>
      <c r="T2096" s="799"/>
      <c r="U2096" s="799"/>
      <c r="V2096" s="799"/>
      <c r="W2096" s="799"/>
      <c r="X2096" s="799"/>
      <c r="Y2096" s="799"/>
      <c r="Z2096" s="799"/>
      <c r="AC2096" s="799"/>
      <c r="BW2096" s="799"/>
    </row>
    <row r="2097" spans="3:75" ht="16" x14ac:dyDescent="0.15">
      <c r="C2097" s="561"/>
      <c r="D2097" s="561"/>
      <c r="E2097" s="561"/>
      <c r="F2097" s="561"/>
      <c r="G2097" s="799"/>
      <c r="H2097" s="1355"/>
      <c r="I2097" s="561"/>
      <c r="J2097" s="561"/>
      <c r="K2097" s="561"/>
      <c r="L2097" s="799"/>
      <c r="M2097" s="799"/>
      <c r="N2097" s="799"/>
      <c r="Q2097" s="799"/>
      <c r="R2097" s="799"/>
      <c r="S2097" s="799"/>
      <c r="T2097" s="799"/>
      <c r="U2097" s="799"/>
      <c r="V2097" s="799"/>
      <c r="W2097" s="799"/>
      <c r="X2097" s="799"/>
      <c r="Y2097" s="799"/>
      <c r="Z2097" s="799"/>
      <c r="AC2097" s="799"/>
      <c r="BW2097" s="799"/>
    </row>
    <row r="2098" spans="3:75" ht="16" x14ac:dyDescent="0.15">
      <c r="C2098" s="561"/>
      <c r="D2098" s="561"/>
      <c r="E2098" s="561"/>
      <c r="F2098" s="561"/>
      <c r="G2098" s="799"/>
      <c r="H2098" s="1355"/>
      <c r="I2098" s="561"/>
      <c r="J2098" s="561"/>
      <c r="K2098" s="561"/>
      <c r="L2098" s="799"/>
      <c r="M2098" s="799"/>
      <c r="N2098" s="799"/>
      <c r="Q2098" s="799"/>
      <c r="R2098" s="799"/>
      <c r="S2098" s="799"/>
      <c r="T2098" s="799"/>
      <c r="U2098" s="799"/>
      <c r="V2098" s="799"/>
      <c r="W2098" s="799"/>
      <c r="X2098" s="799"/>
      <c r="Y2098" s="799"/>
      <c r="Z2098" s="799"/>
      <c r="AC2098" s="799"/>
      <c r="BW2098" s="799"/>
    </row>
    <row r="2099" spans="3:75" ht="16" x14ac:dyDescent="0.15">
      <c r="C2099" s="561"/>
      <c r="D2099" s="561"/>
      <c r="E2099" s="561"/>
      <c r="F2099" s="561"/>
      <c r="G2099" s="799"/>
      <c r="H2099" s="1355"/>
      <c r="I2099" s="561"/>
      <c r="J2099" s="561"/>
      <c r="K2099" s="561"/>
      <c r="L2099" s="799"/>
      <c r="M2099" s="799"/>
      <c r="N2099" s="799"/>
      <c r="Q2099" s="799"/>
      <c r="R2099" s="799"/>
      <c r="S2099" s="799"/>
      <c r="T2099" s="799"/>
      <c r="U2099" s="799"/>
      <c r="V2099" s="799"/>
      <c r="W2099" s="799"/>
      <c r="X2099" s="799"/>
      <c r="Y2099" s="799"/>
      <c r="Z2099" s="799"/>
      <c r="AC2099" s="799"/>
      <c r="BW2099" s="799"/>
    </row>
    <row r="2100" spans="3:75" ht="16" x14ac:dyDescent="0.15">
      <c r="C2100" s="561"/>
      <c r="D2100" s="561"/>
      <c r="E2100" s="561"/>
      <c r="F2100" s="561"/>
      <c r="G2100" s="799"/>
      <c r="H2100" s="1355"/>
      <c r="I2100" s="561"/>
      <c r="J2100" s="561"/>
      <c r="K2100" s="561"/>
      <c r="L2100" s="799"/>
      <c r="M2100" s="799"/>
      <c r="N2100" s="799"/>
      <c r="Q2100" s="799"/>
      <c r="R2100" s="799"/>
      <c r="S2100" s="799"/>
      <c r="T2100" s="799"/>
      <c r="U2100" s="799"/>
      <c r="V2100" s="799"/>
      <c r="W2100" s="799"/>
      <c r="X2100" s="799"/>
      <c r="Y2100" s="799"/>
      <c r="Z2100" s="799"/>
      <c r="AC2100" s="799"/>
      <c r="BW2100" s="799"/>
    </row>
    <row r="2101" spans="3:75" ht="16" x14ac:dyDescent="0.15">
      <c r="C2101" s="561"/>
      <c r="D2101" s="561"/>
      <c r="E2101" s="561"/>
      <c r="F2101" s="561"/>
      <c r="G2101" s="799"/>
      <c r="H2101" s="1355"/>
      <c r="I2101" s="561"/>
      <c r="J2101" s="561"/>
      <c r="K2101" s="561"/>
      <c r="L2101" s="799"/>
      <c r="M2101" s="799"/>
      <c r="N2101" s="799"/>
      <c r="Q2101" s="799"/>
      <c r="R2101" s="799"/>
      <c r="S2101" s="799"/>
      <c r="T2101" s="799"/>
      <c r="U2101" s="799"/>
      <c r="V2101" s="799"/>
      <c r="W2101" s="799"/>
      <c r="X2101" s="799"/>
      <c r="Y2101" s="799"/>
      <c r="Z2101" s="799"/>
      <c r="AC2101" s="799"/>
      <c r="BW2101" s="799"/>
    </row>
    <row r="2102" spans="3:75" ht="16" x14ac:dyDescent="0.15">
      <c r="C2102" s="561"/>
      <c r="D2102" s="561"/>
      <c r="E2102" s="561"/>
      <c r="F2102" s="561"/>
      <c r="G2102" s="799"/>
      <c r="H2102" s="1355"/>
      <c r="I2102" s="561"/>
      <c r="J2102" s="561"/>
      <c r="K2102" s="561"/>
      <c r="L2102" s="799"/>
      <c r="M2102" s="799"/>
      <c r="N2102" s="799"/>
      <c r="Q2102" s="799"/>
      <c r="R2102" s="799"/>
      <c r="S2102" s="799"/>
      <c r="T2102" s="799"/>
      <c r="U2102" s="799"/>
      <c r="V2102" s="799"/>
      <c r="W2102" s="799"/>
      <c r="X2102" s="799"/>
      <c r="Y2102" s="799"/>
      <c r="Z2102" s="799"/>
      <c r="AC2102" s="799"/>
      <c r="BW2102" s="799"/>
    </row>
    <row r="2103" spans="3:75" ht="16" x14ac:dyDescent="0.15">
      <c r="C2103" s="561"/>
      <c r="D2103" s="561"/>
      <c r="E2103" s="561"/>
      <c r="F2103" s="561"/>
      <c r="G2103" s="799"/>
      <c r="H2103" s="1355"/>
      <c r="I2103" s="561"/>
      <c r="J2103" s="561"/>
      <c r="K2103" s="561"/>
      <c r="L2103" s="799"/>
      <c r="M2103" s="799"/>
      <c r="N2103" s="799"/>
      <c r="Q2103" s="799"/>
      <c r="R2103" s="799"/>
      <c r="S2103" s="799"/>
      <c r="T2103" s="799"/>
      <c r="U2103" s="799"/>
      <c r="V2103" s="799"/>
      <c r="W2103" s="799"/>
      <c r="X2103" s="799"/>
      <c r="Y2103" s="799"/>
      <c r="Z2103" s="799"/>
      <c r="AC2103" s="799"/>
      <c r="BW2103" s="799"/>
    </row>
    <row r="2104" spans="3:75" ht="16" x14ac:dyDescent="0.15">
      <c r="C2104" s="561"/>
      <c r="D2104" s="561"/>
      <c r="E2104" s="561"/>
      <c r="F2104" s="561"/>
      <c r="G2104" s="799"/>
      <c r="H2104" s="1355"/>
      <c r="I2104" s="561"/>
      <c r="J2104" s="561"/>
      <c r="K2104" s="561"/>
      <c r="L2104" s="799"/>
      <c r="M2104" s="799"/>
      <c r="N2104" s="799"/>
      <c r="Q2104" s="799"/>
      <c r="R2104" s="799"/>
      <c r="S2104" s="799"/>
      <c r="T2104" s="799"/>
      <c r="U2104" s="799"/>
      <c r="V2104" s="799"/>
      <c r="W2104" s="799"/>
      <c r="X2104" s="799"/>
      <c r="Y2104" s="799"/>
      <c r="Z2104" s="799"/>
      <c r="AC2104" s="799"/>
      <c r="BW2104" s="799"/>
    </row>
    <row r="2105" spans="3:75" ht="16" x14ac:dyDescent="0.15">
      <c r="C2105" s="561"/>
      <c r="D2105" s="561"/>
      <c r="E2105" s="561"/>
      <c r="F2105" s="561"/>
      <c r="G2105" s="799"/>
      <c r="H2105" s="1355"/>
      <c r="I2105" s="561"/>
      <c r="J2105" s="561"/>
      <c r="K2105" s="561"/>
      <c r="L2105" s="799"/>
      <c r="M2105" s="799"/>
      <c r="N2105" s="799"/>
      <c r="Q2105" s="799"/>
      <c r="R2105" s="799"/>
      <c r="S2105" s="799"/>
      <c r="T2105" s="799"/>
      <c r="U2105" s="799"/>
      <c r="V2105" s="799"/>
      <c r="W2105" s="799"/>
      <c r="X2105" s="799"/>
      <c r="Y2105" s="799"/>
      <c r="Z2105" s="799"/>
      <c r="AC2105" s="799"/>
      <c r="BW2105" s="799"/>
    </row>
    <row r="2106" spans="3:75" ht="16" x14ac:dyDescent="0.15">
      <c r="C2106" s="561"/>
      <c r="D2106" s="561"/>
      <c r="E2106" s="561"/>
      <c r="F2106" s="561"/>
      <c r="G2106" s="799"/>
      <c r="H2106" s="1355"/>
      <c r="I2106" s="561"/>
      <c r="J2106" s="561"/>
      <c r="K2106" s="561"/>
      <c r="L2106" s="799"/>
      <c r="M2106" s="799"/>
      <c r="N2106" s="799"/>
      <c r="Q2106" s="799"/>
      <c r="R2106" s="799"/>
      <c r="S2106" s="799"/>
      <c r="T2106" s="799"/>
      <c r="U2106" s="799"/>
      <c r="V2106" s="799"/>
      <c r="W2106" s="799"/>
      <c r="X2106" s="799"/>
      <c r="Y2106" s="799"/>
      <c r="Z2106" s="799"/>
      <c r="AC2106" s="799"/>
      <c r="BW2106" s="799"/>
    </row>
    <row r="2107" spans="3:75" ht="16" x14ac:dyDescent="0.15">
      <c r="C2107" s="561"/>
      <c r="D2107" s="561"/>
      <c r="E2107" s="561"/>
      <c r="F2107" s="561"/>
      <c r="G2107" s="799"/>
      <c r="H2107" s="1355"/>
      <c r="I2107" s="561"/>
      <c r="J2107" s="561"/>
      <c r="K2107" s="561"/>
      <c r="L2107" s="799"/>
      <c r="M2107" s="799"/>
      <c r="N2107" s="799"/>
      <c r="Q2107" s="799"/>
      <c r="R2107" s="799"/>
      <c r="S2107" s="799"/>
      <c r="T2107" s="799"/>
      <c r="U2107" s="799"/>
      <c r="V2107" s="799"/>
      <c r="W2107" s="799"/>
      <c r="X2107" s="799"/>
      <c r="Y2107" s="799"/>
      <c r="Z2107" s="799"/>
      <c r="AC2107" s="799"/>
      <c r="BW2107" s="799"/>
    </row>
    <row r="2108" spans="3:75" ht="16" x14ac:dyDescent="0.15">
      <c r="C2108" s="561"/>
      <c r="D2108" s="561"/>
      <c r="E2108" s="561"/>
      <c r="F2108" s="561"/>
      <c r="G2108" s="799"/>
      <c r="H2108" s="1355"/>
      <c r="I2108" s="561"/>
      <c r="J2108" s="561"/>
      <c r="K2108" s="561"/>
      <c r="L2108" s="799"/>
      <c r="M2108" s="799"/>
      <c r="N2108" s="799"/>
      <c r="Q2108" s="799"/>
      <c r="R2108" s="799"/>
      <c r="S2108" s="799"/>
      <c r="T2108" s="799"/>
      <c r="U2108" s="799"/>
      <c r="V2108" s="799"/>
      <c r="W2108" s="799"/>
      <c r="X2108" s="799"/>
      <c r="Y2108" s="799"/>
      <c r="Z2108" s="799"/>
      <c r="AC2108" s="799"/>
      <c r="BW2108" s="799"/>
    </row>
    <row r="2109" spans="3:75" ht="16" x14ac:dyDescent="0.15">
      <c r="C2109" s="561"/>
      <c r="D2109" s="561"/>
      <c r="E2109" s="561"/>
      <c r="F2109" s="561"/>
      <c r="G2109" s="799"/>
      <c r="H2109" s="1355"/>
      <c r="I2109" s="561"/>
      <c r="J2109" s="561"/>
      <c r="K2109" s="561"/>
      <c r="L2109" s="799"/>
      <c r="M2109" s="799"/>
      <c r="N2109" s="799"/>
      <c r="Q2109" s="799"/>
      <c r="R2109" s="799"/>
      <c r="S2109" s="799"/>
      <c r="T2109" s="799"/>
      <c r="U2109" s="799"/>
      <c r="V2109" s="799"/>
      <c r="W2109" s="799"/>
      <c r="X2109" s="799"/>
      <c r="Y2109" s="799"/>
      <c r="Z2109" s="799"/>
      <c r="AC2109" s="799"/>
      <c r="BW2109" s="799"/>
    </row>
    <row r="2110" spans="3:75" ht="16" x14ac:dyDescent="0.15">
      <c r="C2110" s="561"/>
      <c r="D2110" s="561"/>
      <c r="E2110" s="561"/>
      <c r="F2110" s="561"/>
      <c r="G2110" s="799"/>
      <c r="H2110" s="1355"/>
      <c r="I2110" s="561"/>
      <c r="J2110" s="561"/>
      <c r="K2110" s="561"/>
      <c r="L2110" s="799"/>
      <c r="M2110" s="799"/>
      <c r="N2110" s="799"/>
      <c r="Q2110" s="799"/>
      <c r="R2110" s="799"/>
      <c r="S2110" s="799"/>
      <c r="T2110" s="799"/>
      <c r="U2110" s="799"/>
      <c r="V2110" s="799"/>
      <c r="W2110" s="799"/>
      <c r="X2110" s="799"/>
      <c r="Y2110" s="799"/>
      <c r="Z2110" s="799"/>
      <c r="AC2110" s="799"/>
      <c r="BW2110" s="799"/>
    </row>
    <row r="2111" spans="3:75" ht="16" x14ac:dyDescent="0.15">
      <c r="C2111" s="561"/>
      <c r="D2111" s="561"/>
      <c r="E2111" s="561"/>
      <c r="F2111" s="561"/>
      <c r="G2111" s="799"/>
      <c r="H2111" s="1355"/>
      <c r="I2111" s="561"/>
      <c r="J2111" s="561"/>
      <c r="K2111" s="561"/>
      <c r="L2111" s="799"/>
      <c r="M2111" s="799"/>
      <c r="N2111" s="799"/>
      <c r="Q2111" s="799"/>
      <c r="R2111" s="799"/>
      <c r="S2111" s="799"/>
      <c r="T2111" s="799"/>
      <c r="U2111" s="799"/>
      <c r="V2111" s="799"/>
      <c r="W2111" s="799"/>
      <c r="X2111" s="799"/>
      <c r="Y2111" s="799"/>
      <c r="Z2111" s="799"/>
      <c r="AC2111" s="799"/>
      <c r="BW2111" s="799"/>
    </row>
    <row r="2112" spans="3:75" ht="16" x14ac:dyDescent="0.15">
      <c r="C2112" s="561"/>
      <c r="D2112" s="561"/>
      <c r="E2112" s="561"/>
      <c r="F2112" s="561"/>
      <c r="G2112" s="799"/>
      <c r="H2112" s="1355"/>
      <c r="I2112" s="561"/>
      <c r="J2112" s="561"/>
      <c r="K2112" s="561"/>
      <c r="L2112" s="799"/>
      <c r="M2112" s="799"/>
      <c r="N2112" s="799"/>
      <c r="Q2112" s="799"/>
      <c r="R2112" s="799"/>
      <c r="S2112" s="799"/>
      <c r="T2112" s="799"/>
      <c r="U2112" s="799"/>
      <c r="V2112" s="799"/>
      <c r="W2112" s="799"/>
      <c r="X2112" s="799"/>
      <c r="Y2112" s="799"/>
      <c r="Z2112" s="799"/>
      <c r="AC2112" s="799"/>
      <c r="BW2112" s="799"/>
    </row>
    <row r="2113" spans="3:75" ht="16" x14ac:dyDescent="0.15">
      <c r="C2113" s="561"/>
      <c r="D2113" s="561"/>
      <c r="E2113" s="561"/>
      <c r="F2113" s="561"/>
      <c r="G2113" s="799"/>
      <c r="H2113" s="1355"/>
      <c r="I2113" s="561"/>
      <c r="J2113" s="561"/>
      <c r="K2113" s="561"/>
      <c r="L2113" s="799"/>
      <c r="M2113" s="799"/>
      <c r="N2113" s="799"/>
      <c r="Q2113" s="799"/>
      <c r="R2113" s="799"/>
      <c r="S2113" s="799"/>
      <c r="T2113" s="799"/>
      <c r="U2113" s="799"/>
      <c r="V2113" s="799"/>
      <c r="W2113" s="799"/>
      <c r="X2113" s="799"/>
      <c r="Y2113" s="799"/>
      <c r="Z2113" s="799"/>
      <c r="AC2113" s="799"/>
      <c r="BW2113" s="799"/>
    </row>
    <row r="2114" spans="3:75" ht="16" x14ac:dyDescent="0.15">
      <c r="C2114" s="561"/>
      <c r="D2114" s="561"/>
      <c r="E2114" s="561"/>
      <c r="F2114" s="561"/>
      <c r="G2114" s="799"/>
      <c r="H2114" s="1355"/>
      <c r="I2114" s="561"/>
      <c r="J2114" s="561"/>
      <c r="K2114" s="561"/>
      <c r="L2114" s="799"/>
      <c r="M2114" s="799"/>
      <c r="N2114" s="799"/>
      <c r="Q2114" s="799"/>
      <c r="R2114" s="799"/>
      <c r="S2114" s="799"/>
      <c r="T2114" s="799"/>
      <c r="U2114" s="799"/>
      <c r="V2114" s="799"/>
      <c r="W2114" s="799"/>
      <c r="X2114" s="799"/>
      <c r="Y2114" s="799"/>
      <c r="Z2114" s="799"/>
      <c r="AC2114" s="799"/>
      <c r="BW2114" s="799"/>
    </row>
    <row r="2115" spans="3:75" ht="16" x14ac:dyDescent="0.15">
      <c r="C2115" s="561"/>
      <c r="D2115" s="561"/>
      <c r="E2115" s="561"/>
      <c r="F2115" s="561"/>
      <c r="G2115" s="799"/>
      <c r="H2115" s="1355"/>
      <c r="I2115" s="561"/>
      <c r="J2115" s="561"/>
      <c r="K2115" s="561"/>
      <c r="L2115" s="799"/>
      <c r="M2115" s="799"/>
      <c r="N2115" s="799"/>
      <c r="Q2115" s="799"/>
      <c r="R2115" s="799"/>
      <c r="S2115" s="799"/>
      <c r="T2115" s="799"/>
      <c r="U2115" s="799"/>
      <c r="V2115" s="799"/>
      <c r="W2115" s="799"/>
      <c r="X2115" s="799"/>
      <c r="Y2115" s="799"/>
      <c r="Z2115" s="799"/>
      <c r="AC2115" s="799"/>
      <c r="BW2115" s="799"/>
    </row>
    <row r="2116" spans="3:75" ht="16" x14ac:dyDescent="0.15">
      <c r="C2116" s="561"/>
      <c r="D2116" s="561"/>
      <c r="E2116" s="561"/>
      <c r="F2116" s="561"/>
      <c r="G2116" s="799"/>
      <c r="H2116" s="1355"/>
      <c r="I2116" s="561"/>
      <c r="J2116" s="561"/>
      <c r="K2116" s="561"/>
      <c r="L2116" s="799"/>
      <c r="M2116" s="799"/>
      <c r="N2116" s="799"/>
      <c r="Q2116" s="799"/>
      <c r="R2116" s="799"/>
      <c r="S2116" s="799"/>
      <c r="T2116" s="799"/>
      <c r="U2116" s="799"/>
      <c r="V2116" s="799"/>
      <c r="W2116" s="799"/>
      <c r="X2116" s="799"/>
      <c r="Y2116" s="799"/>
      <c r="Z2116" s="799"/>
      <c r="AC2116" s="799"/>
      <c r="BW2116" s="799"/>
    </row>
    <row r="2117" spans="3:75" ht="16" x14ac:dyDescent="0.15">
      <c r="C2117" s="561"/>
      <c r="D2117" s="561"/>
      <c r="E2117" s="561"/>
      <c r="F2117" s="561"/>
      <c r="G2117" s="799"/>
      <c r="H2117" s="1355"/>
      <c r="I2117" s="561"/>
      <c r="J2117" s="561"/>
      <c r="K2117" s="561"/>
      <c r="L2117" s="799"/>
      <c r="M2117" s="799"/>
      <c r="N2117" s="799"/>
      <c r="Q2117" s="799"/>
      <c r="R2117" s="799"/>
      <c r="S2117" s="799"/>
      <c r="T2117" s="799"/>
      <c r="U2117" s="799"/>
      <c r="V2117" s="799"/>
      <c r="W2117" s="799"/>
      <c r="X2117" s="799"/>
      <c r="Y2117" s="799"/>
      <c r="Z2117" s="799"/>
      <c r="AC2117" s="799"/>
      <c r="BW2117" s="799"/>
    </row>
    <row r="2118" spans="3:75" ht="16" x14ac:dyDescent="0.15">
      <c r="C2118" s="561"/>
      <c r="D2118" s="561"/>
      <c r="E2118" s="561"/>
      <c r="F2118" s="561"/>
      <c r="G2118" s="799"/>
      <c r="H2118" s="1355"/>
      <c r="I2118" s="561"/>
      <c r="J2118" s="561"/>
      <c r="K2118" s="561"/>
      <c r="L2118" s="799"/>
      <c r="M2118" s="799"/>
      <c r="N2118" s="799"/>
      <c r="Q2118" s="799"/>
      <c r="R2118" s="799"/>
      <c r="S2118" s="799"/>
      <c r="T2118" s="799"/>
      <c r="U2118" s="799"/>
      <c r="V2118" s="799"/>
      <c r="W2118" s="799"/>
      <c r="X2118" s="799"/>
      <c r="Y2118" s="799"/>
      <c r="Z2118" s="799"/>
      <c r="AC2118" s="799"/>
      <c r="BW2118" s="799"/>
    </row>
    <row r="2119" spans="3:75" ht="16" x14ac:dyDescent="0.15">
      <c r="C2119" s="561"/>
      <c r="D2119" s="561"/>
      <c r="E2119" s="561"/>
      <c r="F2119" s="561"/>
      <c r="G2119" s="799"/>
      <c r="H2119" s="1355"/>
      <c r="I2119" s="561"/>
      <c r="J2119" s="561"/>
      <c r="K2119" s="561"/>
      <c r="L2119" s="799"/>
      <c r="M2119" s="799"/>
      <c r="N2119" s="799"/>
      <c r="Q2119" s="799"/>
      <c r="R2119" s="799"/>
      <c r="S2119" s="799"/>
      <c r="T2119" s="799"/>
      <c r="U2119" s="799"/>
      <c r="V2119" s="799"/>
      <c r="W2119" s="799"/>
      <c r="X2119" s="799"/>
      <c r="Y2119" s="799"/>
      <c r="Z2119" s="799"/>
      <c r="AC2119" s="799"/>
      <c r="BW2119" s="799"/>
    </row>
    <row r="2120" spans="3:75" ht="16" x14ac:dyDescent="0.15">
      <c r="C2120" s="561"/>
      <c r="D2120" s="561"/>
      <c r="E2120" s="561"/>
      <c r="F2120" s="561"/>
      <c r="G2120" s="799"/>
      <c r="H2120" s="1355"/>
      <c r="I2120" s="561"/>
      <c r="J2120" s="561"/>
      <c r="K2120" s="561"/>
      <c r="L2120" s="799"/>
      <c r="M2120" s="799"/>
      <c r="N2120" s="799"/>
      <c r="Q2120" s="799"/>
      <c r="R2120" s="799"/>
      <c r="S2120" s="799"/>
      <c r="T2120" s="799"/>
      <c r="U2120" s="799"/>
      <c r="V2120" s="799"/>
      <c r="W2120" s="799"/>
      <c r="X2120" s="799"/>
      <c r="Y2120" s="799"/>
      <c r="Z2120" s="799"/>
      <c r="AC2120" s="799"/>
      <c r="BW2120" s="799"/>
    </row>
    <row r="2121" spans="3:75" ht="16" x14ac:dyDescent="0.15">
      <c r="C2121" s="561"/>
      <c r="D2121" s="561"/>
      <c r="E2121" s="561"/>
      <c r="F2121" s="561"/>
      <c r="G2121" s="799"/>
      <c r="H2121" s="1355"/>
      <c r="I2121" s="561"/>
      <c r="J2121" s="561"/>
      <c r="K2121" s="561"/>
      <c r="L2121" s="799"/>
      <c r="M2121" s="799"/>
      <c r="N2121" s="799"/>
      <c r="Q2121" s="799"/>
      <c r="R2121" s="799"/>
      <c r="S2121" s="799"/>
      <c r="T2121" s="799"/>
      <c r="U2121" s="799"/>
      <c r="V2121" s="799"/>
      <c r="W2121" s="799"/>
      <c r="X2121" s="799"/>
      <c r="Y2121" s="799"/>
      <c r="Z2121" s="799"/>
      <c r="AC2121" s="799"/>
      <c r="BW2121" s="799"/>
    </row>
    <row r="2122" spans="3:75" ht="16" x14ac:dyDescent="0.15">
      <c r="C2122" s="561"/>
      <c r="D2122" s="561"/>
      <c r="E2122" s="561"/>
      <c r="F2122" s="561"/>
      <c r="G2122" s="799"/>
      <c r="H2122" s="1355"/>
      <c r="I2122" s="561"/>
      <c r="J2122" s="561"/>
      <c r="K2122" s="561"/>
      <c r="L2122" s="799"/>
      <c r="M2122" s="799"/>
      <c r="N2122" s="799"/>
      <c r="Q2122" s="799"/>
      <c r="R2122" s="799"/>
      <c r="S2122" s="799"/>
      <c r="T2122" s="799"/>
      <c r="U2122" s="799"/>
      <c r="V2122" s="799"/>
      <c r="W2122" s="799"/>
      <c r="X2122" s="799"/>
      <c r="Y2122" s="799"/>
      <c r="Z2122" s="799"/>
      <c r="AC2122" s="799"/>
      <c r="BW2122" s="799"/>
    </row>
    <row r="2123" spans="3:75" ht="16" x14ac:dyDescent="0.15">
      <c r="C2123" s="561"/>
      <c r="D2123" s="561"/>
      <c r="E2123" s="561"/>
      <c r="F2123" s="561"/>
      <c r="G2123" s="799"/>
      <c r="H2123" s="1355"/>
      <c r="I2123" s="561"/>
      <c r="J2123" s="561"/>
      <c r="K2123" s="561"/>
      <c r="L2123" s="799"/>
      <c r="M2123" s="799"/>
      <c r="N2123" s="799"/>
      <c r="Q2123" s="799"/>
      <c r="R2123" s="799"/>
      <c r="S2123" s="799"/>
      <c r="T2123" s="799"/>
      <c r="U2123" s="799"/>
      <c r="V2123" s="799"/>
      <c r="W2123" s="799"/>
      <c r="X2123" s="799"/>
      <c r="Y2123" s="799"/>
      <c r="Z2123" s="799"/>
      <c r="AC2123" s="799"/>
      <c r="BW2123" s="799"/>
    </row>
    <row r="2124" spans="3:75" ht="16" x14ac:dyDescent="0.15">
      <c r="C2124" s="561"/>
      <c r="D2124" s="561"/>
      <c r="E2124" s="561"/>
      <c r="F2124" s="561"/>
      <c r="G2124" s="799"/>
      <c r="H2124" s="1355"/>
      <c r="I2124" s="561"/>
      <c r="J2124" s="561"/>
      <c r="K2124" s="561"/>
      <c r="L2124" s="799"/>
      <c r="M2124" s="799"/>
      <c r="N2124" s="799"/>
      <c r="Q2124" s="799"/>
      <c r="R2124" s="799"/>
      <c r="S2124" s="799"/>
      <c r="T2124" s="799"/>
      <c r="U2124" s="799"/>
      <c r="V2124" s="799"/>
      <c r="W2124" s="799"/>
      <c r="X2124" s="799"/>
      <c r="Y2124" s="799"/>
      <c r="Z2124" s="799"/>
      <c r="AC2124" s="799"/>
      <c r="BW2124" s="799"/>
    </row>
    <row r="2125" spans="3:75" ht="16" x14ac:dyDescent="0.15">
      <c r="C2125" s="561"/>
      <c r="D2125" s="561"/>
      <c r="E2125" s="561"/>
      <c r="F2125" s="561"/>
      <c r="G2125" s="799"/>
      <c r="H2125" s="1355"/>
      <c r="I2125" s="561"/>
      <c r="J2125" s="561"/>
      <c r="K2125" s="561"/>
      <c r="L2125" s="799"/>
      <c r="M2125" s="799"/>
      <c r="N2125" s="799"/>
      <c r="Q2125" s="799"/>
      <c r="R2125" s="799"/>
      <c r="S2125" s="799"/>
      <c r="T2125" s="799"/>
      <c r="U2125" s="799"/>
      <c r="V2125" s="799"/>
      <c r="W2125" s="799"/>
      <c r="X2125" s="799"/>
      <c r="Y2125" s="799"/>
      <c r="Z2125" s="799"/>
      <c r="AC2125" s="799"/>
      <c r="BW2125" s="799"/>
    </row>
    <row r="2126" spans="3:75" ht="16" x14ac:dyDescent="0.15">
      <c r="C2126" s="561"/>
      <c r="D2126" s="561"/>
      <c r="E2126" s="561"/>
      <c r="F2126" s="561"/>
      <c r="G2126" s="799"/>
      <c r="H2126" s="1355"/>
      <c r="I2126" s="561"/>
      <c r="J2126" s="561"/>
      <c r="K2126" s="561"/>
      <c r="L2126" s="799"/>
      <c r="M2126" s="799"/>
      <c r="N2126" s="799"/>
      <c r="Q2126" s="799"/>
      <c r="R2126" s="799"/>
      <c r="S2126" s="799"/>
      <c r="T2126" s="799"/>
      <c r="U2126" s="799"/>
      <c r="V2126" s="799"/>
      <c r="W2126" s="799"/>
      <c r="X2126" s="799"/>
      <c r="Y2126" s="799"/>
      <c r="Z2126" s="799"/>
      <c r="AC2126" s="799"/>
      <c r="BW2126" s="799"/>
    </row>
    <row r="2127" spans="3:75" ht="16" x14ac:dyDescent="0.15">
      <c r="C2127" s="561"/>
      <c r="D2127" s="561"/>
      <c r="E2127" s="561"/>
      <c r="F2127" s="561"/>
      <c r="G2127" s="799"/>
      <c r="H2127" s="1355"/>
      <c r="I2127" s="561"/>
      <c r="J2127" s="561"/>
      <c r="K2127" s="561"/>
      <c r="L2127" s="799"/>
      <c r="M2127" s="799"/>
      <c r="N2127" s="799"/>
      <c r="Q2127" s="799"/>
      <c r="R2127" s="799"/>
      <c r="S2127" s="799"/>
      <c r="T2127" s="799"/>
      <c r="U2127" s="799"/>
      <c r="V2127" s="799"/>
      <c r="W2127" s="799"/>
      <c r="X2127" s="799"/>
      <c r="Y2127" s="799"/>
      <c r="Z2127" s="799"/>
      <c r="AC2127" s="799"/>
      <c r="BW2127" s="799"/>
    </row>
    <row r="2128" spans="3:75" ht="16" x14ac:dyDescent="0.15">
      <c r="C2128" s="561"/>
      <c r="D2128" s="561"/>
      <c r="E2128" s="561"/>
      <c r="F2128" s="561"/>
      <c r="G2128" s="799"/>
      <c r="H2128" s="1355"/>
      <c r="I2128" s="561"/>
      <c r="J2128" s="561"/>
      <c r="K2128" s="561"/>
      <c r="L2128" s="799"/>
      <c r="M2128" s="799"/>
      <c r="N2128" s="799"/>
      <c r="Q2128" s="799"/>
      <c r="R2128" s="799"/>
      <c r="S2128" s="799"/>
      <c r="T2128" s="799"/>
      <c r="U2128" s="799"/>
      <c r="V2128" s="799"/>
      <c r="W2128" s="799"/>
      <c r="X2128" s="799"/>
      <c r="Y2128" s="799"/>
      <c r="Z2128" s="799"/>
      <c r="AC2128" s="799"/>
      <c r="BW2128" s="799"/>
    </row>
    <row r="2129" spans="3:75" ht="16" x14ac:dyDescent="0.15">
      <c r="C2129" s="561"/>
      <c r="D2129" s="561"/>
      <c r="E2129" s="561"/>
      <c r="F2129" s="561"/>
      <c r="G2129" s="799"/>
      <c r="H2129" s="1355"/>
      <c r="I2129" s="561"/>
      <c r="J2129" s="561"/>
      <c r="K2129" s="561"/>
      <c r="L2129" s="799"/>
      <c r="M2129" s="799"/>
      <c r="N2129" s="799"/>
      <c r="Q2129" s="799"/>
      <c r="R2129" s="799"/>
      <c r="S2129" s="799"/>
      <c r="T2129" s="799"/>
      <c r="U2129" s="799"/>
      <c r="V2129" s="799"/>
      <c r="W2129" s="799"/>
      <c r="X2129" s="799"/>
      <c r="Y2129" s="799"/>
      <c r="Z2129" s="799"/>
      <c r="AC2129" s="799"/>
      <c r="BW2129" s="799"/>
    </row>
    <row r="2130" spans="3:75" ht="16" x14ac:dyDescent="0.15">
      <c r="C2130" s="561"/>
      <c r="D2130" s="561"/>
      <c r="E2130" s="561"/>
      <c r="F2130" s="561"/>
      <c r="G2130" s="799"/>
      <c r="H2130" s="1355"/>
      <c r="I2130" s="561"/>
      <c r="J2130" s="561"/>
      <c r="K2130" s="561"/>
      <c r="L2130" s="799"/>
      <c r="M2130" s="799"/>
      <c r="N2130" s="799"/>
      <c r="Q2130" s="799"/>
      <c r="R2130" s="799"/>
      <c r="S2130" s="799"/>
      <c r="T2130" s="799"/>
      <c r="U2130" s="799"/>
      <c r="V2130" s="799"/>
      <c r="W2130" s="799"/>
      <c r="X2130" s="799"/>
      <c r="Y2130" s="799"/>
      <c r="Z2130" s="799"/>
      <c r="AC2130" s="799"/>
      <c r="BW2130" s="799"/>
    </row>
    <row r="2131" spans="3:75" ht="16" x14ac:dyDescent="0.15">
      <c r="C2131" s="561"/>
      <c r="D2131" s="561"/>
      <c r="E2131" s="561"/>
      <c r="F2131" s="561"/>
      <c r="G2131" s="799"/>
      <c r="H2131" s="1355"/>
      <c r="I2131" s="561"/>
      <c r="J2131" s="561"/>
      <c r="K2131" s="561"/>
      <c r="L2131" s="799"/>
      <c r="M2131" s="799"/>
      <c r="N2131" s="799"/>
      <c r="Q2131" s="799"/>
      <c r="R2131" s="799"/>
      <c r="S2131" s="799"/>
      <c r="T2131" s="799"/>
      <c r="U2131" s="799"/>
      <c r="V2131" s="799"/>
      <c r="W2131" s="799"/>
      <c r="X2131" s="799"/>
      <c r="Y2131" s="799"/>
      <c r="Z2131" s="799"/>
      <c r="AC2131" s="799"/>
      <c r="BW2131" s="799"/>
    </row>
    <row r="2132" spans="3:75" ht="16" x14ac:dyDescent="0.15">
      <c r="C2132" s="561"/>
      <c r="D2132" s="561"/>
      <c r="E2132" s="561"/>
      <c r="F2132" s="561"/>
      <c r="G2132" s="799"/>
      <c r="H2132" s="1355"/>
      <c r="I2132" s="561"/>
      <c r="J2132" s="561"/>
      <c r="K2132" s="561"/>
      <c r="L2132" s="799"/>
      <c r="M2132" s="799"/>
      <c r="N2132" s="799"/>
      <c r="Q2132" s="799"/>
      <c r="R2132" s="799"/>
      <c r="S2132" s="799"/>
      <c r="T2132" s="799"/>
      <c r="U2132" s="799"/>
      <c r="V2132" s="799"/>
      <c r="W2132" s="799"/>
      <c r="X2132" s="799"/>
      <c r="Y2132" s="799"/>
      <c r="Z2132" s="799"/>
      <c r="AC2132" s="799"/>
      <c r="BW2132" s="799"/>
    </row>
    <row r="2133" spans="3:75" ht="16" x14ac:dyDescent="0.15">
      <c r="C2133" s="561"/>
      <c r="D2133" s="561"/>
      <c r="E2133" s="561"/>
      <c r="F2133" s="561"/>
      <c r="G2133" s="799"/>
      <c r="H2133" s="1355"/>
      <c r="I2133" s="561"/>
      <c r="J2133" s="561"/>
      <c r="K2133" s="561"/>
      <c r="L2133" s="799"/>
      <c r="M2133" s="799"/>
      <c r="N2133" s="799"/>
      <c r="Q2133" s="799"/>
      <c r="R2133" s="799"/>
      <c r="S2133" s="799"/>
      <c r="T2133" s="799"/>
      <c r="U2133" s="799"/>
      <c r="V2133" s="799"/>
      <c r="W2133" s="799"/>
      <c r="X2133" s="799"/>
      <c r="Y2133" s="799"/>
      <c r="Z2133" s="799"/>
      <c r="AC2133" s="799"/>
      <c r="BW2133" s="799"/>
    </row>
    <row r="2134" spans="3:75" ht="16" x14ac:dyDescent="0.15">
      <c r="C2134" s="561"/>
      <c r="D2134" s="561"/>
      <c r="E2134" s="561"/>
      <c r="F2134" s="561"/>
      <c r="G2134" s="799"/>
      <c r="H2134" s="1355"/>
      <c r="I2134" s="561"/>
      <c r="J2134" s="561"/>
      <c r="K2134" s="561"/>
      <c r="L2134" s="799"/>
      <c r="M2134" s="799"/>
      <c r="N2134" s="799"/>
      <c r="Q2134" s="799"/>
      <c r="R2134" s="799"/>
      <c r="S2134" s="799"/>
      <c r="T2134" s="799"/>
      <c r="U2134" s="799"/>
      <c r="V2134" s="799"/>
      <c r="W2134" s="799"/>
      <c r="X2134" s="799"/>
      <c r="Y2134" s="799"/>
      <c r="Z2134" s="799"/>
      <c r="AC2134" s="799"/>
      <c r="BW2134" s="799"/>
    </row>
    <row r="2135" spans="3:75" ht="16" x14ac:dyDescent="0.15">
      <c r="C2135" s="561"/>
      <c r="D2135" s="561"/>
      <c r="E2135" s="561"/>
      <c r="F2135" s="561"/>
      <c r="G2135" s="799"/>
      <c r="H2135" s="1355"/>
      <c r="I2135" s="561"/>
      <c r="J2135" s="561"/>
      <c r="K2135" s="561"/>
      <c r="L2135" s="799"/>
      <c r="M2135" s="799"/>
      <c r="N2135" s="799"/>
      <c r="Q2135" s="799"/>
      <c r="R2135" s="799"/>
      <c r="S2135" s="799"/>
      <c r="T2135" s="799"/>
      <c r="U2135" s="799"/>
      <c r="V2135" s="799"/>
      <c r="W2135" s="799"/>
      <c r="X2135" s="799"/>
      <c r="Y2135" s="799"/>
      <c r="Z2135" s="799"/>
      <c r="AC2135" s="799"/>
      <c r="BW2135" s="799"/>
    </row>
    <row r="2136" spans="3:75" ht="16" x14ac:dyDescent="0.15">
      <c r="C2136" s="561"/>
      <c r="D2136" s="561"/>
      <c r="E2136" s="561"/>
      <c r="F2136" s="561"/>
      <c r="G2136" s="799"/>
      <c r="H2136" s="1355"/>
      <c r="I2136" s="561"/>
      <c r="J2136" s="561"/>
      <c r="K2136" s="561"/>
      <c r="L2136" s="799"/>
      <c r="M2136" s="799"/>
      <c r="N2136" s="799"/>
      <c r="Q2136" s="799"/>
      <c r="R2136" s="799"/>
      <c r="S2136" s="799"/>
      <c r="T2136" s="799"/>
      <c r="U2136" s="799"/>
      <c r="V2136" s="799"/>
      <c r="W2136" s="799"/>
      <c r="X2136" s="799"/>
      <c r="Y2136" s="799"/>
      <c r="Z2136" s="799"/>
      <c r="AC2136" s="799"/>
      <c r="BW2136" s="799"/>
    </row>
    <row r="2137" spans="3:75" ht="16" x14ac:dyDescent="0.15">
      <c r="C2137" s="561"/>
      <c r="D2137" s="561"/>
      <c r="E2137" s="561"/>
      <c r="F2137" s="561"/>
      <c r="G2137" s="799"/>
      <c r="H2137" s="1355"/>
      <c r="I2137" s="561"/>
      <c r="J2137" s="561"/>
      <c r="K2137" s="561"/>
      <c r="L2137" s="799"/>
      <c r="M2137" s="799"/>
      <c r="N2137" s="799"/>
      <c r="Q2137" s="799"/>
      <c r="R2137" s="799"/>
      <c r="S2137" s="799"/>
      <c r="T2137" s="799"/>
      <c r="U2137" s="799"/>
      <c r="V2137" s="799"/>
      <c r="W2137" s="799"/>
      <c r="X2137" s="799"/>
      <c r="Y2137" s="799"/>
      <c r="Z2137" s="799"/>
      <c r="AC2137" s="799"/>
      <c r="BW2137" s="799"/>
    </row>
    <row r="2138" spans="3:75" ht="16" x14ac:dyDescent="0.15">
      <c r="C2138" s="561"/>
      <c r="D2138" s="561"/>
      <c r="E2138" s="561"/>
      <c r="F2138" s="561"/>
      <c r="G2138" s="799"/>
      <c r="H2138" s="1355"/>
      <c r="I2138" s="561"/>
      <c r="J2138" s="561"/>
      <c r="K2138" s="561"/>
      <c r="L2138" s="799"/>
      <c r="M2138" s="799"/>
      <c r="N2138" s="799"/>
      <c r="Q2138" s="799"/>
      <c r="R2138" s="799"/>
      <c r="S2138" s="799"/>
      <c r="T2138" s="799"/>
      <c r="U2138" s="799"/>
      <c r="V2138" s="799"/>
      <c r="W2138" s="799"/>
      <c r="X2138" s="799"/>
      <c r="Y2138" s="799"/>
      <c r="Z2138" s="799"/>
      <c r="AC2138" s="799"/>
      <c r="BW2138" s="799"/>
    </row>
    <row r="2139" spans="3:75" ht="16" x14ac:dyDescent="0.15">
      <c r="C2139" s="561"/>
      <c r="D2139" s="561"/>
      <c r="E2139" s="561"/>
      <c r="F2139" s="561"/>
      <c r="G2139" s="799"/>
      <c r="H2139" s="1355"/>
      <c r="I2139" s="561"/>
      <c r="J2139" s="561"/>
      <c r="K2139" s="561"/>
      <c r="L2139" s="799"/>
      <c r="M2139" s="799"/>
      <c r="N2139" s="799"/>
      <c r="Q2139" s="799"/>
      <c r="R2139" s="799"/>
      <c r="S2139" s="799"/>
      <c r="T2139" s="799"/>
      <c r="U2139" s="799"/>
      <c r="V2139" s="799"/>
      <c r="W2139" s="799"/>
      <c r="X2139" s="799"/>
      <c r="Y2139" s="799"/>
      <c r="Z2139" s="799"/>
      <c r="AC2139" s="799"/>
      <c r="BW2139" s="799"/>
    </row>
    <row r="2140" spans="3:75" ht="16" x14ac:dyDescent="0.15">
      <c r="C2140" s="561"/>
      <c r="D2140" s="561"/>
      <c r="E2140" s="561"/>
      <c r="F2140" s="561"/>
      <c r="G2140" s="799"/>
      <c r="H2140" s="1355"/>
      <c r="I2140" s="561"/>
      <c r="J2140" s="561"/>
      <c r="K2140" s="561"/>
      <c r="L2140" s="799"/>
      <c r="M2140" s="799"/>
      <c r="N2140" s="799"/>
      <c r="Q2140" s="799"/>
      <c r="R2140" s="799"/>
      <c r="S2140" s="799"/>
      <c r="T2140" s="799"/>
      <c r="U2140" s="799"/>
      <c r="V2140" s="799"/>
      <c r="W2140" s="799"/>
      <c r="X2140" s="799"/>
      <c r="Y2140" s="799"/>
      <c r="Z2140" s="799"/>
      <c r="AC2140" s="799"/>
      <c r="BW2140" s="799"/>
    </row>
    <row r="2141" spans="3:75" ht="16" x14ac:dyDescent="0.15">
      <c r="C2141" s="561"/>
      <c r="D2141" s="561"/>
      <c r="E2141" s="561"/>
      <c r="F2141" s="561"/>
      <c r="G2141" s="799"/>
      <c r="H2141" s="1355"/>
      <c r="I2141" s="561"/>
      <c r="J2141" s="561"/>
      <c r="K2141" s="561"/>
      <c r="L2141" s="799"/>
      <c r="M2141" s="799"/>
      <c r="N2141" s="799"/>
      <c r="Q2141" s="799"/>
      <c r="R2141" s="799"/>
      <c r="S2141" s="799"/>
      <c r="T2141" s="799"/>
      <c r="U2141" s="799"/>
      <c r="V2141" s="799"/>
      <c r="W2141" s="799"/>
      <c r="X2141" s="799"/>
      <c r="Y2141" s="799"/>
      <c r="Z2141" s="799"/>
      <c r="AC2141" s="799"/>
      <c r="BW2141" s="799"/>
    </row>
    <row r="2142" spans="3:75" ht="16" x14ac:dyDescent="0.15">
      <c r="C2142" s="561"/>
      <c r="D2142" s="561"/>
      <c r="E2142" s="561"/>
      <c r="F2142" s="561"/>
      <c r="G2142" s="799"/>
      <c r="H2142" s="1355"/>
      <c r="I2142" s="561"/>
      <c r="J2142" s="561"/>
      <c r="K2142" s="561"/>
      <c r="L2142" s="799"/>
      <c r="M2142" s="799"/>
      <c r="N2142" s="799"/>
      <c r="Q2142" s="799"/>
      <c r="R2142" s="799"/>
      <c r="S2142" s="799"/>
      <c r="T2142" s="799"/>
      <c r="U2142" s="799"/>
      <c r="V2142" s="799"/>
      <c r="W2142" s="799"/>
      <c r="X2142" s="799"/>
      <c r="Y2142" s="799"/>
      <c r="Z2142" s="799"/>
      <c r="AC2142" s="799"/>
      <c r="BW2142" s="799"/>
    </row>
    <row r="2143" spans="3:75" ht="16" x14ac:dyDescent="0.15">
      <c r="C2143" s="561"/>
      <c r="D2143" s="561"/>
      <c r="E2143" s="561"/>
      <c r="F2143" s="561"/>
      <c r="G2143" s="799"/>
      <c r="H2143" s="1355"/>
      <c r="I2143" s="561"/>
      <c r="J2143" s="561"/>
      <c r="K2143" s="561"/>
      <c r="L2143" s="799"/>
      <c r="M2143" s="799"/>
      <c r="N2143" s="799"/>
      <c r="Q2143" s="799"/>
      <c r="R2143" s="799"/>
      <c r="S2143" s="799"/>
      <c r="T2143" s="799"/>
      <c r="U2143" s="799"/>
      <c r="V2143" s="799"/>
      <c r="W2143" s="799"/>
      <c r="X2143" s="799"/>
      <c r="Y2143" s="799"/>
      <c r="Z2143" s="799"/>
      <c r="AC2143" s="799"/>
      <c r="BW2143" s="799"/>
    </row>
    <row r="2144" spans="3:75" ht="16" x14ac:dyDescent="0.15">
      <c r="C2144" s="561"/>
      <c r="D2144" s="561"/>
      <c r="E2144" s="561"/>
      <c r="F2144" s="561"/>
      <c r="G2144" s="799"/>
      <c r="H2144" s="1355"/>
      <c r="I2144" s="561"/>
      <c r="J2144" s="561"/>
      <c r="K2144" s="561"/>
      <c r="L2144" s="799"/>
      <c r="M2144" s="799"/>
      <c r="N2144" s="799"/>
      <c r="Q2144" s="799"/>
      <c r="R2144" s="799"/>
      <c r="S2144" s="799"/>
      <c r="T2144" s="799"/>
      <c r="U2144" s="799"/>
      <c r="V2144" s="799"/>
      <c r="W2144" s="799"/>
      <c r="X2144" s="799"/>
      <c r="Y2144" s="799"/>
      <c r="Z2144" s="799"/>
      <c r="AC2144" s="799"/>
      <c r="BW2144" s="799"/>
    </row>
    <row r="2145" spans="3:75" ht="16" x14ac:dyDescent="0.15">
      <c r="C2145" s="561"/>
      <c r="D2145" s="561"/>
      <c r="E2145" s="561"/>
      <c r="F2145" s="561"/>
      <c r="G2145" s="799"/>
      <c r="H2145" s="1355"/>
      <c r="I2145" s="561"/>
      <c r="J2145" s="561"/>
      <c r="K2145" s="561"/>
      <c r="L2145" s="799"/>
      <c r="M2145" s="799"/>
      <c r="N2145" s="799"/>
      <c r="Q2145" s="799"/>
      <c r="R2145" s="799"/>
      <c r="S2145" s="799"/>
      <c r="T2145" s="799"/>
      <c r="U2145" s="799"/>
      <c r="V2145" s="799"/>
      <c r="W2145" s="799"/>
      <c r="X2145" s="799"/>
      <c r="Y2145" s="799"/>
      <c r="Z2145" s="799"/>
      <c r="AC2145" s="799"/>
      <c r="BW2145" s="799"/>
    </row>
    <row r="2146" spans="3:75" ht="16" x14ac:dyDescent="0.15">
      <c r="C2146" s="561"/>
      <c r="D2146" s="561"/>
      <c r="E2146" s="561"/>
      <c r="F2146" s="561"/>
      <c r="G2146" s="799"/>
      <c r="H2146" s="1355"/>
      <c r="I2146" s="561"/>
      <c r="J2146" s="561"/>
      <c r="K2146" s="561"/>
      <c r="L2146" s="799"/>
      <c r="M2146" s="799"/>
      <c r="N2146" s="799"/>
      <c r="Q2146" s="799"/>
      <c r="R2146" s="799"/>
      <c r="S2146" s="799"/>
      <c r="T2146" s="799"/>
      <c r="U2146" s="799"/>
      <c r="V2146" s="799"/>
      <c r="W2146" s="799"/>
      <c r="X2146" s="799"/>
      <c r="Y2146" s="799"/>
      <c r="Z2146" s="799"/>
      <c r="AC2146" s="799"/>
      <c r="BW2146" s="799"/>
    </row>
    <row r="2147" spans="3:75" ht="16" x14ac:dyDescent="0.15">
      <c r="C2147" s="561"/>
      <c r="D2147" s="561"/>
      <c r="E2147" s="561"/>
      <c r="F2147" s="561"/>
      <c r="G2147" s="799"/>
      <c r="H2147" s="1355"/>
      <c r="I2147" s="561"/>
      <c r="J2147" s="561"/>
      <c r="K2147" s="561"/>
      <c r="L2147" s="799"/>
      <c r="M2147" s="799"/>
      <c r="N2147" s="799"/>
      <c r="Q2147" s="799"/>
      <c r="R2147" s="799"/>
      <c r="S2147" s="799"/>
      <c r="T2147" s="799"/>
      <c r="U2147" s="799"/>
      <c r="V2147" s="799"/>
      <c r="W2147" s="799"/>
      <c r="X2147" s="799"/>
      <c r="Y2147" s="799"/>
      <c r="Z2147" s="799"/>
      <c r="AC2147" s="799"/>
      <c r="BW2147" s="799"/>
    </row>
    <row r="2148" spans="3:75" ht="16" x14ac:dyDescent="0.15">
      <c r="C2148" s="561"/>
      <c r="D2148" s="561"/>
      <c r="E2148" s="561"/>
      <c r="F2148" s="561"/>
      <c r="G2148" s="799"/>
      <c r="H2148" s="1355"/>
      <c r="I2148" s="561"/>
      <c r="J2148" s="561"/>
      <c r="K2148" s="561"/>
      <c r="L2148" s="799"/>
      <c r="M2148" s="799"/>
      <c r="N2148" s="799"/>
      <c r="Q2148" s="799"/>
      <c r="R2148" s="799"/>
      <c r="S2148" s="799"/>
      <c r="T2148" s="799"/>
      <c r="U2148" s="799"/>
      <c r="V2148" s="799"/>
      <c r="W2148" s="799"/>
      <c r="X2148" s="799"/>
      <c r="Y2148" s="799"/>
      <c r="Z2148" s="799"/>
      <c r="AC2148" s="799"/>
      <c r="BW2148" s="799"/>
    </row>
    <row r="2149" spans="3:75" ht="16" x14ac:dyDescent="0.15">
      <c r="C2149" s="561"/>
      <c r="D2149" s="561"/>
      <c r="E2149" s="561"/>
      <c r="F2149" s="561"/>
      <c r="G2149" s="799"/>
      <c r="H2149" s="1355"/>
      <c r="I2149" s="561"/>
      <c r="J2149" s="561"/>
      <c r="K2149" s="561"/>
      <c r="L2149" s="799"/>
      <c r="M2149" s="799"/>
      <c r="N2149" s="799"/>
      <c r="Q2149" s="799"/>
      <c r="R2149" s="799"/>
      <c r="S2149" s="799"/>
      <c r="T2149" s="799"/>
      <c r="U2149" s="799"/>
      <c r="V2149" s="799"/>
      <c r="W2149" s="799"/>
      <c r="X2149" s="799"/>
      <c r="Y2149" s="799"/>
      <c r="Z2149" s="799"/>
      <c r="AC2149" s="799"/>
      <c r="BW2149" s="799"/>
    </row>
    <row r="2150" spans="3:75" ht="16" x14ac:dyDescent="0.15">
      <c r="C2150" s="561"/>
      <c r="D2150" s="561"/>
      <c r="E2150" s="561"/>
      <c r="F2150" s="561"/>
      <c r="G2150" s="799"/>
      <c r="H2150" s="1355"/>
      <c r="I2150" s="561"/>
      <c r="J2150" s="561"/>
      <c r="K2150" s="561"/>
      <c r="L2150" s="799"/>
      <c r="M2150" s="799"/>
      <c r="N2150" s="799"/>
      <c r="Q2150" s="799"/>
      <c r="R2150" s="799"/>
      <c r="S2150" s="799"/>
      <c r="T2150" s="799"/>
      <c r="U2150" s="799"/>
      <c r="V2150" s="799"/>
      <c r="W2150" s="799"/>
      <c r="X2150" s="799"/>
      <c r="Y2150" s="799"/>
      <c r="Z2150" s="799"/>
      <c r="AC2150" s="799"/>
      <c r="BW2150" s="799"/>
    </row>
    <row r="2151" spans="3:75" ht="16" x14ac:dyDescent="0.15">
      <c r="C2151" s="561"/>
      <c r="D2151" s="561"/>
      <c r="E2151" s="561"/>
      <c r="F2151" s="561"/>
      <c r="G2151" s="799"/>
      <c r="H2151" s="1355"/>
      <c r="I2151" s="561"/>
      <c r="J2151" s="561"/>
      <c r="K2151" s="561"/>
      <c r="L2151" s="799"/>
      <c r="M2151" s="799"/>
      <c r="N2151" s="799"/>
      <c r="Q2151" s="799"/>
      <c r="R2151" s="799"/>
      <c r="S2151" s="799"/>
      <c r="T2151" s="799"/>
      <c r="U2151" s="799"/>
      <c r="V2151" s="799"/>
      <c r="W2151" s="799"/>
      <c r="X2151" s="799"/>
      <c r="Y2151" s="799"/>
      <c r="Z2151" s="799"/>
      <c r="AC2151" s="799"/>
      <c r="BW2151" s="799"/>
    </row>
    <row r="2152" spans="3:75" ht="16" x14ac:dyDescent="0.15">
      <c r="C2152" s="561"/>
      <c r="D2152" s="561"/>
      <c r="E2152" s="561"/>
      <c r="F2152" s="561"/>
      <c r="G2152" s="799"/>
      <c r="H2152" s="1355"/>
      <c r="I2152" s="561"/>
      <c r="J2152" s="561"/>
      <c r="K2152" s="561"/>
      <c r="L2152" s="799"/>
      <c r="M2152" s="799"/>
      <c r="N2152" s="799"/>
      <c r="Q2152" s="799"/>
      <c r="R2152" s="799"/>
      <c r="S2152" s="799"/>
      <c r="T2152" s="799"/>
      <c r="U2152" s="799"/>
      <c r="V2152" s="799"/>
      <c r="W2152" s="799"/>
      <c r="X2152" s="799"/>
      <c r="Y2152" s="799"/>
      <c r="Z2152" s="799"/>
      <c r="AC2152" s="799"/>
      <c r="BW2152" s="799"/>
    </row>
    <row r="2153" spans="3:75" ht="16" x14ac:dyDescent="0.15">
      <c r="C2153" s="561"/>
      <c r="D2153" s="561"/>
      <c r="E2153" s="561"/>
      <c r="F2153" s="561"/>
      <c r="G2153" s="799"/>
      <c r="H2153" s="1355"/>
      <c r="I2153" s="561"/>
      <c r="J2153" s="561"/>
      <c r="K2153" s="561"/>
      <c r="L2153" s="799"/>
      <c r="M2153" s="799"/>
      <c r="N2153" s="799"/>
      <c r="Q2153" s="799"/>
      <c r="R2153" s="799"/>
      <c r="S2153" s="799"/>
      <c r="T2153" s="799"/>
      <c r="U2153" s="799"/>
      <c r="V2153" s="799"/>
      <c r="W2153" s="799"/>
      <c r="X2153" s="799"/>
      <c r="Y2153" s="799"/>
      <c r="Z2153" s="799"/>
      <c r="AC2153" s="799"/>
      <c r="BW2153" s="799"/>
    </row>
    <row r="2154" spans="3:75" ht="16" x14ac:dyDescent="0.15">
      <c r="C2154" s="561"/>
      <c r="D2154" s="561"/>
      <c r="E2154" s="561"/>
      <c r="F2154" s="561"/>
      <c r="G2154" s="799"/>
      <c r="H2154" s="1355"/>
      <c r="I2154" s="561"/>
      <c r="J2154" s="561"/>
      <c r="K2154" s="561"/>
      <c r="L2154" s="799"/>
      <c r="M2154" s="799"/>
      <c r="N2154" s="799"/>
      <c r="Q2154" s="799"/>
      <c r="R2154" s="799"/>
      <c r="S2154" s="799"/>
      <c r="T2154" s="799"/>
      <c r="U2154" s="799"/>
      <c r="V2154" s="799"/>
      <c r="W2154" s="799"/>
      <c r="X2154" s="799"/>
      <c r="Y2154" s="799"/>
      <c r="Z2154" s="799"/>
      <c r="AC2154" s="799"/>
      <c r="BW2154" s="799"/>
    </row>
    <row r="2155" spans="3:75" ht="16" x14ac:dyDescent="0.15">
      <c r="C2155" s="561"/>
      <c r="D2155" s="561"/>
      <c r="E2155" s="561"/>
      <c r="F2155" s="561"/>
      <c r="G2155" s="799"/>
      <c r="H2155" s="1355"/>
      <c r="I2155" s="561"/>
      <c r="J2155" s="561"/>
      <c r="K2155" s="561"/>
      <c r="L2155" s="799"/>
      <c r="M2155" s="799"/>
      <c r="N2155" s="799"/>
      <c r="Q2155" s="799"/>
      <c r="R2155" s="799"/>
      <c r="S2155" s="799"/>
      <c r="T2155" s="799"/>
      <c r="U2155" s="799"/>
      <c r="V2155" s="799"/>
      <c r="W2155" s="799"/>
      <c r="X2155" s="799"/>
      <c r="Y2155" s="799"/>
      <c r="Z2155" s="799"/>
      <c r="AC2155" s="799"/>
      <c r="BW2155" s="799"/>
    </row>
    <row r="2156" spans="3:75" ht="16" x14ac:dyDescent="0.15">
      <c r="C2156" s="561"/>
      <c r="D2156" s="561"/>
      <c r="E2156" s="561"/>
      <c r="F2156" s="561"/>
      <c r="G2156" s="799"/>
      <c r="H2156" s="1355"/>
      <c r="I2156" s="561"/>
      <c r="J2156" s="561"/>
      <c r="K2156" s="561"/>
      <c r="L2156" s="799"/>
      <c r="M2156" s="799"/>
      <c r="N2156" s="799"/>
      <c r="Q2156" s="799"/>
      <c r="R2156" s="799"/>
      <c r="S2156" s="799"/>
      <c r="T2156" s="799"/>
      <c r="U2156" s="799"/>
      <c r="V2156" s="799"/>
      <c r="W2156" s="799"/>
      <c r="X2156" s="799"/>
      <c r="Y2156" s="799"/>
      <c r="Z2156" s="799"/>
      <c r="AC2156" s="799"/>
      <c r="BW2156" s="799"/>
    </row>
    <row r="2157" spans="3:75" ht="16" x14ac:dyDescent="0.15">
      <c r="C2157" s="561"/>
      <c r="D2157" s="561"/>
      <c r="E2157" s="561"/>
      <c r="F2157" s="561"/>
      <c r="G2157" s="799"/>
      <c r="H2157" s="1355"/>
      <c r="I2157" s="561"/>
      <c r="J2157" s="561"/>
      <c r="K2157" s="561"/>
      <c r="L2157" s="799"/>
      <c r="M2157" s="799"/>
      <c r="N2157" s="799"/>
      <c r="Q2157" s="799"/>
      <c r="R2157" s="799"/>
      <c r="S2157" s="799"/>
      <c r="T2157" s="799"/>
      <c r="U2157" s="799"/>
      <c r="V2157" s="799"/>
      <c r="W2157" s="799"/>
      <c r="X2157" s="799"/>
      <c r="Y2157" s="799"/>
      <c r="Z2157" s="799"/>
      <c r="AC2157" s="799"/>
      <c r="BW2157" s="799"/>
    </row>
    <row r="2158" spans="3:75" ht="16" x14ac:dyDescent="0.15">
      <c r="C2158" s="561"/>
      <c r="D2158" s="561"/>
      <c r="E2158" s="561"/>
      <c r="F2158" s="561"/>
      <c r="G2158" s="799"/>
      <c r="H2158" s="1355"/>
      <c r="I2158" s="561"/>
      <c r="J2158" s="561"/>
      <c r="K2158" s="561"/>
      <c r="L2158" s="799"/>
      <c r="M2158" s="799"/>
      <c r="N2158" s="799"/>
      <c r="Q2158" s="799"/>
      <c r="R2158" s="799"/>
      <c r="S2158" s="799"/>
      <c r="T2158" s="799"/>
      <c r="U2158" s="799"/>
      <c r="V2158" s="799"/>
      <c r="W2158" s="799"/>
      <c r="X2158" s="799"/>
      <c r="Y2158" s="799"/>
      <c r="Z2158" s="799"/>
      <c r="AC2158" s="799"/>
      <c r="BW2158" s="799"/>
    </row>
    <row r="2159" spans="3:75" ht="16" x14ac:dyDescent="0.15">
      <c r="C2159" s="561"/>
      <c r="D2159" s="561"/>
      <c r="E2159" s="561"/>
      <c r="F2159" s="561"/>
      <c r="G2159" s="799"/>
      <c r="H2159" s="1355"/>
      <c r="I2159" s="561"/>
      <c r="J2159" s="561"/>
      <c r="K2159" s="561"/>
      <c r="L2159" s="799"/>
      <c r="M2159" s="799"/>
      <c r="N2159" s="799"/>
      <c r="Q2159" s="799"/>
      <c r="R2159" s="799"/>
      <c r="S2159" s="799"/>
      <c r="T2159" s="799"/>
      <c r="U2159" s="799"/>
      <c r="V2159" s="799"/>
      <c r="W2159" s="799"/>
      <c r="X2159" s="799"/>
      <c r="Y2159" s="799"/>
      <c r="Z2159" s="799"/>
      <c r="AC2159" s="799"/>
      <c r="BW2159" s="799"/>
    </row>
    <row r="2160" spans="3:75" ht="16" x14ac:dyDescent="0.15">
      <c r="C2160" s="561"/>
      <c r="D2160" s="561"/>
      <c r="E2160" s="561"/>
      <c r="F2160" s="561"/>
      <c r="G2160" s="799"/>
      <c r="H2160" s="1355"/>
      <c r="I2160" s="561"/>
      <c r="J2160" s="561"/>
      <c r="K2160" s="561"/>
      <c r="L2160" s="799"/>
      <c r="M2160" s="799"/>
      <c r="N2160" s="799"/>
      <c r="Q2160" s="799"/>
      <c r="R2160" s="799"/>
      <c r="S2160" s="799"/>
      <c r="T2160" s="799"/>
      <c r="U2160" s="799"/>
      <c r="V2160" s="799"/>
      <c r="W2160" s="799"/>
      <c r="X2160" s="799"/>
      <c r="Y2160" s="799"/>
      <c r="Z2160" s="799"/>
      <c r="AC2160" s="799"/>
      <c r="BW2160" s="799"/>
    </row>
    <row r="2161" spans="3:75" ht="16" x14ac:dyDescent="0.15">
      <c r="C2161" s="561"/>
      <c r="D2161" s="561"/>
      <c r="E2161" s="561"/>
      <c r="F2161" s="561"/>
      <c r="G2161" s="799"/>
      <c r="H2161" s="1355"/>
      <c r="I2161" s="561"/>
      <c r="J2161" s="561"/>
      <c r="K2161" s="561"/>
      <c r="L2161" s="799"/>
      <c r="M2161" s="799"/>
      <c r="N2161" s="799"/>
      <c r="Q2161" s="799"/>
      <c r="R2161" s="799"/>
      <c r="S2161" s="799"/>
      <c r="T2161" s="799"/>
      <c r="U2161" s="799"/>
      <c r="V2161" s="799"/>
      <c r="W2161" s="799"/>
      <c r="X2161" s="799"/>
      <c r="Y2161" s="799"/>
      <c r="Z2161" s="799"/>
      <c r="AC2161" s="799"/>
      <c r="BW2161" s="799"/>
    </row>
    <row r="2162" spans="3:75" ht="16" x14ac:dyDescent="0.15">
      <c r="C2162" s="561"/>
      <c r="D2162" s="561"/>
      <c r="E2162" s="561"/>
      <c r="F2162" s="561"/>
      <c r="G2162" s="799"/>
      <c r="H2162" s="1355"/>
      <c r="I2162" s="561"/>
      <c r="J2162" s="561"/>
      <c r="K2162" s="561"/>
      <c r="L2162" s="799"/>
      <c r="M2162" s="799"/>
      <c r="N2162" s="799"/>
      <c r="Q2162" s="799"/>
      <c r="R2162" s="799"/>
      <c r="S2162" s="799"/>
      <c r="T2162" s="799"/>
      <c r="U2162" s="799"/>
      <c r="V2162" s="799"/>
      <c r="W2162" s="799"/>
      <c r="X2162" s="799"/>
      <c r="Y2162" s="799"/>
      <c r="Z2162" s="799"/>
      <c r="AC2162" s="799"/>
      <c r="BW2162" s="799"/>
    </row>
    <row r="2163" spans="3:75" ht="16" x14ac:dyDescent="0.15">
      <c r="C2163" s="561"/>
      <c r="D2163" s="561"/>
      <c r="E2163" s="561"/>
      <c r="F2163" s="561"/>
      <c r="G2163" s="799"/>
      <c r="H2163" s="1355"/>
      <c r="I2163" s="561"/>
      <c r="J2163" s="561"/>
      <c r="K2163" s="561"/>
      <c r="L2163" s="799"/>
      <c r="M2163" s="799"/>
      <c r="N2163" s="799"/>
      <c r="Q2163" s="799"/>
      <c r="R2163" s="799"/>
      <c r="S2163" s="799"/>
      <c r="T2163" s="799"/>
      <c r="U2163" s="799"/>
      <c r="V2163" s="799"/>
      <c r="W2163" s="799"/>
      <c r="X2163" s="799"/>
      <c r="Y2163" s="799"/>
      <c r="Z2163" s="799"/>
      <c r="AC2163" s="799"/>
      <c r="BW2163" s="799"/>
    </row>
    <row r="2164" spans="3:75" ht="16" x14ac:dyDescent="0.15">
      <c r="C2164" s="561"/>
      <c r="D2164" s="561"/>
      <c r="E2164" s="561"/>
      <c r="F2164" s="561"/>
      <c r="G2164" s="799"/>
      <c r="H2164" s="1355"/>
      <c r="I2164" s="561"/>
      <c r="J2164" s="561"/>
      <c r="K2164" s="561"/>
      <c r="L2164" s="799"/>
      <c r="M2164" s="799"/>
      <c r="N2164" s="799"/>
      <c r="Q2164" s="799"/>
      <c r="R2164" s="799"/>
      <c r="S2164" s="799"/>
      <c r="T2164" s="799"/>
      <c r="U2164" s="799"/>
      <c r="V2164" s="799"/>
      <c r="W2164" s="799"/>
      <c r="X2164" s="799"/>
      <c r="Y2164" s="799"/>
      <c r="Z2164" s="799"/>
      <c r="AC2164" s="799"/>
      <c r="BW2164" s="799"/>
    </row>
    <row r="2165" spans="3:75" ht="16" x14ac:dyDescent="0.15">
      <c r="C2165" s="561"/>
      <c r="D2165" s="561"/>
      <c r="E2165" s="561"/>
      <c r="F2165" s="561"/>
      <c r="G2165" s="799"/>
      <c r="H2165" s="1355"/>
      <c r="I2165" s="561"/>
      <c r="J2165" s="561"/>
      <c r="K2165" s="561"/>
      <c r="L2165" s="799"/>
      <c r="M2165" s="799"/>
      <c r="N2165" s="799"/>
      <c r="Q2165" s="799"/>
      <c r="R2165" s="799"/>
      <c r="S2165" s="799"/>
      <c r="T2165" s="799"/>
      <c r="U2165" s="799"/>
      <c r="V2165" s="799"/>
      <c r="W2165" s="799"/>
      <c r="X2165" s="799"/>
      <c r="Y2165" s="799"/>
      <c r="Z2165" s="799"/>
      <c r="AC2165" s="799"/>
      <c r="BW2165" s="799"/>
    </row>
    <row r="2166" spans="3:75" ht="16" x14ac:dyDescent="0.15">
      <c r="C2166" s="561"/>
      <c r="D2166" s="561"/>
      <c r="E2166" s="561"/>
      <c r="F2166" s="561"/>
      <c r="G2166" s="799"/>
      <c r="H2166" s="1355"/>
      <c r="I2166" s="561"/>
      <c r="J2166" s="561"/>
      <c r="K2166" s="561"/>
      <c r="L2166" s="799"/>
      <c r="M2166" s="799"/>
      <c r="N2166" s="799"/>
      <c r="Q2166" s="799"/>
      <c r="R2166" s="799"/>
      <c r="S2166" s="799"/>
      <c r="T2166" s="799"/>
      <c r="U2166" s="799"/>
      <c r="V2166" s="799"/>
      <c r="W2166" s="799"/>
      <c r="X2166" s="799"/>
      <c r="Y2166" s="799"/>
      <c r="Z2166" s="799"/>
      <c r="AC2166" s="799"/>
      <c r="BW2166" s="799"/>
    </row>
    <row r="2167" spans="3:75" ht="16" x14ac:dyDescent="0.15">
      <c r="C2167" s="561"/>
      <c r="D2167" s="561"/>
      <c r="E2167" s="561"/>
      <c r="F2167" s="561"/>
      <c r="G2167" s="799"/>
      <c r="H2167" s="1355"/>
      <c r="I2167" s="561"/>
      <c r="J2167" s="561"/>
      <c r="K2167" s="561"/>
      <c r="L2167" s="799"/>
      <c r="M2167" s="799"/>
      <c r="N2167" s="799"/>
      <c r="Q2167" s="799"/>
      <c r="R2167" s="799"/>
      <c r="S2167" s="799"/>
      <c r="T2167" s="799"/>
      <c r="U2167" s="799"/>
      <c r="V2167" s="799"/>
      <c r="W2167" s="799"/>
      <c r="X2167" s="799"/>
      <c r="Y2167" s="799"/>
      <c r="Z2167" s="799"/>
      <c r="AC2167" s="799"/>
      <c r="BW2167" s="799"/>
    </row>
    <row r="2168" spans="3:75" ht="16" x14ac:dyDescent="0.15">
      <c r="C2168" s="561"/>
      <c r="D2168" s="561"/>
      <c r="E2168" s="561"/>
      <c r="F2168" s="561"/>
      <c r="G2168" s="799"/>
      <c r="H2168" s="1355"/>
      <c r="I2168" s="561"/>
      <c r="J2168" s="561"/>
      <c r="K2168" s="561"/>
      <c r="L2168" s="799"/>
      <c r="M2168" s="799"/>
      <c r="N2168" s="799"/>
      <c r="Q2168" s="799"/>
      <c r="R2168" s="799"/>
      <c r="S2168" s="799"/>
      <c r="T2168" s="799"/>
      <c r="U2168" s="799"/>
      <c r="V2168" s="799"/>
      <c r="W2168" s="799"/>
      <c r="X2168" s="799"/>
      <c r="Y2168" s="799"/>
      <c r="Z2168" s="799"/>
      <c r="AC2168" s="799"/>
      <c r="BW2168" s="799"/>
    </row>
    <row r="2169" spans="3:75" ht="16" x14ac:dyDescent="0.15">
      <c r="C2169" s="561"/>
      <c r="D2169" s="561"/>
      <c r="E2169" s="561"/>
      <c r="F2169" s="561"/>
      <c r="G2169" s="799"/>
      <c r="H2169" s="1355"/>
      <c r="I2169" s="561"/>
      <c r="J2169" s="561"/>
      <c r="K2169" s="561"/>
      <c r="L2169" s="799"/>
      <c r="M2169" s="799"/>
      <c r="N2169" s="799"/>
      <c r="Q2169" s="799"/>
      <c r="R2169" s="799"/>
      <c r="S2169" s="799"/>
      <c r="T2169" s="799"/>
      <c r="U2169" s="799"/>
      <c r="V2169" s="799"/>
      <c r="W2169" s="799"/>
      <c r="X2169" s="799"/>
      <c r="Y2169" s="799"/>
      <c r="Z2169" s="799"/>
      <c r="AC2169" s="799"/>
      <c r="BW2169" s="799"/>
    </row>
    <row r="2170" spans="3:75" ht="16" x14ac:dyDescent="0.15">
      <c r="C2170" s="561"/>
      <c r="D2170" s="561"/>
      <c r="E2170" s="561"/>
      <c r="F2170" s="561"/>
      <c r="G2170" s="799"/>
      <c r="H2170" s="1355"/>
      <c r="I2170" s="561"/>
      <c r="J2170" s="561"/>
      <c r="K2170" s="561"/>
      <c r="L2170" s="799"/>
      <c r="M2170" s="799"/>
      <c r="N2170" s="799"/>
      <c r="Q2170" s="799"/>
      <c r="R2170" s="799"/>
      <c r="S2170" s="799"/>
      <c r="T2170" s="799"/>
      <c r="U2170" s="799"/>
      <c r="V2170" s="799"/>
      <c r="W2170" s="799"/>
      <c r="X2170" s="799"/>
      <c r="Y2170" s="799"/>
      <c r="Z2170" s="799"/>
      <c r="AC2170" s="799"/>
      <c r="BW2170" s="799"/>
    </row>
    <row r="2171" spans="3:75" ht="16" x14ac:dyDescent="0.15">
      <c r="C2171" s="561"/>
      <c r="D2171" s="561"/>
      <c r="E2171" s="561"/>
      <c r="F2171" s="561"/>
      <c r="G2171" s="799"/>
      <c r="H2171" s="1355"/>
      <c r="I2171" s="561"/>
      <c r="J2171" s="561"/>
      <c r="K2171" s="561"/>
      <c r="L2171" s="799"/>
      <c r="M2171" s="799"/>
      <c r="N2171" s="799"/>
      <c r="Q2171" s="799"/>
      <c r="R2171" s="799"/>
      <c r="S2171" s="799"/>
      <c r="T2171" s="799"/>
      <c r="U2171" s="799"/>
      <c r="V2171" s="799"/>
      <c r="W2171" s="799"/>
      <c r="X2171" s="799"/>
      <c r="Y2171" s="799"/>
      <c r="Z2171" s="799"/>
      <c r="AC2171" s="799"/>
      <c r="BW2171" s="799"/>
    </row>
    <row r="2172" spans="3:75" ht="16" x14ac:dyDescent="0.15">
      <c r="C2172" s="561"/>
      <c r="D2172" s="561"/>
      <c r="E2172" s="561"/>
      <c r="F2172" s="561"/>
      <c r="G2172" s="799"/>
      <c r="H2172" s="1355"/>
      <c r="I2172" s="561"/>
      <c r="J2172" s="561"/>
      <c r="K2172" s="561"/>
      <c r="L2172" s="799"/>
      <c r="M2172" s="799"/>
      <c r="N2172" s="799"/>
      <c r="Q2172" s="799"/>
      <c r="R2172" s="799"/>
      <c r="S2172" s="799"/>
      <c r="T2172" s="799"/>
      <c r="U2172" s="799"/>
      <c r="V2172" s="799"/>
      <c r="W2172" s="799"/>
      <c r="X2172" s="799"/>
      <c r="Y2172" s="799"/>
      <c r="Z2172" s="799"/>
      <c r="AC2172" s="799"/>
      <c r="BW2172" s="799"/>
    </row>
    <row r="2173" spans="3:75" ht="16" x14ac:dyDescent="0.15">
      <c r="C2173" s="561"/>
      <c r="D2173" s="561"/>
      <c r="E2173" s="561"/>
      <c r="F2173" s="561"/>
      <c r="G2173" s="799"/>
      <c r="H2173" s="1355"/>
      <c r="I2173" s="561"/>
      <c r="J2173" s="561"/>
      <c r="K2173" s="561"/>
      <c r="L2173" s="799"/>
      <c r="M2173" s="799"/>
      <c r="N2173" s="799"/>
      <c r="Q2173" s="799"/>
      <c r="R2173" s="799"/>
      <c r="S2173" s="799"/>
      <c r="T2173" s="799"/>
      <c r="U2173" s="799"/>
      <c r="V2173" s="799"/>
      <c r="W2173" s="799"/>
      <c r="X2173" s="799"/>
      <c r="Y2173" s="799"/>
      <c r="Z2173" s="799"/>
      <c r="AC2173" s="799"/>
      <c r="BW2173" s="799"/>
    </row>
    <row r="2174" spans="3:75" ht="16" x14ac:dyDescent="0.15">
      <c r="C2174" s="561"/>
      <c r="D2174" s="561"/>
      <c r="E2174" s="561"/>
      <c r="F2174" s="561"/>
      <c r="G2174" s="799"/>
      <c r="H2174" s="1355"/>
      <c r="I2174" s="561"/>
      <c r="J2174" s="561"/>
      <c r="K2174" s="561"/>
      <c r="L2174" s="799"/>
      <c r="M2174" s="799"/>
      <c r="N2174" s="799"/>
      <c r="Q2174" s="799"/>
      <c r="R2174" s="799"/>
      <c r="S2174" s="799"/>
      <c r="T2174" s="799"/>
      <c r="U2174" s="799"/>
      <c r="V2174" s="799"/>
      <c r="W2174" s="799"/>
      <c r="X2174" s="799"/>
      <c r="Y2174" s="799"/>
      <c r="Z2174" s="799"/>
      <c r="AC2174" s="799"/>
      <c r="BW2174" s="799"/>
    </row>
    <row r="2175" spans="3:75" ht="16" x14ac:dyDescent="0.15">
      <c r="C2175" s="561"/>
      <c r="D2175" s="561"/>
      <c r="E2175" s="561"/>
      <c r="F2175" s="561"/>
      <c r="G2175" s="799"/>
      <c r="H2175" s="1355"/>
      <c r="I2175" s="561"/>
      <c r="J2175" s="561"/>
      <c r="K2175" s="561"/>
      <c r="L2175" s="799"/>
      <c r="M2175" s="799"/>
      <c r="N2175" s="799"/>
      <c r="Q2175" s="799"/>
      <c r="R2175" s="799"/>
      <c r="S2175" s="799"/>
      <c r="T2175" s="799"/>
      <c r="U2175" s="799"/>
      <c r="V2175" s="799"/>
      <c r="W2175" s="799"/>
      <c r="X2175" s="799"/>
      <c r="Y2175" s="799"/>
      <c r="Z2175" s="799"/>
      <c r="AC2175" s="799"/>
      <c r="BW2175" s="799"/>
    </row>
    <row r="2176" spans="3:75" ht="16" x14ac:dyDescent="0.15">
      <c r="C2176" s="561"/>
      <c r="D2176" s="561"/>
      <c r="E2176" s="561"/>
      <c r="F2176" s="561"/>
      <c r="G2176" s="799"/>
      <c r="H2176" s="1355"/>
      <c r="I2176" s="561"/>
      <c r="J2176" s="561"/>
      <c r="K2176" s="561"/>
      <c r="L2176" s="799"/>
      <c r="M2176" s="799"/>
      <c r="N2176" s="799"/>
      <c r="Q2176" s="799"/>
      <c r="R2176" s="799"/>
      <c r="S2176" s="799"/>
      <c r="T2176" s="799"/>
      <c r="U2176" s="799"/>
      <c r="V2176" s="799"/>
      <c r="W2176" s="799"/>
      <c r="X2176" s="799"/>
      <c r="Y2176" s="799"/>
      <c r="Z2176" s="799"/>
      <c r="AC2176" s="799"/>
      <c r="BW2176" s="799"/>
    </row>
    <row r="2177" spans="3:75" ht="16" x14ac:dyDescent="0.15">
      <c r="C2177" s="561"/>
      <c r="D2177" s="561"/>
      <c r="E2177" s="561"/>
      <c r="F2177" s="561"/>
      <c r="G2177" s="799"/>
      <c r="H2177" s="1355"/>
      <c r="I2177" s="561"/>
      <c r="J2177" s="561"/>
      <c r="K2177" s="561"/>
      <c r="L2177" s="799"/>
      <c r="M2177" s="799"/>
      <c r="N2177" s="799"/>
      <c r="Q2177" s="799"/>
      <c r="R2177" s="799"/>
      <c r="S2177" s="799"/>
      <c r="T2177" s="799"/>
      <c r="U2177" s="799"/>
      <c r="V2177" s="799"/>
      <c r="W2177" s="799"/>
      <c r="X2177" s="799"/>
      <c r="Y2177" s="799"/>
      <c r="Z2177" s="799"/>
      <c r="AC2177" s="799"/>
      <c r="BW2177" s="799"/>
    </row>
    <row r="2178" spans="3:75" ht="16" x14ac:dyDescent="0.15">
      <c r="C2178" s="561"/>
      <c r="D2178" s="561"/>
      <c r="E2178" s="561"/>
      <c r="F2178" s="561"/>
      <c r="G2178" s="799"/>
      <c r="H2178" s="1355"/>
      <c r="I2178" s="561"/>
      <c r="J2178" s="561"/>
      <c r="K2178" s="561"/>
      <c r="L2178" s="799"/>
      <c r="M2178" s="799"/>
      <c r="N2178" s="799"/>
      <c r="Q2178" s="799"/>
      <c r="R2178" s="799"/>
      <c r="S2178" s="799"/>
      <c r="T2178" s="799"/>
      <c r="U2178" s="799"/>
      <c r="V2178" s="799"/>
      <c r="W2178" s="799"/>
      <c r="X2178" s="799"/>
      <c r="Y2178" s="799"/>
      <c r="Z2178" s="799"/>
      <c r="AC2178" s="799"/>
      <c r="BW2178" s="799"/>
    </row>
    <row r="2179" spans="3:75" ht="16" x14ac:dyDescent="0.15">
      <c r="C2179" s="561"/>
      <c r="D2179" s="561"/>
      <c r="E2179" s="561"/>
      <c r="F2179" s="561"/>
      <c r="G2179" s="799"/>
      <c r="H2179" s="1355"/>
      <c r="I2179" s="561"/>
      <c r="J2179" s="561"/>
      <c r="K2179" s="561"/>
      <c r="L2179" s="799"/>
      <c r="M2179" s="799"/>
      <c r="N2179" s="799"/>
      <c r="Q2179" s="799"/>
      <c r="R2179" s="799"/>
      <c r="S2179" s="799"/>
      <c r="T2179" s="799"/>
      <c r="U2179" s="799"/>
      <c r="V2179" s="799"/>
      <c r="W2179" s="799"/>
      <c r="X2179" s="799"/>
      <c r="Y2179" s="799"/>
      <c r="Z2179" s="799"/>
      <c r="AC2179" s="799"/>
      <c r="BW2179" s="799"/>
    </row>
    <row r="2180" spans="3:75" ht="16" x14ac:dyDescent="0.15">
      <c r="C2180" s="561"/>
      <c r="D2180" s="561"/>
      <c r="E2180" s="561"/>
      <c r="F2180" s="561"/>
      <c r="G2180" s="799"/>
      <c r="H2180" s="1355"/>
      <c r="I2180" s="561"/>
      <c r="J2180" s="561"/>
      <c r="K2180" s="561"/>
      <c r="L2180" s="799"/>
      <c r="M2180" s="799"/>
      <c r="N2180" s="799"/>
      <c r="Q2180" s="799"/>
      <c r="R2180" s="799"/>
      <c r="S2180" s="799"/>
      <c r="T2180" s="799"/>
      <c r="U2180" s="799"/>
      <c r="V2180" s="799"/>
      <c r="W2180" s="799"/>
      <c r="X2180" s="799"/>
      <c r="Y2180" s="799"/>
      <c r="Z2180" s="799"/>
      <c r="AC2180" s="799"/>
      <c r="BW2180" s="799"/>
    </row>
    <row r="2181" spans="3:75" ht="16" x14ac:dyDescent="0.15">
      <c r="C2181" s="561"/>
      <c r="D2181" s="561"/>
      <c r="E2181" s="561"/>
      <c r="F2181" s="561"/>
      <c r="G2181" s="799"/>
      <c r="H2181" s="1355"/>
      <c r="I2181" s="561"/>
      <c r="J2181" s="561"/>
      <c r="K2181" s="561"/>
      <c r="L2181" s="799"/>
      <c r="M2181" s="799"/>
      <c r="N2181" s="799"/>
      <c r="Q2181" s="799"/>
      <c r="R2181" s="799"/>
      <c r="S2181" s="799"/>
      <c r="T2181" s="799"/>
      <c r="U2181" s="799"/>
      <c r="V2181" s="799"/>
      <c r="W2181" s="799"/>
      <c r="X2181" s="799"/>
      <c r="Y2181" s="799"/>
      <c r="Z2181" s="799"/>
      <c r="AC2181" s="799"/>
      <c r="BW2181" s="799"/>
    </row>
    <row r="2182" spans="3:75" ht="16" x14ac:dyDescent="0.15">
      <c r="C2182" s="561"/>
      <c r="D2182" s="561"/>
      <c r="E2182" s="561"/>
      <c r="F2182" s="561"/>
      <c r="G2182" s="799"/>
      <c r="H2182" s="1355"/>
      <c r="I2182" s="561"/>
      <c r="J2182" s="561"/>
      <c r="K2182" s="561"/>
      <c r="L2182" s="799"/>
      <c r="M2182" s="799"/>
      <c r="N2182" s="799"/>
      <c r="Q2182" s="799"/>
      <c r="R2182" s="799"/>
      <c r="S2182" s="799"/>
      <c r="T2182" s="799"/>
      <c r="U2182" s="799"/>
      <c r="V2182" s="799"/>
      <c r="W2182" s="799"/>
      <c r="X2182" s="799"/>
      <c r="Y2182" s="799"/>
      <c r="Z2182" s="799"/>
      <c r="AC2182" s="799"/>
      <c r="BW2182" s="799"/>
    </row>
    <row r="2183" spans="3:75" ht="16" x14ac:dyDescent="0.15">
      <c r="C2183" s="561"/>
      <c r="D2183" s="561"/>
      <c r="E2183" s="561"/>
      <c r="F2183" s="561"/>
      <c r="G2183" s="799"/>
      <c r="H2183" s="1355"/>
      <c r="I2183" s="561"/>
      <c r="J2183" s="561"/>
      <c r="K2183" s="561"/>
      <c r="L2183" s="799"/>
      <c r="M2183" s="799"/>
      <c r="N2183" s="799"/>
      <c r="Q2183" s="799"/>
      <c r="R2183" s="799"/>
      <c r="S2183" s="799"/>
      <c r="T2183" s="799"/>
      <c r="U2183" s="799"/>
      <c r="V2183" s="799"/>
      <c r="W2183" s="799"/>
      <c r="X2183" s="799"/>
      <c r="Y2183" s="799"/>
      <c r="Z2183" s="799"/>
      <c r="AC2183" s="799"/>
      <c r="BW2183" s="799"/>
    </row>
    <row r="2184" spans="3:75" ht="16" x14ac:dyDescent="0.15">
      <c r="C2184" s="561"/>
      <c r="D2184" s="561"/>
      <c r="E2184" s="561"/>
      <c r="F2184" s="561"/>
      <c r="G2184" s="799"/>
      <c r="H2184" s="1355"/>
      <c r="I2184" s="561"/>
      <c r="J2184" s="561"/>
      <c r="K2184" s="561"/>
      <c r="L2184" s="799"/>
      <c r="M2184" s="799"/>
      <c r="N2184" s="799"/>
      <c r="Q2184" s="799"/>
      <c r="R2184" s="799"/>
      <c r="S2184" s="799"/>
      <c r="T2184" s="799"/>
      <c r="U2184" s="799"/>
      <c r="V2184" s="799"/>
      <c r="W2184" s="799"/>
      <c r="X2184" s="799"/>
      <c r="Y2184" s="799"/>
      <c r="Z2184" s="799"/>
      <c r="AC2184" s="799"/>
      <c r="BW2184" s="799"/>
    </row>
    <row r="2185" spans="3:75" ht="16" x14ac:dyDescent="0.15">
      <c r="C2185" s="561"/>
      <c r="D2185" s="561"/>
      <c r="E2185" s="561"/>
      <c r="F2185" s="561"/>
      <c r="G2185" s="799"/>
      <c r="H2185" s="1355"/>
      <c r="I2185" s="561"/>
      <c r="J2185" s="561"/>
      <c r="K2185" s="561"/>
      <c r="L2185" s="799"/>
      <c r="M2185" s="799"/>
      <c r="N2185" s="799"/>
      <c r="Q2185" s="799"/>
      <c r="R2185" s="799"/>
      <c r="S2185" s="799"/>
      <c r="T2185" s="799"/>
      <c r="U2185" s="799"/>
      <c r="V2185" s="799"/>
      <c r="W2185" s="799"/>
      <c r="X2185" s="799"/>
      <c r="Y2185" s="799"/>
      <c r="Z2185" s="799"/>
      <c r="AC2185" s="799"/>
      <c r="BW2185" s="799"/>
    </row>
    <row r="2186" spans="3:75" ht="16" x14ac:dyDescent="0.15">
      <c r="C2186" s="561"/>
      <c r="D2186" s="561"/>
      <c r="E2186" s="561"/>
      <c r="F2186" s="561"/>
      <c r="G2186" s="799"/>
      <c r="H2186" s="1355"/>
      <c r="I2186" s="561"/>
      <c r="J2186" s="561"/>
      <c r="K2186" s="561"/>
      <c r="L2186" s="799"/>
      <c r="M2186" s="799"/>
      <c r="N2186" s="799"/>
      <c r="Q2186" s="799"/>
      <c r="R2186" s="799"/>
      <c r="S2186" s="799"/>
      <c r="T2186" s="799"/>
      <c r="U2186" s="799"/>
      <c r="V2186" s="799"/>
      <c r="W2186" s="799"/>
      <c r="X2186" s="799"/>
      <c r="Y2186" s="799"/>
      <c r="Z2186" s="799"/>
      <c r="AC2186" s="799"/>
      <c r="BW2186" s="799"/>
    </row>
    <row r="2187" spans="3:75" ht="16" x14ac:dyDescent="0.15">
      <c r="C2187" s="561"/>
      <c r="D2187" s="561"/>
      <c r="E2187" s="561"/>
      <c r="F2187" s="561"/>
      <c r="G2187" s="799"/>
      <c r="H2187" s="1355"/>
      <c r="I2187" s="561"/>
      <c r="J2187" s="561"/>
      <c r="K2187" s="561"/>
      <c r="L2187" s="799"/>
      <c r="M2187" s="799"/>
      <c r="N2187" s="799"/>
      <c r="Q2187" s="799"/>
      <c r="R2187" s="799"/>
      <c r="S2187" s="799"/>
      <c r="T2187" s="799"/>
      <c r="U2187" s="799"/>
      <c r="V2187" s="799"/>
      <c r="W2187" s="799"/>
      <c r="X2187" s="799"/>
      <c r="Y2187" s="799"/>
      <c r="Z2187" s="799"/>
      <c r="AC2187" s="799"/>
      <c r="BW2187" s="799"/>
    </row>
    <row r="2188" spans="3:75" ht="16" x14ac:dyDescent="0.15">
      <c r="C2188" s="561"/>
      <c r="D2188" s="561"/>
      <c r="E2188" s="561"/>
      <c r="F2188" s="561"/>
      <c r="G2188" s="799"/>
      <c r="H2188" s="1355"/>
      <c r="I2188" s="561"/>
      <c r="J2188" s="561"/>
      <c r="K2188" s="561"/>
      <c r="L2188" s="799"/>
      <c r="M2188" s="799"/>
      <c r="N2188" s="799"/>
      <c r="Q2188" s="799"/>
      <c r="R2188" s="799"/>
      <c r="S2188" s="799"/>
      <c r="T2188" s="799"/>
      <c r="U2188" s="799"/>
      <c r="V2188" s="799"/>
      <c r="W2188" s="799"/>
      <c r="X2188" s="799"/>
      <c r="Y2188" s="799"/>
      <c r="Z2188" s="799"/>
      <c r="AC2188" s="799"/>
      <c r="BW2188" s="799"/>
    </row>
    <row r="2189" spans="3:75" ht="16" x14ac:dyDescent="0.15">
      <c r="C2189" s="561"/>
      <c r="D2189" s="561"/>
      <c r="E2189" s="561"/>
      <c r="F2189" s="561"/>
      <c r="G2189" s="799"/>
      <c r="H2189" s="1355"/>
      <c r="I2189" s="561"/>
      <c r="J2189" s="561"/>
      <c r="K2189" s="561"/>
      <c r="L2189" s="799"/>
      <c r="M2189" s="799"/>
      <c r="N2189" s="799"/>
      <c r="Q2189" s="799"/>
      <c r="R2189" s="799"/>
      <c r="S2189" s="799"/>
      <c r="T2189" s="799"/>
      <c r="U2189" s="799"/>
      <c r="V2189" s="799"/>
      <c r="W2189" s="799"/>
      <c r="X2189" s="799"/>
      <c r="Y2189" s="799"/>
      <c r="Z2189" s="799"/>
      <c r="AC2189" s="799"/>
      <c r="BW2189" s="799"/>
    </row>
    <row r="2190" spans="3:75" ht="16" x14ac:dyDescent="0.15">
      <c r="C2190" s="561"/>
      <c r="D2190" s="561"/>
      <c r="E2190" s="561"/>
      <c r="F2190" s="561"/>
      <c r="G2190" s="799"/>
      <c r="H2190" s="1355"/>
      <c r="I2190" s="561"/>
      <c r="J2190" s="561"/>
      <c r="K2190" s="561"/>
      <c r="L2190" s="799"/>
      <c r="M2190" s="799"/>
      <c r="N2190" s="799"/>
      <c r="Q2190" s="799"/>
      <c r="R2190" s="799"/>
      <c r="S2190" s="799"/>
      <c r="T2190" s="799"/>
      <c r="U2190" s="799"/>
      <c r="V2190" s="799"/>
      <c r="W2190" s="799"/>
      <c r="X2190" s="799"/>
      <c r="Y2190" s="799"/>
      <c r="Z2190" s="799"/>
      <c r="AC2190" s="799"/>
      <c r="BW2190" s="799"/>
    </row>
    <row r="2191" spans="3:75" ht="16" x14ac:dyDescent="0.15">
      <c r="C2191" s="561"/>
      <c r="D2191" s="561"/>
      <c r="E2191" s="561"/>
      <c r="F2191" s="561"/>
      <c r="G2191" s="799"/>
      <c r="H2191" s="1355"/>
      <c r="I2191" s="561"/>
      <c r="J2191" s="561"/>
      <c r="K2191" s="561"/>
      <c r="L2191" s="799"/>
      <c r="M2191" s="799"/>
      <c r="N2191" s="799"/>
      <c r="Q2191" s="799"/>
      <c r="R2191" s="799"/>
      <c r="S2191" s="799"/>
      <c r="T2191" s="799"/>
      <c r="U2191" s="799"/>
      <c r="V2191" s="799"/>
      <c r="W2191" s="799"/>
      <c r="X2191" s="799"/>
      <c r="Y2191" s="799"/>
      <c r="Z2191" s="799"/>
      <c r="AC2191" s="799"/>
      <c r="BW2191" s="799"/>
    </row>
    <row r="2192" spans="3:75" ht="16" x14ac:dyDescent="0.15">
      <c r="C2192" s="561"/>
      <c r="D2192" s="561"/>
      <c r="E2192" s="561"/>
      <c r="F2192" s="561"/>
      <c r="G2192" s="799"/>
      <c r="H2192" s="1355"/>
      <c r="I2192" s="561"/>
      <c r="J2192" s="561"/>
      <c r="K2192" s="561"/>
      <c r="L2192" s="799"/>
      <c r="M2192" s="799"/>
      <c r="N2192" s="799"/>
      <c r="Q2192" s="799"/>
      <c r="R2192" s="799"/>
      <c r="S2192" s="799"/>
      <c r="T2192" s="799"/>
      <c r="U2192" s="799"/>
      <c r="V2192" s="799"/>
      <c r="W2192" s="799"/>
      <c r="X2192" s="799"/>
      <c r="Y2192" s="799"/>
      <c r="Z2192" s="799"/>
      <c r="AC2192" s="799"/>
      <c r="BW2192" s="799"/>
    </row>
    <row r="2193" spans="3:75" ht="16" x14ac:dyDescent="0.15">
      <c r="C2193" s="561"/>
      <c r="D2193" s="561"/>
      <c r="E2193" s="561"/>
      <c r="F2193" s="561"/>
      <c r="G2193" s="799"/>
      <c r="H2193" s="1355"/>
      <c r="I2193" s="561"/>
      <c r="J2193" s="561"/>
      <c r="K2193" s="561"/>
      <c r="L2193" s="799"/>
      <c r="M2193" s="799"/>
      <c r="N2193" s="799"/>
      <c r="Q2193" s="799"/>
      <c r="R2193" s="799"/>
      <c r="S2193" s="799"/>
      <c r="T2193" s="799"/>
      <c r="U2193" s="799"/>
      <c r="V2193" s="799"/>
      <c r="W2193" s="799"/>
      <c r="X2193" s="799"/>
      <c r="Y2193" s="799"/>
      <c r="Z2193" s="799"/>
      <c r="AC2193" s="799"/>
      <c r="BW2193" s="799"/>
    </row>
    <row r="2194" spans="3:75" ht="16" x14ac:dyDescent="0.15">
      <c r="C2194" s="561"/>
      <c r="D2194" s="561"/>
      <c r="E2194" s="561"/>
      <c r="F2194" s="561"/>
      <c r="G2194" s="799"/>
      <c r="H2194" s="1355"/>
      <c r="I2194" s="561"/>
      <c r="J2194" s="561"/>
      <c r="K2194" s="561"/>
      <c r="L2194" s="799"/>
      <c r="M2194" s="799"/>
      <c r="N2194" s="799"/>
      <c r="Q2194" s="799"/>
      <c r="R2194" s="799"/>
      <c r="S2194" s="799"/>
      <c r="T2194" s="799"/>
      <c r="U2194" s="799"/>
      <c r="V2194" s="799"/>
      <c r="W2194" s="799"/>
      <c r="X2194" s="799"/>
      <c r="Y2194" s="799"/>
      <c r="Z2194" s="799"/>
      <c r="AC2194" s="799"/>
      <c r="BW2194" s="799"/>
    </row>
    <row r="2195" spans="3:75" ht="16" x14ac:dyDescent="0.15">
      <c r="C2195" s="561"/>
      <c r="D2195" s="561"/>
      <c r="E2195" s="561"/>
      <c r="F2195" s="561"/>
      <c r="G2195" s="799"/>
      <c r="H2195" s="1355"/>
      <c r="I2195" s="561"/>
      <c r="J2195" s="561"/>
      <c r="K2195" s="561"/>
      <c r="L2195" s="799"/>
      <c r="M2195" s="799"/>
      <c r="N2195" s="799"/>
      <c r="Q2195" s="799"/>
      <c r="R2195" s="799"/>
      <c r="S2195" s="799"/>
      <c r="T2195" s="799"/>
      <c r="U2195" s="799"/>
      <c r="V2195" s="799"/>
      <c r="W2195" s="799"/>
      <c r="X2195" s="799"/>
      <c r="Y2195" s="799"/>
      <c r="Z2195" s="799"/>
      <c r="AC2195" s="799"/>
      <c r="BW2195" s="799"/>
    </row>
    <row r="2196" spans="3:75" ht="16" x14ac:dyDescent="0.15">
      <c r="C2196" s="561"/>
      <c r="D2196" s="561"/>
      <c r="E2196" s="561"/>
      <c r="F2196" s="561"/>
      <c r="G2196" s="799"/>
      <c r="H2196" s="1355"/>
      <c r="I2196" s="561"/>
      <c r="J2196" s="561"/>
      <c r="K2196" s="561"/>
      <c r="L2196" s="799"/>
      <c r="M2196" s="799"/>
      <c r="N2196" s="799"/>
      <c r="Q2196" s="799"/>
      <c r="R2196" s="799"/>
      <c r="S2196" s="799"/>
      <c r="T2196" s="799"/>
      <c r="U2196" s="799"/>
      <c r="V2196" s="799"/>
      <c r="W2196" s="799"/>
      <c r="X2196" s="799"/>
      <c r="Y2196" s="799"/>
      <c r="Z2196" s="799"/>
      <c r="AC2196" s="799"/>
      <c r="BW2196" s="799"/>
    </row>
    <row r="2197" spans="3:75" ht="16" x14ac:dyDescent="0.15">
      <c r="C2197" s="561"/>
      <c r="D2197" s="561"/>
      <c r="E2197" s="561"/>
      <c r="F2197" s="561"/>
      <c r="G2197" s="799"/>
      <c r="H2197" s="1355"/>
      <c r="I2197" s="561"/>
      <c r="J2197" s="561"/>
      <c r="K2197" s="561"/>
      <c r="L2197" s="799"/>
      <c r="M2197" s="799"/>
      <c r="N2197" s="799"/>
      <c r="Q2197" s="799"/>
      <c r="R2197" s="799"/>
      <c r="S2197" s="799"/>
      <c r="T2197" s="799"/>
      <c r="U2197" s="799"/>
      <c r="V2197" s="799"/>
      <c r="W2197" s="799"/>
      <c r="X2197" s="799"/>
      <c r="Y2197" s="799"/>
      <c r="Z2197" s="799"/>
      <c r="AC2197" s="799"/>
      <c r="BW2197" s="799"/>
    </row>
    <row r="2198" spans="3:75" ht="16" x14ac:dyDescent="0.15">
      <c r="C2198" s="561"/>
      <c r="D2198" s="561"/>
      <c r="E2198" s="561"/>
      <c r="F2198" s="561"/>
      <c r="G2198" s="799"/>
      <c r="H2198" s="1355"/>
      <c r="I2198" s="561"/>
      <c r="J2198" s="561"/>
      <c r="K2198" s="561"/>
      <c r="L2198" s="799"/>
      <c r="M2198" s="799"/>
      <c r="N2198" s="799"/>
      <c r="Q2198" s="799"/>
      <c r="R2198" s="799"/>
      <c r="S2198" s="799"/>
      <c r="T2198" s="799"/>
      <c r="U2198" s="799"/>
      <c r="V2198" s="799"/>
      <c r="W2198" s="799"/>
      <c r="X2198" s="799"/>
      <c r="Y2198" s="799"/>
      <c r="Z2198" s="799"/>
      <c r="AC2198" s="799"/>
      <c r="BW2198" s="799"/>
    </row>
    <row r="2199" spans="3:75" ht="16" x14ac:dyDescent="0.15">
      <c r="C2199" s="561"/>
      <c r="D2199" s="561"/>
      <c r="E2199" s="561"/>
      <c r="F2199" s="561"/>
      <c r="G2199" s="799"/>
      <c r="H2199" s="1355"/>
      <c r="I2199" s="561"/>
      <c r="J2199" s="561"/>
      <c r="K2199" s="561"/>
      <c r="L2199" s="799"/>
      <c r="M2199" s="799"/>
      <c r="N2199" s="799"/>
      <c r="Q2199" s="799"/>
      <c r="R2199" s="799"/>
      <c r="S2199" s="799"/>
      <c r="T2199" s="799"/>
      <c r="U2199" s="799"/>
      <c r="V2199" s="799"/>
      <c r="W2199" s="799"/>
      <c r="X2199" s="799"/>
      <c r="Y2199" s="799"/>
      <c r="Z2199" s="799"/>
      <c r="AC2199" s="799"/>
      <c r="BW2199" s="799"/>
    </row>
    <row r="2200" spans="3:75" ht="16" x14ac:dyDescent="0.15">
      <c r="C2200" s="561"/>
      <c r="D2200" s="561"/>
      <c r="E2200" s="561"/>
      <c r="F2200" s="561"/>
      <c r="G2200" s="799"/>
      <c r="H2200" s="1355"/>
      <c r="I2200" s="561"/>
      <c r="J2200" s="561"/>
      <c r="K2200" s="561"/>
      <c r="L2200" s="799"/>
      <c r="M2200" s="799"/>
      <c r="N2200" s="799"/>
      <c r="Q2200" s="799"/>
      <c r="R2200" s="799"/>
      <c r="S2200" s="799"/>
      <c r="T2200" s="799"/>
      <c r="U2200" s="799"/>
      <c r="V2200" s="799"/>
      <c r="W2200" s="799"/>
      <c r="X2200" s="799"/>
      <c r="Y2200" s="799"/>
      <c r="Z2200" s="799"/>
      <c r="AC2200" s="799"/>
      <c r="BW2200" s="799"/>
    </row>
    <row r="2201" spans="3:75" ht="16" x14ac:dyDescent="0.15">
      <c r="C2201" s="561"/>
      <c r="D2201" s="561"/>
      <c r="E2201" s="561"/>
      <c r="F2201" s="561"/>
      <c r="G2201" s="799"/>
      <c r="H2201" s="1355"/>
      <c r="I2201" s="561"/>
      <c r="J2201" s="561"/>
      <c r="K2201" s="561"/>
      <c r="L2201" s="799"/>
      <c r="M2201" s="799"/>
      <c r="N2201" s="799"/>
      <c r="Q2201" s="799"/>
      <c r="R2201" s="799"/>
      <c r="S2201" s="799"/>
      <c r="T2201" s="799"/>
      <c r="U2201" s="799"/>
      <c r="V2201" s="799"/>
      <c r="W2201" s="799"/>
      <c r="X2201" s="799"/>
      <c r="Y2201" s="799"/>
      <c r="Z2201" s="799"/>
      <c r="AC2201" s="799"/>
      <c r="BW2201" s="799"/>
    </row>
    <row r="2202" spans="3:75" ht="16" x14ac:dyDescent="0.15">
      <c r="C2202" s="561"/>
      <c r="D2202" s="561"/>
      <c r="E2202" s="561"/>
      <c r="F2202" s="561"/>
      <c r="G2202" s="799"/>
      <c r="H2202" s="1355"/>
      <c r="I2202" s="561"/>
      <c r="J2202" s="561"/>
      <c r="K2202" s="561"/>
      <c r="L2202" s="799"/>
      <c r="M2202" s="799"/>
      <c r="N2202" s="799"/>
      <c r="Q2202" s="799"/>
      <c r="R2202" s="799"/>
      <c r="S2202" s="799"/>
      <c r="T2202" s="799"/>
      <c r="U2202" s="799"/>
      <c r="V2202" s="799"/>
      <c r="W2202" s="799"/>
      <c r="X2202" s="799"/>
      <c r="Y2202" s="799"/>
      <c r="Z2202" s="799"/>
      <c r="AC2202" s="799"/>
      <c r="BW2202" s="799"/>
    </row>
    <row r="2203" spans="3:75" ht="16" x14ac:dyDescent="0.15">
      <c r="C2203" s="561"/>
      <c r="D2203" s="561"/>
      <c r="E2203" s="561"/>
      <c r="F2203" s="561"/>
      <c r="G2203" s="799"/>
      <c r="H2203" s="1355"/>
      <c r="I2203" s="561"/>
      <c r="J2203" s="561"/>
      <c r="K2203" s="561"/>
      <c r="L2203" s="799"/>
      <c r="M2203" s="799"/>
      <c r="N2203" s="799"/>
      <c r="Q2203" s="799"/>
      <c r="R2203" s="799"/>
      <c r="S2203" s="799"/>
      <c r="T2203" s="799"/>
      <c r="U2203" s="799"/>
      <c r="V2203" s="799"/>
      <c r="W2203" s="799"/>
      <c r="X2203" s="799"/>
      <c r="Y2203" s="799"/>
      <c r="Z2203" s="799"/>
      <c r="AC2203" s="799"/>
      <c r="BW2203" s="799"/>
    </row>
    <row r="2204" spans="3:75" ht="16" x14ac:dyDescent="0.15">
      <c r="C2204" s="561"/>
      <c r="D2204" s="561"/>
      <c r="E2204" s="561"/>
      <c r="F2204" s="561"/>
      <c r="G2204" s="799"/>
      <c r="H2204" s="1355"/>
      <c r="I2204" s="561"/>
      <c r="J2204" s="561"/>
      <c r="K2204" s="561"/>
      <c r="L2204" s="799"/>
      <c r="M2204" s="799"/>
      <c r="N2204" s="799"/>
      <c r="Q2204" s="799"/>
      <c r="R2204" s="799"/>
      <c r="S2204" s="799"/>
      <c r="T2204" s="799"/>
      <c r="U2204" s="799"/>
      <c r="V2204" s="799"/>
      <c r="W2204" s="799"/>
      <c r="X2204" s="799"/>
      <c r="Y2204" s="799"/>
      <c r="Z2204" s="799"/>
      <c r="AC2204" s="799"/>
      <c r="BW2204" s="799"/>
    </row>
    <row r="2205" spans="3:75" ht="16" x14ac:dyDescent="0.15">
      <c r="C2205" s="561"/>
      <c r="D2205" s="561"/>
      <c r="E2205" s="561"/>
      <c r="F2205" s="561"/>
      <c r="G2205" s="799"/>
      <c r="H2205" s="1355"/>
      <c r="I2205" s="561"/>
      <c r="J2205" s="561"/>
      <c r="K2205" s="561"/>
      <c r="L2205" s="799"/>
      <c r="M2205" s="799"/>
      <c r="N2205" s="799"/>
      <c r="Q2205" s="799"/>
      <c r="R2205" s="799"/>
      <c r="S2205" s="799"/>
      <c r="T2205" s="799"/>
      <c r="U2205" s="799"/>
      <c r="V2205" s="799"/>
      <c r="W2205" s="799"/>
      <c r="X2205" s="799"/>
      <c r="Y2205" s="799"/>
      <c r="Z2205" s="799"/>
      <c r="AC2205" s="799"/>
      <c r="BW2205" s="799"/>
    </row>
    <row r="2206" spans="3:75" ht="16" x14ac:dyDescent="0.15">
      <c r="C2206" s="561"/>
      <c r="D2206" s="561"/>
      <c r="E2206" s="561"/>
      <c r="F2206" s="561"/>
      <c r="G2206" s="799"/>
      <c r="H2206" s="1355"/>
      <c r="I2206" s="561"/>
      <c r="J2206" s="561"/>
      <c r="K2206" s="561"/>
      <c r="L2206" s="799"/>
      <c r="M2206" s="799"/>
      <c r="N2206" s="799"/>
      <c r="Q2206" s="799"/>
      <c r="R2206" s="799"/>
      <c r="S2206" s="799"/>
      <c r="T2206" s="799"/>
      <c r="U2206" s="799"/>
      <c r="V2206" s="799"/>
      <c r="W2206" s="799"/>
      <c r="X2206" s="799"/>
      <c r="Y2206" s="799"/>
      <c r="Z2206" s="799"/>
      <c r="AC2206" s="799"/>
      <c r="BW2206" s="799"/>
    </row>
    <row r="2207" spans="3:75" ht="16" x14ac:dyDescent="0.15">
      <c r="C2207" s="561"/>
      <c r="D2207" s="561"/>
      <c r="E2207" s="561"/>
      <c r="F2207" s="561"/>
      <c r="G2207" s="799"/>
      <c r="H2207" s="1355"/>
      <c r="I2207" s="561"/>
      <c r="J2207" s="561"/>
      <c r="K2207" s="561"/>
      <c r="L2207" s="799"/>
      <c r="M2207" s="799"/>
      <c r="N2207" s="799"/>
      <c r="Q2207" s="799"/>
      <c r="R2207" s="799"/>
      <c r="S2207" s="799"/>
      <c r="T2207" s="799"/>
      <c r="U2207" s="799"/>
      <c r="V2207" s="799"/>
      <c r="W2207" s="799"/>
      <c r="X2207" s="799"/>
      <c r="Y2207" s="799"/>
      <c r="Z2207" s="799"/>
      <c r="AC2207" s="799"/>
      <c r="BW2207" s="799"/>
    </row>
    <row r="2208" spans="3:75" ht="16" x14ac:dyDescent="0.15">
      <c r="C2208" s="561"/>
      <c r="D2208" s="561"/>
      <c r="E2208" s="561"/>
      <c r="F2208" s="561"/>
      <c r="G2208" s="799"/>
      <c r="H2208" s="1355"/>
      <c r="I2208" s="561"/>
      <c r="J2208" s="561"/>
      <c r="K2208" s="561"/>
      <c r="L2208" s="799"/>
      <c r="M2208" s="799"/>
      <c r="N2208" s="799"/>
      <c r="Q2208" s="799"/>
      <c r="R2208" s="799"/>
      <c r="S2208" s="799"/>
      <c r="T2208" s="799"/>
      <c r="U2208" s="799"/>
      <c r="V2208" s="799"/>
      <c r="W2208" s="799"/>
      <c r="X2208" s="799"/>
      <c r="Y2208" s="799"/>
      <c r="Z2208" s="799"/>
      <c r="AC2208" s="799"/>
      <c r="BW2208" s="799"/>
    </row>
    <row r="2209" spans="3:75" ht="16" x14ac:dyDescent="0.15">
      <c r="C2209" s="561"/>
      <c r="D2209" s="561"/>
      <c r="E2209" s="561"/>
      <c r="F2209" s="561"/>
      <c r="G2209" s="799"/>
      <c r="H2209" s="1355"/>
      <c r="I2209" s="561"/>
      <c r="J2209" s="561"/>
      <c r="K2209" s="561"/>
      <c r="L2209" s="799"/>
      <c r="M2209" s="799"/>
      <c r="N2209" s="799"/>
      <c r="Q2209" s="799"/>
      <c r="R2209" s="799"/>
      <c r="S2209" s="799"/>
      <c r="T2209" s="799"/>
      <c r="U2209" s="799"/>
      <c r="V2209" s="799"/>
      <c r="W2209" s="799"/>
      <c r="X2209" s="799"/>
      <c r="Y2209" s="799"/>
      <c r="Z2209" s="799"/>
      <c r="AC2209" s="799"/>
      <c r="BW2209" s="799"/>
    </row>
    <row r="2210" spans="3:75" ht="16" x14ac:dyDescent="0.15">
      <c r="C2210" s="561"/>
      <c r="D2210" s="561"/>
      <c r="E2210" s="561"/>
      <c r="F2210" s="561"/>
      <c r="G2210" s="799"/>
      <c r="H2210" s="1355"/>
      <c r="I2210" s="561"/>
      <c r="J2210" s="561"/>
      <c r="K2210" s="561"/>
      <c r="L2210" s="799"/>
      <c r="M2210" s="799"/>
      <c r="N2210" s="799"/>
      <c r="Q2210" s="799"/>
      <c r="R2210" s="799"/>
      <c r="S2210" s="799"/>
      <c r="T2210" s="799"/>
      <c r="U2210" s="799"/>
      <c r="V2210" s="799"/>
      <c r="W2210" s="799"/>
      <c r="X2210" s="799"/>
      <c r="Y2210" s="799"/>
      <c r="Z2210" s="799"/>
      <c r="AC2210" s="799"/>
      <c r="BW2210" s="799"/>
    </row>
    <row r="2211" spans="3:75" ht="16" x14ac:dyDescent="0.15">
      <c r="C2211" s="561"/>
      <c r="D2211" s="561"/>
      <c r="E2211" s="561"/>
      <c r="F2211" s="561"/>
      <c r="G2211" s="799"/>
      <c r="H2211" s="1355"/>
      <c r="I2211" s="561"/>
      <c r="J2211" s="561"/>
      <c r="K2211" s="561"/>
      <c r="L2211" s="799"/>
      <c r="M2211" s="799"/>
      <c r="N2211" s="799"/>
      <c r="Q2211" s="799"/>
      <c r="R2211" s="799"/>
      <c r="S2211" s="799"/>
      <c r="T2211" s="799"/>
      <c r="U2211" s="799"/>
      <c r="V2211" s="799"/>
      <c r="W2211" s="799"/>
      <c r="X2211" s="799"/>
      <c r="Y2211" s="799"/>
      <c r="Z2211" s="799"/>
      <c r="AC2211" s="799"/>
      <c r="BW2211" s="799"/>
    </row>
    <row r="2212" spans="3:75" ht="16" x14ac:dyDescent="0.15">
      <c r="C2212" s="561"/>
      <c r="D2212" s="561"/>
      <c r="E2212" s="561"/>
      <c r="F2212" s="561"/>
      <c r="G2212" s="799"/>
      <c r="H2212" s="1355"/>
      <c r="I2212" s="561"/>
      <c r="J2212" s="561"/>
      <c r="K2212" s="561"/>
      <c r="L2212" s="799"/>
      <c r="M2212" s="799"/>
      <c r="N2212" s="799"/>
      <c r="Q2212" s="799"/>
      <c r="R2212" s="799"/>
      <c r="S2212" s="799"/>
      <c r="T2212" s="799"/>
      <c r="U2212" s="799"/>
      <c r="V2212" s="799"/>
      <c r="W2212" s="799"/>
      <c r="X2212" s="799"/>
      <c r="Y2212" s="799"/>
      <c r="Z2212" s="799"/>
      <c r="AC2212" s="799"/>
      <c r="BW2212" s="799"/>
    </row>
    <row r="2213" spans="3:75" ht="16" x14ac:dyDescent="0.15">
      <c r="C2213" s="561"/>
      <c r="D2213" s="561"/>
      <c r="E2213" s="561"/>
      <c r="F2213" s="561"/>
      <c r="G2213" s="799"/>
      <c r="H2213" s="1355"/>
      <c r="I2213" s="561"/>
      <c r="J2213" s="561"/>
      <c r="K2213" s="561"/>
      <c r="L2213" s="799"/>
      <c r="M2213" s="799"/>
      <c r="N2213" s="799"/>
      <c r="Q2213" s="799"/>
      <c r="R2213" s="799"/>
      <c r="S2213" s="799"/>
      <c r="T2213" s="799"/>
      <c r="U2213" s="799"/>
      <c r="V2213" s="799"/>
      <c r="W2213" s="799"/>
      <c r="X2213" s="799"/>
      <c r="Y2213" s="799"/>
      <c r="Z2213" s="799"/>
      <c r="AC2213" s="799"/>
      <c r="BW2213" s="799"/>
    </row>
    <row r="2214" spans="3:75" ht="16" x14ac:dyDescent="0.15">
      <c r="C2214" s="561"/>
      <c r="D2214" s="561"/>
      <c r="E2214" s="561"/>
      <c r="F2214" s="561"/>
      <c r="G2214" s="799"/>
      <c r="H2214" s="1355"/>
      <c r="I2214" s="561"/>
      <c r="J2214" s="561"/>
      <c r="K2214" s="561"/>
      <c r="L2214" s="799"/>
      <c r="M2214" s="799"/>
      <c r="N2214" s="799"/>
      <c r="Q2214" s="799"/>
      <c r="R2214" s="799"/>
      <c r="S2214" s="799"/>
      <c r="T2214" s="799"/>
      <c r="U2214" s="799"/>
      <c r="V2214" s="799"/>
      <c r="W2214" s="799"/>
      <c r="X2214" s="799"/>
      <c r="Y2214" s="799"/>
      <c r="Z2214" s="799"/>
      <c r="AC2214" s="799"/>
      <c r="BW2214" s="799"/>
    </row>
    <row r="2215" spans="3:75" ht="16" x14ac:dyDescent="0.15">
      <c r="C2215" s="561"/>
      <c r="D2215" s="561"/>
      <c r="E2215" s="561"/>
      <c r="F2215" s="561"/>
      <c r="G2215" s="799"/>
      <c r="H2215" s="1355"/>
      <c r="I2215" s="561"/>
      <c r="J2215" s="561"/>
      <c r="K2215" s="561"/>
      <c r="L2215" s="799"/>
      <c r="M2215" s="799"/>
      <c r="N2215" s="799"/>
      <c r="Q2215" s="799"/>
      <c r="R2215" s="799"/>
      <c r="S2215" s="799"/>
      <c r="T2215" s="799"/>
      <c r="U2215" s="799"/>
      <c r="V2215" s="799"/>
      <c r="W2215" s="799"/>
      <c r="X2215" s="799"/>
      <c r="Y2215" s="799"/>
      <c r="Z2215" s="799"/>
      <c r="AC2215" s="799"/>
      <c r="BW2215" s="799"/>
    </row>
    <row r="2216" spans="3:75" ht="16" x14ac:dyDescent="0.15">
      <c r="C2216" s="561"/>
      <c r="D2216" s="561"/>
      <c r="E2216" s="561"/>
      <c r="F2216" s="561"/>
      <c r="G2216" s="799"/>
      <c r="H2216" s="1355"/>
      <c r="I2216" s="561"/>
      <c r="J2216" s="561"/>
      <c r="K2216" s="561"/>
      <c r="L2216" s="799"/>
      <c r="M2216" s="799"/>
      <c r="N2216" s="799"/>
      <c r="Q2216" s="799"/>
      <c r="R2216" s="799"/>
      <c r="S2216" s="799"/>
      <c r="T2216" s="799"/>
      <c r="U2216" s="799"/>
      <c r="V2216" s="799"/>
      <c r="W2216" s="799"/>
      <c r="X2216" s="799"/>
      <c r="Y2216" s="799"/>
      <c r="Z2216" s="799"/>
      <c r="AC2216" s="799"/>
      <c r="BW2216" s="799"/>
    </row>
    <row r="2217" spans="3:75" ht="16" x14ac:dyDescent="0.15">
      <c r="C2217" s="561"/>
      <c r="D2217" s="561"/>
      <c r="E2217" s="561"/>
      <c r="F2217" s="561"/>
      <c r="G2217" s="799"/>
      <c r="H2217" s="1355"/>
      <c r="I2217" s="561"/>
      <c r="J2217" s="561"/>
      <c r="K2217" s="561"/>
      <c r="L2217" s="799"/>
      <c r="M2217" s="799"/>
      <c r="N2217" s="799"/>
      <c r="Q2217" s="799"/>
      <c r="R2217" s="799"/>
      <c r="S2217" s="799"/>
      <c r="T2217" s="799"/>
      <c r="U2217" s="799"/>
      <c r="V2217" s="799"/>
      <c r="W2217" s="799"/>
      <c r="X2217" s="799"/>
      <c r="Y2217" s="799"/>
      <c r="Z2217" s="799"/>
      <c r="AC2217" s="799"/>
      <c r="BW2217" s="799"/>
    </row>
    <row r="2218" spans="3:75" ht="16" x14ac:dyDescent="0.15">
      <c r="C2218" s="561"/>
      <c r="D2218" s="561"/>
      <c r="E2218" s="561"/>
      <c r="F2218" s="561"/>
      <c r="G2218" s="799"/>
      <c r="H2218" s="1355"/>
      <c r="I2218" s="561"/>
      <c r="J2218" s="561"/>
      <c r="K2218" s="561"/>
      <c r="L2218" s="799"/>
      <c r="M2218" s="799"/>
      <c r="N2218" s="799"/>
      <c r="Q2218" s="799"/>
      <c r="R2218" s="799"/>
      <c r="S2218" s="799"/>
      <c r="T2218" s="799"/>
      <c r="U2218" s="799"/>
      <c r="V2218" s="799"/>
      <c r="W2218" s="799"/>
      <c r="X2218" s="799"/>
      <c r="Y2218" s="799"/>
      <c r="Z2218" s="799"/>
      <c r="AC2218" s="799"/>
      <c r="BW2218" s="799"/>
    </row>
    <row r="2219" spans="3:75" ht="16" x14ac:dyDescent="0.15">
      <c r="C2219" s="561"/>
      <c r="D2219" s="561"/>
      <c r="E2219" s="561"/>
      <c r="F2219" s="561"/>
      <c r="G2219" s="799"/>
      <c r="H2219" s="1355"/>
      <c r="I2219" s="561"/>
      <c r="J2219" s="561"/>
      <c r="K2219" s="561"/>
      <c r="L2219" s="799"/>
      <c r="M2219" s="799"/>
      <c r="N2219" s="799"/>
      <c r="Q2219" s="799"/>
      <c r="R2219" s="799"/>
      <c r="S2219" s="799"/>
      <c r="T2219" s="799"/>
      <c r="U2219" s="799"/>
      <c r="V2219" s="799"/>
      <c r="W2219" s="799"/>
      <c r="X2219" s="799"/>
      <c r="Y2219" s="799"/>
      <c r="Z2219" s="799"/>
      <c r="AC2219" s="799"/>
      <c r="BW2219" s="799"/>
    </row>
    <row r="2220" spans="3:75" ht="16" x14ac:dyDescent="0.15">
      <c r="C2220" s="561"/>
      <c r="D2220" s="561"/>
      <c r="E2220" s="561"/>
      <c r="F2220" s="561"/>
      <c r="G2220" s="799"/>
      <c r="H2220" s="1355"/>
      <c r="I2220" s="561"/>
      <c r="J2220" s="561"/>
      <c r="K2220" s="561"/>
      <c r="L2220" s="799"/>
      <c r="M2220" s="799"/>
      <c r="N2220" s="799"/>
      <c r="Q2220" s="799"/>
      <c r="R2220" s="799"/>
      <c r="S2220" s="799"/>
      <c r="T2220" s="799"/>
      <c r="U2220" s="799"/>
      <c r="V2220" s="799"/>
      <c r="W2220" s="799"/>
      <c r="X2220" s="799"/>
      <c r="Y2220" s="799"/>
      <c r="Z2220" s="799"/>
      <c r="AC2220" s="799"/>
      <c r="BW2220" s="799"/>
    </row>
    <row r="2221" spans="3:75" ht="16" x14ac:dyDescent="0.15">
      <c r="C2221" s="561"/>
      <c r="D2221" s="561"/>
      <c r="E2221" s="561"/>
      <c r="F2221" s="561"/>
      <c r="G2221" s="799"/>
      <c r="H2221" s="1355"/>
      <c r="I2221" s="561"/>
      <c r="J2221" s="561"/>
      <c r="K2221" s="561"/>
      <c r="L2221" s="799"/>
      <c r="M2221" s="799"/>
      <c r="N2221" s="799"/>
      <c r="Q2221" s="799"/>
      <c r="R2221" s="799"/>
      <c r="S2221" s="799"/>
      <c r="T2221" s="799"/>
      <c r="U2221" s="799"/>
      <c r="V2221" s="799"/>
      <c r="W2221" s="799"/>
      <c r="X2221" s="799"/>
      <c r="Y2221" s="799"/>
      <c r="Z2221" s="799"/>
      <c r="AC2221" s="799"/>
      <c r="BW2221" s="799"/>
    </row>
    <row r="2222" spans="3:75" ht="16" x14ac:dyDescent="0.15">
      <c r="C2222" s="561"/>
      <c r="D2222" s="561"/>
      <c r="E2222" s="561"/>
      <c r="F2222" s="561"/>
      <c r="G2222" s="799"/>
      <c r="H2222" s="1355"/>
      <c r="I2222" s="561"/>
      <c r="J2222" s="561"/>
      <c r="K2222" s="561"/>
      <c r="L2222" s="799"/>
      <c r="M2222" s="799"/>
      <c r="N2222" s="799"/>
      <c r="Q2222" s="799"/>
      <c r="R2222" s="799"/>
      <c r="S2222" s="799"/>
      <c r="T2222" s="799"/>
      <c r="U2222" s="799"/>
      <c r="V2222" s="799"/>
      <c r="W2222" s="799"/>
      <c r="X2222" s="799"/>
      <c r="Y2222" s="799"/>
      <c r="Z2222" s="799"/>
      <c r="AC2222" s="799"/>
      <c r="BW2222" s="799"/>
    </row>
    <row r="2223" spans="3:75" ht="16" x14ac:dyDescent="0.15">
      <c r="C2223" s="561"/>
      <c r="D2223" s="561"/>
      <c r="E2223" s="561"/>
      <c r="F2223" s="561"/>
      <c r="G2223" s="799"/>
      <c r="H2223" s="1355"/>
      <c r="I2223" s="561"/>
      <c r="J2223" s="561"/>
      <c r="K2223" s="561"/>
      <c r="L2223" s="799"/>
      <c r="M2223" s="799"/>
      <c r="N2223" s="799"/>
      <c r="Q2223" s="799"/>
      <c r="R2223" s="799"/>
      <c r="S2223" s="799"/>
      <c r="T2223" s="799"/>
      <c r="U2223" s="799"/>
      <c r="V2223" s="799"/>
      <c r="W2223" s="799"/>
      <c r="X2223" s="799"/>
      <c r="Y2223" s="799"/>
      <c r="Z2223" s="799"/>
      <c r="AC2223" s="799"/>
      <c r="BW2223" s="799"/>
    </row>
    <row r="2224" spans="3:75" ht="16" x14ac:dyDescent="0.15">
      <c r="C2224" s="561"/>
      <c r="D2224" s="561"/>
      <c r="E2224" s="561"/>
      <c r="F2224" s="561"/>
      <c r="G2224" s="799"/>
      <c r="H2224" s="1355"/>
      <c r="I2224" s="561"/>
      <c r="J2224" s="561"/>
      <c r="K2224" s="561"/>
      <c r="L2224" s="799"/>
      <c r="M2224" s="799"/>
      <c r="N2224" s="799"/>
      <c r="Q2224" s="799"/>
      <c r="R2224" s="799"/>
      <c r="S2224" s="799"/>
      <c r="T2224" s="799"/>
      <c r="U2224" s="799"/>
      <c r="V2224" s="799"/>
      <c r="W2224" s="799"/>
      <c r="X2224" s="799"/>
      <c r="Y2224" s="799"/>
      <c r="Z2224" s="799"/>
      <c r="AC2224" s="799"/>
      <c r="BW2224" s="799"/>
    </row>
    <row r="2225" spans="3:75" ht="16" x14ac:dyDescent="0.15">
      <c r="C2225" s="561"/>
      <c r="D2225" s="561"/>
      <c r="E2225" s="561"/>
      <c r="F2225" s="561"/>
      <c r="G2225" s="799"/>
      <c r="H2225" s="1355"/>
      <c r="I2225" s="561"/>
      <c r="J2225" s="561"/>
      <c r="K2225" s="561"/>
      <c r="L2225" s="799"/>
      <c r="M2225" s="799"/>
      <c r="N2225" s="799"/>
      <c r="Q2225" s="799"/>
      <c r="R2225" s="799"/>
      <c r="S2225" s="799"/>
      <c r="T2225" s="799"/>
      <c r="U2225" s="799"/>
      <c r="V2225" s="799"/>
      <c r="W2225" s="799"/>
      <c r="X2225" s="799"/>
      <c r="Y2225" s="799"/>
      <c r="Z2225" s="799"/>
      <c r="AC2225" s="799"/>
      <c r="BW2225" s="799"/>
    </row>
    <row r="2226" spans="3:75" ht="16" x14ac:dyDescent="0.15">
      <c r="C2226" s="561"/>
      <c r="D2226" s="561"/>
      <c r="E2226" s="561"/>
      <c r="F2226" s="561"/>
      <c r="G2226" s="799"/>
      <c r="H2226" s="1355"/>
      <c r="I2226" s="561"/>
      <c r="J2226" s="561"/>
      <c r="K2226" s="561"/>
      <c r="L2226" s="799"/>
      <c r="M2226" s="799"/>
      <c r="N2226" s="799"/>
      <c r="Q2226" s="799"/>
      <c r="R2226" s="799"/>
      <c r="S2226" s="799"/>
      <c r="T2226" s="799"/>
      <c r="U2226" s="799"/>
      <c r="V2226" s="799"/>
      <c r="W2226" s="799"/>
      <c r="X2226" s="799"/>
      <c r="Y2226" s="799"/>
      <c r="Z2226" s="799"/>
      <c r="AC2226" s="799"/>
      <c r="BW2226" s="799"/>
    </row>
    <row r="2227" spans="3:75" ht="16" x14ac:dyDescent="0.15">
      <c r="C2227" s="561"/>
      <c r="D2227" s="561"/>
      <c r="E2227" s="561"/>
      <c r="F2227" s="561"/>
      <c r="G2227" s="799"/>
      <c r="H2227" s="1355"/>
      <c r="I2227" s="561"/>
      <c r="J2227" s="561"/>
      <c r="K2227" s="561"/>
      <c r="L2227" s="799"/>
      <c r="M2227" s="799"/>
      <c r="N2227" s="799"/>
      <c r="Q2227" s="799"/>
      <c r="R2227" s="799"/>
      <c r="S2227" s="799"/>
      <c r="T2227" s="799"/>
      <c r="U2227" s="799"/>
      <c r="V2227" s="799"/>
      <c r="W2227" s="799"/>
      <c r="X2227" s="799"/>
      <c r="Y2227" s="799"/>
      <c r="Z2227" s="799"/>
      <c r="AC2227" s="799"/>
      <c r="BW2227" s="799"/>
    </row>
    <row r="2228" spans="3:75" ht="16" x14ac:dyDescent="0.15">
      <c r="C2228" s="561"/>
      <c r="D2228" s="561"/>
      <c r="E2228" s="561"/>
      <c r="F2228" s="561"/>
      <c r="G2228" s="799"/>
      <c r="H2228" s="1355"/>
      <c r="I2228" s="561"/>
      <c r="J2228" s="561"/>
      <c r="K2228" s="561"/>
      <c r="L2228" s="799"/>
      <c r="M2228" s="799"/>
      <c r="N2228" s="799"/>
      <c r="Q2228" s="799"/>
      <c r="R2228" s="799"/>
      <c r="S2228" s="799"/>
      <c r="T2228" s="799"/>
      <c r="U2228" s="799"/>
      <c r="V2228" s="799"/>
      <c r="W2228" s="799"/>
      <c r="X2228" s="799"/>
      <c r="Y2228" s="799"/>
      <c r="Z2228" s="799"/>
      <c r="AC2228" s="799"/>
      <c r="BW2228" s="799"/>
    </row>
    <row r="2229" spans="3:75" ht="16" x14ac:dyDescent="0.15">
      <c r="C2229" s="561"/>
      <c r="D2229" s="561"/>
      <c r="E2229" s="561"/>
      <c r="F2229" s="561"/>
      <c r="G2229" s="799"/>
      <c r="H2229" s="1355"/>
      <c r="I2229" s="561"/>
      <c r="J2229" s="561"/>
      <c r="K2229" s="561"/>
      <c r="L2229" s="799"/>
      <c r="M2229" s="799"/>
      <c r="N2229" s="799"/>
      <c r="Q2229" s="799"/>
      <c r="R2229" s="799"/>
      <c r="S2229" s="799"/>
      <c r="T2229" s="799"/>
      <c r="U2229" s="799"/>
      <c r="V2229" s="799"/>
      <c r="W2229" s="799"/>
      <c r="X2229" s="799"/>
      <c r="Y2229" s="799"/>
      <c r="Z2229" s="799"/>
      <c r="AC2229" s="799"/>
      <c r="BW2229" s="799"/>
    </row>
    <row r="2230" spans="3:75" ht="16" x14ac:dyDescent="0.15">
      <c r="C2230" s="561"/>
      <c r="D2230" s="561"/>
      <c r="E2230" s="561"/>
      <c r="F2230" s="561"/>
      <c r="G2230" s="799"/>
      <c r="H2230" s="1355"/>
      <c r="I2230" s="561"/>
      <c r="J2230" s="561"/>
      <c r="K2230" s="561"/>
      <c r="L2230" s="799"/>
      <c r="M2230" s="799"/>
      <c r="N2230" s="799"/>
      <c r="Q2230" s="799"/>
      <c r="R2230" s="799"/>
      <c r="S2230" s="799"/>
      <c r="T2230" s="799"/>
      <c r="U2230" s="799"/>
      <c r="V2230" s="799"/>
      <c r="W2230" s="799"/>
      <c r="X2230" s="799"/>
      <c r="Y2230" s="799"/>
      <c r="Z2230" s="799"/>
      <c r="AC2230" s="799"/>
      <c r="BW2230" s="799"/>
    </row>
    <row r="2231" spans="3:75" ht="16" x14ac:dyDescent="0.15">
      <c r="C2231" s="561"/>
      <c r="D2231" s="561"/>
      <c r="E2231" s="561"/>
      <c r="F2231" s="561"/>
      <c r="G2231" s="799"/>
      <c r="H2231" s="1355"/>
      <c r="I2231" s="561"/>
      <c r="J2231" s="561"/>
      <c r="K2231" s="561"/>
      <c r="L2231" s="799"/>
      <c r="M2231" s="799"/>
      <c r="N2231" s="799"/>
      <c r="Q2231" s="799"/>
      <c r="R2231" s="799"/>
      <c r="S2231" s="799"/>
      <c r="T2231" s="799"/>
      <c r="U2231" s="799"/>
      <c r="V2231" s="799"/>
      <c r="W2231" s="799"/>
      <c r="X2231" s="799"/>
      <c r="Y2231" s="799"/>
      <c r="Z2231" s="799"/>
      <c r="AC2231" s="799"/>
      <c r="BW2231" s="799"/>
    </row>
    <row r="2232" spans="3:75" ht="16" x14ac:dyDescent="0.15">
      <c r="C2232" s="561"/>
      <c r="D2232" s="561"/>
      <c r="E2232" s="561"/>
      <c r="F2232" s="561"/>
      <c r="G2232" s="799"/>
      <c r="H2232" s="1355"/>
      <c r="I2232" s="561"/>
      <c r="J2232" s="561"/>
      <c r="K2232" s="561"/>
      <c r="L2232" s="799"/>
      <c r="M2232" s="799"/>
      <c r="N2232" s="799"/>
      <c r="Q2232" s="799"/>
      <c r="R2232" s="799"/>
      <c r="S2232" s="799"/>
      <c r="T2232" s="799"/>
      <c r="U2232" s="799"/>
      <c r="V2232" s="799"/>
      <c r="W2232" s="799"/>
      <c r="X2232" s="799"/>
      <c r="Y2232" s="799"/>
      <c r="Z2232" s="799"/>
      <c r="AC2232" s="799"/>
      <c r="BW2232" s="799"/>
    </row>
    <row r="2233" spans="3:75" ht="16" x14ac:dyDescent="0.15">
      <c r="C2233" s="561"/>
      <c r="D2233" s="561"/>
      <c r="E2233" s="561"/>
      <c r="F2233" s="561"/>
      <c r="G2233" s="799"/>
      <c r="H2233" s="1355"/>
      <c r="I2233" s="561"/>
      <c r="J2233" s="561"/>
      <c r="K2233" s="561"/>
      <c r="L2233" s="799"/>
      <c r="M2233" s="799"/>
      <c r="N2233" s="799"/>
      <c r="Q2233" s="799"/>
      <c r="R2233" s="799"/>
      <c r="S2233" s="799"/>
      <c r="T2233" s="799"/>
      <c r="U2233" s="799"/>
      <c r="V2233" s="799"/>
      <c r="W2233" s="799"/>
      <c r="X2233" s="799"/>
      <c r="Y2233" s="799"/>
      <c r="Z2233" s="799"/>
      <c r="AC2233" s="799"/>
      <c r="BW2233" s="799"/>
    </row>
    <row r="2234" spans="3:75" ht="16" x14ac:dyDescent="0.15">
      <c r="C2234" s="561"/>
      <c r="D2234" s="561"/>
      <c r="E2234" s="561"/>
      <c r="F2234" s="561"/>
      <c r="G2234" s="799"/>
      <c r="H2234" s="1355"/>
      <c r="I2234" s="561"/>
      <c r="J2234" s="561"/>
      <c r="K2234" s="561"/>
      <c r="L2234" s="799"/>
      <c r="M2234" s="799"/>
      <c r="N2234" s="799"/>
      <c r="Q2234" s="799"/>
      <c r="R2234" s="799"/>
      <c r="S2234" s="799"/>
      <c r="T2234" s="799"/>
      <c r="U2234" s="799"/>
      <c r="V2234" s="799"/>
      <c r="W2234" s="799"/>
      <c r="X2234" s="799"/>
      <c r="Y2234" s="799"/>
      <c r="Z2234" s="799"/>
      <c r="AC2234" s="799"/>
      <c r="BW2234" s="799"/>
    </row>
    <row r="2235" spans="3:75" ht="16" x14ac:dyDescent="0.15">
      <c r="C2235" s="561"/>
      <c r="D2235" s="561"/>
      <c r="E2235" s="561"/>
      <c r="F2235" s="561"/>
      <c r="G2235" s="799"/>
      <c r="H2235" s="1355"/>
      <c r="I2235" s="561"/>
      <c r="J2235" s="561"/>
      <c r="K2235" s="561"/>
      <c r="L2235" s="799"/>
      <c r="M2235" s="799"/>
      <c r="N2235" s="799"/>
      <c r="Q2235" s="799"/>
      <c r="R2235" s="799"/>
      <c r="S2235" s="799"/>
      <c r="T2235" s="799"/>
      <c r="U2235" s="799"/>
      <c r="V2235" s="799"/>
      <c r="W2235" s="799"/>
      <c r="X2235" s="799"/>
      <c r="Y2235" s="799"/>
      <c r="Z2235" s="799"/>
      <c r="AC2235" s="799"/>
      <c r="BW2235" s="799"/>
    </row>
    <row r="2236" spans="3:75" ht="16" x14ac:dyDescent="0.15">
      <c r="C2236" s="561"/>
      <c r="D2236" s="561"/>
      <c r="E2236" s="561"/>
      <c r="F2236" s="561"/>
      <c r="G2236" s="799"/>
      <c r="H2236" s="1355"/>
      <c r="I2236" s="561"/>
      <c r="J2236" s="561"/>
      <c r="K2236" s="561"/>
      <c r="L2236" s="799"/>
      <c r="M2236" s="799"/>
      <c r="N2236" s="799"/>
      <c r="Q2236" s="799"/>
      <c r="R2236" s="799"/>
      <c r="S2236" s="799"/>
      <c r="T2236" s="799"/>
      <c r="U2236" s="799"/>
      <c r="V2236" s="799"/>
      <c r="W2236" s="799"/>
      <c r="X2236" s="799"/>
      <c r="Y2236" s="799"/>
      <c r="Z2236" s="799"/>
      <c r="AC2236" s="799"/>
      <c r="BW2236" s="799"/>
    </row>
    <row r="2237" spans="3:75" ht="16" x14ac:dyDescent="0.15">
      <c r="C2237" s="561"/>
      <c r="D2237" s="561"/>
      <c r="E2237" s="561"/>
      <c r="F2237" s="561"/>
      <c r="G2237" s="799"/>
      <c r="H2237" s="1355"/>
      <c r="I2237" s="561"/>
      <c r="J2237" s="561"/>
      <c r="K2237" s="561"/>
      <c r="L2237" s="799"/>
      <c r="M2237" s="799"/>
      <c r="N2237" s="799"/>
      <c r="Q2237" s="799"/>
      <c r="R2237" s="799"/>
      <c r="S2237" s="799"/>
      <c r="T2237" s="799"/>
      <c r="U2237" s="799"/>
      <c r="V2237" s="799"/>
      <c r="W2237" s="799"/>
      <c r="X2237" s="799"/>
      <c r="Y2237" s="799"/>
      <c r="Z2237" s="799"/>
      <c r="AC2237" s="799"/>
      <c r="BW2237" s="799"/>
    </row>
    <row r="2238" spans="3:75" ht="16" x14ac:dyDescent="0.15">
      <c r="C2238" s="561"/>
      <c r="D2238" s="561"/>
      <c r="E2238" s="561"/>
      <c r="F2238" s="561"/>
      <c r="G2238" s="799"/>
      <c r="H2238" s="1355"/>
      <c r="I2238" s="561"/>
      <c r="J2238" s="561"/>
      <c r="K2238" s="561"/>
      <c r="L2238" s="799"/>
      <c r="M2238" s="799"/>
      <c r="N2238" s="799"/>
      <c r="Q2238" s="799"/>
      <c r="R2238" s="799"/>
      <c r="S2238" s="799"/>
      <c r="T2238" s="799"/>
      <c r="U2238" s="799"/>
      <c r="V2238" s="799"/>
      <c r="W2238" s="799"/>
      <c r="X2238" s="799"/>
      <c r="Y2238" s="799"/>
      <c r="Z2238" s="799"/>
      <c r="AC2238" s="799"/>
      <c r="BW2238" s="799"/>
    </row>
    <row r="2239" spans="3:75" ht="16" x14ac:dyDescent="0.15">
      <c r="C2239" s="561"/>
      <c r="D2239" s="561"/>
      <c r="E2239" s="561"/>
      <c r="F2239" s="561"/>
      <c r="G2239" s="799"/>
      <c r="H2239" s="1355"/>
      <c r="I2239" s="561"/>
      <c r="J2239" s="561"/>
      <c r="K2239" s="561"/>
      <c r="L2239" s="799"/>
      <c r="M2239" s="799"/>
      <c r="N2239" s="799"/>
      <c r="Q2239" s="799"/>
      <c r="R2239" s="799"/>
      <c r="S2239" s="799"/>
      <c r="T2239" s="799"/>
      <c r="U2239" s="799"/>
      <c r="V2239" s="799"/>
      <c r="W2239" s="799"/>
      <c r="X2239" s="799"/>
      <c r="Y2239" s="799"/>
      <c r="Z2239" s="799"/>
      <c r="AC2239" s="799"/>
      <c r="BW2239" s="799"/>
    </row>
    <row r="2240" spans="3:75" ht="16" x14ac:dyDescent="0.15">
      <c r="C2240" s="561"/>
      <c r="D2240" s="561"/>
      <c r="E2240" s="561"/>
      <c r="F2240" s="561"/>
      <c r="G2240" s="799"/>
      <c r="H2240" s="1355"/>
      <c r="I2240" s="561"/>
      <c r="J2240" s="561"/>
      <c r="K2240" s="561"/>
      <c r="L2240" s="799"/>
      <c r="M2240" s="799"/>
      <c r="N2240" s="799"/>
      <c r="Q2240" s="799"/>
      <c r="R2240" s="799"/>
      <c r="S2240" s="799"/>
      <c r="T2240" s="799"/>
      <c r="U2240" s="799"/>
      <c r="V2240" s="799"/>
      <c r="W2240" s="799"/>
      <c r="X2240" s="799"/>
      <c r="Y2240" s="799"/>
      <c r="Z2240" s="799"/>
      <c r="AC2240" s="799"/>
      <c r="BW2240" s="799"/>
    </row>
    <row r="2241" spans="3:75" ht="16" x14ac:dyDescent="0.15">
      <c r="C2241" s="561"/>
      <c r="D2241" s="561"/>
      <c r="E2241" s="561"/>
      <c r="F2241" s="561"/>
      <c r="G2241" s="799"/>
      <c r="H2241" s="1355"/>
      <c r="I2241" s="561"/>
      <c r="J2241" s="561"/>
      <c r="K2241" s="561"/>
      <c r="L2241" s="799"/>
      <c r="M2241" s="799"/>
      <c r="N2241" s="799"/>
      <c r="Q2241" s="799"/>
      <c r="R2241" s="799"/>
      <c r="S2241" s="799"/>
      <c r="T2241" s="799"/>
      <c r="U2241" s="799"/>
      <c r="V2241" s="799"/>
      <c r="W2241" s="799"/>
      <c r="X2241" s="799"/>
      <c r="Y2241" s="799"/>
      <c r="Z2241" s="799"/>
      <c r="AC2241" s="799"/>
      <c r="BW2241" s="799"/>
    </row>
    <row r="2242" spans="3:75" ht="16" x14ac:dyDescent="0.15">
      <c r="C2242" s="561"/>
      <c r="D2242" s="561"/>
      <c r="E2242" s="561"/>
      <c r="F2242" s="561"/>
      <c r="G2242" s="799"/>
      <c r="H2242" s="1355"/>
      <c r="I2242" s="561"/>
      <c r="J2242" s="561"/>
      <c r="K2242" s="561"/>
      <c r="L2242" s="799"/>
      <c r="M2242" s="799"/>
      <c r="N2242" s="799"/>
      <c r="Q2242" s="799"/>
      <c r="R2242" s="799"/>
      <c r="S2242" s="799"/>
      <c r="T2242" s="799"/>
      <c r="U2242" s="799"/>
      <c r="V2242" s="799"/>
      <c r="W2242" s="799"/>
      <c r="X2242" s="799"/>
      <c r="Y2242" s="799"/>
      <c r="Z2242" s="799"/>
      <c r="AC2242" s="799"/>
      <c r="BW2242" s="799"/>
    </row>
    <row r="2243" spans="3:75" ht="16" x14ac:dyDescent="0.15">
      <c r="C2243" s="561"/>
      <c r="D2243" s="561"/>
      <c r="E2243" s="561"/>
      <c r="F2243" s="561"/>
      <c r="G2243" s="799"/>
      <c r="H2243" s="1355"/>
      <c r="I2243" s="561"/>
      <c r="J2243" s="561"/>
      <c r="K2243" s="561"/>
      <c r="L2243" s="799"/>
      <c r="M2243" s="799"/>
      <c r="N2243" s="799"/>
      <c r="Q2243" s="799"/>
      <c r="R2243" s="799"/>
      <c r="S2243" s="799"/>
      <c r="T2243" s="799"/>
      <c r="U2243" s="799"/>
      <c r="V2243" s="799"/>
      <c r="W2243" s="799"/>
      <c r="X2243" s="799"/>
      <c r="Y2243" s="799"/>
      <c r="Z2243" s="799"/>
      <c r="AC2243" s="799"/>
      <c r="BW2243" s="799"/>
    </row>
    <row r="2244" spans="3:75" ht="16" x14ac:dyDescent="0.15">
      <c r="C2244" s="561"/>
      <c r="D2244" s="561"/>
      <c r="E2244" s="561"/>
      <c r="F2244" s="561"/>
      <c r="G2244" s="799"/>
      <c r="H2244" s="1355"/>
      <c r="I2244" s="561"/>
      <c r="J2244" s="561"/>
      <c r="K2244" s="561"/>
      <c r="L2244" s="799"/>
      <c r="M2244" s="799"/>
      <c r="N2244" s="799"/>
      <c r="Q2244" s="799"/>
      <c r="R2244" s="799"/>
      <c r="S2244" s="799"/>
      <c r="T2244" s="799"/>
      <c r="U2244" s="799"/>
      <c r="V2244" s="799"/>
      <c r="W2244" s="799"/>
      <c r="X2244" s="799"/>
      <c r="Y2244" s="799"/>
      <c r="Z2244" s="799"/>
      <c r="AC2244" s="799"/>
      <c r="BW2244" s="799"/>
    </row>
    <row r="2245" spans="3:75" ht="16" x14ac:dyDescent="0.15">
      <c r="C2245" s="561"/>
      <c r="D2245" s="561"/>
      <c r="E2245" s="561"/>
      <c r="F2245" s="561"/>
      <c r="G2245" s="799"/>
      <c r="H2245" s="1355"/>
      <c r="I2245" s="561"/>
      <c r="J2245" s="561"/>
      <c r="K2245" s="561"/>
      <c r="L2245" s="799"/>
      <c r="M2245" s="799"/>
      <c r="N2245" s="799"/>
      <c r="Q2245" s="799"/>
      <c r="R2245" s="799"/>
      <c r="S2245" s="799"/>
      <c r="T2245" s="799"/>
      <c r="U2245" s="799"/>
      <c r="V2245" s="799"/>
      <c r="W2245" s="799"/>
      <c r="X2245" s="799"/>
      <c r="Y2245" s="799"/>
      <c r="Z2245" s="799"/>
      <c r="AC2245" s="799"/>
      <c r="BW2245" s="799"/>
    </row>
    <row r="2246" spans="3:75" ht="16" x14ac:dyDescent="0.15">
      <c r="C2246" s="561"/>
      <c r="D2246" s="561"/>
      <c r="E2246" s="561"/>
      <c r="F2246" s="561"/>
      <c r="G2246" s="799"/>
      <c r="H2246" s="1355"/>
      <c r="I2246" s="561"/>
      <c r="J2246" s="561"/>
      <c r="K2246" s="561"/>
      <c r="L2246" s="799"/>
      <c r="M2246" s="799"/>
      <c r="N2246" s="799"/>
      <c r="Q2246" s="799"/>
      <c r="R2246" s="799"/>
      <c r="S2246" s="799"/>
      <c r="T2246" s="799"/>
      <c r="U2246" s="799"/>
      <c r="V2246" s="799"/>
      <c r="W2246" s="799"/>
      <c r="X2246" s="799"/>
      <c r="Y2246" s="799"/>
      <c r="Z2246" s="799"/>
      <c r="AC2246" s="799"/>
      <c r="BW2246" s="799"/>
    </row>
    <row r="2247" spans="3:75" ht="16" x14ac:dyDescent="0.15">
      <c r="C2247" s="561"/>
      <c r="D2247" s="561"/>
      <c r="E2247" s="561"/>
      <c r="F2247" s="561"/>
      <c r="G2247" s="799"/>
      <c r="H2247" s="1355"/>
      <c r="I2247" s="561"/>
      <c r="J2247" s="561"/>
      <c r="K2247" s="561"/>
      <c r="L2247" s="799"/>
      <c r="M2247" s="799"/>
      <c r="N2247" s="799"/>
      <c r="Q2247" s="799"/>
      <c r="R2247" s="799"/>
      <c r="S2247" s="799"/>
      <c r="T2247" s="799"/>
      <c r="U2247" s="799"/>
      <c r="V2247" s="799"/>
      <c r="W2247" s="799"/>
      <c r="X2247" s="799"/>
      <c r="Y2247" s="799"/>
      <c r="Z2247" s="799"/>
      <c r="AC2247" s="799"/>
      <c r="BW2247" s="799"/>
    </row>
    <row r="2248" spans="3:75" ht="16" x14ac:dyDescent="0.15">
      <c r="C2248" s="561"/>
      <c r="D2248" s="561"/>
      <c r="E2248" s="561"/>
      <c r="F2248" s="561"/>
      <c r="G2248" s="799"/>
      <c r="H2248" s="1355"/>
      <c r="I2248" s="561"/>
      <c r="J2248" s="561"/>
      <c r="K2248" s="561"/>
      <c r="L2248" s="799"/>
      <c r="M2248" s="799"/>
      <c r="N2248" s="799"/>
      <c r="Q2248" s="799"/>
      <c r="R2248" s="799"/>
      <c r="S2248" s="799"/>
      <c r="T2248" s="799"/>
      <c r="U2248" s="799"/>
      <c r="V2248" s="799"/>
      <c r="W2248" s="799"/>
      <c r="X2248" s="799"/>
      <c r="Y2248" s="799"/>
      <c r="Z2248" s="799"/>
      <c r="AC2248" s="799"/>
      <c r="BW2248" s="799"/>
    </row>
    <row r="2249" spans="3:75" ht="16" x14ac:dyDescent="0.15">
      <c r="C2249" s="561"/>
      <c r="D2249" s="561"/>
      <c r="E2249" s="561"/>
      <c r="F2249" s="561"/>
      <c r="G2249" s="799"/>
      <c r="H2249" s="1355"/>
      <c r="I2249" s="561"/>
      <c r="J2249" s="561"/>
      <c r="K2249" s="561"/>
      <c r="L2249" s="799"/>
      <c r="M2249" s="799"/>
      <c r="N2249" s="799"/>
      <c r="Q2249" s="799"/>
      <c r="R2249" s="799"/>
      <c r="S2249" s="799"/>
      <c r="T2249" s="799"/>
      <c r="U2249" s="799"/>
      <c r="V2249" s="799"/>
      <c r="W2249" s="799"/>
      <c r="X2249" s="799"/>
      <c r="Y2249" s="799"/>
      <c r="Z2249" s="799"/>
      <c r="AC2249" s="799"/>
      <c r="BW2249" s="799"/>
    </row>
    <row r="2250" spans="3:75" ht="16" x14ac:dyDescent="0.15">
      <c r="C2250" s="561"/>
      <c r="D2250" s="561"/>
      <c r="E2250" s="561"/>
      <c r="F2250" s="561"/>
      <c r="G2250" s="799"/>
      <c r="H2250" s="1355"/>
      <c r="I2250" s="561"/>
      <c r="J2250" s="561"/>
      <c r="K2250" s="561"/>
      <c r="L2250" s="799"/>
      <c r="M2250" s="799"/>
      <c r="N2250" s="799"/>
      <c r="Q2250" s="799"/>
      <c r="R2250" s="799"/>
      <c r="S2250" s="799"/>
      <c r="T2250" s="799"/>
      <c r="U2250" s="799"/>
      <c r="V2250" s="799"/>
      <c r="W2250" s="799"/>
      <c r="X2250" s="799"/>
      <c r="Y2250" s="799"/>
      <c r="Z2250" s="799"/>
      <c r="AC2250" s="799"/>
      <c r="BW2250" s="799"/>
    </row>
    <row r="2251" spans="3:75" ht="16" x14ac:dyDescent="0.15">
      <c r="C2251" s="561"/>
      <c r="D2251" s="561"/>
      <c r="E2251" s="561"/>
      <c r="F2251" s="561"/>
      <c r="G2251" s="799"/>
      <c r="H2251" s="1355"/>
      <c r="I2251" s="561"/>
      <c r="J2251" s="561"/>
      <c r="K2251" s="561"/>
      <c r="L2251" s="799"/>
      <c r="M2251" s="799"/>
      <c r="N2251" s="799"/>
      <c r="Q2251" s="799"/>
      <c r="R2251" s="799"/>
      <c r="S2251" s="799"/>
      <c r="T2251" s="799"/>
      <c r="U2251" s="799"/>
      <c r="V2251" s="799"/>
      <c r="W2251" s="799"/>
      <c r="X2251" s="799"/>
      <c r="Y2251" s="799"/>
      <c r="Z2251" s="799"/>
      <c r="AC2251" s="799"/>
      <c r="BW2251" s="799"/>
    </row>
    <row r="2252" spans="3:75" ht="16" x14ac:dyDescent="0.15">
      <c r="C2252" s="561"/>
      <c r="D2252" s="561"/>
      <c r="E2252" s="561"/>
      <c r="F2252" s="561"/>
      <c r="G2252" s="799"/>
      <c r="H2252" s="1355"/>
      <c r="I2252" s="561"/>
      <c r="J2252" s="561"/>
      <c r="K2252" s="561"/>
      <c r="L2252" s="799"/>
      <c r="M2252" s="799"/>
      <c r="N2252" s="799"/>
      <c r="Q2252" s="799"/>
      <c r="R2252" s="799"/>
      <c r="S2252" s="799"/>
      <c r="T2252" s="799"/>
      <c r="U2252" s="799"/>
      <c r="V2252" s="799"/>
      <c r="W2252" s="799"/>
      <c r="X2252" s="799"/>
      <c r="Y2252" s="799"/>
      <c r="Z2252" s="799"/>
      <c r="AC2252" s="799"/>
      <c r="BW2252" s="799"/>
    </row>
    <row r="2253" spans="3:75" ht="16" x14ac:dyDescent="0.15">
      <c r="C2253" s="561"/>
      <c r="D2253" s="561"/>
      <c r="E2253" s="561"/>
      <c r="F2253" s="561"/>
      <c r="G2253" s="799"/>
      <c r="H2253" s="1355"/>
      <c r="I2253" s="561"/>
      <c r="J2253" s="561"/>
      <c r="K2253" s="561"/>
      <c r="L2253" s="799"/>
      <c r="M2253" s="799"/>
      <c r="N2253" s="799"/>
      <c r="Q2253" s="799"/>
      <c r="R2253" s="799"/>
      <c r="S2253" s="799"/>
      <c r="T2253" s="799"/>
      <c r="U2253" s="799"/>
      <c r="V2253" s="799"/>
      <c r="W2253" s="799"/>
      <c r="X2253" s="799"/>
      <c r="Y2253" s="799"/>
      <c r="Z2253" s="799"/>
      <c r="AC2253" s="799"/>
      <c r="BW2253" s="799"/>
    </row>
    <row r="2254" spans="3:75" ht="16" x14ac:dyDescent="0.15">
      <c r="C2254" s="561"/>
      <c r="D2254" s="561"/>
      <c r="E2254" s="561"/>
      <c r="F2254" s="561"/>
      <c r="G2254" s="799"/>
      <c r="H2254" s="1355"/>
      <c r="I2254" s="561"/>
      <c r="J2254" s="561"/>
      <c r="K2254" s="561"/>
      <c r="L2254" s="799"/>
      <c r="M2254" s="799"/>
      <c r="N2254" s="799"/>
      <c r="Q2254" s="799"/>
      <c r="R2254" s="799"/>
      <c r="S2254" s="799"/>
      <c r="T2254" s="799"/>
      <c r="U2254" s="799"/>
      <c r="V2254" s="799"/>
      <c r="W2254" s="799"/>
      <c r="X2254" s="799"/>
      <c r="Y2254" s="799"/>
      <c r="Z2254" s="799"/>
      <c r="AC2254" s="799"/>
      <c r="BW2254" s="799"/>
    </row>
    <row r="2255" spans="3:75" ht="16" x14ac:dyDescent="0.15">
      <c r="C2255" s="561"/>
      <c r="D2255" s="561"/>
      <c r="E2255" s="561"/>
      <c r="F2255" s="561"/>
      <c r="G2255" s="799"/>
      <c r="H2255" s="1355"/>
      <c r="I2255" s="561"/>
      <c r="J2255" s="561"/>
      <c r="K2255" s="561"/>
      <c r="L2255" s="799"/>
      <c r="M2255" s="799"/>
      <c r="N2255" s="799"/>
      <c r="Q2255" s="799"/>
      <c r="R2255" s="799"/>
      <c r="S2255" s="799"/>
      <c r="T2255" s="799"/>
      <c r="U2255" s="799"/>
      <c r="V2255" s="799"/>
      <c r="W2255" s="799"/>
      <c r="X2255" s="799"/>
      <c r="Y2255" s="799"/>
      <c r="Z2255" s="799"/>
      <c r="AC2255" s="799"/>
      <c r="BW2255" s="799"/>
    </row>
    <row r="2256" spans="3:75" ht="16" x14ac:dyDescent="0.15">
      <c r="C2256" s="561"/>
      <c r="D2256" s="561"/>
      <c r="E2256" s="561"/>
      <c r="F2256" s="561"/>
      <c r="G2256" s="799"/>
      <c r="H2256" s="1355"/>
      <c r="I2256" s="561"/>
      <c r="J2256" s="561"/>
      <c r="K2256" s="561"/>
      <c r="L2256" s="799"/>
      <c r="M2256" s="799"/>
      <c r="N2256" s="799"/>
      <c r="Q2256" s="799"/>
      <c r="R2256" s="799"/>
      <c r="S2256" s="799"/>
      <c r="T2256" s="799"/>
      <c r="U2256" s="799"/>
      <c r="V2256" s="799"/>
      <c r="W2256" s="799"/>
      <c r="X2256" s="799"/>
      <c r="Y2256" s="799"/>
      <c r="Z2256" s="799"/>
      <c r="AC2256" s="799"/>
      <c r="BW2256" s="799"/>
    </row>
    <row r="2257" spans="3:75" ht="16" x14ac:dyDescent="0.15">
      <c r="C2257" s="561"/>
      <c r="D2257" s="561"/>
      <c r="E2257" s="561"/>
      <c r="F2257" s="561"/>
      <c r="G2257" s="799"/>
      <c r="H2257" s="1355"/>
      <c r="I2257" s="561"/>
      <c r="J2257" s="561"/>
      <c r="K2257" s="561"/>
      <c r="L2257" s="799"/>
      <c r="M2257" s="799"/>
      <c r="N2257" s="799"/>
      <c r="Q2257" s="799"/>
      <c r="R2257" s="799"/>
      <c r="S2257" s="799"/>
      <c r="T2257" s="799"/>
      <c r="U2257" s="799"/>
      <c r="V2257" s="799"/>
      <c r="W2257" s="799"/>
      <c r="X2257" s="799"/>
      <c r="Y2257" s="799"/>
      <c r="Z2257" s="799"/>
      <c r="AC2257" s="799"/>
      <c r="BW2257" s="799"/>
    </row>
    <row r="2258" spans="3:75" ht="16" x14ac:dyDescent="0.15">
      <c r="C2258" s="561"/>
      <c r="D2258" s="561"/>
      <c r="E2258" s="561"/>
      <c r="F2258" s="561"/>
      <c r="G2258" s="799"/>
      <c r="H2258" s="1355"/>
      <c r="I2258" s="561"/>
      <c r="J2258" s="561"/>
      <c r="K2258" s="561"/>
      <c r="L2258" s="799"/>
      <c r="M2258" s="799"/>
      <c r="N2258" s="799"/>
      <c r="Q2258" s="799"/>
      <c r="R2258" s="799"/>
      <c r="S2258" s="799"/>
      <c r="T2258" s="799"/>
      <c r="U2258" s="799"/>
      <c r="V2258" s="799"/>
      <c r="W2258" s="799"/>
      <c r="X2258" s="799"/>
      <c r="Y2258" s="799"/>
      <c r="Z2258" s="799"/>
      <c r="AC2258" s="799"/>
      <c r="BW2258" s="799"/>
    </row>
    <row r="2259" spans="3:75" ht="16" x14ac:dyDescent="0.15">
      <c r="C2259" s="561"/>
      <c r="D2259" s="561"/>
      <c r="E2259" s="561"/>
      <c r="F2259" s="561"/>
      <c r="G2259" s="799"/>
      <c r="H2259" s="1355"/>
      <c r="I2259" s="561"/>
      <c r="J2259" s="561"/>
      <c r="K2259" s="561"/>
      <c r="L2259" s="799"/>
      <c r="M2259" s="799"/>
      <c r="N2259" s="799"/>
      <c r="Q2259" s="799"/>
      <c r="R2259" s="799"/>
      <c r="S2259" s="799"/>
      <c r="T2259" s="799"/>
      <c r="U2259" s="799"/>
      <c r="V2259" s="799"/>
      <c r="W2259" s="799"/>
      <c r="X2259" s="799"/>
      <c r="Y2259" s="799"/>
      <c r="Z2259" s="799"/>
      <c r="AC2259" s="799"/>
      <c r="BW2259" s="799"/>
    </row>
    <row r="2260" spans="3:75" ht="16" x14ac:dyDescent="0.15">
      <c r="C2260" s="561"/>
      <c r="D2260" s="561"/>
      <c r="E2260" s="561"/>
      <c r="F2260" s="561"/>
      <c r="G2260" s="799"/>
      <c r="H2260" s="1355"/>
      <c r="I2260" s="561"/>
      <c r="J2260" s="561"/>
      <c r="K2260" s="561"/>
      <c r="L2260" s="799"/>
      <c r="M2260" s="799"/>
      <c r="N2260" s="799"/>
      <c r="Q2260" s="799"/>
      <c r="R2260" s="799"/>
      <c r="S2260" s="799"/>
      <c r="T2260" s="799"/>
      <c r="U2260" s="799"/>
      <c r="V2260" s="799"/>
      <c r="W2260" s="799"/>
      <c r="X2260" s="799"/>
      <c r="Y2260" s="799"/>
      <c r="Z2260" s="799"/>
      <c r="AC2260" s="799"/>
      <c r="BW2260" s="799"/>
    </row>
    <row r="2261" spans="3:75" ht="16" x14ac:dyDescent="0.15">
      <c r="C2261" s="561"/>
      <c r="D2261" s="561"/>
      <c r="E2261" s="561"/>
      <c r="F2261" s="561"/>
      <c r="G2261" s="799"/>
      <c r="H2261" s="1355"/>
      <c r="I2261" s="561"/>
      <c r="J2261" s="561"/>
      <c r="K2261" s="561"/>
      <c r="L2261" s="799"/>
      <c r="M2261" s="799"/>
      <c r="N2261" s="799"/>
      <c r="Q2261" s="799"/>
      <c r="R2261" s="799"/>
      <c r="S2261" s="799"/>
      <c r="T2261" s="799"/>
      <c r="U2261" s="799"/>
      <c r="V2261" s="799"/>
      <c r="W2261" s="799"/>
      <c r="X2261" s="799"/>
      <c r="Y2261" s="799"/>
      <c r="Z2261" s="799"/>
      <c r="AC2261" s="799"/>
      <c r="BW2261" s="799"/>
    </row>
    <row r="2262" spans="3:75" ht="16" x14ac:dyDescent="0.15">
      <c r="C2262" s="561"/>
      <c r="D2262" s="561"/>
      <c r="E2262" s="561"/>
      <c r="F2262" s="561"/>
      <c r="G2262" s="799"/>
      <c r="H2262" s="1355"/>
      <c r="I2262" s="561"/>
      <c r="J2262" s="561"/>
      <c r="K2262" s="561"/>
      <c r="L2262" s="799"/>
      <c r="M2262" s="799"/>
      <c r="N2262" s="799"/>
      <c r="Q2262" s="799"/>
      <c r="R2262" s="799"/>
      <c r="S2262" s="799"/>
      <c r="T2262" s="799"/>
      <c r="U2262" s="799"/>
      <c r="V2262" s="799"/>
      <c r="W2262" s="799"/>
      <c r="X2262" s="799"/>
      <c r="Y2262" s="799"/>
      <c r="Z2262" s="799"/>
      <c r="AC2262" s="799"/>
      <c r="BW2262" s="799"/>
    </row>
    <row r="2263" spans="3:75" ht="16" x14ac:dyDescent="0.15">
      <c r="C2263" s="561"/>
      <c r="D2263" s="561"/>
      <c r="E2263" s="561"/>
      <c r="F2263" s="561"/>
      <c r="G2263" s="799"/>
      <c r="H2263" s="1355"/>
      <c r="I2263" s="561"/>
      <c r="J2263" s="561"/>
      <c r="K2263" s="561"/>
      <c r="L2263" s="799"/>
      <c r="M2263" s="799"/>
      <c r="N2263" s="799"/>
      <c r="Q2263" s="799"/>
      <c r="R2263" s="799"/>
      <c r="S2263" s="799"/>
      <c r="T2263" s="799"/>
      <c r="U2263" s="799"/>
      <c r="V2263" s="799"/>
      <c r="W2263" s="799"/>
      <c r="X2263" s="799"/>
      <c r="Y2263" s="799"/>
      <c r="Z2263" s="799"/>
      <c r="AC2263" s="799"/>
      <c r="BW2263" s="799"/>
    </row>
    <row r="2264" spans="3:75" ht="16" x14ac:dyDescent="0.15">
      <c r="C2264" s="561"/>
      <c r="D2264" s="561"/>
      <c r="E2264" s="561"/>
      <c r="F2264" s="561"/>
      <c r="G2264" s="799"/>
      <c r="H2264" s="1355"/>
      <c r="I2264" s="561"/>
      <c r="J2264" s="561"/>
      <c r="K2264" s="561"/>
      <c r="L2264" s="799"/>
      <c r="M2264" s="799"/>
      <c r="N2264" s="799"/>
      <c r="Q2264" s="799"/>
      <c r="R2264" s="799"/>
      <c r="S2264" s="799"/>
      <c r="T2264" s="799"/>
      <c r="U2264" s="799"/>
      <c r="V2264" s="799"/>
      <c r="W2264" s="799"/>
      <c r="X2264" s="799"/>
      <c r="Y2264" s="799"/>
      <c r="Z2264" s="799"/>
      <c r="AC2264" s="799"/>
      <c r="BW2264" s="799"/>
    </row>
    <row r="2265" spans="3:75" ht="16" x14ac:dyDescent="0.15">
      <c r="C2265" s="561"/>
      <c r="D2265" s="561"/>
      <c r="E2265" s="561"/>
      <c r="F2265" s="561"/>
      <c r="G2265" s="799"/>
      <c r="H2265" s="1355"/>
      <c r="I2265" s="561"/>
      <c r="J2265" s="561"/>
      <c r="K2265" s="561"/>
      <c r="L2265" s="799"/>
      <c r="M2265" s="799"/>
      <c r="N2265" s="799"/>
      <c r="Q2265" s="799"/>
      <c r="R2265" s="799"/>
      <c r="S2265" s="799"/>
      <c r="T2265" s="799"/>
      <c r="U2265" s="799"/>
      <c r="V2265" s="799"/>
      <c r="W2265" s="799"/>
      <c r="X2265" s="799"/>
      <c r="Y2265" s="799"/>
      <c r="Z2265" s="799"/>
      <c r="AC2265" s="799"/>
      <c r="BW2265" s="799"/>
    </row>
    <row r="2266" spans="3:75" ht="16" x14ac:dyDescent="0.15">
      <c r="C2266" s="561"/>
      <c r="D2266" s="561"/>
      <c r="E2266" s="561"/>
      <c r="F2266" s="561"/>
      <c r="G2266" s="799"/>
      <c r="H2266" s="1355"/>
      <c r="I2266" s="561"/>
      <c r="J2266" s="561"/>
      <c r="K2266" s="561"/>
      <c r="L2266" s="799"/>
      <c r="M2266" s="799"/>
      <c r="N2266" s="799"/>
      <c r="Q2266" s="799"/>
      <c r="R2266" s="799"/>
      <c r="S2266" s="799"/>
      <c r="T2266" s="799"/>
      <c r="U2266" s="799"/>
      <c r="V2266" s="799"/>
      <c r="W2266" s="799"/>
      <c r="X2266" s="799"/>
      <c r="Y2266" s="799"/>
      <c r="Z2266" s="799"/>
      <c r="AC2266" s="799"/>
      <c r="BW2266" s="799"/>
    </row>
    <row r="2267" spans="3:75" ht="16" x14ac:dyDescent="0.15">
      <c r="C2267" s="561"/>
      <c r="D2267" s="561"/>
      <c r="E2267" s="561"/>
      <c r="F2267" s="561"/>
      <c r="G2267" s="799"/>
      <c r="H2267" s="1355"/>
      <c r="I2267" s="561"/>
      <c r="J2267" s="561"/>
      <c r="K2267" s="561"/>
      <c r="L2267" s="799"/>
      <c r="M2267" s="799"/>
      <c r="N2267" s="799"/>
      <c r="Q2267" s="799"/>
      <c r="R2267" s="799"/>
      <c r="S2267" s="799"/>
      <c r="T2267" s="799"/>
      <c r="U2267" s="799"/>
      <c r="V2267" s="799"/>
      <c r="W2267" s="799"/>
      <c r="X2267" s="799"/>
      <c r="Y2267" s="799"/>
      <c r="Z2267" s="799"/>
      <c r="AC2267" s="799"/>
      <c r="BW2267" s="799"/>
    </row>
    <row r="2268" spans="3:75" ht="16" x14ac:dyDescent="0.15">
      <c r="C2268" s="561"/>
      <c r="D2268" s="561"/>
      <c r="E2268" s="561"/>
      <c r="F2268" s="561"/>
      <c r="G2268" s="799"/>
      <c r="H2268" s="1355"/>
      <c r="I2268" s="561"/>
      <c r="J2268" s="561"/>
      <c r="K2268" s="561"/>
      <c r="L2268" s="799"/>
      <c r="M2268" s="799"/>
      <c r="N2268" s="799"/>
      <c r="Q2268" s="799"/>
      <c r="R2268" s="799"/>
      <c r="S2268" s="799"/>
      <c r="T2268" s="799"/>
      <c r="U2268" s="799"/>
      <c r="V2268" s="799"/>
      <c r="W2268" s="799"/>
      <c r="X2268" s="799"/>
      <c r="Y2268" s="799"/>
      <c r="Z2268" s="799"/>
      <c r="AC2268" s="799"/>
      <c r="BW2268" s="799"/>
    </row>
    <row r="2269" spans="3:75" ht="16" x14ac:dyDescent="0.15">
      <c r="C2269" s="561"/>
      <c r="D2269" s="561"/>
      <c r="E2269" s="561"/>
      <c r="F2269" s="561"/>
      <c r="G2269" s="799"/>
      <c r="H2269" s="1355"/>
      <c r="I2269" s="561"/>
      <c r="J2269" s="561"/>
      <c r="K2269" s="561"/>
      <c r="L2269" s="799"/>
      <c r="M2269" s="799"/>
      <c r="N2269" s="799"/>
      <c r="Q2269" s="799"/>
      <c r="R2269" s="799"/>
      <c r="S2269" s="799"/>
      <c r="T2269" s="799"/>
      <c r="U2269" s="799"/>
      <c r="V2269" s="799"/>
      <c r="W2269" s="799"/>
      <c r="X2269" s="799"/>
      <c r="Y2269" s="799"/>
      <c r="Z2269" s="799"/>
      <c r="AC2269" s="799"/>
      <c r="BW2269" s="799"/>
    </row>
    <row r="2270" spans="3:75" ht="16" x14ac:dyDescent="0.15">
      <c r="C2270" s="561"/>
      <c r="D2270" s="561"/>
      <c r="E2270" s="561"/>
      <c r="F2270" s="561"/>
      <c r="G2270" s="799"/>
      <c r="H2270" s="1355"/>
      <c r="I2270" s="561"/>
      <c r="J2270" s="561"/>
      <c r="K2270" s="561"/>
      <c r="L2270" s="799"/>
      <c r="M2270" s="799"/>
      <c r="N2270" s="799"/>
      <c r="Q2270" s="799"/>
      <c r="R2270" s="799"/>
      <c r="S2270" s="799"/>
      <c r="T2270" s="799"/>
      <c r="U2270" s="799"/>
      <c r="V2270" s="799"/>
      <c r="W2270" s="799"/>
      <c r="X2270" s="799"/>
      <c r="Y2270" s="799"/>
      <c r="Z2270" s="799"/>
      <c r="AC2270" s="799"/>
      <c r="BW2270" s="799"/>
    </row>
    <row r="2271" spans="3:75" ht="16" x14ac:dyDescent="0.15">
      <c r="C2271" s="561"/>
      <c r="D2271" s="561"/>
      <c r="E2271" s="561"/>
      <c r="F2271" s="561"/>
      <c r="G2271" s="799"/>
      <c r="H2271" s="1355"/>
      <c r="I2271" s="561"/>
      <c r="J2271" s="561"/>
      <c r="K2271" s="561"/>
      <c r="L2271" s="799"/>
      <c r="M2271" s="799"/>
      <c r="N2271" s="799"/>
      <c r="Q2271" s="799"/>
      <c r="R2271" s="799"/>
      <c r="S2271" s="799"/>
      <c r="T2271" s="799"/>
      <c r="U2271" s="799"/>
      <c r="V2271" s="799"/>
      <c r="W2271" s="799"/>
      <c r="X2271" s="799"/>
      <c r="Y2271" s="799"/>
      <c r="Z2271" s="799"/>
      <c r="AC2271" s="799"/>
      <c r="BW2271" s="799"/>
    </row>
    <row r="2272" spans="3:75" ht="16" x14ac:dyDescent="0.15">
      <c r="C2272" s="561"/>
      <c r="D2272" s="561"/>
      <c r="E2272" s="561"/>
      <c r="F2272" s="561"/>
      <c r="G2272" s="799"/>
      <c r="H2272" s="1355"/>
      <c r="I2272" s="561"/>
      <c r="J2272" s="561"/>
      <c r="K2272" s="561"/>
      <c r="L2272" s="799"/>
      <c r="M2272" s="799"/>
      <c r="N2272" s="799"/>
      <c r="Q2272" s="799"/>
      <c r="R2272" s="799"/>
      <c r="S2272" s="799"/>
      <c r="T2272" s="799"/>
      <c r="U2272" s="799"/>
      <c r="V2272" s="799"/>
      <c r="W2272" s="799"/>
      <c r="X2272" s="799"/>
      <c r="Y2272" s="799"/>
      <c r="Z2272" s="799"/>
      <c r="AC2272" s="799"/>
      <c r="BW2272" s="799"/>
    </row>
    <row r="2273" spans="3:75" ht="16" x14ac:dyDescent="0.15">
      <c r="C2273" s="561"/>
      <c r="D2273" s="561"/>
      <c r="E2273" s="561"/>
      <c r="F2273" s="561"/>
      <c r="G2273" s="799"/>
      <c r="H2273" s="1355"/>
      <c r="I2273" s="561"/>
      <c r="J2273" s="561"/>
      <c r="K2273" s="561"/>
      <c r="L2273" s="799"/>
      <c r="M2273" s="799"/>
      <c r="N2273" s="799"/>
      <c r="Q2273" s="799"/>
      <c r="R2273" s="799"/>
      <c r="S2273" s="799"/>
      <c r="T2273" s="799"/>
      <c r="U2273" s="799"/>
      <c r="V2273" s="799"/>
      <c r="W2273" s="799"/>
      <c r="X2273" s="799"/>
      <c r="Y2273" s="799"/>
      <c r="Z2273" s="799"/>
      <c r="AC2273" s="799"/>
      <c r="BW2273" s="799"/>
    </row>
    <row r="2274" spans="3:75" ht="16" x14ac:dyDescent="0.15">
      <c r="C2274" s="561"/>
      <c r="D2274" s="561"/>
      <c r="E2274" s="561"/>
      <c r="F2274" s="561"/>
      <c r="G2274" s="799"/>
      <c r="H2274" s="1355"/>
      <c r="I2274" s="561"/>
      <c r="J2274" s="561"/>
      <c r="K2274" s="561"/>
      <c r="L2274" s="799"/>
      <c r="M2274" s="799"/>
      <c r="N2274" s="799"/>
      <c r="Q2274" s="799"/>
      <c r="R2274" s="799"/>
      <c r="S2274" s="799"/>
      <c r="T2274" s="799"/>
      <c r="U2274" s="799"/>
      <c r="V2274" s="799"/>
      <c r="W2274" s="799"/>
      <c r="X2274" s="799"/>
      <c r="Y2274" s="799"/>
      <c r="Z2274" s="799"/>
      <c r="AC2274" s="799"/>
      <c r="BW2274" s="799"/>
    </row>
    <row r="2275" spans="3:75" ht="16" x14ac:dyDescent="0.15">
      <c r="C2275" s="561"/>
      <c r="D2275" s="561"/>
      <c r="E2275" s="561"/>
      <c r="F2275" s="561"/>
      <c r="G2275" s="799"/>
      <c r="H2275" s="1355"/>
      <c r="I2275" s="561"/>
      <c r="J2275" s="561"/>
      <c r="K2275" s="561"/>
      <c r="L2275" s="799"/>
      <c r="M2275" s="799"/>
      <c r="N2275" s="799"/>
      <c r="Q2275" s="799"/>
      <c r="R2275" s="799"/>
      <c r="S2275" s="799"/>
      <c r="T2275" s="799"/>
      <c r="U2275" s="799"/>
      <c r="V2275" s="799"/>
      <c r="W2275" s="799"/>
      <c r="X2275" s="799"/>
      <c r="Y2275" s="799"/>
      <c r="Z2275" s="799"/>
      <c r="AC2275" s="799"/>
      <c r="BW2275" s="799"/>
    </row>
    <row r="2276" spans="3:75" ht="16" x14ac:dyDescent="0.15">
      <c r="C2276" s="561"/>
      <c r="D2276" s="561"/>
      <c r="E2276" s="561"/>
      <c r="F2276" s="561"/>
      <c r="G2276" s="799"/>
      <c r="H2276" s="1355"/>
      <c r="I2276" s="561"/>
      <c r="J2276" s="561"/>
      <c r="K2276" s="561"/>
      <c r="L2276" s="799"/>
      <c r="M2276" s="799"/>
      <c r="N2276" s="799"/>
      <c r="Q2276" s="799"/>
      <c r="R2276" s="799"/>
      <c r="S2276" s="799"/>
      <c r="T2276" s="799"/>
      <c r="U2276" s="799"/>
      <c r="V2276" s="799"/>
      <c r="W2276" s="799"/>
      <c r="X2276" s="799"/>
      <c r="Y2276" s="799"/>
      <c r="Z2276" s="799"/>
      <c r="AC2276" s="799"/>
      <c r="BW2276" s="799"/>
    </row>
    <row r="2277" spans="3:75" ht="16" x14ac:dyDescent="0.15">
      <c r="C2277" s="561"/>
      <c r="D2277" s="561"/>
      <c r="E2277" s="561"/>
      <c r="F2277" s="561"/>
      <c r="G2277" s="799"/>
      <c r="H2277" s="1355"/>
      <c r="I2277" s="561"/>
      <c r="J2277" s="561"/>
      <c r="K2277" s="561"/>
      <c r="L2277" s="799"/>
      <c r="M2277" s="799"/>
      <c r="N2277" s="799"/>
      <c r="Q2277" s="799"/>
      <c r="R2277" s="799"/>
      <c r="S2277" s="799"/>
      <c r="T2277" s="799"/>
      <c r="U2277" s="799"/>
      <c r="V2277" s="799"/>
      <c r="W2277" s="799"/>
      <c r="X2277" s="799"/>
      <c r="Y2277" s="799"/>
      <c r="Z2277" s="799"/>
      <c r="AC2277" s="799"/>
      <c r="BW2277" s="799"/>
    </row>
    <row r="2278" spans="3:75" ht="16" x14ac:dyDescent="0.15">
      <c r="C2278" s="561"/>
      <c r="D2278" s="561"/>
      <c r="E2278" s="561"/>
      <c r="F2278" s="561"/>
      <c r="G2278" s="799"/>
      <c r="H2278" s="1355"/>
      <c r="I2278" s="561"/>
      <c r="J2278" s="561"/>
      <c r="K2278" s="561"/>
      <c r="L2278" s="799"/>
      <c r="M2278" s="799"/>
      <c r="N2278" s="799"/>
      <c r="Q2278" s="799"/>
      <c r="R2278" s="799"/>
      <c r="S2278" s="799"/>
      <c r="T2278" s="799"/>
      <c r="U2278" s="799"/>
      <c r="V2278" s="799"/>
      <c r="W2278" s="799"/>
      <c r="X2278" s="799"/>
      <c r="Y2278" s="799"/>
      <c r="Z2278" s="799"/>
      <c r="AC2278" s="799"/>
      <c r="BW2278" s="799"/>
    </row>
    <row r="2279" spans="3:75" ht="16" x14ac:dyDescent="0.15">
      <c r="C2279" s="561"/>
      <c r="D2279" s="561"/>
      <c r="E2279" s="561"/>
      <c r="F2279" s="561"/>
      <c r="G2279" s="799"/>
      <c r="H2279" s="1355"/>
      <c r="I2279" s="561"/>
      <c r="J2279" s="561"/>
      <c r="K2279" s="561"/>
      <c r="L2279" s="799"/>
      <c r="M2279" s="799"/>
      <c r="N2279" s="799"/>
      <c r="Q2279" s="799"/>
      <c r="R2279" s="799"/>
      <c r="S2279" s="799"/>
      <c r="T2279" s="799"/>
      <c r="U2279" s="799"/>
      <c r="V2279" s="799"/>
      <c r="W2279" s="799"/>
      <c r="X2279" s="799"/>
      <c r="Y2279" s="799"/>
      <c r="Z2279" s="799"/>
      <c r="AC2279" s="799"/>
      <c r="BW2279" s="799"/>
    </row>
    <row r="2280" spans="3:75" ht="16" x14ac:dyDescent="0.15">
      <c r="C2280" s="561"/>
      <c r="D2280" s="561"/>
      <c r="E2280" s="561"/>
      <c r="F2280" s="561"/>
      <c r="G2280" s="799"/>
      <c r="H2280" s="1355"/>
      <c r="I2280" s="561"/>
      <c r="J2280" s="561"/>
      <c r="K2280" s="561"/>
      <c r="L2280" s="799"/>
      <c r="M2280" s="799"/>
      <c r="N2280" s="799"/>
      <c r="Q2280" s="799"/>
      <c r="R2280" s="799"/>
      <c r="S2280" s="799"/>
      <c r="T2280" s="799"/>
      <c r="U2280" s="799"/>
      <c r="V2280" s="799"/>
      <c r="W2280" s="799"/>
      <c r="X2280" s="799"/>
      <c r="Y2280" s="799"/>
      <c r="Z2280" s="799"/>
      <c r="AC2280" s="799"/>
      <c r="BW2280" s="799"/>
    </row>
    <row r="2281" spans="3:75" ht="16" x14ac:dyDescent="0.15">
      <c r="C2281" s="561"/>
      <c r="D2281" s="561"/>
      <c r="E2281" s="561"/>
      <c r="F2281" s="561"/>
      <c r="G2281" s="799"/>
      <c r="H2281" s="1355"/>
      <c r="I2281" s="561"/>
      <c r="J2281" s="561"/>
      <c r="K2281" s="561"/>
      <c r="L2281" s="799"/>
      <c r="M2281" s="799"/>
      <c r="N2281" s="799"/>
      <c r="Q2281" s="799"/>
      <c r="R2281" s="799"/>
      <c r="S2281" s="799"/>
      <c r="T2281" s="799"/>
      <c r="U2281" s="799"/>
      <c r="V2281" s="799"/>
      <c r="W2281" s="799"/>
      <c r="X2281" s="799"/>
      <c r="Y2281" s="799"/>
      <c r="Z2281" s="799"/>
      <c r="AC2281" s="799"/>
      <c r="BW2281" s="799"/>
    </row>
    <row r="2282" spans="3:75" ht="16" x14ac:dyDescent="0.15">
      <c r="C2282" s="561"/>
      <c r="D2282" s="561"/>
      <c r="E2282" s="561"/>
      <c r="F2282" s="561"/>
      <c r="G2282" s="799"/>
      <c r="H2282" s="1355"/>
      <c r="I2282" s="561"/>
      <c r="J2282" s="561"/>
      <c r="K2282" s="561"/>
      <c r="L2282" s="799"/>
      <c r="M2282" s="799"/>
      <c r="N2282" s="799"/>
      <c r="Q2282" s="799"/>
      <c r="R2282" s="799"/>
      <c r="S2282" s="799"/>
      <c r="T2282" s="799"/>
      <c r="U2282" s="799"/>
      <c r="V2282" s="799"/>
      <c r="W2282" s="799"/>
      <c r="X2282" s="799"/>
      <c r="Y2282" s="799"/>
      <c r="Z2282" s="799"/>
      <c r="AC2282" s="799"/>
      <c r="BW2282" s="799"/>
    </row>
    <row r="2283" spans="3:75" ht="16" x14ac:dyDescent="0.15">
      <c r="C2283" s="561"/>
      <c r="D2283" s="561"/>
      <c r="E2283" s="561"/>
      <c r="F2283" s="561"/>
      <c r="G2283" s="799"/>
      <c r="H2283" s="1355"/>
      <c r="I2283" s="561"/>
      <c r="J2283" s="561"/>
      <c r="K2283" s="561"/>
      <c r="L2283" s="799"/>
      <c r="M2283" s="799"/>
      <c r="N2283" s="799"/>
      <c r="Q2283" s="799"/>
      <c r="R2283" s="799"/>
      <c r="S2283" s="799"/>
      <c r="T2283" s="799"/>
      <c r="U2283" s="799"/>
      <c r="V2283" s="799"/>
      <c r="W2283" s="799"/>
      <c r="X2283" s="799"/>
      <c r="Y2283" s="799"/>
      <c r="Z2283" s="799"/>
      <c r="AC2283" s="799"/>
      <c r="BW2283" s="799"/>
    </row>
    <row r="2284" spans="3:75" ht="16" x14ac:dyDescent="0.15">
      <c r="C2284" s="561"/>
      <c r="D2284" s="561"/>
      <c r="E2284" s="561"/>
      <c r="F2284" s="561"/>
      <c r="G2284" s="799"/>
      <c r="H2284" s="1355"/>
      <c r="I2284" s="561"/>
      <c r="J2284" s="561"/>
      <c r="K2284" s="561"/>
      <c r="L2284" s="799"/>
      <c r="M2284" s="799"/>
      <c r="N2284" s="799"/>
      <c r="Q2284" s="799"/>
      <c r="R2284" s="799"/>
      <c r="S2284" s="799"/>
      <c r="T2284" s="799"/>
      <c r="U2284" s="799"/>
      <c r="V2284" s="799"/>
      <c r="W2284" s="799"/>
      <c r="X2284" s="799"/>
      <c r="Y2284" s="799"/>
      <c r="Z2284" s="799"/>
      <c r="AC2284" s="799"/>
      <c r="BW2284" s="799"/>
    </row>
    <row r="2285" spans="3:75" ht="16" x14ac:dyDescent="0.15">
      <c r="C2285" s="561"/>
      <c r="D2285" s="561"/>
      <c r="E2285" s="561"/>
      <c r="F2285" s="561"/>
      <c r="G2285" s="799"/>
      <c r="H2285" s="1355"/>
      <c r="I2285" s="561"/>
      <c r="J2285" s="561"/>
      <c r="K2285" s="561"/>
      <c r="L2285" s="799"/>
      <c r="M2285" s="799"/>
      <c r="N2285" s="799"/>
      <c r="Q2285" s="799"/>
      <c r="R2285" s="799"/>
      <c r="S2285" s="799"/>
      <c r="T2285" s="799"/>
      <c r="U2285" s="799"/>
      <c r="V2285" s="799"/>
      <c r="W2285" s="799"/>
      <c r="X2285" s="799"/>
      <c r="Y2285" s="799"/>
      <c r="Z2285" s="799"/>
      <c r="AC2285" s="799"/>
      <c r="BW2285" s="799"/>
    </row>
    <row r="2286" spans="3:75" ht="16" x14ac:dyDescent="0.15">
      <c r="C2286" s="561"/>
      <c r="D2286" s="561"/>
      <c r="E2286" s="561"/>
      <c r="F2286" s="561"/>
      <c r="G2286" s="799"/>
      <c r="H2286" s="1355"/>
      <c r="I2286" s="561"/>
      <c r="J2286" s="561"/>
      <c r="K2286" s="561"/>
      <c r="L2286" s="799"/>
      <c r="M2286" s="799"/>
      <c r="N2286" s="799"/>
      <c r="Q2286" s="799"/>
      <c r="R2286" s="799"/>
      <c r="S2286" s="799"/>
      <c r="T2286" s="799"/>
      <c r="U2286" s="799"/>
      <c r="V2286" s="799"/>
      <c r="W2286" s="799"/>
      <c r="X2286" s="799"/>
      <c r="Y2286" s="799"/>
      <c r="Z2286" s="799"/>
      <c r="AC2286" s="799"/>
      <c r="BW2286" s="799"/>
    </row>
    <row r="2287" spans="3:75" ht="16" x14ac:dyDescent="0.15">
      <c r="C2287" s="561"/>
      <c r="D2287" s="561"/>
      <c r="E2287" s="561"/>
      <c r="F2287" s="561"/>
      <c r="G2287" s="799"/>
      <c r="H2287" s="1355"/>
      <c r="I2287" s="561"/>
      <c r="J2287" s="561"/>
      <c r="K2287" s="561"/>
      <c r="L2287" s="799"/>
      <c r="M2287" s="799"/>
      <c r="N2287" s="799"/>
      <c r="Q2287" s="799"/>
      <c r="R2287" s="799"/>
      <c r="S2287" s="799"/>
      <c r="T2287" s="799"/>
      <c r="U2287" s="799"/>
      <c r="V2287" s="799"/>
      <c r="W2287" s="799"/>
      <c r="X2287" s="799"/>
      <c r="Y2287" s="799"/>
      <c r="Z2287" s="799"/>
      <c r="AC2287" s="799"/>
      <c r="BW2287" s="799"/>
    </row>
    <row r="2288" spans="3:75" ht="16" x14ac:dyDescent="0.15">
      <c r="C2288" s="561"/>
      <c r="D2288" s="561"/>
      <c r="E2288" s="561"/>
      <c r="F2288" s="561"/>
      <c r="G2288" s="799"/>
      <c r="H2288" s="1355"/>
      <c r="I2288" s="561"/>
      <c r="J2288" s="561"/>
      <c r="K2288" s="561"/>
      <c r="L2288" s="799"/>
      <c r="M2288" s="799"/>
      <c r="N2288" s="799"/>
      <c r="Q2288" s="799"/>
      <c r="R2288" s="799"/>
      <c r="S2288" s="799"/>
      <c r="T2288" s="799"/>
      <c r="U2288" s="799"/>
      <c r="V2288" s="799"/>
      <c r="W2288" s="799"/>
      <c r="X2288" s="799"/>
      <c r="Y2288" s="799"/>
      <c r="Z2288" s="799"/>
      <c r="AC2288" s="799"/>
      <c r="BW2288" s="799"/>
    </row>
    <row r="2289" spans="3:75" ht="16" x14ac:dyDescent="0.15">
      <c r="C2289" s="561"/>
      <c r="D2289" s="561"/>
      <c r="E2289" s="561"/>
      <c r="F2289" s="561"/>
      <c r="G2289" s="799"/>
      <c r="H2289" s="1355"/>
      <c r="I2289" s="561"/>
      <c r="J2289" s="561"/>
      <c r="K2289" s="561"/>
      <c r="L2289" s="799"/>
      <c r="M2289" s="799"/>
      <c r="N2289" s="799"/>
      <c r="Q2289" s="799"/>
      <c r="R2289" s="799"/>
      <c r="S2289" s="799"/>
      <c r="T2289" s="799"/>
      <c r="U2289" s="799"/>
      <c r="V2289" s="799"/>
      <c r="W2289" s="799"/>
      <c r="X2289" s="799"/>
      <c r="Y2289" s="799"/>
      <c r="Z2289" s="799"/>
      <c r="AC2289" s="799"/>
      <c r="BW2289" s="799"/>
    </row>
    <row r="2290" spans="3:75" ht="16" x14ac:dyDescent="0.15">
      <c r="C2290" s="561"/>
      <c r="D2290" s="561"/>
      <c r="E2290" s="561"/>
      <c r="F2290" s="561"/>
      <c r="G2290" s="799"/>
      <c r="H2290" s="1355"/>
      <c r="I2290" s="561"/>
      <c r="J2290" s="561"/>
      <c r="K2290" s="561"/>
      <c r="L2290" s="799"/>
      <c r="M2290" s="799"/>
      <c r="N2290" s="799"/>
      <c r="Q2290" s="799"/>
      <c r="R2290" s="799"/>
      <c r="S2290" s="799"/>
      <c r="T2290" s="799"/>
      <c r="U2290" s="799"/>
      <c r="V2290" s="799"/>
      <c r="W2290" s="799"/>
      <c r="X2290" s="799"/>
      <c r="Y2290" s="799"/>
      <c r="Z2290" s="799"/>
      <c r="AC2290" s="799"/>
      <c r="BW2290" s="799"/>
    </row>
    <row r="2291" spans="3:75" ht="16" x14ac:dyDescent="0.15">
      <c r="C2291" s="561"/>
      <c r="D2291" s="561"/>
      <c r="E2291" s="561"/>
      <c r="F2291" s="561"/>
      <c r="G2291" s="799"/>
      <c r="H2291" s="1355"/>
      <c r="I2291" s="561"/>
      <c r="J2291" s="561"/>
      <c r="K2291" s="561"/>
      <c r="L2291" s="799"/>
      <c r="M2291" s="799"/>
      <c r="N2291" s="799"/>
      <c r="Q2291" s="799"/>
      <c r="R2291" s="799"/>
      <c r="S2291" s="799"/>
      <c r="T2291" s="799"/>
      <c r="U2291" s="799"/>
      <c r="V2291" s="799"/>
      <c r="W2291" s="799"/>
      <c r="X2291" s="799"/>
      <c r="Y2291" s="799"/>
      <c r="Z2291" s="799"/>
      <c r="AC2291" s="799"/>
      <c r="BW2291" s="799"/>
    </row>
    <row r="2292" spans="3:75" ht="16" x14ac:dyDescent="0.15">
      <c r="C2292" s="561"/>
      <c r="D2292" s="561"/>
      <c r="E2292" s="561"/>
      <c r="F2292" s="561"/>
      <c r="G2292" s="799"/>
      <c r="H2292" s="1355"/>
      <c r="I2292" s="561"/>
      <c r="J2292" s="561"/>
      <c r="K2292" s="561"/>
      <c r="L2292" s="799"/>
      <c r="M2292" s="799"/>
      <c r="N2292" s="799"/>
      <c r="Q2292" s="799"/>
      <c r="R2292" s="799"/>
      <c r="S2292" s="799"/>
      <c r="T2292" s="799"/>
      <c r="U2292" s="799"/>
      <c r="V2292" s="799"/>
      <c r="W2292" s="799"/>
      <c r="X2292" s="799"/>
      <c r="Y2292" s="799"/>
      <c r="Z2292" s="799"/>
      <c r="AC2292" s="799"/>
      <c r="BW2292" s="799"/>
    </row>
    <row r="2293" spans="3:75" ht="16" x14ac:dyDescent="0.15">
      <c r="C2293" s="561"/>
      <c r="D2293" s="561"/>
      <c r="E2293" s="561"/>
      <c r="F2293" s="561"/>
      <c r="G2293" s="799"/>
      <c r="H2293" s="1355"/>
      <c r="I2293" s="561"/>
      <c r="J2293" s="561"/>
      <c r="K2293" s="561"/>
      <c r="L2293" s="799"/>
      <c r="M2293" s="799"/>
      <c r="N2293" s="799"/>
      <c r="Q2293" s="799"/>
      <c r="R2293" s="799"/>
      <c r="S2293" s="799"/>
      <c r="T2293" s="799"/>
      <c r="U2293" s="799"/>
      <c r="V2293" s="799"/>
      <c r="W2293" s="799"/>
      <c r="X2293" s="799"/>
      <c r="Y2293" s="799"/>
      <c r="Z2293" s="799"/>
      <c r="AC2293" s="799"/>
      <c r="BW2293" s="799"/>
    </row>
    <row r="2294" spans="3:75" ht="16" x14ac:dyDescent="0.15">
      <c r="C2294" s="561"/>
      <c r="D2294" s="561"/>
      <c r="E2294" s="561"/>
      <c r="F2294" s="561"/>
      <c r="G2294" s="799"/>
      <c r="H2294" s="1355"/>
      <c r="I2294" s="561"/>
      <c r="J2294" s="561"/>
      <c r="K2294" s="561"/>
      <c r="L2294" s="799"/>
      <c r="M2294" s="799"/>
      <c r="N2294" s="799"/>
      <c r="Q2294" s="799"/>
      <c r="R2294" s="799"/>
      <c r="S2294" s="799"/>
      <c r="T2294" s="799"/>
      <c r="U2294" s="799"/>
      <c r="V2294" s="799"/>
      <c r="W2294" s="799"/>
      <c r="X2294" s="799"/>
      <c r="Y2294" s="799"/>
      <c r="Z2294" s="799"/>
      <c r="AC2294" s="799"/>
      <c r="BW2294" s="799"/>
    </row>
    <row r="2295" spans="3:75" ht="16" x14ac:dyDescent="0.15">
      <c r="C2295" s="561"/>
      <c r="D2295" s="561"/>
      <c r="E2295" s="561"/>
      <c r="F2295" s="561"/>
      <c r="G2295" s="799"/>
      <c r="H2295" s="1355"/>
      <c r="I2295" s="561"/>
      <c r="J2295" s="561"/>
      <c r="K2295" s="561"/>
      <c r="L2295" s="799"/>
      <c r="M2295" s="799"/>
      <c r="N2295" s="799"/>
      <c r="Q2295" s="799"/>
      <c r="R2295" s="799"/>
      <c r="S2295" s="799"/>
      <c r="T2295" s="799"/>
      <c r="U2295" s="799"/>
      <c r="V2295" s="799"/>
      <c r="W2295" s="799"/>
      <c r="X2295" s="799"/>
      <c r="Y2295" s="799"/>
      <c r="Z2295" s="799"/>
      <c r="AC2295" s="799"/>
      <c r="BW2295" s="799"/>
    </row>
    <row r="2296" spans="3:75" ht="16" x14ac:dyDescent="0.15">
      <c r="C2296" s="561"/>
      <c r="D2296" s="561"/>
      <c r="E2296" s="561"/>
      <c r="F2296" s="561"/>
      <c r="G2296" s="799"/>
      <c r="H2296" s="1355"/>
      <c r="I2296" s="561"/>
      <c r="J2296" s="561"/>
      <c r="K2296" s="561"/>
      <c r="L2296" s="799"/>
      <c r="M2296" s="799"/>
      <c r="N2296" s="799"/>
      <c r="Q2296" s="799"/>
      <c r="R2296" s="799"/>
      <c r="S2296" s="799"/>
      <c r="T2296" s="799"/>
      <c r="U2296" s="799"/>
      <c r="V2296" s="799"/>
      <c r="W2296" s="799"/>
      <c r="X2296" s="799"/>
      <c r="Y2296" s="799"/>
      <c r="Z2296" s="799"/>
      <c r="AC2296" s="799"/>
      <c r="BW2296" s="799"/>
    </row>
    <row r="2297" spans="3:75" ht="16" x14ac:dyDescent="0.15">
      <c r="C2297" s="561"/>
      <c r="D2297" s="561"/>
      <c r="E2297" s="561"/>
      <c r="F2297" s="561"/>
      <c r="G2297" s="799"/>
      <c r="H2297" s="1355"/>
      <c r="I2297" s="561"/>
      <c r="J2297" s="561"/>
      <c r="K2297" s="561"/>
      <c r="L2297" s="799"/>
      <c r="M2297" s="799"/>
      <c r="N2297" s="799"/>
      <c r="Q2297" s="799"/>
      <c r="R2297" s="799"/>
      <c r="S2297" s="799"/>
      <c r="T2297" s="799"/>
      <c r="U2297" s="799"/>
      <c r="V2297" s="799"/>
      <c r="W2297" s="799"/>
      <c r="X2297" s="799"/>
      <c r="Y2297" s="799"/>
      <c r="Z2297" s="799"/>
      <c r="AC2297" s="799"/>
      <c r="BW2297" s="799"/>
    </row>
    <row r="2298" spans="3:75" ht="16" x14ac:dyDescent="0.15">
      <c r="C2298" s="561"/>
      <c r="D2298" s="561"/>
      <c r="E2298" s="561"/>
      <c r="F2298" s="561"/>
      <c r="G2298" s="799"/>
      <c r="H2298" s="1355"/>
      <c r="I2298" s="561"/>
      <c r="J2298" s="561"/>
      <c r="K2298" s="561"/>
      <c r="L2298" s="799"/>
      <c r="M2298" s="799"/>
      <c r="N2298" s="799"/>
      <c r="Q2298" s="799"/>
      <c r="R2298" s="799"/>
      <c r="S2298" s="799"/>
      <c r="T2298" s="799"/>
      <c r="U2298" s="799"/>
      <c r="V2298" s="799"/>
      <c r="W2298" s="799"/>
      <c r="X2298" s="799"/>
      <c r="Y2298" s="799"/>
      <c r="Z2298" s="799"/>
      <c r="AC2298" s="799"/>
      <c r="BW2298" s="799"/>
    </row>
    <row r="2299" spans="3:75" ht="16" x14ac:dyDescent="0.15">
      <c r="C2299" s="561"/>
      <c r="D2299" s="561"/>
      <c r="E2299" s="561"/>
      <c r="F2299" s="561"/>
      <c r="G2299" s="799"/>
      <c r="H2299" s="1355"/>
      <c r="I2299" s="561"/>
      <c r="J2299" s="561"/>
      <c r="K2299" s="561"/>
      <c r="L2299" s="799"/>
      <c r="M2299" s="799"/>
      <c r="N2299" s="799"/>
      <c r="Q2299" s="799"/>
      <c r="R2299" s="799"/>
      <c r="S2299" s="799"/>
      <c r="T2299" s="799"/>
      <c r="U2299" s="799"/>
      <c r="V2299" s="799"/>
      <c r="W2299" s="799"/>
      <c r="X2299" s="799"/>
      <c r="Y2299" s="799"/>
      <c r="Z2299" s="799"/>
      <c r="AC2299" s="799"/>
      <c r="BW2299" s="799"/>
    </row>
    <row r="2300" spans="3:75" ht="16" x14ac:dyDescent="0.15">
      <c r="C2300" s="561"/>
      <c r="D2300" s="561"/>
      <c r="E2300" s="561"/>
      <c r="F2300" s="561"/>
      <c r="G2300" s="799"/>
      <c r="H2300" s="1355"/>
      <c r="I2300" s="561"/>
      <c r="J2300" s="561"/>
      <c r="K2300" s="561"/>
      <c r="L2300" s="799"/>
      <c r="M2300" s="799"/>
      <c r="N2300" s="799"/>
      <c r="Q2300" s="799"/>
      <c r="R2300" s="799"/>
      <c r="S2300" s="799"/>
      <c r="T2300" s="799"/>
      <c r="U2300" s="799"/>
      <c r="V2300" s="799"/>
      <c r="W2300" s="799"/>
      <c r="X2300" s="799"/>
      <c r="Y2300" s="799"/>
      <c r="Z2300" s="799"/>
      <c r="AC2300" s="799"/>
      <c r="BW2300" s="799"/>
    </row>
    <row r="2301" spans="3:75" ht="16" x14ac:dyDescent="0.15">
      <c r="C2301" s="561"/>
      <c r="D2301" s="561"/>
      <c r="E2301" s="561"/>
      <c r="F2301" s="561"/>
      <c r="G2301" s="799"/>
      <c r="H2301" s="1355"/>
      <c r="I2301" s="561"/>
      <c r="J2301" s="561"/>
      <c r="K2301" s="561"/>
      <c r="L2301" s="799"/>
      <c r="M2301" s="799"/>
      <c r="N2301" s="799"/>
      <c r="Q2301" s="799"/>
      <c r="R2301" s="799"/>
      <c r="S2301" s="799"/>
      <c r="T2301" s="799"/>
      <c r="U2301" s="799"/>
      <c r="V2301" s="799"/>
      <c r="W2301" s="799"/>
      <c r="X2301" s="799"/>
      <c r="Y2301" s="799"/>
      <c r="Z2301" s="799"/>
      <c r="AC2301" s="799"/>
      <c r="BW2301" s="799"/>
    </row>
    <row r="2302" spans="3:75" ht="16" x14ac:dyDescent="0.15">
      <c r="C2302" s="561"/>
      <c r="D2302" s="561"/>
      <c r="E2302" s="561"/>
      <c r="F2302" s="561"/>
      <c r="G2302" s="799"/>
      <c r="H2302" s="1355"/>
      <c r="I2302" s="561"/>
      <c r="J2302" s="561"/>
      <c r="K2302" s="561"/>
      <c r="L2302" s="799"/>
      <c r="M2302" s="799"/>
      <c r="N2302" s="799"/>
      <c r="Q2302" s="799"/>
      <c r="R2302" s="799"/>
      <c r="S2302" s="799"/>
      <c r="T2302" s="799"/>
      <c r="U2302" s="799"/>
      <c r="V2302" s="799"/>
      <c r="W2302" s="799"/>
      <c r="X2302" s="799"/>
      <c r="Y2302" s="799"/>
      <c r="Z2302" s="799"/>
      <c r="AC2302" s="799"/>
      <c r="BW2302" s="799"/>
    </row>
    <row r="2303" spans="3:75" ht="16" x14ac:dyDescent="0.15">
      <c r="C2303" s="561"/>
      <c r="D2303" s="561"/>
      <c r="E2303" s="561"/>
      <c r="F2303" s="561"/>
      <c r="G2303" s="799"/>
      <c r="H2303" s="1355"/>
      <c r="I2303" s="561"/>
      <c r="J2303" s="561"/>
      <c r="K2303" s="561"/>
      <c r="L2303" s="799"/>
      <c r="M2303" s="799"/>
      <c r="N2303" s="799"/>
      <c r="Q2303" s="799"/>
      <c r="R2303" s="799"/>
      <c r="S2303" s="799"/>
      <c r="T2303" s="799"/>
      <c r="U2303" s="799"/>
      <c r="V2303" s="799"/>
      <c r="W2303" s="799"/>
      <c r="X2303" s="799"/>
      <c r="Y2303" s="799"/>
      <c r="Z2303" s="799"/>
      <c r="AC2303" s="799"/>
      <c r="BW2303" s="799"/>
    </row>
    <row r="2304" spans="3:75" ht="14" x14ac:dyDescent="0.15">
      <c r="G2304" s="799"/>
      <c r="H2304" s="1355"/>
      <c r="L2304" s="799"/>
      <c r="M2304" s="799"/>
      <c r="N2304" s="799"/>
      <c r="Q2304" s="799"/>
      <c r="R2304" s="799"/>
      <c r="S2304" s="799"/>
      <c r="T2304" s="799"/>
      <c r="U2304" s="799"/>
      <c r="V2304" s="799"/>
      <c r="W2304" s="799"/>
      <c r="X2304" s="799"/>
      <c r="Y2304" s="799"/>
      <c r="Z2304" s="799"/>
      <c r="AC2304" s="799"/>
      <c r="BW2304" s="799"/>
    </row>
    <row r="2305" spans="7:75" ht="14" x14ac:dyDescent="0.15">
      <c r="G2305" s="799"/>
      <c r="H2305" s="1355"/>
      <c r="L2305" s="799"/>
      <c r="M2305" s="799"/>
      <c r="N2305" s="799"/>
      <c r="Q2305" s="799"/>
      <c r="R2305" s="799"/>
      <c r="S2305" s="799"/>
      <c r="T2305" s="799"/>
      <c r="U2305" s="799"/>
      <c r="V2305" s="799"/>
      <c r="W2305" s="799"/>
      <c r="X2305" s="799"/>
      <c r="Y2305" s="799"/>
      <c r="Z2305" s="799"/>
      <c r="AC2305" s="799"/>
      <c r="BW2305" s="799"/>
    </row>
    <row r="2306" spans="7:75" ht="14" x14ac:dyDescent="0.15">
      <c r="G2306" s="799"/>
      <c r="H2306" s="1355"/>
      <c r="L2306" s="799"/>
      <c r="M2306" s="799"/>
      <c r="N2306" s="799"/>
      <c r="Q2306" s="799"/>
      <c r="R2306" s="799"/>
      <c r="S2306" s="799"/>
      <c r="T2306" s="799"/>
      <c r="U2306" s="799"/>
      <c r="V2306" s="799"/>
      <c r="W2306" s="799"/>
      <c r="X2306" s="799"/>
      <c r="Y2306" s="799"/>
      <c r="Z2306" s="799"/>
      <c r="AC2306" s="799"/>
      <c r="BW2306" s="799"/>
    </row>
    <row r="2307" spans="7:75" ht="14" x14ac:dyDescent="0.15">
      <c r="G2307" s="799"/>
      <c r="H2307" s="1355"/>
      <c r="L2307" s="799"/>
      <c r="M2307" s="799"/>
      <c r="N2307" s="799"/>
      <c r="Q2307" s="799"/>
      <c r="R2307" s="799"/>
      <c r="S2307" s="799"/>
      <c r="T2307" s="799"/>
      <c r="U2307" s="799"/>
      <c r="V2307" s="799"/>
      <c r="W2307" s="799"/>
      <c r="X2307" s="799"/>
      <c r="Y2307" s="799"/>
      <c r="Z2307" s="799"/>
      <c r="AC2307" s="799"/>
      <c r="BW2307" s="799"/>
    </row>
    <row r="2308" spans="7:75" ht="14" x14ac:dyDescent="0.15">
      <c r="G2308" s="799"/>
      <c r="H2308" s="1355"/>
      <c r="L2308" s="799"/>
      <c r="M2308" s="799"/>
      <c r="N2308" s="799"/>
      <c r="Q2308" s="799"/>
      <c r="R2308" s="799"/>
      <c r="S2308" s="799"/>
      <c r="T2308" s="799"/>
      <c r="U2308" s="799"/>
      <c r="V2308" s="799"/>
      <c r="W2308" s="799"/>
      <c r="X2308" s="799"/>
      <c r="Y2308" s="799"/>
      <c r="Z2308" s="799"/>
      <c r="AC2308" s="799"/>
      <c r="BW2308" s="799"/>
    </row>
    <row r="2309" spans="7:75" ht="14" x14ac:dyDescent="0.15">
      <c r="G2309" s="799"/>
      <c r="H2309" s="1355"/>
      <c r="L2309" s="799"/>
      <c r="M2309" s="799"/>
      <c r="N2309" s="799"/>
      <c r="Q2309" s="799"/>
      <c r="R2309" s="799"/>
      <c r="S2309" s="799"/>
      <c r="T2309" s="799"/>
      <c r="U2309" s="799"/>
      <c r="V2309" s="799"/>
      <c r="W2309" s="799"/>
      <c r="X2309" s="799"/>
      <c r="Y2309" s="799"/>
      <c r="Z2309" s="799"/>
      <c r="AC2309" s="799"/>
      <c r="BW2309" s="799"/>
    </row>
    <row r="2310" spans="7:75" ht="14" x14ac:dyDescent="0.15">
      <c r="G2310" s="799"/>
      <c r="H2310" s="1355"/>
      <c r="L2310" s="799"/>
      <c r="M2310" s="799"/>
      <c r="N2310" s="799"/>
      <c r="Q2310" s="799"/>
      <c r="R2310" s="799"/>
      <c r="S2310" s="799"/>
      <c r="T2310" s="799"/>
      <c r="U2310" s="799"/>
      <c r="V2310" s="799"/>
      <c r="W2310" s="799"/>
      <c r="X2310" s="799"/>
      <c r="Y2310" s="799"/>
      <c r="Z2310" s="799"/>
      <c r="AC2310" s="799"/>
      <c r="BW2310" s="799"/>
    </row>
    <row r="2311" spans="7:75" ht="14" x14ac:dyDescent="0.15">
      <c r="G2311" s="799"/>
      <c r="H2311" s="1355"/>
      <c r="L2311" s="799"/>
      <c r="M2311" s="799"/>
      <c r="N2311" s="799"/>
      <c r="Q2311" s="799"/>
      <c r="R2311" s="799"/>
      <c r="S2311" s="799"/>
      <c r="T2311" s="799"/>
      <c r="U2311" s="799"/>
      <c r="V2311" s="799"/>
      <c r="W2311" s="799"/>
      <c r="X2311" s="799"/>
      <c r="Y2311" s="799"/>
      <c r="Z2311" s="799"/>
      <c r="AC2311" s="799"/>
      <c r="BW2311" s="799"/>
    </row>
    <row r="2312" spans="7:75" ht="14" x14ac:dyDescent="0.15">
      <c r="G2312" s="799"/>
      <c r="H2312" s="1355"/>
      <c r="L2312" s="799"/>
      <c r="M2312" s="799"/>
      <c r="N2312" s="799"/>
      <c r="Q2312" s="799"/>
      <c r="R2312" s="799"/>
      <c r="S2312" s="799"/>
      <c r="T2312" s="799"/>
      <c r="U2312" s="799"/>
      <c r="V2312" s="799"/>
      <c r="W2312" s="799"/>
      <c r="X2312" s="799"/>
      <c r="Y2312" s="799"/>
      <c r="Z2312" s="799"/>
      <c r="AC2312" s="799"/>
      <c r="BW2312" s="799"/>
    </row>
    <row r="2313" spans="7:75" ht="14" x14ac:dyDescent="0.15">
      <c r="G2313" s="799"/>
      <c r="H2313" s="1355"/>
      <c r="L2313" s="799"/>
      <c r="M2313" s="799"/>
      <c r="N2313" s="799"/>
      <c r="Q2313" s="799"/>
      <c r="R2313" s="799"/>
      <c r="S2313" s="799"/>
      <c r="T2313" s="799"/>
      <c r="U2313" s="799"/>
      <c r="V2313" s="799"/>
      <c r="W2313" s="799"/>
      <c r="X2313" s="799"/>
      <c r="Y2313" s="799"/>
      <c r="Z2313" s="799"/>
      <c r="AC2313" s="799"/>
      <c r="BW2313" s="799"/>
    </row>
    <row r="2314" spans="7:75" ht="14" x14ac:dyDescent="0.15">
      <c r="G2314" s="799"/>
      <c r="H2314" s="1355"/>
      <c r="L2314" s="799"/>
      <c r="M2314" s="799"/>
      <c r="N2314" s="799"/>
      <c r="Q2314" s="799"/>
      <c r="R2314" s="799"/>
      <c r="S2314" s="799"/>
      <c r="T2314" s="799"/>
      <c r="U2314" s="799"/>
      <c r="V2314" s="799"/>
      <c r="W2314" s="799"/>
      <c r="X2314" s="799"/>
      <c r="Y2314" s="799"/>
      <c r="Z2314" s="799"/>
      <c r="AC2314" s="799"/>
      <c r="BW2314" s="799"/>
    </row>
    <row r="2315" spans="7:75" ht="14" x14ac:dyDescent="0.15">
      <c r="G2315" s="799"/>
      <c r="H2315" s="1355"/>
      <c r="L2315" s="799"/>
      <c r="M2315" s="799"/>
      <c r="N2315" s="799"/>
      <c r="Q2315" s="799"/>
      <c r="R2315" s="799"/>
      <c r="S2315" s="799"/>
      <c r="T2315" s="799"/>
      <c r="U2315" s="799"/>
      <c r="V2315" s="799"/>
      <c r="W2315" s="799"/>
      <c r="X2315" s="799"/>
      <c r="Y2315" s="799"/>
      <c r="Z2315" s="799"/>
      <c r="AC2315" s="799"/>
      <c r="BW2315" s="799"/>
    </row>
    <row r="2316" spans="7:75" ht="14" x14ac:dyDescent="0.15">
      <c r="G2316" s="799"/>
      <c r="H2316" s="1355"/>
      <c r="L2316" s="799"/>
      <c r="M2316" s="799"/>
      <c r="N2316" s="799"/>
      <c r="Q2316" s="799"/>
      <c r="R2316" s="799"/>
      <c r="S2316" s="799"/>
      <c r="T2316" s="799"/>
      <c r="U2316" s="799"/>
      <c r="V2316" s="799"/>
      <c r="W2316" s="799"/>
      <c r="X2316" s="799"/>
      <c r="Y2316" s="799"/>
      <c r="Z2316" s="799"/>
      <c r="AC2316" s="799"/>
      <c r="BW2316" s="799"/>
    </row>
    <row r="2317" spans="7:75" ht="14" x14ac:dyDescent="0.15">
      <c r="G2317" s="799"/>
      <c r="H2317" s="1355"/>
      <c r="L2317" s="799"/>
      <c r="M2317" s="799"/>
      <c r="N2317" s="799"/>
      <c r="Q2317" s="799"/>
      <c r="R2317" s="799"/>
      <c r="S2317" s="799"/>
      <c r="T2317" s="799"/>
      <c r="U2317" s="799"/>
      <c r="V2317" s="799"/>
      <c r="W2317" s="799"/>
      <c r="X2317" s="799"/>
      <c r="Y2317" s="799"/>
      <c r="Z2317" s="799"/>
      <c r="AC2317" s="799"/>
      <c r="BW2317" s="799"/>
    </row>
    <row r="2318" spans="7:75" ht="14" x14ac:dyDescent="0.15">
      <c r="G2318" s="799"/>
      <c r="H2318" s="1355"/>
      <c r="L2318" s="799"/>
      <c r="M2318" s="799"/>
      <c r="N2318" s="799"/>
      <c r="Q2318" s="799"/>
      <c r="R2318" s="799"/>
      <c r="S2318" s="799"/>
      <c r="T2318" s="799"/>
      <c r="U2318" s="799"/>
      <c r="V2318" s="799"/>
      <c r="W2318" s="799"/>
      <c r="X2318" s="799"/>
      <c r="Y2318" s="799"/>
      <c r="Z2318" s="799"/>
      <c r="AC2318" s="799"/>
      <c r="BW2318" s="799"/>
    </row>
    <row r="2319" spans="7:75" ht="14" x14ac:dyDescent="0.15">
      <c r="G2319" s="799"/>
      <c r="H2319" s="1355"/>
      <c r="L2319" s="799"/>
      <c r="M2319" s="799"/>
      <c r="N2319" s="799"/>
      <c r="Q2319" s="799"/>
      <c r="R2319" s="799"/>
      <c r="S2319" s="799"/>
      <c r="T2319" s="799"/>
      <c r="U2319" s="799"/>
      <c r="V2319" s="799"/>
      <c r="W2319" s="799"/>
      <c r="X2319" s="799"/>
      <c r="Y2319" s="799"/>
      <c r="Z2319" s="799"/>
      <c r="AC2319" s="799"/>
      <c r="BW2319" s="799"/>
    </row>
    <row r="2320" spans="7:75" ht="14" x14ac:dyDescent="0.15">
      <c r="G2320" s="799"/>
      <c r="H2320" s="1355"/>
      <c r="L2320" s="799"/>
      <c r="M2320" s="799"/>
      <c r="N2320" s="799"/>
      <c r="Q2320" s="799"/>
      <c r="R2320" s="799"/>
      <c r="S2320" s="799"/>
      <c r="T2320" s="799"/>
      <c r="U2320" s="799"/>
      <c r="V2320" s="799"/>
      <c r="W2320" s="799"/>
      <c r="X2320" s="799"/>
      <c r="Y2320" s="799"/>
      <c r="Z2320" s="799"/>
      <c r="AC2320" s="799"/>
      <c r="BW2320" s="799"/>
    </row>
    <row r="2321" spans="7:75" ht="14" x14ac:dyDescent="0.15">
      <c r="G2321" s="799"/>
      <c r="H2321" s="1355"/>
      <c r="L2321" s="799"/>
      <c r="M2321" s="799"/>
      <c r="N2321" s="799"/>
      <c r="Q2321" s="799"/>
      <c r="R2321" s="799"/>
      <c r="S2321" s="799"/>
      <c r="T2321" s="799"/>
      <c r="U2321" s="799"/>
      <c r="V2321" s="799"/>
      <c r="W2321" s="799"/>
      <c r="X2321" s="799"/>
      <c r="Y2321" s="799"/>
      <c r="Z2321" s="799"/>
      <c r="AC2321" s="799"/>
      <c r="BW2321" s="799"/>
    </row>
    <row r="2322" spans="7:75" ht="14" x14ac:dyDescent="0.15">
      <c r="G2322" s="799"/>
      <c r="H2322" s="1355"/>
      <c r="L2322" s="799"/>
      <c r="M2322" s="799"/>
      <c r="N2322" s="799"/>
      <c r="Q2322" s="799"/>
      <c r="R2322" s="799"/>
      <c r="S2322" s="799"/>
      <c r="T2322" s="799"/>
      <c r="U2322" s="799"/>
      <c r="V2322" s="799"/>
      <c r="W2322" s="799"/>
      <c r="X2322" s="799"/>
      <c r="Y2322" s="799"/>
      <c r="Z2322" s="799"/>
      <c r="AC2322" s="799"/>
      <c r="BW2322" s="799"/>
    </row>
    <row r="2323" spans="7:75" ht="14" x14ac:dyDescent="0.15">
      <c r="G2323" s="799"/>
      <c r="H2323" s="1355"/>
      <c r="L2323" s="799"/>
      <c r="M2323" s="799"/>
      <c r="N2323" s="799"/>
      <c r="Q2323" s="799"/>
      <c r="R2323" s="799"/>
      <c r="S2323" s="799"/>
      <c r="T2323" s="799"/>
      <c r="U2323" s="799"/>
      <c r="V2323" s="799"/>
      <c r="W2323" s="799"/>
      <c r="X2323" s="799"/>
      <c r="Y2323" s="799"/>
      <c r="Z2323" s="799"/>
      <c r="AC2323" s="799"/>
      <c r="BW2323" s="799"/>
    </row>
    <row r="2324" spans="7:75" ht="14" x14ac:dyDescent="0.15">
      <c r="G2324" s="799"/>
      <c r="H2324" s="1355"/>
      <c r="L2324" s="799"/>
      <c r="M2324" s="799"/>
      <c r="N2324" s="799"/>
      <c r="Q2324" s="799"/>
      <c r="R2324" s="799"/>
      <c r="S2324" s="799"/>
      <c r="T2324" s="799"/>
      <c r="U2324" s="799"/>
      <c r="V2324" s="799"/>
      <c r="W2324" s="799"/>
      <c r="X2324" s="799"/>
      <c r="Y2324" s="799"/>
      <c r="Z2324" s="799"/>
      <c r="AC2324" s="799"/>
      <c r="BW2324" s="799"/>
    </row>
    <row r="2325" spans="7:75" ht="14" x14ac:dyDescent="0.15">
      <c r="G2325" s="799"/>
      <c r="H2325" s="1355"/>
      <c r="L2325" s="799"/>
      <c r="M2325" s="799"/>
      <c r="N2325" s="799"/>
      <c r="Q2325" s="799"/>
      <c r="R2325" s="799"/>
      <c r="S2325" s="799"/>
      <c r="T2325" s="799"/>
      <c r="U2325" s="799"/>
      <c r="V2325" s="799"/>
      <c r="W2325" s="799"/>
      <c r="X2325" s="799"/>
      <c r="Y2325" s="799"/>
      <c r="Z2325" s="799"/>
      <c r="AC2325" s="799"/>
      <c r="BW2325" s="799"/>
    </row>
    <row r="2326" spans="7:75" ht="14" x14ac:dyDescent="0.15">
      <c r="G2326" s="799"/>
      <c r="H2326" s="1355"/>
      <c r="L2326" s="799"/>
      <c r="M2326" s="799"/>
      <c r="N2326" s="799"/>
      <c r="Q2326" s="799"/>
      <c r="R2326" s="799"/>
      <c r="S2326" s="799"/>
      <c r="T2326" s="799"/>
      <c r="U2326" s="799"/>
      <c r="V2326" s="799"/>
      <c r="W2326" s="799"/>
      <c r="X2326" s="799"/>
      <c r="Y2326" s="799"/>
      <c r="Z2326" s="799"/>
      <c r="AC2326" s="799"/>
      <c r="BW2326" s="799"/>
    </row>
    <row r="2327" spans="7:75" ht="14" x14ac:dyDescent="0.15">
      <c r="G2327" s="799"/>
      <c r="H2327" s="1355"/>
      <c r="L2327" s="799"/>
      <c r="M2327" s="799"/>
      <c r="N2327" s="799"/>
      <c r="Q2327" s="799"/>
      <c r="R2327" s="799"/>
      <c r="S2327" s="799"/>
      <c r="T2327" s="799"/>
      <c r="U2327" s="799"/>
      <c r="V2327" s="799"/>
      <c r="W2327" s="799"/>
      <c r="X2327" s="799"/>
      <c r="Y2327" s="799"/>
      <c r="Z2327" s="799"/>
      <c r="AC2327" s="799"/>
      <c r="BW2327" s="799"/>
    </row>
    <row r="2328" spans="7:75" ht="14" x14ac:dyDescent="0.15">
      <c r="G2328" s="799"/>
      <c r="H2328" s="1355"/>
      <c r="L2328" s="799"/>
      <c r="M2328" s="799"/>
      <c r="N2328" s="799"/>
      <c r="Q2328" s="799"/>
      <c r="R2328" s="799"/>
      <c r="S2328" s="799"/>
      <c r="T2328" s="799"/>
      <c r="U2328" s="799"/>
      <c r="V2328" s="799"/>
      <c r="W2328" s="799"/>
      <c r="X2328" s="799"/>
      <c r="Y2328" s="799"/>
      <c r="Z2328" s="799"/>
      <c r="AC2328" s="799"/>
      <c r="BW2328" s="799"/>
    </row>
    <row r="2329" spans="7:75" ht="14" x14ac:dyDescent="0.15">
      <c r="G2329" s="799"/>
      <c r="H2329" s="1355"/>
      <c r="L2329" s="799"/>
      <c r="M2329" s="799"/>
      <c r="N2329" s="799"/>
      <c r="Q2329" s="799"/>
      <c r="R2329" s="799"/>
      <c r="S2329" s="799"/>
      <c r="T2329" s="799"/>
      <c r="U2329" s="799"/>
      <c r="V2329" s="799"/>
      <c r="W2329" s="799"/>
      <c r="X2329" s="799"/>
      <c r="Y2329" s="799"/>
      <c r="Z2329" s="799"/>
      <c r="AC2329" s="799"/>
      <c r="BW2329" s="799"/>
    </row>
    <row r="2330" spans="7:75" ht="14" x14ac:dyDescent="0.15">
      <c r="G2330" s="799"/>
      <c r="H2330" s="1355"/>
      <c r="L2330" s="799"/>
      <c r="M2330" s="799"/>
      <c r="N2330" s="799"/>
      <c r="Q2330" s="799"/>
      <c r="R2330" s="799"/>
      <c r="S2330" s="799"/>
      <c r="T2330" s="799"/>
      <c r="U2330" s="799"/>
      <c r="V2330" s="799"/>
      <c r="W2330" s="799"/>
      <c r="X2330" s="799"/>
      <c r="Y2330" s="799"/>
      <c r="Z2330" s="799"/>
      <c r="AC2330" s="799"/>
      <c r="BW2330" s="799"/>
    </row>
    <row r="2331" spans="7:75" ht="14" x14ac:dyDescent="0.15">
      <c r="G2331" s="799"/>
      <c r="H2331" s="1355"/>
      <c r="L2331" s="799"/>
      <c r="M2331" s="799"/>
      <c r="N2331" s="799"/>
      <c r="Q2331" s="799"/>
      <c r="R2331" s="799"/>
      <c r="S2331" s="799"/>
      <c r="T2331" s="799"/>
      <c r="U2331" s="799"/>
      <c r="V2331" s="799"/>
      <c r="W2331" s="799"/>
      <c r="X2331" s="799"/>
      <c r="Y2331" s="799"/>
      <c r="Z2331" s="799"/>
      <c r="AC2331" s="799"/>
      <c r="BW2331" s="799"/>
    </row>
    <row r="2332" spans="7:75" ht="14" x14ac:dyDescent="0.15">
      <c r="G2332" s="799"/>
      <c r="H2332" s="1355"/>
      <c r="L2332" s="799"/>
      <c r="M2332" s="799"/>
      <c r="N2332" s="799"/>
      <c r="Q2332" s="799"/>
      <c r="R2332" s="799"/>
      <c r="S2332" s="799"/>
      <c r="T2332" s="799"/>
      <c r="U2332" s="799"/>
      <c r="V2332" s="799"/>
      <c r="W2332" s="799"/>
      <c r="X2332" s="799"/>
      <c r="Y2332" s="799"/>
      <c r="Z2332" s="799"/>
      <c r="AC2332" s="799"/>
      <c r="BW2332" s="799"/>
    </row>
    <row r="2333" spans="7:75" ht="14" x14ac:dyDescent="0.15">
      <c r="G2333" s="799"/>
      <c r="H2333" s="1355"/>
      <c r="L2333" s="799"/>
      <c r="M2333" s="799"/>
      <c r="N2333" s="799"/>
      <c r="Q2333" s="799"/>
      <c r="R2333" s="799"/>
      <c r="S2333" s="799"/>
      <c r="T2333" s="799"/>
      <c r="U2333" s="799"/>
      <c r="V2333" s="799"/>
      <c r="W2333" s="799"/>
      <c r="X2333" s="799"/>
      <c r="Y2333" s="799"/>
      <c r="Z2333" s="799"/>
      <c r="AC2333" s="799"/>
      <c r="BW2333" s="799"/>
    </row>
    <row r="2334" spans="7:75" ht="14" x14ac:dyDescent="0.15">
      <c r="G2334" s="799"/>
      <c r="H2334" s="1355"/>
      <c r="L2334" s="799"/>
      <c r="M2334" s="799"/>
      <c r="N2334" s="799"/>
      <c r="Q2334" s="799"/>
      <c r="R2334" s="799"/>
      <c r="S2334" s="799"/>
      <c r="T2334" s="799"/>
      <c r="U2334" s="799"/>
      <c r="V2334" s="799"/>
      <c r="W2334" s="799"/>
      <c r="X2334" s="799"/>
      <c r="Y2334" s="799"/>
      <c r="Z2334" s="799"/>
      <c r="AC2334" s="799"/>
      <c r="BW2334" s="799"/>
    </row>
    <row r="2335" spans="7:75" ht="14" x14ac:dyDescent="0.15">
      <c r="G2335" s="799"/>
      <c r="H2335" s="1355"/>
      <c r="L2335" s="799"/>
      <c r="M2335" s="799"/>
      <c r="N2335" s="799"/>
      <c r="Q2335" s="799"/>
      <c r="R2335" s="799"/>
      <c r="S2335" s="799"/>
      <c r="T2335" s="799"/>
      <c r="U2335" s="799"/>
      <c r="V2335" s="799"/>
      <c r="W2335" s="799"/>
      <c r="X2335" s="799"/>
      <c r="Y2335" s="799"/>
      <c r="Z2335" s="799"/>
      <c r="AC2335" s="799"/>
      <c r="BW2335" s="799"/>
    </row>
    <row r="2336" spans="7:75" ht="14" x14ac:dyDescent="0.15">
      <c r="G2336" s="799"/>
      <c r="H2336" s="1355"/>
      <c r="L2336" s="799"/>
      <c r="M2336" s="799"/>
      <c r="N2336" s="799"/>
      <c r="Q2336" s="799"/>
      <c r="R2336" s="799"/>
      <c r="S2336" s="799"/>
      <c r="T2336" s="799"/>
      <c r="U2336" s="799"/>
      <c r="V2336" s="799"/>
      <c r="W2336" s="799"/>
      <c r="X2336" s="799"/>
      <c r="Y2336" s="799"/>
      <c r="Z2336" s="799"/>
      <c r="AC2336" s="799"/>
      <c r="BW2336" s="799"/>
    </row>
    <row r="2337" spans="7:75" ht="14" x14ac:dyDescent="0.15">
      <c r="G2337" s="799"/>
      <c r="H2337" s="1355"/>
      <c r="L2337" s="799"/>
      <c r="M2337" s="799"/>
      <c r="N2337" s="799"/>
      <c r="Q2337" s="799"/>
      <c r="R2337" s="799"/>
      <c r="S2337" s="799"/>
      <c r="T2337" s="799"/>
      <c r="U2337" s="799"/>
      <c r="V2337" s="799"/>
      <c r="W2337" s="799"/>
      <c r="X2337" s="799"/>
      <c r="Y2337" s="799"/>
      <c r="Z2337" s="799"/>
      <c r="AC2337" s="799"/>
      <c r="BW2337" s="799"/>
    </row>
    <row r="2338" spans="7:75" ht="14" x14ac:dyDescent="0.15">
      <c r="G2338" s="799"/>
      <c r="H2338" s="1355"/>
      <c r="L2338" s="799"/>
      <c r="M2338" s="799"/>
      <c r="N2338" s="799"/>
      <c r="Q2338" s="799"/>
      <c r="R2338" s="799"/>
      <c r="S2338" s="799"/>
      <c r="T2338" s="799"/>
      <c r="U2338" s="799"/>
      <c r="V2338" s="799"/>
      <c r="W2338" s="799"/>
      <c r="X2338" s="799"/>
      <c r="Y2338" s="799"/>
      <c r="Z2338" s="799"/>
      <c r="AC2338" s="799"/>
      <c r="BW2338" s="799"/>
    </row>
    <row r="2339" spans="7:75" ht="14" x14ac:dyDescent="0.15">
      <c r="G2339" s="799"/>
      <c r="H2339" s="1355"/>
      <c r="L2339" s="799"/>
      <c r="M2339" s="799"/>
      <c r="N2339" s="799"/>
      <c r="Q2339" s="799"/>
      <c r="R2339" s="799"/>
      <c r="S2339" s="799"/>
      <c r="T2339" s="799"/>
      <c r="U2339" s="799"/>
      <c r="V2339" s="799"/>
      <c r="W2339" s="799"/>
      <c r="X2339" s="799"/>
      <c r="Y2339" s="799"/>
      <c r="Z2339" s="799"/>
      <c r="AC2339" s="799"/>
      <c r="BW2339" s="799"/>
    </row>
    <row r="2340" spans="7:75" ht="14" x14ac:dyDescent="0.15">
      <c r="G2340" s="799"/>
      <c r="H2340" s="1355"/>
      <c r="L2340" s="799"/>
      <c r="M2340" s="799"/>
      <c r="N2340" s="799"/>
      <c r="Q2340" s="799"/>
      <c r="R2340" s="799"/>
      <c r="S2340" s="799"/>
      <c r="T2340" s="799"/>
      <c r="U2340" s="799"/>
      <c r="V2340" s="799"/>
      <c r="W2340" s="799"/>
      <c r="X2340" s="799"/>
      <c r="Y2340" s="799"/>
      <c r="Z2340" s="799"/>
      <c r="AC2340" s="799"/>
      <c r="BW2340" s="799"/>
    </row>
    <row r="2341" spans="7:75" ht="14" x14ac:dyDescent="0.15">
      <c r="G2341" s="799"/>
      <c r="H2341" s="1355"/>
      <c r="L2341" s="799"/>
      <c r="M2341" s="799"/>
      <c r="N2341" s="799"/>
      <c r="Q2341" s="799"/>
      <c r="R2341" s="799"/>
      <c r="S2341" s="799"/>
      <c r="T2341" s="799"/>
      <c r="U2341" s="799"/>
      <c r="V2341" s="799"/>
      <c r="W2341" s="799"/>
      <c r="X2341" s="799"/>
      <c r="Y2341" s="799"/>
      <c r="Z2341" s="799"/>
      <c r="AC2341" s="799"/>
      <c r="BW2341" s="799"/>
    </row>
    <row r="2342" spans="7:75" ht="14" x14ac:dyDescent="0.15">
      <c r="G2342" s="799"/>
      <c r="H2342" s="1355"/>
      <c r="L2342" s="799"/>
      <c r="M2342" s="799"/>
      <c r="N2342" s="799"/>
      <c r="Q2342" s="799"/>
      <c r="R2342" s="799"/>
      <c r="S2342" s="799"/>
      <c r="T2342" s="799"/>
      <c r="U2342" s="799"/>
      <c r="V2342" s="799"/>
      <c r="W2342" s="799"/>
      <c r="X2342" s="799"/>
      <c r="Y2342" s="799"/>
      <c r="Z2342" s="799"/>
      <c r="AC2342" s="799"/>
      <c r="BW2342" s="799"/>
    </row>
    <row r="2343" spans="7:75" ht="14" x14ac:dyDescent="0.15">
      <c r="G2343" s="799"/>
      <c r="H2343" s="1355"/>
      <c r="L2343" s="799"/>
      <c r="M2343" s="799"/>
      <c r="N2343" s="799"/>
      <c r="Q2343" s="799"/>
      <c r="R2343" s="799"/>
      <c r="S2343" s="799"/>
      <c r="T2343" s="799"/>
      <c r="U2343" s="799"/>
      <c r="V2343" s="799"/>
      <c r="W2343" s="799"/>
      <c r="X2343" s="799"/>
      <c r="Y2343" s="799"/>
      <c r="Z2343" s="799"/>
      <c r="AC2343" s="799"/>
      <c r="BW2343" s="799"/>
    </row>
    <row r="2344" spans="7:75" ht="14" x14ac:dyDescent="0.15">
      <c r="G2344" s="799"/>
      <c r="H2344" s="1355"/>
      <c r="L2344" s="799"/>
      <c r="M2344" s="799"/>
      <c r="N2344" s="799"/>
      <c r="Q2344" s="799"/>
      <c r="R2344" s="799"/>
      <c r="S2344" s="799"/>
      <c r="T2344" s="799"/>
      <c r="U2344" s="799"/>
      <c r="V2344" s="799"/>
      <c r="W2344" s="799"/>
      <c r="X2344" s="799"/>
      <c r="Y2344" s="799"/>
      <c r="Z2344" s="799"/>
      <c r="AC2344" s="799"/>
      <c r="BW2344" s="799"/>
    </row>
    <row r="2345" spans="7:75" ht="14" x14ac:dyDescent="0.15">
      <c r="G2345" s="799"/>
      <c r="H2345" s="1355"/>
      <c r="L2345" s="799"/>
      <c r="M2345" s="799"/>
      <c r="N2345" s="799"/>
      <c r="Q2345" s="799"/>
      <c r="R2345" s="799"/>
      <c r="S2345" s="799"/>
      <c r="T2345" s="799"/>
      <c r="U2345" s="799"/>
      <c r="V2345" s="799"/>
      <c r="W2345" s="799"/>
      <c r="X2345" s="799"/>
      <c r="Y2345" s="799"/>
      <c r="Z2345" s="799"/>
      <c r="AC2345" s="799"/>
      <c r="BW2345" s="799"/>
    </row>
    <row r="2346" spans="7:75" ht="14" x14ac:dyDescent="0.15">
      <c r="G2346" s="799"/>
      <c r="H2346" s="1355"/>
      <c r="L2346" s="799"/>
      <c r="M2346" s="799"/>
      <c r="N2346" s="799"/>
      <c r="Q2346" s="799"/>
      <c r="R2346" s="799"/>
      <c r="S2346" s="799"/>
      <c r="T2346" s="799"/>
      <c r="U2346" s="799"/>
      <c r="V2346" s="799"/>
      <c r="W2346" s="799"/>
      <c r="X2346" s="799"/>
      <c r="Y2346" s="799"/>
      <c r="Z2346" s="799"/>
      <c r="AC2346" s="799"/>
      <c r="BW2346" s="799"/>
    </row>
    <row r="2347" spans="7:75" ht="14" x14ac:dyDescent="0.15">
      <c r="G2347" s="799"/>
      <c r="H2347" s="1355"/>
      <c r="L2347" s="799"/>
      <c r="M2347" s="799"/>
      <c r="N2347" s="799"/>
      <c r="Q2347" s="799"/>
      <c r="R2347" s="799"/>
      <c r="S2347" s="799"/>
      <c r="T2347" s="799"/>
      <c r="U2347" s="799"/>
      <c r="V2347" s="799"/>
      <c r="W2347" s="799"/>
      <c r="X2347" s="799"/>
      <c r="Y2347" s="799"/>
      <c r="Z2347" s="799"/>
      <c r="AC2347" s="799"/>
      <c r="BW2347" s="799"/>
    </row>
    <row r="2348" spans="7:75" ht="14" x14ac:dyDescent="0.15">
      <c r="G2348" s="799"/>
      <c r="H2348" s="1355"/>
      <c r="L2348" s="799"/>
      <c r="M2348" s="799"/>
      <c r="N2348" s="799"/>
      <c r="Q2348" s="799"/>
      <c r="R2348" s="799"/>
      <c r="S2348" s="799"/>
      <c r="T2348" s="799"/>
      <c r="U2348" s="799"/>
      <c r="V2348" s="799"/>
      <c r="W2348" s="799"/>
      <c r="X2348" s="799"/>
      <c r="Y2348" s="799"/>
      <c r="Z2348" s="799"/>
      <c r="AC2348" s="799"/>
      <c r="BW2348" s="799"/>
    </row>
    <row r="2349" spans="7:75" ht="14" x14ac:dyDescent="0.15">
      <c r="G2349" s="799"/>
      <c r="H2349" s="1355"/>
      <c r="L2349" s="799"/>
      <c r="M2349" s="799"/>
      <c r="N2349" s="799"/>
      <c r="Q2349" s="799"/>
      <c r="R2349" s="799"/>
      <c r="S2349" s="799"/>
      <c r="T2349" s="799"/>
      <c r="U2349" s="799"/>
      <c r="V2349" s="799"/>
      <c r="W2349" s="799"/>
      <c r="X2349" s="799"/>
      <c r="Y2349" s="799"/>
      <c r="Z2349" s="799"/>
      <c r="AC2349" s="799"/>
      <c r="BW2349" s="799"/>
    </row>
    <row r="2350" spans="7:75" ht="14" x14ac:dyDescent="0.15">
      <c r="G2350" s="799"/>
      <c r="H2350" s="1355"/>
      <c r="L2350" s="799"/>
      <c r="M2350" s="799"/>
      <c r="N2350" s="799"/>
      <c r="Q2350" s="799"/>
      <c r="R2350" s="799"/>
      <c r="S2350" s="799"/>
      <c r="T2350" s="799"/>
      <c r="U2350" s="799"/>
      <c r="V2350" s="799"/>
      <c r="W2350" s="799"/>
      <c r="X2350" s="799"/>
      <c r="Y2350" s="799"/>
      <c r="Z2350" s="799"/>
      <c r="AC2350" s="799"/>
      <c r="BW2350" s="799"/>
    </row>
    <row r="2351" spans="7:75" ht="14" x14ac:dyDescent="0.15">
      <c r="G2351" s="799"/>
      <c r="H2351" s="1355"/>
      <c r="L2351" s="799"/>
      <c r="M2351" s="799"/>
      <c r="N2351" s="799"/>
      <c r="Q2351" s="799"/>
      <c r="R2351" s="799"/>
      <c r="S2351" s="799"/>
      <c r="T2351" s="799"/>
      <c r="U2351" s="799"/>
      <c r="V2351" s="799"/>
      <c r="W2351" s="799"/>
      <c r="X2351" s="799"/>
      <c r="Y2351" s="799"/>
      <c r="Z2351" s="799"/>
      <c r="AC2351" s="799"/>
      <c r="BW2351" s="799"/>
    </row>
    <row r="2352" spans="7:75" ht="14" x14ac:dyDescent="0.15">
      <c r="G2352" s="799"/>
      <c r="H2352" s="1355"/>
      <c r="L2352" s="799"/>
      <c r="M2352" s="799"/>
      <c r="N2352" s="799"/>
      <c r="Q2352" s="799"/>
      <c r="R2352" s="799"/>
      <c r="S2352" s="799"/>
      <c r="T2352" s="799"/>
      <c r="U2352" s="799"/>
      <c r="V2352" s="799"/>
      <c r="W2352" s="799"/>
      <c r="X2352" s="799"/>
      <c r="Y2352" s="799"/>
      <c r="Z2352" s="799"/>
      <c r="AC2352" s="799"/>
      <c r="BW2352" s="799"/>
    </row>
    <row r="2353" spans="7:75" ht="14" x14ac:dyDescent="0.15">
      <c r="G2353" s="799"/>
      <c r="H2353" s="1355"/>
      <c r="L2353" s="799"/>
      <c r="M2353" s="799"/>
      <c r="N2353" s="799"/>
      <c r="Q2353" s="799"/>
      <c r="R2353" s="799"/>
      <c r="S2353" s="799"/>
      <c r="T2353" s="799"/>
      <c r="U2353" s="799"/>
      <c r="V2353" s="799"/>
      <c r="W2353" s="799"/>
      <c r="X2353" s="799"/>
      <c r="Y2353" s="799"/>
      <c r="Z2353" s="799"/>
      <c r="AC2353" s="799"/>
      <c r="BW2353" s="799"/>
    </row>
    <row r="2354" spans="7:75" ht="14" x14ac:dyDescent="0.15">
      <c r="G2354" s="799"/>
      <c r="H2354" s="1355"/>
      <c r="L2354" s="799"/>
      <c r="M2354" s="799"/>
      <c r="N2354" s="799"/>
      <c r="Q2354" s="799"/>
      <c r="R2354" s="799"/>
      <c r="S2354" s="799"/>
      <c r="T2354" s="799"/>
      <c r="U2354" s="799"/>
      <c r="V2354" s="799"/>
      <c r="W2354" s="799"/>
      <c r="X2354" s="799"/>
      <c r="Y2354" s="799"/>
      <c r="Z2354" s="799"/>
      <c r="AC2354" s="799"/>
      <c r="BW2354" s="799"/>
    </row>
    <row r="2355" spans="7:75" ht="14" x14ac:dyDescent="0.15">
      <c r="G2355" s="799"/>
      <c r="H2355" s="1355"/>
      <c r="L2355" s="799"/>
      <c r="M2355" s="799"/>
      <c r="N2355" s="799"/>
      <c r="Q2355" s="799"/>
      <c r="R2355" s="799"/>
      <c r="S2355" s="799"/>
      <c r="T2355" s="799"/>
      <c r="U2355" s="799"/>
      <c r="V2355" s="799"/>
      <c r="W2355" s="799"/>
      <c r="X2355" s="799"/>
      <c r="Y2355" s="799"/>
      <c r="Z2355" s="799"/>
      <c r="AC2355" s="799"/>
      <c r="BW2355" s="799"/>
    </row>
    <row r="2356" spans="7:75" ht="14" x14ac:dyDescent="0.15">
      <c r="G2356" s="799"/>
      <c r="H2356" s="1355"/>
      <c r="L2356" s="799"/>
      <c r="M2356" s="799"/>
      <c r="N2356" s="799"/>
      <c r="Q2356" s="799"/>
      <c r="R2356" s="799"/>
      <c r="S2356" s="799"/>
      <c r="T2356" s="799"/>
      <c r="U2356" s="799"/>
      <c r="V2356" s="799"/>
      <c r="W2356" s="799"/>
      <c r="X2356" s="799"/>
      <c r="Y2356" s="799"/>
      <c r="Z2356" s="799"/>
      <c r="AC2356" s="799"/>
      <c r="BW2356" s="799"/>
    </row>
    <row r="2357" spans="7:75" ht="14" x14ac:dyDescent="0.15">
      <c r="G2357" s="799"/>
      <c r="H2357" s="1355"/>
      <c r="L2357" s="799"/>
      <c r="M2357" s="799"/>
      <c r="N2357" s="799"/>
      <c r="Q2357" s="799"/>
      <c r="R2357" s="799"/>
      <c r="S2357" s="799"/>
      <c r="T2357" s="799"/>
      <c r="U2357" s="799"/>
      <c r="V2357" s="799"/>
      <c r="W2357" s="799"/>
      <c r="X2357" s="799"/>
      <c r="Y2357" s="799"/>
      <c r="Z2357" s="799"/>
      <c r="AC2357" s="799"/>
      <c r="BW2357" s="799"/>
    </row>
    <row r="2358" spans="7:75" ht="14" x14ac:dyDescent="0.15">
      <c r="G2358" s="799"/>
      <c r="H2358" s="1355"/>
      <c r="L2358" s="799"/>
      <c r="M2358" s="799"/>
      <c r="N2358" s="799"/>
      <c r="Q2358" s="799"/>
      <c r="R2358" s="799"/>
      <c r="S2358" s="799"/>
      <c r="T2358" s="799"/>
      <c r="U2358" s="799"/>
      <c r="V2358" s="799"/>
      <c r="W2358" s="799"/>
      <c r="X2358" s="799"/>
      <c r="Y2358" s="799"/>
      <c r="Z2358" s="799"/>
      <c r="AC2358" s="799"/>
      <c r="BW2358" s="799"/>
    </row>
    <row r="2359" spans="7:75" ht="14" x14ac:dyDescent="0.15">
      <c r="G2359" s="799"/>
      <c r="H2359" s="1355"/>
      <c r="L2359" s="799"/>
      <c r="M2359" s="799"/>
      <c r="N2359" s="799"/>
      <c r="Q2359" s="799"/>
      <c r="R2359" s="799"/>
      <c r="S2359" s="799"/>
      <c r="T2359" s="799"/>
      <c r="U2359" s="799"/>
      <c r="V2359" s="799"/>
      <c r="W2359" s="799"/>
      <c r="X2359" s="799"/>
      <c r="Y2359" s="799"/>
      <c r="Z2359" s="799"/>
      <c r="AC2359" s="799"/>
      <c r="BW2359" s="799"/>
    </row>
    <row r="2360" spans="7:75" ht="14" x14ac:dyDescent="0.15">
      <c r="G2360" s="799"/>
      <c r="H2360" s="1355"/>
      <c r="L2360" s="799"/>
      <c r="M2360" s="799"/>
      <c r="N2360" s="799"/>
      <c r="Q2360" s="799"/>
      <c r="R2360" s="799"/>
      <c r="S2360" s="799"/>
      <c r="T2360" s="799"/>
      <c r="U2360" s="799"/>
      <c r="V2360" s="799"/>
      <c r="W2360" s="799"/>
      <c r="X2360" s="799"/>
      <c r="Y2360" s="799"/>
      <c r="Z2360" s="799"/>
      <c r="AC2360" s="799"/>
      <c r="BW2360" s="799"/>
    </row>
    <row r="2361" spans="7:75" ht="14" x14ac:dyDescent="0.15">
      <c r="G2361" s="799"/>
      <c r="H2361" s="1355"/>
      <c r="L2361" s="799"/>
      <c r="M2361" s="799"/>
      <c r="N2361" s="799"/>
      <c r="Q2361" s="799"/>
      <c r="R2361" s="799"/>
      <c r="S2361" s="799"/>
      <c r="T2361" s="799"/>
      <c r="U2361" s="799"/>
      <c r="V2361" s="799"/>
      <c r="W2361" s="799"/>
      <c r="X2361" s="799"/>
      <c r="Y2361" s="799"/>
      <c r="Z2361" s="799"/>
      <c r="AC2361" s="799"/>
      <c r="BW2361" s="799"/>
    </row>
    <row r="2362" spans="7:75" ht="14" x14ac:dyDescent="0.15">
      <c r="G2362" s="799"/>
      <c r="H2362" s="1355"/>
      <c r="L2362" s="799"/>
      <c r="M2362" s="799"/>
      <c r="N2362" s="799"/>
      <c r="Q2362" s="799"/>
      <c r="R2362" s="799"/>
      <c r="S2362" s="799"/>
      <c r="T2362" s="799"/>
      <c r="U2362" s="799"/>
      <c r="V2362" s="799"/>
      <c r="W2362" s="799"/>
      <c r="X2362" s="799"/>
      <c r="Y2362" s="799"/>
      <c r="Z2362" s="799"/>
      <c r="AC2362" s="799"/>
      <c r="BW2362" s="799"/>
    </row>
    <row r="2363" spans="7:75" ht="14" x14ac:dyDescent="0.15">
      <c r="G2363" s="799"/>
      <c r="H2363" s="1355"/>
      <c r="L2363" s="799"/>
      <c r="M2363" s="799"/>
      <c r="N2363" s="799"/>
      <c r="Q2363" s="799"/>
      <c r="R2363" s="799"/>
      <c r="S2363" s="799"/>
      <c r="T2363" s="799"/>
      <c r="U2363" s="799"/>
      <c r="V2363" s="799"/>
      <c r="W2363" s="799"/>
      <c r="X2363" s="799"/>
      <c r="Y2363" s="799"/>
      <c r="Z2363" s="799"/>
      <c r="AC2363" s="799"/>
      <c r="BW2363" s="799"/>
    </row>
    <row r="2364" spans="7:75" ht="14" x14ac:dyDescent="0.15">
      <c r="G2364" s="799"/>
      <c r="H2364" s="1355"/>
      <c r="L2364" s="799"/>
      <c r="M2364" s="799"/>
      <c r="N2364" s="799"/>
      <c r="Q2364" s="799"/>
      <c r="R2364" s="799"/>
      <c r="S2364" s="799"/>
      <c r="T2364" s="799"/>
      <c r="U2364" s="799"/>
      <c r="V2364" s="799"/>
      <c r="W2364" s="799"/>
      <c r="X2364" s="799"/>
      <c r="Y2364" s="799"/>
      <c r="Z2364" s="799"/>
      <c r="AC2364" s="799"/>
      <c r="BW2364" s="799"/>
    </row>
    <row r="2365" spans="7:75" ht="14" x14ac:dyDescent="0.15">
      <c r="G2365" s="799"/>
      <c r="H2365" s="1355"/>
      <c r="L2365" s="799"/>
      <c r="M2365" s="799"/>
      <c r="N2365" s="799"/>
      <c r="Q2365" s="799"/>
      <c r="R2365" s="799"/>
      <c r="S2365" s="799"/>
      <c r="T2365" s="799"/>
      <c r="U2365" s="799"/>
      <c r="V2365" s="799"/>
      <c r="W2365" s="799"/>
      <c r="X2365" s="799"/>
      <c r="Y2365" s="799"/>
      <c r="Z2365" s="799"/>
      <c r="AC2365" s="799"/>
      <c r="BW2365" s="799"/>
    </row>
    <row r="2366" spans="7:75" ht="14" x14ac:dyDescent="0.15">
      <c r="G2366" s="799"/>
      <c r="H2366" s="1355"/>
      <c r="L2366" s="799"/>
      <c r="M2366" s="799"/>
      <c r="N2366" s="799"/>
      <c r="Q2366" s="799"/>
      <c r="R2366" s="799"/>
      <c r="S2366" s="799"/>
      <c r="T2366" s="799"/>
      <c r="U2366" s="799"/>
      <c r="V2366" s="799"/>
      <c r="W2366" s="799"/>
      <c r="X2366" s="799"/>
      <c r="Y2366" s="799"/>
      <c r="Z2366" s="799"/>
      <c r="AC2366" s="799"/>
      <c r="BW2366" s="799"/>
    </row>
    <row r="2367" spans="7:75" ht="14" x14ac:dyDescent="0.15">
      <c r="G2367" s="799"/>
      <c r="H2367" s="1355"/>
      <c r="L2367" s="799"/>
      <c r="M2367" s="799"/>
      <c r="N2367" s="799"/>
      <c r="Q2367" s="799"/>
      <c r="R2367" s="799"/>
      <c r="S2367" s="799"/>
      <c r="T2367" s="799"/>
      <c r="U2367" s="799"/>
      <c r="V2367" s="799"/>
      <c r="W2367" s="799"/>
      <c r="X2367" s="799"/>
      <c r="Y2367" s="799"/>
      <c r="Z2367" s="799"/>
      <c r="AC2367" s="799"/>
      <c r="BW2367" s="799"/>
    </row>
    <row r="2368" spans="7:75" ht="14" x14ac:dyDescent="0.15">
      <c r="G2368" s="799"/>
      <c r="H2368" s="1355"/>
      <c r="L2368" s="799"/>
      <c r="M2368" s="799"/>
      <c r="N2368" s="799"/>
      <c r="Q2368" s="799"/>
      <c r="R2368" s="799"/>
      <c r="S2368" s="799"/>
      <c r="T2368" s="799"/>
      <c r="U2368" s="799"/>
      <c r="V2368" s="799"/>
      <c r="W2368" s="799"/>
      <c r="X2368" s="799"/>
      <c r="Y2368" s="799"/>
      <c r="Z2368" s="799"/>
      <c r="AC2368" s="799"/>
      <c r="BW2368" s="799"/>
    </row>
    <row r="2369" spans="7:75" ht="14" x14ac:dyDescent="0.15">
      <c r="G2369" s="799"/>
      <c r="H2369" s="1355"/>
      <c r="L2369" s="799"/>
      <c r="M2369" s="799"/>
      <c r="N2369" s="799"/>
      <c r="Q2369" s="799"/>
      <c r="R2369" s="799"/>
      <c r="S2369" s="799"/>
      <c r="T2369" s="799"/>
      <c r="U2369" s="799"/>
      <c r="V2369" s="799"/>
      <c r="W2369" s="799"/>
      <c r="X2369" s="799"/>
      <c r="Y2369" s="799"/>
      <c r="Z2369" s="799"/>
      <c r="AC2369" s="799"/>
      <c r="BW2369" s="799"/>
    </row>
    <row r="2370" spans="7:75" ht="14" x14ac:dyDescent="0.15">
      <c r="G2370" s="799"/>
      <c r="H2370" s="1355"/>
      <c r="L2370" s="799"/>
      <c r="M2370" s="799"/>
      <c r="N2370" s="799"/>
      <c r="Q2370" s="799"/>
      <c r="R2370" s="799"/>
      <c r="S2370" s="799"/>
      <c r="T2370" s="799"/>
      <c r="U2370" s="799"/>
      <c r="V2370" s="799"/>
      <c r="W2370" s="799"/>
      <c r="X2370" s="799"/>
      <c r="Y2370" s="799"/>
      <c r="Z2370" s="799"/>
      <c r="AC2370" s="799"/>
      <c r="BW2370" s="799"/>
    </row>
    <row r="2371" spans="7:75" ht="14" x14ac:dyDescent="0.15">
      <c r="G2371" s="799"/>
      <c r="H2371" s="1355"/>
      <c r="L2371" s="799"/>
      <c r="M2371" s="799"/>
      <c r="N2371" s="799"/>
      <c r="Q2371" s="799"/>
      <c r="R2371" s="799"/>
      <c r="S2371" s="799"/>
      <c r="T2371" s="799"/>
      <c r="U2371" s="799"/>
      <c r="V2371" s="799"/>
      <c r="W2371" s="799"/>
      <c r="X2371" s="799"/>
      <c r="Y2371" s="799"/>
      <c r="Z2371" s="799"/>
      <c r="AC2371" s="799"/>
      <c r="BW2371" s="799"/>
    </row>
    <row r="2372" spans="7:75" ht="14" x14ac:dyDescent="0.15">
      <c r="G2372" s="799"/>
      <c r="H2372" s="1355"/>
      <c r="L2372" s="799"/>
      <c r="M2372" s="799"/>
      <c r="N2372" s="799"/>
      <c r="Q2372" s="799"/>
      <c r="R2372" s="799"/>
      <c r="S2372" s="799"/>
      <c r="T2372" s="799"/>
      <c r="U2372" s="799"/>
      <c r="V2372" s="799"/>
      <c r="W2372" s="799"/>
      <c r="X2372" s="799"/>
      <c r="Y2372" s="799"/>
      <c r="Z2372" s="799"/>
      <c r="AC2372" s="799"/>
      <c r="BW2372" s="799"/>
    </row>
    <row r="2373" spans="7:75" ht="14" x14ac:dyDescent="0.15">
      <c r="G2373" s="799"/>
      <c r="H2373" s="1355"/>
      <c r="L2373" s="799"/>
      <c r="M2373" s="799"/>
      <c r="N2373" s="799"/>
      <c r="Q2373" s="799"/>
      <c r="R2373" s="799"/>
      <c r="S2373" s="799"/>
      <c r="T2373" s="799"/>
      <c r="U2373" s="799"/>
      <c r="V2373" s="799"/>
      <c r="W2373" s="799"/>
      <c r="X2373" s="799"/>
      <c r="Y2373" s="799"/>
      <c r="Z2373" s="799"/>
      <c r="AC2373" s="799"/>
      <c r="BW2373" s="799"/>
    </row>
    <row r="2374" spans="7:75" ht="14" x14ac:dyDescent="0.15">
      <c r="G2374" s="799"/>
      <c r="H2374" s="1355"/>
      <c r="L2374" s="799"/>
      <c r="M2374" s="799"/>
      <c r="N2374" s="799"/>
      <c r="Q2374" s="799"/>
      <c r="R2374" s="799"/>
      <c r="S2374" s="799"/>
      <c r="T2374" s="799"/>
      <c r="U2374" s="799"/>
      <c r="V2374" s="799"/>
      <c r="W2374" s="799"/>
      <c r="X2374" s="799"/>
      <c r="Y2374" s="799"/>
      <c r="Z2374" s="799"/>
      <c r="AC2374" s="799"/>
      <c r="BW2374" s="799"/>
    </row>
    <row r="2375" spans="7:75" ht="14" x14ac:dyDescent="0.15">
      <c r="G2375" s="799"/>
      <c r="H2375" s="1355"/>
      <c r="L2375" s="799"/>
      <c r="M2375" s="799"/>
      <c r="N2375" s="799"/>
      <c r="Q2375" s="799"/>
      <c r="R2375" s="799"/>
      <c r="S2375" s="799"/>
      <c r="T2375" s="799"/>
      <c r="U2375" s="799"/>
      <c r="V2375" s="799"/>
      <c r="W2375" s="799"/>
      <c r="X2375" s="799"/>
      <c r="Y2375" s="799"/>
      <c r="Z2375" s="799"/>
      <c r="AC2375" s="799"/>
      <c r="BW2375" s="799"/>
    </row>
    <row r="2376" spans="7:75" ht="14" x14ac:dyDescent="0.15">
      <c r="G2376" s="799"/>
      <c r="H2376" s="1355"/>
      <c r="L2376" s="799"/>
      <c r="M2376" s="799"/>
      <c r="N2376" s="799"/>
      <c r="Q2376" s="799"/>
      <c r="R2376" s="799"/>
      <c r="S2376" s="799"/>
      <c r="T2376" s="799"/>
      <c r="U2376" s="799"/>
      <c r="V2376" s="799"/>
      <c r="W2376" s="799"/>
      <c r="X2376" s="799"/>
      <c r="Y2376" s="799"/>
      <c r="Z2376" s="799"/>
      <c r="AC2376" s="799"/>
      <c r="BW2376" s="799"/>
    </row>
    <row r="2377" spans="7:75" ht="14" x14ac:dyDescent="0.15">
      <c r="G2377" s="799"/>
      <c r="H2377" s="1355"/>
      <c r="L2377" s="799"/>
      <c r="M2377" s="799"/>
      <c r="N2377" s="799"/>
      <c r="Q2377" s="799"/>
      <c r="R2377" s="799"/>
      <c r="S2377" s="799"/>
      <c r="T2377" s="799"/>
      <c r="U2377" s="799"/>
      <c r="V2377" s="799"/>
      <c r="W2377" s="799"/>
      <c r="X2377" s="799"/>
      <c r="Y2377" s="799"/>
      <c r="Z2377" s="799"/>
      <c r="AC2377" s="799"/>
      <c r="BW2377" s="799"/>
    </row>
    <row r="2378" spans="7:75" ht="14" x14ac:dyDescent="0.15">
      <c r="G2378" s="799"/>
      <c r="H2378" s="1355"/>
      <c r="L2378" s="799"/>
      <c r="M2378" s="799"/>
      <c r="N2378" s="799"/>
      <c r="Q2378" s="799"/>
      <c r="R2378" s="799"/>
      <c r="S2378" s="799"/>
      <c r="T2378" s="799"/>
      <c r="U2378" s="799"/>
      <c r="V2378" s="799"/>
      <c r="W2378" s="799"/>
      <c r="X2378" s="799"/>
      <c r="Y2378" s="799"/>
      <c r="Z2378" s="799"/>
      <c r="AC2378" s="799"/>
      <c r="BW2378" s="799"/>
    </row>
    <row r="2379" spans="7:75" ht="14" x14ac:dyDescent="0.15">
      <c r="G2379" s="799"/>
      <c r="H2379" s="1355"/>
      <c r="L2379" s="799"/>
      <c r="M2379" s="799"/>
      <c r="N2379" s="799"/>
      <c r="Q2379" s="799"/>
      <c r="R2379" s="799"/>
      <c r="S2379" s="799"/>
      <c r="T2379" s="799"/>
      <c r="U2379" s="799"/>
      <c r="V2379" s="799"/>
      <c r="W2379" s="799"/>
      <c r="X2379" s="799"/>
      <c r="Y2379" s="799"/>
      <c r="Z2379" s="799"/>
      <c r="AC2379" s="799"/>
      <c r="BW2379" s="799"/>
    </row>
    <row r="2380" spans="7:75" ht="14" x14ac:dyDescent="0.15">
      <c r="G2380" s="799"/>
      <c r="H2380" s="1355"/>
      <c r="L2380" s="799"/>
      <c r="M2380" s="799"/>
      <c r="N2380" s="799"/>
      <c r="Q2380" s="799"/>
      <c r="R2380" s="799"/>
      <c r="S2380" s="799"/>
      <c r="T2380" s="799"/>
      <c r="U2380" s="799"/>
      <c r="V2380" s="799"/>
      <c r="W2380" s="799"/>
      <c r="X2380" s="799"/>
      <c r="Y2380" s="799"/>
      <c r="Z2380" s="799"/>
      <c r="AC2380" s="799"/>
      <c r="BW2380" s="799"/>
    </row>
    <row r="2381" spans="7:75" ht="14" x14ac:dyDescent="0.15">
      <c r="G2381" s="799"/>
      <c r="H2381" s="1355"/>
      <c r="L2381" s="799"/>
      <c r="M2381" s="799"/>
      <c r="N2381" s="799"/>
      <c r="Q2381" s="799"/>
      <c r="R2381" s="799"/>
      <c r="S2381" s="799"/>
      <c r="T2381" s="799"/>
      <c r="U2381" s="799"/>
      <c r="V2381" s="799"/>
      <c r="W2381" s="799"/>
      <c r="X2381" s="799"/>
      <c r="Y2381" s="799"/>
      <c r="Z2381" s="799"/>
      <c r="AC2381" s="799"/>
      <c r="BW2381" s="799"/>
    </row>
    <row r="2382" spans="7:75" ht="14" x14ac:dyDescent="0.15">
      <c r="G2382" s="799"/>
      <c r="H2382" s="1355"/>
      <c r="L2382" s="799"/>
      <c r="M2382" s="799"/>
      <c r="N2382" s="799"/>
      <c r="Q2382" s="799"/>
      <c r="R2382" s="799"/>
      <c r="S2382" s="799"/>
      <c r="T2382" s="799"/>
      <c r="U2382" s="799"/>
      <c r="V2382" s="799"/>
      <c r="W2382" s="799"/>
      <c r="X2382" s="799"/>
      <c r="Y2382" s="799"/>
      <c r="Z2382" s="799"/>
      <c r="AC2382" s="799"/>
      <c r="BW2382" s="799"/>
    </row>
    <row r="2383" spans="7:75" ht="14" x14ac:dyDescent="0.15">
      <c r="G2383" s="799"/>
      <c r="H2383" s="1355"/>
      <c r="L2383" s="799"/>
      <c r="M2383" s="799"/>
      <c r="N2383" s="799"/>
      <c r="Q2383" s="799"/>
      <c r="R2383" s="799"/>
      <c r="S2383" s="799"/>
      <c r="T2383" s="799"/>
      <c r="U2383" s="799"/>
      <c r="V2383" s="799"/>
      <c r="W2383" s="799"/>
      <c r="X2383" s="799"/>
      <c r="Y2383" s="799"/>
      <c r="Z2383" s="799"/>
      <c r="AC2383" s="799"/>
      <c r="BW2383" s="799"/>
    </row>
    <row r="2384" spans="7:75" ht="14" x14ac:dyDescent="0.15">
      <c r="G2384" s="799"/>
      <c r="H2384" s="1355"/>
      <c r="L2384" s="799"/>
      <c r="M2384" s="799"/>
      <c r="N2384" s="799"/>
      <c r="Q2384" s="799"/>
      <c r="R2384" s="799"/>
      <c r="S2384" s="799"/>
      <c r="T2384" s="799"/>
      <c r="U2384" s="799"/>
      <c r="V2384" s="799"/>
      <c r="W2384" s="799"/>
      <c r="X2384" s="799"/>
      <c r="Y2384" s="799"/>
      <c r="Z2384" s="799"/>
      <c r="AC2384" s="799"/>
      <c r="BW2384" s="799"/>
    </row>
    <row r="2385" spans="7:75" ht="14" x14ac:dyDescent="0.15">
      <c r="G2385" s="799"/>
      <c r="H2385" s="1355"/>
      <c r="L2385" s="799"/>
      <c r="M2385" s="799"/>
      <c r="N2385" s="799"/>
      <c r="Q2385" s="799"/>
      <c r="R2385" s="799"/>
      <c r="S2385" s="799"/>
      <c r="T2385" s="799"/>
      <c r="U2385" s="799"/>
      <c r="V2385" s="799"/>
      <c r="W2385" s="799"/>
      <c r="X2385" s="799"/>
      <c r="Y2385" s="799"/>
      <c r="Z2385" s="799"/>
      <c r="AC2385" s="799"/>
      <c r="BW2385" s="799"/>
    </row>
    <row r="2386" spans="7:75" ht="14" x14ac:dyDescent="0.15">
      <c r="G2386" s="799"/>
      <c r="H2386" s="1355"/>
      <c r="L2386" s="799"/>
      <c r="M2386" s="799"/>
      <c r="N2386" s="799"/>
      <c r="Q2386" s="799"/>
      <c r="R2386" s="799"/>
      <c r="S2386" s="799"/>
      <c r="T2386" s="799"/>
      <c r="U2386" s="799"/>
      <c r="V2386" s="799"/>
      <c r="W2386" s="799"/>
      <c r="X2386" s="799"/>
      <c r="Y2386" s="799"/>
      <c r="Z2386" s="799"/>
      <c r="AC2386" s="799"/>
      <c r="BW2386" s="799"/>
    </row>
    <row r="2387" spans="7:75" ht="14" x14ac:dyDescent="0.15">
      <c r="G2387" s="799"/>
      <c r="H2387" s="1355"/>
      <c r="L2387" s="799"/>
      <c r="M2387" s="799"/>
      <c r="N2387" s="799"/>
      <c r="Q2387" s="799"/>
      <c r="R2387" s="799"/>
      <c r="S2387" s="799"/>
      <c r="T2387" s="799"/>
      <c r="U2387" s="799"/>
      <c r="V2387" s="799"/>
      <c r="W2387" s="799"/>
      <c r="X2387" s="799"/>
      <c r="Y2387" s="799"/>
      <c r="Z2387" s="799"/>
      <c r="AC2387" s="799"/>
      <c r="BW2387" s="799"/>
    </row>
    <row r="2388" spans="7:75" ht="14" x14ac:dyDescent="0.15">
      <c r="G2388" s="799"/>
      <c r="H2388" s="1355"/>
      <c r="L2388" s="799"/>
      <c r="M2388" s="799"/>
      <c r="N2388" s="799"/>
      <c r="Q2388" s="799"/>
      <c r="R2388" s="799"/>
      <c r="S2388" s="799"/>
      <c r="T2388" s="799"/>
      <c r="U2388" s="799"/>
      <c r="V2388" s="799"/>
      <c r="W2388" s="799"/>
      <c r="X2388" s="799"/>
      <c r="Y2388" s="799"/>
      <c r="Z2388" s="799"/>
      <c r="AC2388" s="799"/>
      <c r="BW2388" s="799"/>
    </row>
    <row r="2389" spans="7:75" ht="14" x14ac:dyDescent="0.15">
      <c r="G2389" s="799"/>
      <c r="H2389" s="1355"/>
      <c r="L2389" s="799"/>
      <c r="M2389" s="799"/>
      <c r="N2389" s="799"/>
      <c r="Q2389" s="799"/>
      <c r="R2389" s="799"/>
      <c r="S2389" s="799"/>
      <c r="T2389" s="799"/>
      <c r="U2389" s="799"/>
      <c r="V2389" s="799"/>
      <c r="W2389" s="799"/>
      <c r="X2389" s="799"/>
      <c r="Y2389" s="799"/>
      <c r="Z2389" s="799"/>
      <c r="AC2389" s="799"/>
      <c r="BW2389" s="799"/>
    </row>
    <row r="2390" spans="7:75" ht="14" x14ac:dyDescent="0.15">
      <c r="G2390" s="799"/>
      <c r="H2390" s="1355"/>
      <c r="L2390" s="799"/>
      <c r="M2390" s="799"/>
      <c r="N2390" s="799"/>
      <c r="Q2390" s="799"/>
      <c r="R2390" s="799"/>
      <c r="S2390" s="799"/>
      <c r="T2390" s="799"/>
      <c r="U2390" s="799"/>
      <c r="V2390" s="799"/>
      <c r="W2390" s="799"/>
      <c r="X2390" s="799"/>
      <c r="Y2390" s="799"/>
      <c r="Z2390" s="799"/>
      <c r="AC2390" s="799"/>
      <c r="BW2390" s="799"/>
    </row>
    <row r="2391" spans="7:75" ht="14" x14ac:dyDescent="0.15">
      <c r="G2391" s="799"/>
      <c r="H2391" s="1355"/>
      <c r="L2391" s="799"/>
      <c r="M2391" s="799"/>
      <c r="N2391" s="799"/>
      <c r="Q2391" s="799"/>
      <c r="R2391" s="799"/>
      <c r="S2391" s="799"/>
      <c r="T2391" s="799"/>
      <c r="U2391" s="799"/>
      <c r="V2391" s="799"/>
      <c r="W2391" s="799"/>
      <c r="X2391" s="799"/>
      <c r="Y2391" s="799"/>
      <c r="Z2391" s="799"/>
      <c r="AC2391" s="799"/>
      <c r="BW2391" s="799"/>
    </row>
    <row r="2392" spans="7:75" ht="14" x14ac:dyDescent="0.15">
      <c r="G2392" s="799"/>
      <c r="H2392" s="1355"/>
      <c r="L2392" s="799"/>
      <c r="M2392" s="799"/>
      <c r="N2392" s="799"/>
      <c r="Q2392" s="799"/>
      <c r="R2392" s="799"/>
      <c r="S2392" s="799"/>
      <c r="T2392" s="799"/>
      <c r="U2392" s="799"/>
      <c r="V2392" s="799"/>
      <c r="W2392" s="799"/>
      <c r="X2392" s="799"/>
      <c r="Y2392" s="799"/>
      <c r="Z2392" s="799"/>
      <c r="AC2392" s="799"/>
      <c r="BW2392" s="799"/>
    </row>
    <row r="2393" spans="7:75" ht="14" x14ac:dyDescent="0.15">
      <c r="G2393" s="799"/>
      <c r="H2393" s="1355"/>
      <c r="L2393" s="799"/>
      <c r="M2393" s="799"/>
      <c r="N2393" s="799"/>
      <c r="Q2393" s="799"/>
      <c r="R2393" s="799"/>
      <c r="S2393" s="799"/>
      <c r="T2393" s="799"/>
      <c r="U2393" s="799"/>
      <c r="V2393" s="799"/>
      <c r="W2393" s="799"/>
      <c r="X2393" s="799"/>
      <c r="Y2393" s="799"/>
      <c r="Z2393" s="799"/>
      <c r="AC2393" s="799"/>
      <c r="BW2393" s="799"/>
    </row>
    <row r="2394" spans="7:75" ht="14" x14ac:dyDescent="0.15">
      <c r="G2394" s="799"/>
      <c r="H2394" s="1355"/>
      <c r="L2394" s="799"/>
      <c r="M2394" s="799"/>
      <c r="N2394" s="799"/>
      <c r="Q2394" s="799"/>
      <c r="R2394" s="799"/>
      <c r="S2394" s="799"/>
      <c r="T2394" s="799"/>
      <c r="U2394" s="799"/>
      <c r="V2394" s="799"/>
      <c r="W2394" s="799"/>
      <c r="X2394" s="799"/>
      <c r="Y2394" s="799"/>
      <c r="Z2394" s="799"/>
      <c r="AC2394" s="799"/>
      <c r="BW2394" s="799"/>
    </row>
    <row r="2395" spans="7:75" ht="14" x14ac:dyDescent="0.15">
      <c r="G2395" s="799"/>
      <c r="H2395" s="1355"/>
      <c r="L2395" s="799"/>
      <c r="M2395" s="799"/>
      <c r="N2395" s="799"/>
      <c r="Q2395" s="799"/>
      <c r="R2395" s="799"/>
      <c r="S2395" s="799"/>
      <c r="T2395" s="799"/>
      <c r="U2395" s="799"/>
      <c r="V2395" s="799"/>
      <c r="W2395" s="799"/>
      <c r="X2395" s="799"/>
      <c r="Y2395" s="799"/>
      <c r="Z2395" s="799"/>
      <c r="AC2395" s="799"/>
      <c r="BW2395" s="799"/>
    </row>
    <row r="2396" spans="7:75" ht="14" x14ac:dyDescent="0.15">
      <c r="G2396" s="799"/>
      <c r="H2396" s="1355"/>
      <c r="L2396" s="799"/>
      <c r="M2396" s="799"/>
      <c r="N2396" s="799"/>
      <c r="Q2396" s="799"/>
      <c r="R2396" s="799"/>
      <c r="S2396" s="799"/>
      <c r="T2396" s="799"/>
      <c r="U2396" s="799"/>
      <c r="V2396" s="799"/>
      <c r="W2396" s="799"/>
      <c r="X2396" s="799"/>
      <c r="Y2396" s="799"/>
      <c r="Z2396" s="799"/>
      <c r="AC2396" s="799"/>
      <c r="BW2396" s="799"/>
    </row>
    <row r="2397" spans="7:75" ht="14" x14ac:dyDescent="0.15">
      <c r="G2397" s="799"/>
      <c r="H2397" s="1355"/>
      <c r="L2397" s="799"/>
      <c r="M2397" s="799"/>
      <c r="N2397" s="799"/>
      <c r="Q2397" s="799"/>
      <c r="R2397" s="799"/>
      <c r="S2397" s="799"/>
      <c r="T2397" s="799"/>
      <c r="U2397" s="799"/>
      <c r="V2397" s="799"/>
      <c r="W2397" s="799"/>
      <c r="X2397" s="799"/>
      <c r="Y2397" s="799"/>
      <c r="Z2397" s="799"/>
      <c r="AC2397" s="799"/>
      <c r="BW2397" s="799"/>
    </row>
    <row r="2398" spans="7:75" ht="14" x14ac:dyDescent="0.15">
      <c r="G2398" s="799"/>
      <c r="H2398" s="1355"/>
      <c r="L2398" s="799"/>
      <c r="M2398" s="799"/>
      <c r="N2398" s="799"/>
      <c r="Q2398" s="799"/>
      <c r="R2398" s="799"/>
      <c r="S2398" s="799"/>
      <c r="T2398" s="799"/>
      <c r="U2398" s="799"/>
      <c r="V2398" s="799"/>
      <c r="W2398" s="799"/>
      <c r="X2398" s="799"/>
      <c r="Y2398" s="799"/>
      <c r="Z2398" s="799"/>
      <c r="AC2398" s="799"/>
      <c r="BW2398" s="799"/>
    </row>
    <row r="2399" spans="7:75" ht="14" x14ac:dyDescent="0.15">
      <c r="G2399" s="799"/>
      <c r="H2399" s="1355"/>
      <c r="L2399" s="799"/>
      <c r="M2399" s="799"/>
      <c r="N2399" s="799"/>
      <c r="Q2399" s="799"/>
      <c r="R2399" s="799"/>
      <c r="S2399" s="799"/>
      <c r="T2399" s="799"/>
      <c r="U2399" s="799"/>
      <c r="V2399" s="799"/>
      <c r="W2399" s="799"/>
      <c r="X2399" s="799"/>
      <c r="Y2399" s="799"/>
      <c r="Z2399" s="799"/>
      <c r="AC2399" s="799"/>
      <c r="BW2399" s="799"/>
    </row>
    <row r="2400" spans="7:75" ht="14" x14ac:dyDescent="0.15">
      <c r="G2400" s="799"/>
      <c r="H2400" s="1355"/>
      <c r="L2400" s="799"/>
      <c r="M2400" s="799"/>
      <c r="N2400" s="799"/>
      <c r="Q2400" s="799"/>
      <c r="R2400" s="799"/>
      <c r="S2400" s="799"/>
      <c r="T2400" s="799"/>
      <c r="U2400" s="799"/>
      <c r="V2400" s="799"/>
      <c r="W2400" s="799"/>
      <c r="X2400" s="799"/>
      <c r="Y2400" s="799"/>
      <c r="Z2400" s="799"/>
      <c r="AC2400" s="799"/>
      <c r="BW2400" s="799"/>
    </row>
    <row r="2401" spans="7:75" ht="14" x14ac:dyDescent="0.15">
      <c r="G2401" s="799"/>
      <c r="H2401" s="1355"/>
      <c r="L2401" s="799"/>
      <c r="M2401" s="799"/>
      <c r="N2401" s="799"/>
      <c r="Q2401" s="799"/>
      <c r="R2401" s="799"/>
      <c r="S2401" s="799"/>
      <c r="T2401" s="799"/>
      <c r="U2401" s="799"/>
      <c r="V2401" s="799"/>
      <c r="W2401" s="799"/>
      <c r="X2401" s="799"/>
      <c r="Y2401" s="799"/>
      <c r="Z2401" s="799"/>
      <c r="AC2401" s="799"/>
      <c r="BW2401" s="799"/>
    </row>
    <row r="2402" spans="7:75" ht="14" x14ac:dyDescent="0.15">
      <c r="G2402" s="799"/>
      <c r="H2402" s="1355"/>
      <c r="L2402" s="799"/>
      <c r="M2402" s="799"/>
      <c r="N2402" s="799"/>
      <c r="Q2402" s="799"/>
      <c r="R2402" s="799"/>
      <c r="S2402" s="799"/>
      <c r="T2402" s="799"/>
      <c r="U2402" s="799"/>
      <c r="V2402" s="799"/>
      <c r="W2402" s="799"/>
      <c r="X2402" s="799"/>
      <c r="Y2402" s="799"/>
      <c r="Z2402" s="799"/>
      <c r="AC2402" s="799"/>
      <c r="BW2402" s="799"/>
    </row>
    <row r="2403" spans="7:75" ht="14" x14ac:dyDescent="0.15">
      <c r="G2403" s="799"/>
      <c r="H2403" s="1355"/>
      <c r="L2403" s="799"/>
      <c r="M2403" s="799"/>
      <c r="N2403" s="799"/>
      <c r="Q2403" s="799"/>
      <c r="R2403" s="799"/>
      <c r="S2403" s="799"/>
      <c r="T2403" s="799"/>
      <c r="U2403" s="799"/>
      <c r="V2403" s="799"/>
      <c r="W2403" s="799"/>
      <c r="X2403" s="799"/>
      <c r="Y2403" s="799"/>
      <c r="Z2403" s="799"/>
      <c r="AC2403" s="799"/>
      <c r="BW2403" s="799"/>
    </row>
    <row r="2404" spans="7:75" ht="14" x14ac:dyDescent="0.15">
      <c r="G2404" s="799"/>
      <c r="H2404" s="1355"/>
      <c r="L2404" s="799"/>
      <c r="M2404" s="799"/>
      <c r="N2404" s="799"/>
      <c r="Q2404" s="799"/>
      <c r="R2404" s="799"/>
      <c r="S2404" s="799"/>
      <c r="T2404" s="799"/>
      <c r="U2404" s="799"/>
      <c r="V2404" s="799"/>
      <c r="W2404" s="799"/>
      <c r="X2404" s="799"/>
      <c r="Y2404" s="799"/>
      <c r="Z2404" s="799"/>
      <c r="AC2404" s="799"/>
      <c r="BW2404" s="799"/>
    </row>
    <row r="2405" spans="7:75" ht="14" x14ac:dyDescent="0.15">
      <c r="G2405" s="799"/>
      <c r="H2405" s="1355"/>
      <c r="L2405" s="799"/>
      <c r="M2405" s="799"/>
      <c r="N2405" s="799"/>
      <c r="Q2405" s="799"/>
      <c r="R2405" s="799"/>
      <c r="S2405" s="799"/>
      <c r="T2405" s="799"/>
      <c r="U2405" s="799"/>
      <c r="V2405" s="799"/>
      <c r="W2405" s="799"/>
      <c r="X2405" s="799"/>
      <c r="Y2405" s="799"/>
      <c r="Z2405" s="799"/>
      <c r="AC2405" s="799"/>
      <c r="BW2405" s="799"/>
    </row>
    <row r="2406" spans="7:75" ht="14" x14ac:dyDescent="0.15">
      <c r="G2406" s="799"/>
      <c r="H2406" s="1355"/>
      <c r="L2406" s="799"/>
      <c r="M2406" s="799"/>
      <c r="N2406" s="799"/>
      <c r="Q2406" s="799"/>
      <c r="R2406" s="799"/>
      <c r="S2406" s="799"/>
      <c r="T2406" s="799"/>
      <c r="U2406" s="799"/>
      <c r="V2406" s="799"/>
      <c r="W2406" s="799"/>
      <c r="X2406" s="799"/>
      <c r="Y2406" s="799"/>
      <c r="Z2406" s="799"/>
      <c r="AC2406" s="799"/>
      <c r="BW2406" s="799"/>
    </row>
    <row r="2407" spans="7:75" ht="14" x14ac:dyDescent="0.15">
      <c r="G2407" s="799"/>
      <c r="H2407" s="1355"/>
      <c r="L2407" s="799"/>
      <c r="M2407" s="799"/>
      <c r="N2407" s="799"/>
      <c r="Q2407" s="799"/>
      <c r="R2407" s="799"/>
      <c r="S2407" s="799"/>
      <c r="T2407" s="799"/>
      <c r="U2407" s="799"/>
      <c r="V2407" s="799"/>
      <c r="W2407" s="799"/>
      <c r="X2407" s="799"/>
      <c r="Y2407" s="799"/>
      <c r="Z2407" s="799"/>
      <c r="AC2407" s="799"/>
      <c r="BW2407" s="799"/>
    </row>
    <row r="2408" spans="7:75" ht="14" x14ac:dyDescent="0.15">
      <c r="G2408" s="799"/>
      <c r="H2408" s="1355"/>
      <c r="L2408" s="799"/>
      <c r="M2408" s="799"/>
      <c r="N2408" s="799"/>
      <c r="Q2408" s="799"/>
      <c r="R2408" s="799"/>
      <c r="S2408" s="799"/>
      <c r="T2408" s="799"/>
      <c r="U2408" s="799"/>
      <c r="V2408" s="799"/>
      <c r="W2408" s="799"/>
      <c r="X2408" s="799"/>
      <c r="Y2408" s="799"/>
      <c r="Z2408" s="799"/>
      <c r="AC2408" s="799"/>
      <c r="BW2408" s="799"/>
    </row>
    <row r="2409" spans="7:75" ht="14" x14ac:dyDescent="0.15">
      <c r="G2409" s="799"/>
      <c r="H2409" s="1355"/>
      <c r="L2409" s="799"/>
      <c r="M2409" s="799"/>
      <c r="N2409" s="799"/>
      <c r="Q2409" s="799"/>
      <c r="R2409" s="799"/>
      <c r="S2409" s="799"/>
      <c r="T2409" s="799"/>
      <c r="U2409" s="799"/>
      <c r="V2409" s="799"/>
      <c r="W2409" s="799"/>
      <c r="X2409" s="799"/>
      <c r="Y2409" s="799"/>
      <c r="Z2409" s="799"/>
      <c r="AC2409" s="799"/>
      <c r="BW2409" s="799"/>
    </row>
    <row r="2410" spans="7:75" ht="14" x14ac:dyDescent="0.15">
      <c r="G2410" s="799"/>
      <c r="H2410" s="1355"/>
      <c r="L2410" s="799"/>
      <c r="M2410" s="799"/>
      <c r="N2410" s="799"/>
      <c r="Q2410" s="799"/>
      <c r="R2410" s="799"/>
      <c r="S2410" s="799"/>
      <c r="T2410" s="799"/>
      <c r="U2410" s="799"/>
      <c r="V2410" s="799"/>
      <c r="W2410" s="799"/>
      <c r="X2410" s="799"/>
      <c r="Y2410" s="799"/>
      <c r="Z2410" s="799"/>
      <c r="AC2410" s="799"/>
      <c r="BW2410" s="799"/>
    </row>
    <row r="2411" spans="7:75" ht="14" x14ac:dyDescent="0.15">
      <c r="G2411" s="799"/>
      <c r="H2411" s="1355"/>
      <c r="L2411" s="799"/>
      <c r="M2411" s="799"/>
      <c r="N2411" s="799"/>
      <c r="Q2411" s="799"/>
      <c r="R2411" s="799"/>
      <c r="S2411" s="799"/>
      <c r="T2411" s="799"/>
      <c r="U2411" s="799"/>
      <c r="V2411" s="799"/>
      <c r="W2411" s="799"/>
      <c r="X2411" s="799"/>
      <c r="Y2411" s="799"/>
      <c r="Z2411" s="799"/>
      <c r="AC2411" s="799"/>
      <c r="BW2411" s="799"/>
    </row>
    <row r="2412" spans="7:75" ht="14" x14ac:dyDescent="0.15">
      <c r="G2412" s="799"/>
      <c r="H2412" s="1355"/>
      <c r="L2412" s="799"/>
      <c r="M2412" s="799"/>
      <c r="N2412" s="799"/>
      <c r="Q2412" s="799"/>
      <c r="R2412" s="799"/>
      <c r="S2412" s="799"/>
      <c r="T2412" s="799"/>
      <c r="U2412" s="799"/>
      <c r="V2412" s="799"/>
      <c r="W2412" s="799"/>
      <c r="X2412" s="799"/>
      <c r="Y2412" s="799"/>
      <c r="Z2412" s="799"/>
      <c r="AC2412" s="799"/>
      <c r="BW2412" s="799"/>
    </row>
    <row r="2413" spans="7:75" ht="14" x14ac:dyDescent="0.15">
      <c r="G2413" s="799"/>
      <c r="H2413" s="1355"/>
      <c r="L2413" s="799"/>
      <c r="M2413" s="799"/>
      <c r="N2413" s="799"/>
      <c r="Q2413" s="799"/>
      <c r="R2413" s="799"/>
      <c r="S2413" s="799"/>
      <c r="T2413" s="799"/>
      <c r="U2413" s="799"/>
      <c r="V2413" s="799"/>
      <c r="W2413" s="799"/>
      <c r="X2413" s="799"/>
      <c r="Y2413" s="799"/>
      <c r="Z2413" s="799"/>
      <c r="AC2413" s="799"/>
      <c r="BW2413" s="799"/>
    </row>
    <row r="2414" spans="7:75" ht="14" x14ac:dyDescent="0.15">
      <c r="G2414" s="799"/>
      <c r="H2414" s="1355"/>
      <c r="L2414" s="799"/>
      <c r="M2414" s="799"/>
      <c r="N2414" s="799"/>
      <c r="Q2414" s="799"/>
      <c r="R2414" s="799"/>
      <c r="S2414" s="799"/>
      <c r="T2414" s="799"/>
      <c r="U2414" s="799"/>
      <c r="V2414" s="799"/>
      <c r="W2414" s="799"/>
      <c r="X2414" s="799"/>
      <c r="Y2414" s="799"/>
      <c r="Z2414" s="799"/>
      <c r="AC2414" s="799"/>
      <c r="BW2414" s="799"/>
    </row>
    <row r="2415" spans="7:75" ht="14" x14ac:dyDescent="0.15">
      <c r="G2415" s="799"/>
      <c r="H2415" s="1355"/>
      <c r="L2415" s="799"/>
      <c r="M2415" s="799"/>
      <c r="N2415" s="799"/>
      <c r="Q2415" s="799"/>
      <c r="R2415" s="799"/>
      <c r="S2415" s="799"/>
      <c r="T2415" s="799"/>
      <c r="U2415" s="799"/>
      <c r="V2415" s="799"/>
      <c r="W2415" s="799"/>
      <c r="X2415" s="799"/>
      <c r="Y2415" s="799"/>
      <c r="Z2415" s="799"/>
      <c r="AC2415" s="799"/>
      <c r="BW2415" s="799"/>
    </row>
    <row r="2416" spans="7:75" ht="14" x14ac:dyDescent="0.15">
      <c r="G2416" s="799"/>
      <c r="H2416" s="1355"/>
      <c r="L2416" s="799"/>
      <c r="M2416" s="799"/>
      <c r="N2416" s="799"/>
      <c r="Q2416" s="799"/>
      <c r="R2416" s="799"/>
      <c r="S2416" s="799"/>
      <c r="T2416" s="799"/>
      <c r="U2416" s="799"/>
      <c r="V2416" s="799"/>
      <c r="W2416" s="799"/>
      <c r="X2416" s="799"/>
      <c r="Y2416" s="799"/>
      <c r="Z2416" s="799"/>
      <c r="AC2416" s="799"/>
      <c r="BW2416" s="799"/>
    </row>
    <row r="2417" spans="7:75" ht="14" x14ac:dyDescent="0.15">
      <c r="G2417" s="799"/>
      <c r="H2417" s="1355"/>
      <c r="L2417" s="799"/>
      <c r="M2417" s="799"/>
      <c r="N2417" s="799"/>
      <c r="Q2417" s="799"/>
      <c r="R2417" s="799"/>
      <c r="S2417" s="799"/>
      <c r="T2417" s="799"/>
      <c r="U2417" s="799"/>
      <c r="V2417" s="799"/>
      <c r="W2417" s="799"/>
      <c r="X2417" s="799"/>
      <c r="Y2417" s="799"/>
      <c r="Z2417" s="799"/>
      <c r="AC2417" s="799"/>
      <c r="BW2417" s="799"/>
    </row>
    <row r="2418" spans="7:75" ht="14" x14ac:dyDescent="0.15">
      <c r="G2418" s="799"/>
      <c r="H2418" s="1355"/>
      <c r="L2418" s="799"/>
      <c r="M2418" s="799"/>
      <c r="N2418" s="799"/>
      <c r="Q2418" s="799"/>
      <c r="R2418" s="799"/>
      <c r="S2418" s="799"/>
      <c r="T2418" s="799"/>
      <c r="U2418" s="799"/>
      <c r="V2418" s="799"/>
      <c r="W2418" s="799"/>
      <c r="X2418" s="799"/>
      <c r="Y2418" s="799"/>
      <c r="Z2418" s="799"/>
      <c r="AC2418" s="799"/>
      <c r="BW2418" s="799"/>
    </row>
    <row r="2419" spans="7:75" ht="14" x14ac:dyDescent="0.15">
      <c r="G2419" s="799"/>
      <c r="H2419" s="1355"/>
      <c r="L2419" s="799"/>
      <c r="M2419" s="799"/>
      <c r="N2419" s="799"/>
      <c r="Q2419" s="799"/>
      <c r="R2419" s="799"/>
      <c r="S2419" s="799"/>
      <c r="T2419" s="799"/>
      <c r="U2419" s="799"/>
      <c r="V2419" s="799"/>
      <c r="W2419" s="799"/>
      <c r="X2419" s="799"/>
      <c r="Y2419" s="799"/>
      <c r="Z2419" s="799"/>
      <c r="AC2419" s="799"/>
      <c r="BW2419" s="799"/>
    </row>
    <row r="2420" spans="7:75" ht="14" x14ac:dyDescent="0.15">
      <c r="G2420" s="799"/>
      <c r="H2420" s="1355"/>
      <c r="L2420" s="799"/>
      <c r="M2420" s="799"/>
      <c r="N2420" s="799"/>
      <c r="Q2420" s="799"/>
      <c r="R2420" s="799"/>
      <c r="S2420" s="799"/>
      <c r="T2420" s="799"/>
      <c r="U2420" s="799"/>
      <c r="V2420" s="799"/>
      <c r="W2420" s="799"/>
      <c r="X2420" s="799"/>
      <c r="Y2420" s="799"/>
      <c r="Z2420" s="799"/>
      <c r="AC2420" s="799"/>
      <c r="BW2420" s="799"/>
    </row>
    <row r="2421" spans="7:75" ht="14" x14ac:dyDescent="0.15">
      <c r="G2421" s="799"/>
      <c r="H2421" s="1355"/>
      <c r="L2421" s="799"/>
      <c r="M2421" s="799"/>
      <c r="N2421" s="799"/>
      <c r="Q2421" s="799"/>
      <c r="R2421" s="799"/>
      <c r="S2421" s="799"/>
      <c r="T2421" s="799"/>
      <c r="U2421" s="799"/>
      <c r="V2421" s="799"/>
      <c r="W2421" s="799"/>
      <c r="X2421" s="799"/>
      <c r="Y2421" s="799"/>
      <c r="Z2421" s="799"/>
      <c r="AC2421" s="799"/>
      <c r="BW2421" s="799"/>
    </row>
    <row r="2422" spans="7:75" ht="14" x14ac:dyDescent="0.15">
      <c r="G2422" s="799"/>
      <c r="H2422" s="1355"/>
      <c r="L2422" s="799"/>
      <c r="M2422" s="799"/>
      <c r="N2422" s="799"/>
      <c r="Q2422" s="799"/>
      <c r="R2422" s="799"/>
      <c r="S2422" s="799"/>
      <c r="T2422" s="799"/>
      <c r="U2422" s="799"/>
      <c r="V2422" s="799"/>
      <c r="W2422" s="799"/>
      <c r="X2422" s="799"/>
      <c r="Y2422" s="799"/>
      <c r="Z2422" s="799"/>
      <c r="AC2422" s="799"/>
      <c r="BW2422" s="799"/>
    </row>
    <row r="2423" spans="7:75" ht="14" x14ac:dyDescent="0.15">
      <c r="G2423" s="799"/>
      <c r="H2423" s="1355"/>
      <c r="L2423" s="799"/>
      <c r="M2423" s="799"/>
      <c r="N2423" s="799"/>
      <c r="Q2423" s="799"/>
      <c r="R2423" s="799"/>
      <c r="S2423" s="799"/>
      <c r="T2423" s="799"/>
      <c r="U2423" s="799"/>
      <c r="V2423" s="799"/>
      <c r="W2423" s="799"/>
      <c r="X2423" s="799"/>
      <c r="Y2423" s="799"/>
      <c r="Z2423" s="799"/>
      <c r="AC2423" s="799"/>
      <c r="BW2423" s="799"/>
    </row>
    <row r="2424" spans="7:75" ht="14" x14ac:dyDescent="0.15">
      <c r="G2424" s="799"/>
      <c r="H2424" s="1355"/>
      <c r="L2424" s="799"/>
      <c r="M2424" s="799"/>
      <c r="N2424" s="799"/>
      <c r="Q2424" s="799"/>
      <c r="R2424" s="799"/>
      <c r="S2424" s="799"/>
      <c r="T2424" s="799"/>
      <c r="U2424" s="799"/>
      <c r="V2424" s="799"/>
      <c r="W2424" s="799"/>
      <c r="X2424" s="799"/>
      <c r="Y2424" s="799"/>
      <c r="Z2424" s="799"/>
      <c r="AC2424" s="799"/>
      <c r="BW2424" s="799"/>
    </row>
    <row r="2425" spans="7:75" ht="14" x14ac:dyDescent="0.15">
      <c r="G2425" s="799"/>
      <c r="H2425" s="1355"/>
      <c r="L2425" s="799"/>
      <c r="M2425" s="799"/>
      <c r="N2425" s="799"/>
      <c r="Q2425" s="799"/>
      <c r="R2425" s="799"/>
      <c r="S2425" s="799"/>
      <c r="T2425" s="799"/>
      <c r="U2425" s="799"/>
      <c r="V2425" s="799"/>
      <c r="W2425" s="799"/>
      <c r="X2425" s="799"/>
      <c r="Y2425" s="799"/>
      <c r="Z2425" s="799"/>
      <c r="AC2425" s="799"/>
      <c r="BW2425" s="799"/>
    </row>
    <row r="2426" spans="7:75" ht="14" x14ac:dyDescent="0.15">
      <c r="G2426" s="799"/>
      <c r="H2426" s="1355"/>
      <c r="L2426" s="799"/>
      <c r="M2426" s="799"/>
      <c r="N2426" s="799"/>
      <c r="Q2426" s="799"/>
      <c r="R2426" s="799"/>
      <c r="S2426" s="799"/>
      <c r="T2426" s="799"/>
      <c r="U2426" s="799"/>
      <c r="V2426" s="799"/>
      <c r="W2426" s="799"/>
      <c r="X2426" s="799"/>
      <c r="Y2426" s="799"/>
      <c r="Z2426" s="799"/>
      <c r="AC2426" s="799"/>
      <c r="BW2426" s="799"/>
    </row>
    <row r="2427" spans="7:75" ht="14" x14ac:dyDescent="0.15">
      <c r="G2427" s="799"/>
      <c r="H2427" s="1355"/>
      <c r="L2427" s="799"/>
      <c r="M2427" s="799"/>
      <c r="N2427" s="799"/>
      <c r="Q2427" s="799"/>
      <c r="R2427" s="799"/>
      <c r="S2427" s="799"/>
      <c r="T2427" s="799"/>
      <c r="U2427" s="799"/>
      <c r="V2427" s="799"/>
      <c r="W2427" s="799"/>
      <c r="X2427" s="799"/>
      <c r="Y2427" s="799"/>
      <c r="Z2427" s="799"/>
      <c r="AC2427" s="799"/>
      <c r="BW2427" s="799"/>
    </row>
    <row r="2428" spans="7:75" ht="14" x14ac:dyDescent="0.15">
      <c r="G2428" s="799"/>
      <c r="H2428" s="1355"/>
      <c r="L2428" s="799"/>
      <c r="M2428" s="799"/>
      <c r="N2428" s="799"/>
      <c r="Q2428" s="799"/>
      <c r="R2428" s="799"/>
      <c r="S2428" s="799"/>
      <c r="T2428" s="799"/>
      <c r="U2428" s="799"/>
      <c r="V2428" s="799"/>
      <c r="W2428" s="799"/>
      <c r="X2428" s="799"/>
      <c r="Y2428" s="799"/>
      <c r="Z2428" s="799"/>
      <c r="AC2428" s="799"/>
      <c r="BW2428" s="799"/>
    </row>
    <row r="2429" spans="7:75" ht="14" x14ac:dyDescent="0.15">
      <c r="G2429" s="799"/>
      <c r="H2429" s="1355"/>
      <c r="L2429" s="799"/>
      <c r="M2429" s="799"/>
      <c r="N2429" s="799"/>
      <c r="Q2429" s="799"/>
      <c r="R2429" s="799"/>
      <c r="S2429" s="799"/>
      <c r="T2429" s="799"/>
      <c r="U2429" s="799"/>
      <c r="V2429" s="799"/>
      <c r="W2429" s="799"/>
      <c r="X2429" s="799"/>
      <c r="Y2429" s="799"/>
      <c r="Z2429" s="799"/>
      <c r="AC2429" s="799"/>
      <c r="BW2429" s="799"/>
    </row>
    <row r="2430" spans="7:75" ht="14" x14ac:dyDescent="0.15">
      <c r="G2430" s="799"/>
      <c r="H2430" s="1355"/>
      <c r="L2430" s="799"/>
      <c r="M2430" s="799"/>
      <c r="N2430" s="799"/>
      <c r="Q2430" s="799"/>
      <c r="R2430" s="799"/>
      <c r="S2430" s="799"/>
      <c r="T2430" s="799"/>
      <c r="U2430" s="799"/>
      <c r="V2430" s="799"/>
      <c r="W2430" s="799"/>
      <c r="X2430" s="799"/>
      <c r="Y2430" s="799"/>
      <c r="Z2430" s="799"/>
      <c r="AC2430" s="799"/>
      <c r="BW2430" s="799"/>
    </row>
    <row r="2431" spans="7:75" ht="14" x14ac:dyDescent="0.15">
      <c r="G2431" s="799"/>
      <c r="H2431" s="1355"/>
      <c r="L2431" s="799"/>
      <c r="M2431" s="799"/>
      <c r="N2431" s="799"/>
      <c r="Q2431" s="799"/>
      <c r="R2431" s="799"/>
      <c r="S2431" s="799"/>
      <c r="T2431" s="799"/>
      <c r="U2431" s="799"/>
      <c r="V2431" s="799"/>
      <c r="W2431" s="799"/>
      <c r="X2431" s="799"/>
      <c r="Y2431" s="799"/>
      <c r="Z2431" s="799"/>
      <c r="AC2431" s="799"/>
      <c r="BW2431" s="799"/>
    </row>
    <row r="2432" spans="7:75" ht="14" x14ac:dyDescent="0.15">
      <c r="G2432" s="799"/>
      <c r="H2432" s="1355"/>
      <c r="L2432" s="799"/>
      <c r="M2432" s="799"/>
      <c r="N2432" s="799"/>
      <c r="Q2432" s="799"/>
      <c r="R2432" s="799"/>
      <c r="S2432" s="799"/>
      <c r="T2432" s="799"/>
      <c r="U2432" s="799"/>
      <c r="V2432" s="799"/>
      <c r="W2432" s="799"/>
      <c r="X2432" s="799"/>
      <c r="Y2432" s="799"/>
      <c r="Z2432" s="799"/>
      <c r="AC2432" s="799"/>
      <c r="BW2432" s="799"/>
    </row>
    <row r="2433" spans="7:75" ht="14" x14ac:dyDescent="0.15">
      <c r="G2433" s="799"/>
      <c r="H2433" s="1355"/>
      <c r="L2433" s="799"/>
      <c r="M2433" s="799"/>
      <c r="N2433" s="799"/>
      <c r="Q2433" s="799"/>
      <c r="R2433" s="799"/>
      <c r="S2433" s="799"/>
      <c r="T2433" s="799"/>
      <c r="U2433" s="799"/>
      <c r="V2433" s="799"/>
      <c r="W2433" s="799"/>
      <c r="X2433" s="799"/>
      <c r="Y2433" s="799"/>
      <c r="Z2433" s="799"/>
      <c r="AC2433" s="799"/>
      <c r="BW2433" s="799"/>
    </row>
    <row r="2434" spans="7:75" ht="14" x14ac:dyDescent="0.15">
      <c r="G2434" s="799"/>
      <c r="H2434" s="1355"/>
      <c r="L2434" s="799"/>
      <c r="M2434" s="799"/>
      <c r="N2434" s="799"/>
      <c r="Q2434" s="799"/>
      <c r="R2434" s="799"/>
      <c r="S2434" s="799"/>
      <c r="T2434" s="799"/>
      <c r="U2434" s="799"/>
      <c r="V2434" s="799"/>
      <c r="W2434" s="799"/>
      <c r="X2434" s="799"/>
      <c r="Y2434" s="799"/>
      <c r="Z2434" s="799"/>
      <c r="AC2434" s="799"/>
      <c r="BW2434" s="799"/>
    </row>
    <row r="2435" spans="7:75" ht="14" x14ac:dyDescent="0.15">
      <c r="G2435" s="799"/>
      <c r="H2435" s="1355"/>
      <c r="L2435" s="799"/>
      <c r="M2435" s="799"/>
      <c r="N2435" s="799"/>
      <c r="Q2435" s="799"/>
      <c r="R2435" s="799"/>
      <c r="S2435" s="799"/>
      <c r="T2435" s="799"/>
      <c r="U2435" s="799"/>
      <c r="V2435" s="799"/>
      <c r="W2435" s="799"/>
      <c r="X2435" s="799"/>
      <c r="Y2435" s="799"/>
      <c r="Z2435" s="799"/>
      <c r="AC2435" s="799"/>
      <c r="BW2435" s="799"/>
    </row>
    <row r="2436" spans="7:75" ht="14" x14ac:dyDescent="0.15">
      <c r="G2436" s="799"/>
      <c r="H2436" s="1355"/>
      <c r="L2436" s="799"/>
      <c r="M2436" s="799"/>
      <c r="N2436" s="799"/>
      <c r="Q2436" s="799"/>
      <c r="R2436" s="799"/>
      <c r="S2436" s="799"/>
      <c r="T2436" s="799"/>
      <c r="U2436" s="799"/>
      <c r="V2436" s="799"/>
      <c r="W2436" s="799"/>
      <c r="X2436" s="799"/>
      <c r="Y2436" s="799"/>
      <c r="Z2436" s="799"/>
      <c r="AC2436" s="799"/>
      <c r="BW2436" s="799"/>
    </row>
    <row r="2437" spans="7:75" ht="14" x14ac:dyDescent="0.15">
      <c r="G2437" s="799"/>
      <c r="H2437" s="1355"/>
      <c r="L2437" s="799"/>
      <c r="M2437" s="799"/>
      <c r="N2437" s="799"/>
      <c r="Q2437" s="799"/>
      <c r="R2437" s="799"/>
      <c r="S2437" s="799"/>
      <c r="T2437" s="799"/>
      <c r="U2437" s="799"/>
      <c r="V2437" s="799"/>
      <c r="W2437" s="799"/>
      <c r="X2437" s="799"/>
      <c r="Y2437" s="799"/>
      <c r="Z2437" s="799"/>
      <c r="AC2437" s="799"/>
      <c r="BW2437" s="799"/>
    </row>
    <row r="2438" spans="7:75" ht="14" x14ac:dyDescent="0.15">
      <c r="G2438" s="799"/>
      <c r="H2438" s="1355"/>
      <c r="L2438" s="799"/>
      <c r="M2438" s="799"/>
      <c r="N2438" s="799"/>
      <c r="Q2438" s="799"/>
      <c r="R2438" s="799"/>
      <c r="S2438" s="799"/>
      <c r="T2438" s="799"/>
      <c r="U2438" s="799"/>
      <c r="V2438" s="799"/>
      <c r="W2438" s="799"/>
      <c r="X2438" s="799"/>
      <c r="Y2438" s="799"/>
      <c r="Z2438" s="799"/>
      <c r="AC2438" s="799"/>
      <c r="BW2438" s="799"/>
    </row>
    <row r="2439" spans="7:75" ht="14" x14ac:dyDescent="0.15">
      <c r="G2439" s="799"/>
      <c r="H2439" s="1355"/>
      <c r="L2439" s="799"/>
      <c r="M2439" s="799"/>
      <c r="N2439" s="799"/>
      <c r="Q2439" s="799"/>
      <c r="R2439" s="799"/>
      <c r="S2439" s="799"/>
      <c r="T2439" s="799"/>
      <c r="U2439" s="799"/>
      <c r="V2439" s="799"/>
      <c r="W2439" s="799"/>
      <c r="X2439" s="799"/>
      <c r="Y2439" s="799"/>
      <c r="Z2439" s="799"/>
      <c r="AC2439" s="799"/>
      <c r="BW2439" s="799"/>
    </row>
    <row r="2440" spans="7:75" ht="14" x14ac:dyDescent="0.15">
      <c r="G2440" s="799"/>
      <c r="H2440" s="1355"/>
      <c r="L2440" s="799"/>
      <c r="M2440" s="799"/>
      <c r="N2440" s="799"/>
      <c r="Q2440" s="799"/>
      <c r="R2440" s="799"/>
      <c r="S2440" s="799"/>
      <c r="T2440" s="799"/>
      <c r="U2440" s="799"/>
      <c r="V2440" s="799"/>
      <c r="W2440" s="799"/>
      <c r="X2440" s="799"/>
      <c r="Y2440" s="799"/>
      <c r="Z2440" s="799"/>
      <c r="AC2440" s="799"/>
      <c r="BW2440" s="799"/>
    </row>
    <row r="2441" spans="7:75" ht="14" x14ac:dyDescent="0.15">
      <c r="G2441" s="799"/>
      <c r="H2441" s="1355"/>
      <c r="L2441" s="799"/>
      <c r="M2441" s="799"/>
      <c r="N2441" s="799"/>
      <c r="Q2441" s="799"/>
      <c r="R2441" s="799"/>
      <c r="S2441" s="799"/>
      <c r="T2441" s="799"/>
      <c r="U2441" s="799"/>
      <c r="V2441" s="799"/>
      <c r="W2441" s="799"/>
      <c r="X2441" s="799"/>
      <c r="Y2441" s="799"/>
      <c r="Z2441" s="799"/>
      <c r="AC2441" s="799"/>
      <c r="BW2441" s="799"/>
    </row>
    <row r="2442" spans="7:75" ht="14" x14ac:dyDescent="0.15">
      <c r="G2442" s="799"/>
      <c r="H2442" s="1355"/>
      <c r="L2442" s="799"/>
      <c r="M2442" s="799"/>
      <c r="N2442" s="799"/>
      <c r="Q2442" s="799"/>
      <c r="R2442" s="799"/>
      <c r="S2442" s="799"/>
      <c r="T2442" s="799"/>
      <c r="U2442" s="799"/>
      <c r="V2442" s="799"/>
      <c r="W2442" s="799"/>
      <c r="X2442" s="799"/>
      <c r="Y2442" s="799"/>
      <c r="Z2442" s="799"/>
      <c r="AC2442" s="799"/>
      <c r="BW2442" s="799"/>
    </row>
    <row r="2443" spans="7:75" ht="14" x14ac:dyDescent="0.15">
      <c r="G2443" s="799"/>
      <c r="H2443" s="1355"/>
      <c r="L2443" s="799"/>
      <c r="M2443" s="799"/>
      <c r="N2443" s="799"/>
      <c r="Q2443" s="799"/>
      <c r="R2443" s="799"/>
      <c r="S2443" s="799"/>
      <c r="T2443" s="799"/>
      <c r="U2443" s="799"/>
      <c r="V2443" s="799"/>
      <c r="W2443" s="799"/>
      <c r="X2443" s="799"/>
      <c r="Y2443" s="799"/>
      <c r="Z2443" s="799"/>
      <c r="AC2443" s="799"/>
      <c r="BW2443" s="799"/>
    </row>
    <row r="2444" spans="7:75" ht="14" x14ac:dyDescent="0.15">
      <c r="G2444" s="799"/>
      <c r="H2444" s="1355"/>
      <c r="L2444" s="799"/>
      <c r="M2444" s="799"/>
      <c r="N2444" s="799"/>
      <c r="Q2444" s="799"/>
      <c r="R2444" s="799"/>
      <c r="S2444" s="799"/>
      <c r="T2444" s="799"/>
      <c r="U2444" s="799"/>
      <c r="V2444" s="799"/>
      <c r="W2444" s="799"/>
      <c r="X2444" s="799"/>
      <c r="Y2444" s="799"/>
      <c r="Z2444" s="799"/>
      <c r="AC2444" s="799"/>
      <c r="BW2444" s="799"/>
    </row>
    <row r="2445" spans="7:75" ht="14" x14ac:dyDescent="0.15">
      <c r="G2445" s="799"/>
      <c r="H2445" s="1355"/>
      <c r="L2445" s="799"/>
      <c r="M2445" s="799"/>
      <c r="N2445" s="799"/>
      <c r="Q2445" s="799"/>
      <c r="R2445" s="799"/>
      <c r="S2445" s="799"/>
      <c r="T2445" s="799"/>
      <c r="U2445" s="799"/>
      <c r="V2445" s="799"/>
      <c r="W2445" s="799"/>
      <c r="X2445" s="799"/>
      <c r="Y2445" s="799"/>
      <c r="Z2445" s="799"/>
      <c r="AC2445" s="799"/>
      <c r="BW2445" s="799"/>
    </row>
    <row r="2446" spans="7:75" ht="14" x14ac:dyDescent="0.15">
      <c r="G2446" s="799"/>
      <c r="H2446" s="1355"/>
      <c r="L2446" s="799"/>
      <c r="M2446" s="799"/>
      <c r="N2446" s="799"/>
      <c r="Q2446" s="799"/>
      <c r="R2446" s="799"/>
      <c r="S2446" s="799"/>
      <c r="T2446" s="799"/>
      <c r="U2446" s="799"/>
      <c r="V2446" s="799"/>
      <c r="W2446" s="799"/>
      <c r="X2446" s="799"/>
      <c r="Y2446" s="799"/>
      <c r="Z2446" s="799"/>
      <c r="AC2446" s="799"/>
      <c r="BW2446" s="799"/>
    </row>
    <row r="2447" spans="7:75" ht="14" x14ac:dyDescent="0.15">
      <c r="G2447" s="799"/>
      <c r="H2447" s="1355"/>
      <c r="L2447" s="799"/>
      <c r="M2447" s="799"/>
      <c r="N2447" s="799"/>
      <c r="Q2447" s="799"/>
      <c r="R2447" s="799"/>
      <c r="S2447" s="799"/>
      <c r="T2447" s="799"/>
      <c r="U2447" s="799"/>
      <c r="V2447" s="799"/>
      <c r="W2447" s="799"/>
      <c r="X2447" s="799"/>
      <c r="Y2447" s="799"/>
      <c r="Z2447" s="799"/>
      <c r="AC2447" s="799"/>
      <c r="BW2447" s="799"/>
    </row>
    <row r="2448" spans="7:75" ht="14" x14ac:dyDescent="0.15">
      <c r="G2448" s="799"/>
      <c r="H2448" s="1355"/>
      <c r="L2448" s="799"/>
      <c r="M2448" s="799"/>
      <c r="N2448" s="799"/>
      <c r="Q2448" s="799"/>
      <c r="R2448" s="799"/>
      <c r="S2448" s="799"/>
      <c r="T2448" s="799"/>
      <c r="U2448" s="799"/>
      <c r="V2448" s="799"/>
      <c r="W2448" s="799"/>
      <c r="X2448" s="799"/>
      <c r="Y2448" s="799"/>
      <c r="Z2448" s="799"/>
      <c r="AC2448" s="799"/>
      <c r="BW2448" s="799"/>
    </row>
    <row r="2449" spans="7:75" ht="14" x14ac:dyDescent="0.15">
      <c r="G2449" s="799"/>
      <c r="H2449" s="1355"/>
      <c r="L2449" s="799"/>
      <c r="M2449" s="799"/>
      <c r="N2449" s="799"/>
      <c r="Q2449" s="799"/>
      <c r="R2449" s="799"/>
      <c r="S2449" s="799"/>
      <c r="T2449" s="799"/>
      <c r="U2449" s="799"/>
      <c r="V2449" s="799"/>
      <c r="W2449" s="799"/>
      <c r="X2449" s="799"/>
      <c r="Y2449" s="799"/>
      <c r="Z2449" s="799"/>
      <c r="AC2449" s="799"/>
      <c r="BW2449" s="799"/>
    </row>
    <row r="2450" spans="7:75" ht="14" x14ac:dyDescent="0.15">
      <c r="G2450" s="799"/>
      <c r="H2450" s="1355"/>
      <c r="L2450" s="799"/>
      <c r="M2450" s="799"/>
      <c r="N2450" s="799"/>
      <c r="Q2450" s="799"/>
      <c r="R2450" s="799"/>
      <c r="S2450" s="799"/>
      <c r="T2450" s="799"/>
      <c r="U2450" s="799"/>
      <c r="V2450" s="799"/>
      <c r="W2450" s="799"/>
      <c r="X2450" s="799"/>
      <c r="Y2450" s="799"/>
      <c r="Z2450" s="799"/>
      <c r="AC2450" s="799"/>
      <c r="BW2450" s="799"/>
    </row>
    <row r="2451" spans="7:75" ht="14" x14ac:dyDescent="0.15">
      <c r="G2451" s="799"/>
      <c r="H2451" s="1355"/>
      <c r="L2451" s="799"/>
      <c r="M2451" s="799"/>
      <c r="N2451" s="799"/>
      <c r="Q2451" s="799"/>
      <c r="R2451" s="799"/>
      <c r="S2451" s="799"/>
      <c r="T2451" s="799"/>
      <c r="U2451" s="799"/>
      <c r="V2451" s="799"/>
      <c r="W2451" s="799"/>
      <c r="X2451" s="799"/>
      <c r="Y2451" s="799"/>
      <c r="Z2451" s="799"/>
      <c r="AC2451" s="799"/>
      <c r="BW2451" s="799"/>
    </row>
    <row r="2452" spans="7:75" ht="14" x14ac:dyDescent="0.15">
      <c r="G2452" s="799"/>
      <c r="H2452" s="1355"/>
      <c r="L2452" s="799"/>
      <c r="M2452" s="799"/>
      <c r="N2452" s="799"/>
      <c r="Q2452" s="799"/>
      <c r="R2452" s="799"/>
      <c r="S2452" s="799"/>
      <c r="T2452" s="799"/>
      <c r="U2452" s="799"/>
      <c r="V2452" s="799"/>
      <c r="W2452" s="799"/>
      <c r="X2452" s="799"/>
      <c r="Y2452" s="799"/>
      <c r="Z2452" s="799"/>
      <c r="AC2452" s="799"/>
      <c r="BW2452" s="799"/>
    </row>
    <row r="2453" spans="7:75" ht="14" x14ac:dyDescent="0.15">
      <c r="G2453" s="799"/>
      <c r="H2453" s="1355"/>
      <c r="L2453" s="799"/>
      <c r="M2453" s="799"/>
      <c r="N2453" s="799"/>
      <c r="Q2453" s="799"/>
      <c r="R2453" s="799"/>
      <c r="S2453" s="799"/>
      <c r="T2453" s="799"/>
      <c r="U2453" s="799"/>
      <c r="V2453" s="799"/>
      <c r="W2453" s="799"/>
      <c r="X2453" s="799"/>
      <c r="Y2453" s="799"/>
      <c r="Z2453" s="799"/>
      <c r="AC2453" s="799"/>
      <c r="BW2453" s="799"/>
    </row>
    <row r="2454" spans="7:75" ht="14" x14ac:dyDescent="0.15">
      <c r="G2454" s="799"/>
      <c r="H2454" s="1355"/>
      <c r="L2454" s="799"/>
      <c r="M2454" s="799"/>
      <c r="N2454" s="799"/>
      <c r="Q2454" s="799"/>
      <c r="R2454" s="799"/>
      <c r="S2454" s="799"/>
      <c r="T2454" s="799"/>
      <c r="U2454" s="799"/>
      <c r="V2454" s="799"/>
      <c r="W2454" s="799"/>
      <c r="X2454" s="799"/>
      <c r="Y2454" s="799"/>
      <c r="Z2454" s="799"/>
      <c r="AC2454" s="799"/>
      <c r="BW2454" s="799"/>
    </row>
    <row r="2455" spans="7:75" ht="14" x14ac:dyDescent="0.15">
      <c r="G2455" s="799"/>
      <c r="H2455" s="1355"/>
      <c r="L2455" s="799"/>
      <c r="M2455" s="799"/>
      <c r="N2455" s="799"/>
      <c r="Q2455" s="799"/>
      <c r="R2455" s="799"/>
      <c r="S2455" s="799"/>
      <c r="T2455" s="799"/>
      <c r="U2455" s="799"/>
      <c r="V2455" s="799"/>
      <c r="W2455" s="799"/>
      <c r="X2455" s="799"/>
      <c r="Y2455" s="799"/>
      <c r="Z2455" s="799"/>
      <c r="AC2455" s="799"/>
      <c r="BW2455" s="799"/>
    </row>
    <row r="2456" spans="7:75" ht="14" x14ac:dyDescent="0.15">
      <c r="G2456" s="799"/>
      <c r="H2456" s="1355"/>
      <c r="L2456" s="799"/>
      <c r="M2456" s="799"/>
      <c r="N2456" s="799"/>
      <c r="Q2456" s="799"/>
      <c r="R2456" s="799"/>
      <c r="S2456" s="799"/>
      <c r="T2456" s="799"/>
      <c r="U2456" s="799"/>
      <c r="V2456" s="799"/>
      <c r="W2456" s="799"/>
      <c r="X2456" s="799"/>
      <c r="Y2456" s="799"/>
      <c r="Z2456" s="799"/>
      <c r="AC2456" s="799"/>
      <c r="BW2456" s="799"/>
    </row>
    <row r="2457" spans="7:75" ht="14" x14ac:dyDescent="0.15">
      <c r="G2457" s="799"/>
      <c r="H2457" s="1355"/>
      <c r="L2457" s="799"/>
      <c r="M2457" s="799"/>
      <c r="N2457" s="799"/>
      <c r="Q2457" s="799"/>
      <c r="R2457" s="799"/>
      <c r="S2457" s="799"/>
      <c r="T2457" s="799"/>
      <c r="U2457" s="799"/>
      <c r="V2457" s="799"/>
      <c r="W2457" s="799"/>
      <c r="X2457" s="799"/>
      <c r="Y2457" s="799"/>
      <c r="Z2457" s="799"/>
      <c r="AC2457" s="799"/>
      <c r="BW2457" s="799"/>
    </row>
    <row r="2458" spans="7:75" ht="14" x14ac:dyDescent="0.15">
      <c r="G2458" s="799"/>
      <c r="H2458" s="1355"/>
      <c r="L2458" s="799"/>
      <c r="M2458" s="799"/>
      <c r="N2458" s="799"/>
      <c r="Q2458" s="799"/>
      <c r="R2458" s="799"/>
      <c r="S2458" s="799"/>
      <c r="T2458" s="799"/>
      <c r="U2458" s="799"/>
      <c r="V2458" s="799"/>
      <c r="W2458" s="799"/>
      <c r="X2458" s="799"/>
      <c r="Y2458" s="799"/>
      <c r="Z2458" s="799"/>
      <c r="AC2458" s="799"/>
      <c r="BW2458" s="799"/>
    </row>
    <row r="2459" spans="7:75" ht="14" x14ac:dyDescent="0.15">
      <c r="G2459" s="799"/>
      <c r="H2459" s="1355"/>
      <c r="L2459" s="799"/>
      <c r="M2459" s="799"/>
      <c r="N2459" s="799"/>
      <c r="Q2459" s="799"/>
      <c r="R2459" s="799"/>
      <c r="S2459" s="799"/>
      <c r="T2459" s="799"/>
      <c r="U2459" s="799"/>
      <c r="V2459" s="799"/>
      <c r="W2459" s="799"/>
      <c r="X2459" s="799"/>
      <c r="Y2459" s="799"/>
      <c r="Z2459" s="799"/>
      <c r="AC2459" s="799"/>
      <c r="BW2459" s="799"/>
    </row>
    <row r="2460" spans="7:75" ht="14" x14ac:dyDescent="0.15">
      <c r="G2460" s="799"/>
      <c r="H2460" s="1355"/>
      <c r="L2460" s="799"/>
      <c r="M2460" s="799"/>
      <c r="N2460" s="799"/>
      <c r="Q2460" s="799"/>
      <c r="R2460" s="799"/>
      <c r="S2460" s="799"/>
      <c r="T2460" s="799"/>
      <c r="U2460" s="799"/>
      <c r="V2460" s="799"/>
      <c r="W2460" s="799"/>
      <c r="X2460" s="799"/>
      <c r="Y2460" s="799"/>
      <c r="Z2460" s="799"/>
      <c r="AC2460" s="799"/>
      <c r="BW2460" s="799"/>
    </row>
    <row r="2461" spans="7:75" ht="14" x14ac:dyDescent="0.15">
      <c r="G2461" s="799"/>
      <c r="H2461" s="1355"/>
      <c r="L2461" s="799"/>
      <c r="M2461" s="799"/>
      <c r="N2461" s="799"/>
      <c r="Q2461" s="799"/>
      <c r="R2461" s="799"/>
      <c r="S2461" s="799"/>
      <c r="T2461" s="799"/>
      <c r="U2461" s="799"/>
      <c r="V2461" s="799"/>
      <c r="W2461" s="799"/>
      <c r="X2461" s="799"/>
      <c r="Y2461" s="799"/>
      <c r="Z2461" s="799"/>
      <c r="AC2461" s="799"/>
      <c r="BW2461" s="799"/>
    </row>
    <row r="2462" spans="7:75" ht="14" x14ac:dyDescent="0.15">
      <c r="G2462" s="799"/>
      <c r="H2462" s="1355"/>
      <c r="L2462" s="799"/>
      <c r="M2462" s="799"/>
      <c r="N2462" s="799"/>
      <c r="Q2462" s="799"/>
      <c r="R2462" s="799"/>
      <c r="S2462" s="799"/>
      <c r="T2462" s="799"/>
      <c r="U2462" s="799"/>
      <c r="V2462" s="799"/>
      <c r="W2462" s="799"/>
      <c r="X2462" s="799"/>
      <c r="Y2462" s="799"/>
      <c r="Z2462" s="799"/>
      <c r="AC2462" s="799"/>
      <c r="BW2462" s="799"/>
    </row>
    <row r="2463" spans="7:75" ht="14" x14ac:dyDescent="0.15">
      <c r="G2463" s="799"/>
      <c r="H2463" s="1355"/>
      <c r="L2463" s="799"/>
      <c r="M2463" s="799"/>
      <c r="N2463" s="799"/>
      <c r="Q2463" s="799"/>
      <c r="R2463" s="799"/>
      <c r="S2463" s="799"/>
      <c r="T2463" s="799"/>
      <c r="U2463" s="799"/>
      <c r="V2463" s="799"/>
      <c r="W2463" s="799"/>
      <c r="X2463" s="799"/>
      <c r="Y2463" s="799"/>
      <c r="Z2463" s="799"/>
      <c r="AC2463" s="799"/>
      <c r="BW2463" s="799"/>
    </row>
    <row r="2464" spans="7:75" ht="14" x14ac:dyDescent="0.15">
      <c r="G2464" s="799"/>
      <c r="H2464" s="1355"/>
      <c r="L2464" s="799"/>
      <c r="M2464" s="799"/>
      <c r="N2464" s="799"/>
      <c r="Q2464" s="799"/>
      <c r="R2464" s="799"/>
      <c r="S2464" s="799"/>
      <c r="T2464" s="799"/>
      <c r="U2464" s="799"/>
      <c r="V2464" s="799"/>
      <c r="W2464" s="799"/>
      <c r="X2464" s="799"/>
      <c r="Y2464" s="799"/>
      <c r="Z2464" s="799"/>
      <c r="AC2464" s="799"/>
      <c r="BW2464" s="799"/>
    </row>
    <row r="2465" spans="5:75" ht="14" x14ac:dyDescent="0.15">
      <c r="G2465" s="799"/>
      <c r="H2465" s="1355"/>
      <c r="L2465" s="799"/>
      <c r="M2465" s="799"/>
      <c r="N2465" s="799"/>
      <c r="Q2465" s="799"/>
      <c r="R2465" s="799"/>
      <c r="S2465" s="799"/>
      <c r="T2465" s="799"/>
      <c r="U2465" s="799"/>
      <c r="V2465" s="799"/>
      <c r="W2465" s="799"/>
      <c r="X2465" s="799"/>
      <c r="Y2465" s="799"/>
      <c r="Z2465" s="799"/>
      <c r="AC2465" s="799"/>
      <c r="BW2465" s="799"/>
    </row>
    <row r="2466" spans="5:75" ht="14" x14ac:dyDescent="0.15">
      <c r="G2466" s="799"/>
      <c r="H2466" s="1355"/>
      <c r="L2466" s="799"/>
      <c r="M2466" s="799"/>
      <c r="N2466" s="799"/>
      <c r="Q2466" s="799"/>
      <c r="R2466" s="799"/>
      <c r="S2466" s="799"/>
      <c r="T2466" s="799"/>
      <c r="U2466" s="799"/>
      <c r="V2466" s="799"/>
      <c r="W2466" s="799"/>
      <c r="X2466" s="799"/>
      <c r="Y2466" s="799"/>
      <c r="Z2466" s="799"/>
      <c r="AC2466" s="799"/>
      <c r="BW2466" s="799"/>
    </row>
    <row r="2467" spans="5:75" ht="14" x14ac:dyDescent="0.15">
      <c r="G2467" s="799"/>
      <c r="H2467" s="1355"/>
      <c r="L2467" s="799"/>
      <c r="M2467" s="799"/>
      <c r="N2467" s="799"/>
      <c r="Q2467" s="799"/>
      <c r="R2467" s="799"/>
      <c r="S2467" s="799"/>
      <c r="T2467" s="799"/>
      <c r="U2467" s="799"/>
      <c r="V2467" s="799"/>
      <c r="W2467" s="799"/>
      <c r="X2467" s="799"/>
      <c r="Y2467" s="799"/>
      <c r="Z2467" s="799"/>
      <c r="AC2467" s="799"/>
      <c r="BW2467" s="799"/>
    </row>
    <row r="2468" spans="5:75" ht="14" x14ac:dyDescent="0.15">
      <c r="G2468" s="799"/>
      <c r="H2468" s="1355"/>
      <c r="L2468" s="799"/>
      <c r="M2468" s="799"/>
      <c r="N2468" s="799"/>
      <c r="Q2468" s="799"/>
      <c r="R2468" s="799"/>
      <c r="S2468" s="799"/>
      <c r="T2468" s="799"/>
      <c r="U2468" s="799"/>
      <c r="V2468" s="799"/>
      <c r="W2468" s="799"/>
      <c r="X2468" s="799"/>
      <c r="Y2468" s="799"/>
      <c r="Z2468" s="799"/>
      <c r="AC2468" s="799"/>
      <c r="BW2468" s="799"/>
    </row>
    <row r="2469" spans="5:75" ht="14" x14ac:dyDescent="0.15">
      <c r="G2469" s="799"/>
      <c r="H2469" s="1355"/>
      <c r="L2469" s="799"/>
      <c r="M2469" s="799"/>
      <c r="N2469" s="799"/>
      <c r="Q2469" s="799"/>
      <c r="R2469" s="799"/>
      <c r="S2469" s="799"/>
      <c r="T2469" s="799"/>
      <c r="U2469" s="799"/>
      <c r="V2469" s="799"/>
      <c r="W2469" s="799"/>
      <c r="X2469" s="799"/>
      <c r="Y2469" s="799"/>
      <c r="Z2469" s="799"/>
      <c r="AC2469" s="799"/>
      <c r="BW2469" s="799"/>
    </row>
    <row r="2470" spans="5:75" x14ac:dyDescent="0.15">
      <c r="AD2470" s="1886">
        <f ca="1">SUBTOTAL(9,AD6:AD1722)</f>
        <v>14038661.958643852</v>
      </c>
      <c r="AE2470" s="1887">
        <f ca="1">AD2470/Z2471</f>
        <v>5458.8243561547497</v>
      </c>
    </row>
    <row r="2471" spans="5:75" x14ac:dyDescent="0.15">
      <c r="Y2471" s="1886"/>
      <c r="Z2471" s="1886">
        <f>SUBTOTAL(9,Z8:Z1723)-Z1162</f>
        <v>2571.737253794483</v>
      </c>
    </row>
    <row r="2480" spans="5:75" x14ac:dyDescent="0.15">
      <c r="E2480" s="210"/>
    </row>
    <row r="2481" spans="5:5" x14ac:dyDescent="0.15">
      <c r="E2481" s="210"/>
    </row>
  </sheetData>
  <mergeCells count="13">
    <mergeCell ref="BT4:BT6"/>
    <mergeCell ref="AB4:AB6"/>
    <mergeCell ref="AA4:AA6"/>
    <mergeCell ref="AV4:BS4"/>
    <mergeCell ref="K4:M4"/>
    <mergeCell ref="AD4:AS4"/>
    <mergeCell ref="AC6:AC8"/>
    <mergeCell ref="AU5:AU8"/>
    <mergeCell ref="AU9:AU11"/>
    <mergeCell ref="I159:K159"/>
    <mergeCell ref="L159:N159"/>
    <mergeCell ref="Y4:Y5"/>
    <mergeCell ref="Z4:Z5"/>
  </mergeCells>
  <phoneticPr fontId="44" type="noConversion"/>
  <pageMargins left="0.19685039370078741" right="0.15748031496062992" top="0.59055118110236227" bottom="0.59055118110236227" header="0.51181102362204722" footer="0.31496062992125984"/>
  <pageSetup paperSize="9" scale="12" fitToHeight="0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indexed="26"/>
  </sheetPr>
  <dimension ref="A1:P839"/>
  <sheetViews>
    <sheetView workbookViewId="0">
      <selection activeCell="D11" sqref="D11"/>
    </sheetView>
  </sheetViews>
  <sheetFormatPr baseColWidth="10" defaultColWidth="8.6640625" defaultRowHeight="12" x14ac:dyDescent="0.15"/>
  <cols>
    <col min="1" max="1" width="4.1640625" style="138" customWidth="1"/>
    <col min="2" max="2" width="61.6640625" style="138" customWidth="1"/>
    <col min="3" max="3" width="12.33203125" style="138" customWidth="1"/>
    <col min="4" max="4" width="8" style="138" customWidth="1"/>
    <col min="5" max="5" width="7.5" style="138" customWidth="1"/>
    <col min="6" max="6" width="8" style="138" customWidth="1"/>
    <col min="7" max="7" width="9.1640625" style="138" customWidth="1"/>
    <col min="8" max="16384" width="8.6640625" style="138"/>
  </cols>
  <sheetData>
    <row r="1" spans="1:11" ht="13" x14ac:dyDescent="0.15">
      <c r="A1" s="93"/>
      <c r="B1" s="94" t="s">
        <v>528</v>
      </c>
      <c r="C1" s="94"/>
      <c r="D1" s="94"/>
      <c r="E1" s="94"/>
      <c r="F1" s="94"/>
      <c r="G1" s="95" t="s">
        <v>643</v>
      </c>
      <c r="H1" s="64"/>
      <c r="I1" s="64"/>
      <c r="J1" s="64"/>
      <c r="K1" s="23"/>
    </row>
    <row r="2" spans="1:11" ht="13" x14ac:dyDescent="0.15">
      <c r="A2" s="96"/>
      <c r="B2" s="96" t="s">
        <v>314</v>
      </c>
      <c r="C2" s="96"/>
      <c r="D2" s="97"/>
      <c r="E2" s="98"/>
      <c r="F2" s="98"/>
      <c r="G2" s="95" t="s">
        <v>1437</v>
      </c>
      <c r="H2" s="64"/>
      <c r="I2" s="64"/>
      <c r="J2" s="64"/>
      <c r="K2" s="23"/>
    </row>
    <row r="3" spans="1:11" ht="13" x14ac:dyDescent="0.15">
      <c r="A3" s="99" t="s">
        <v>529</v>
      </c>
      <c r="B3" s="93" t="s">
        <v>1104</v>
      </c>
      <c r="C3" s="93" t="s">
        <v>1438</v>
      </c>
      <c r="D3" s="100" t="s">
        <v>1105</v>
      </c>
      <c r="E3" s="101"/>
      <c r="F3" s="102"/>
      <c r="G3" s="103"/>
      <c r="H3" s="23"/>
      <c r="I3" s="23"/>
      <c r="J3" s="23"/>
    </row>
    <row r="4" spans="1:11" ht="13" x14ac:dyDescent="0.15">
      <c r="A4" s="104" t="s">
        <v>1106</v>
      </c>
      <c r="B4" s="96" t="s">
        <v>1117</v>
      </c>
      <c r="C4" s="96" t="s">
        <v>1439</v>
      </c>
      <c r="D4" s="105" t="s">
        <v>1440</v>
      </c>
      <c r="E4" s="106" t="s">
        <v>1118</v>
      </c>
      <c r="F4" s="107" t="s">
        <v>1119</v>
      </c>
      <c r="G4" s="103"/>
      <c r="H4" s="23"/>
      <c r="I4" s="23"/>
      <c r="J4" s="23"/>
    </row>
    <row r="5" spans="1:11" ht="13" x14ac:dyDescent="0.15">
      <c r="A5" s="108" t="s">
        <v>1120</v>
      </c>
      <c r="B5" s="109" t="s">
        <v>802</v>
      </c>
      <c r="C5" s="109"/>
      <c r="D5" s="110">
        <v>7</v>
      </c>
      <c r="E5" s="111">
        <v>1</v>
      </c>
      <c r="F5" s="110">
        <f>E5+D5</f>
        <v>8</v>
      </c>
      <c r="G5" s="103"/>
      <c r="H5" s="23"/>
      <c r="I5" s="23"/>
      <c r="J5" s="23"/>
    </row>
    <row r="6" spans="1:11" ht="13" x14ac:dyDescent="0.15">
      <c r="A6" s="108" t="s">
        <v>803</v>
      </c>
      <c r="B6" s="109" t="s">
        <v>804</v>
      </c>
      <c r="C6" s="109"/>
      <c r="D6" s="110">
        <v>3</v>
      </c>
      <c r="E6" s="112">
        <v>0</v>
      </c>
      <c r="F6" s="113">
        <f t="shared" ref="F6:F28" si="0">E6+D6</f>
        <v>3</v>
      </c>
      <c r="G6" s="95" t="s">
        <v>1234</v>
      </c>
      <c r="H6" s="23"/>
      <c r="I6" s="23"/>
      <c r="J6" s="23"/>
    </row>
    <row r="7" spans="1:11" ht="13" x14ac:dyDescent="0.15">
      <c r="A7" s="114" t="s">
        <v>1121</v>
      </c>
      <c r="B7" s="109" t="s">
        <v>310</v>
      </c>
      <c r="C7" s="109"/>
      <c r="D7" s="110">
        <v>18.5</v>
      </c>
      <c r="E7" s="112">
        <v>0</v>
      </c>
      <c r="F7" s="113">
        <v>0</v>
      </c>
      <c r="G7" s="95"/>
      <c r="H7" s="23"/>
      <c r="I7" s="23"/>
      <c r="J7" s="23"/>
    </row>
    <row r="8" spans="1:11" ht="13" x14ac:dyDescent="0.15">
      <c r="A8" s="162" t="s">
        <v>311</v>
      </c>
      <c r="B8" s="115" t="s">
        <v>499</v>
      </c>
      <c r="C8" s="115"/>
      <c r="D8" s="110">
        <f>D9+D10+D11+D12+D14+D15+D16+D17+D18+D19</f>
        <v>322.7</v>
      </c>
      <c r="E8" s="116">
        <f>E9+E10+E11+E12+E14+E15+E16+E17+E18+E19</f>
        <v>6</v>
      </c>
      <c r="F8" s="113">
        <f t="shared" si="0"/>
        <v>328.7</v>
      </c>
      <c r="G8" s="95" t="s">
        <v>1100</v>
      </c>
      <c r="H8" s="23"/>
      <c r="I8" s="23"/>
      <c r="J8" s="23"/>
    </row>
    <row r="9" spans="1:11" ht="13" x14ac:dyDescent="0.15">
      <c r="A9" s="117">
        <v>3</v>
      </c>
      <c r="B9" s="118" t="s">
        <v>419</v>
      </c>
      <c r="C9" s="118"/>
      <c r="D9" s="119">
        <v>6.5</v>
      </c>
      <c r="E9" s="120">
        <v>0</v>
      </c>
      <c r="F9" s="121">
        <f t="shared" si="0"/>
        <v>6.5</v>
      </c>
      <c r="G9" s="103"/>
      <c r="H9" s="23"/>
      <c r="I9" s="23"/>
      <c r="J9" s="23"/>
    </row>
    <row r="10" spans="1:11" ht="13" x14ac:dyDescent="0.15">
      <c r="A10" s="132">
        <v>4</v>
      </c>
      <c r="B10" s="118" t="s">
        <v>1122</v>
      </c>
      <c r="C10" s="118" t="s">
        <v>284</v>
      </c>
      <c r="D10" s="147">
        <v>13.5</v>
      </c>
      <c r="E10" s="140">
        <v>1</v>
      </c>
      <c r="F10" s="141">
        <f t="shared" si="0"/>
        <v>14.5</v>
      </c>
      <c r="G10" s="95" t="s">
        <v>650</v>
      </c>
      <c r="H10" s="23"/>
      <c r="I10" s="23"/>
      <c r="J10" s="23"/>
    </row>
    <row r="11" spans="1:11" ht="13" x14ac:dyDescent="0.15">
      <c r="A11" s="132">
        <v>5</v>
      </c>
      <c r="B11" s="118" t="s">
        <v>1123</v>
      </c>
      <c r="C11" s="118" t="s">
        <v>285</v>
      </c>
      <c r="D11" s="147">
        <v>26</v>
      </c>
      <c r="E11" s="140">
        <v>1</v>
      </c>
      <c r="F11" s="141">
        <f t="shared" si="0"/>
        <v>27</v>
      </c>
      <c r="G11" s="95" t="s">
        <v>442</v>
      </c>
      <c r="H11" s="23"/>
      <c r="I11" s="23"/>
      <c r="J11" s="23"/>
    </row>
    <row r="12" spans="1:11" ht="13" x14ac:dyDescent="0.15">
      <c r="A12" s="132">
        <v>6</v>
      </c>
      <c r="B12" s="118" t="s">
        <v>422</v>
      </c>
      <c r="C12" s="118" t="s">
        <v>423</v>
      </c>
      <c r="D12" s="147">
        <v>48.7</v>
      </c>
      <c r="E12" s="140">
        <v>2</v>
      </c>
      <c r="F12" s="141">
        <f t="shared" si="0"/>
        <v>50.7</v>
      </c>
      <c r="G12" s="95" t="s">
        <v>1311</v>
      </c>
      <c r="H12" s="23"/>
      <c r="I12" s="23"/>
      <c r="J12" s="23"/>
    </row>
    <row r="13" spans="1:11" ht="13" x14ac:dyDescent="0.15">
      <c r="A13" s="132"/>
      <c r="B13" s="118"/>
      <c r="C13" s="118"/>
      <c r="D13" s="147"/>
      <c r="E13" s="140"/>
      <c r="F13" s="141"/>
      <c r="G13" s="95" t="s">
        <v>1312</v>
      </c>
      <c r="H13" s="23"/>
      <c r="I13" s="23"/>
      <c r="J13" s="23"/>
    </row>
    <row r="14" spans="1:11" ht="13" x14ac:dyDescent="0.15">
      <c r="A14" s="132">
        <v>7</v>
      </c>
      <c r="B14" s="118" t="s">
        <v>646</v>
      </c>
      <c r="C14" s="118" t="s">
        <v>647</v>
      </c>
      <c r="D14" s="147">
        <v>56</v>
      </c>
      <c r="E14" s="140">
        <v>1</v>
      </c>
      <c r="F14" s="141">
        <f t="shared" si="0"/>
        <v>57</v>
      </c>
      <c r="G14" s="103"/>
      <c r="H14" s="23"/>
      <c r="I14" s="23"/>
      <c r="J14" s="23"/>
    </row>
    <row r="15" spans="1:11" ht="13" x14ac:dyDescent="0.15">
      <c r="A15" s="132">
        <v>8</v>
      </c>
      <c r="B15" s="118" t="s">
        <v>1417</v>
      </c>
      <c r="C15" s="118" t="s">
        <v>648</v>
      </c>
      <c r="D15" s="147">
        <v>19</v>
      </c>
      <c r="E15" s="140">
        <v>0</v>
      </c>
      <c r="F15" s="141">
        <f t="shared" si="0"/>
        <v>19</v>
      </c>
      <c r="G15" s="66" t="s">
        <v>649</v>
      </c>
      <c r="H15" s="23"/>
      <c r="I15" s="23"/>
      <c r="J15" s="23"/>
    </row>
    <row r="16" spans="1:11" ht="13" x14ac:dyDescent="0.15">
      <c r="A16" s="132">
        <v>9</v>
      </c>
      <c r="B16" s="118" t="s">
        <v>287</v>
      </c>
      <c r="C16" s="118" t="s">
        <v>288</v>
      </c>
      <c r="D16" s="147">
        <v>39</v>
      </c>
      <c r="E16" s="140">
        <v>0</v>
      </c>
      <c r="F16" s="141">
        <f t="shared" si="0"/>
        <v>39</v>
      </c>
      <c r="G16" s="66" t="s">
        <v>289</v>
      </c>
      <c r="H16" s="23"/>
      <c r="I16" s="23"/>
      <c r="J16" s="23"/>
    </row>
    <row r="17" spans="1:16" ht="13" x14ac:dyDescent="0.15">
      <c r="A17" s="132">
        <v>10</v>
      </c>
      <c r="B17" s="118" t="s">
        <v>290</v>
      </c>
      <c r="C17" s="118" t="s">
        <v>291</v>
      </c>
      <c r="D17" s="147">
        <v>36.5</v>
      </c>
      <c r="E17" s="140">
        <v>1</v>
      </c>
      <c r="F17" s="141">
        <f t="shared" si="0"/>
        <v>37.5</v>
      </c>
      <c r="G17" s="103"/>
      <c r="H17" s="23"/>
      <c r="I17" s="23"/>
      <c r="J17" s="23"/>
    </row>
    <row r="18" spans="1:16" ht="13" x14ac:dyDescent="0.15">
      <c r="A18" s="139">
        <v>11</v>
      </c>
      <c r="B18" s="118" t="s">
        <v>292</v>
      </c>
      <c r="C18" s="118" t="s">
        <v>293</v>
      </c>
      <c r="D18" s="147">
        <v>7</v>
      </c>
      <c r="E18" s="140">
        <v>0</v>
      </c>
      <c r="F18" s="141">
        <f t="shared" si="0"/>
        <v>7</v>
      </c>
      <c r="G18" s="103"/>
      <c r="H18" s="23"/>
      <c r="I18" s="23"/>
      <c r="J18" s="23"/>
    </row>
    <row r="19" spans="1:16" ht="13" x14ac:dyDescent="0.15">
      <c r="A19" s="144">
        <v>12</v>
      </c>
      <c r="B19" s="122" t="s">
        <v>1613</v>
      </c>
      <c r="C19" s="122" t="s">
        <v>294</v>
      </c>
      <c r="D19" s="148">
        <v>70.5</v>
      </c>
      <c r="E19" s="142">
        <v>0</v>
      </c>
      <c r="F19" s="143">
        <f t="shared" si="0"/>
        <v>70.5</v>
      </c>
      <c r="G19" s="66" t="s">
        <v>295</v>
      </c>
      <c r="H19" s="89"/>
      <c r="I19" s="23"/>
      <c r="J19" s="23"/>
    </row>
    <row r="20" spans="1:16" ht="13" x14ac:dyDescent="0.15">
      <c r="A20" s="149" t="s">
        <v>312</v>
      </c>
      <c r="B20" s="124" t="s">
        <v>1614</v>
      </c>
      <c r="C20" s="124"/>
      <c r="D20" s="150">
        <f>D22+D23+D24</f>
        <v>89.1</v>
      </c>
      <c r="E20" s="151">
        <f>E22+E23+E24</f>
        <v>44</v>
      </c>
      <c r="F20" s="152">
        <f t="shared" si="0"/>
        <v>133.1</v>
      </c>
      <c r="G20" s="103"/>
      <c r="H20" s="23"/>
      <c r="I20" s="23"/>
      <c r="J20" s="23"/>
    </row>
    <row r="21" spans="1:16" ht="13" x14ac:dyDescent="0.15">
      <c r="A21" s="133"/>
      <c r="B21" s="134" t="s">
        <v>1615</v>
      </c>
      <c r="C21" s="134"/>
      <c r="D21" s="153"/>
      <c r="E21" s="142"/>
      <c r="F21" s="154"/>
      <c r="G21" s="103"/>
      <c r="H21" s="23"/>
      <c r="I21" s="23"/>
      <c r="J21" s="23"/>
    </row>
    <row r="22" spans="1:16" ht="13" x14ac:dyDescent="0.15">
      <c r="A22" s="127">
        <v>13</v>
      </c>
      <c r="B22" s="118" t="s">
        <v>878</v>
      </c>
      <c r="C22" s="118" t="s">
        <v>296</v>
      </c>
      <c r="D22" s="155">
        <v>30</v>
      </c>
      <c r="E22" s="156">
        <v>11</v>
      </c>
      <c r="F22" s="141">
        <f t="shared" si="0"/>
        <v>41</v>
      </c>
      <c r="G22" s="66" t="s">
        <v>297</v>
      </c>
      <c r="H22" s="23"/>
      <c r="I22" s="23"/>
      <c r="J22" s="23"/>
    </row>
    <row r="23" spans="1:16" ht="13" x14ac:dyDescent="0.15">
      <c r="A23" s="127">
        <v>14</v>
      </c>
      <c r="B23" s="118" t="s">
        <v>879</v>
      </c>
      <c r="C23" s="118" t="s">
        <v>298</v>
      </c>
      <c r="D23" s="147">
        <v>32.5</v>
      </c>
      <c r="E23" s="157">
        <v>26</v>
      </c>
      <c r="F23" s="141">
        <f t="shared" si="0"/>
        <v>58.5</v>
      </c>
      <c r="G23" s="129" t="s">
        <v>208</v>
      </c>
      <c r="H23" s="23"/>
      <c r="I23" s="23"/>
      <c r="J23" s="23"/>
    </row>
    <row r="24" spans="1:16" ht="13" x14ac:dyDescent="0.15">
      <c r="A24" s="127">
        <v>15</v>
      </c>
      <c r="B24" s="118" t="s">
        <v>880</v>
      </c>
      <c r="C24" s="118" t="s">
        <v>209</v>
      </c>
      <c r="D24" s="139">
        <v>26.6</v>
      </c>
      <c r="E24" s="140">
        <v>7</v>
      </c>
      <c r="F24" s="141">
        <f t="shared" si="0"/>
        <v>33.6</v>
      </c>
      <c r="G24" s="66" t="s">
        <v>210</v>
      </c>
      <c r="H24" s="23"/>
      <c r="I24" s="23"/>
      <c r="J24" s="23"/>
    </row>
    <row r="25" spans="1:16" ht="13" x14ac:dyDescent="0.15">
      <c r="A25" s="130" t="s">
        <v>763</v>
      </c>
      <c r="B25" s="115" t="s">
        <v>881</v>
      </c>
      <c r="C25" s="115"/>
      <c r="D25" s="158">
        <f>D28+D26+D27+D29</f>
        <v>78.7</v>
      </c>
      <c r="E25" s="159">
        <f>E28+E26+E27+E29</f>
        <v>28</v>
      </c>
      <c r="F25" s="160">
        <f t="shared" si="0"/>
        <v>106.7</v>
      </c>
      <c r="G25" s="103"/>
      <c r="H25" s="23"/>
      <c r="I25" s="23"/>
      <c r="J25" s="23"/>
    </row>
    <row r="26" spans="1:16" ht="13" x14ac:dyDescent="0.15">
      <c r="A26" s="127">
        <v>16</v>
      </c>
      <c r="B26" s="118" t="s">
        <v>1480</v>
      </c>
      <c r="C26" s="118" t="s">
        <v>1481</v>
      </c>
      <c r="D26" s="139">
        <v>38.299999999999997</v>
      </c>
      <c r="E26" s="140">
        <v>15</v>
      </c>
      <c r="F26" s="141">
        <f>E26+D26</f>
        <v>53.3</v>
      </c>
      <c r="G26" s="103"/>
      <c r="H26" s="23"/>
      <c r="I26" s="23"/>
      <c r="J26" s="23"/>
    </row>
    <row r="27" spans="1:16" ht="13" x14ac:dyDescent="0.15">
      <c r="A27" s="127">
        <v>17</v>
      </c>
      <c r="B27" s="118" t="s">
        <v>1392</v>
      </c>
      <c r="C27" s="118" t="s">
        <v>1394</v>
      </c>
      <c r="D27" s="139">
        <v>23.9</v>
      </c>
      <c r="E27" s="140">
        <v>6</v>
      </c>
      <c r="F27" s="141">
        <f>E27+D27</f>
        <v>29.9</v>
      </c>
      <c r="G27" s="103"/>
      <c r="H27" s="23"/>
      <c r="I27" s="23"/>
      <c r="J27" s="23"/>
    </row>
    <row r="28" spans="1:16" ht="13" x14ac:dyDescent="0.15">
      <c r="A28" s="127">
        <v>18</v>
      </c>
      <c r="B28" s="118" t="s">
        <v>81</v>
      </c>
      <c r="C28" s="118" t="s">
        <v>1395</v>
      </c>
      <c r="D28" s="139">
        <v>9.8000000000000007</v>
      </c>
      <c r="E28" s="140">
        <v>4</v>
      </c>
      <c r="F28" s="141">
        <f t="shared" si="0"/>
        <v>13.8</v>
      </c>
      <c r="H28" s="23"/>
      <c r="I28" s="23"/>
      <c r="J28" s="23"/>
    </row>
    <row r="29" spans="1:16" ht="13" x14ac:dyDescent="0.15">
      <c r="A29" s="127">
        <v>19</v>
      </c>
      <c r="B29" s="118" t="s">
        <v>762</v>
      </c>
      <c r="C29" s="118" t="s">
        <v>308</v>
      </c>
      <c r="D29" s="139">
        <v>6.7</v>
      </c>
      <c r="E29" s="140">
        <v>3</v>
      </c>
      <c r="F29" s="141">
        <f>E29+D29</f>
        <v>9.6999999999999993</v>
      </c>
      <c r="G29" s="66" t="s">
        <v>163</v>
      </c>
    </row>
    <row r="30" spans="1:16" ht="13" x14ac:dyDescent="0.15">
      <c r="A30" s="158" t="s">
        <v>313</v>
      </c>
      <c r="B30" s="115" t="s">
        <v>897</v>
      </c>
      <c r="C30" s="115"/>
      <c r="D30" s="158">
        <f>D31+D32</f>
        <v>65.099999999999994</v>
      </c>
      <c r="E30" s="159">
        <f>E31+E32</f>
        <v>14.5</v>
      </c>
      <c r="F30" s="160">
        <f>E30+D30</f>
        <v>79.599999999999994</v>
      </c>
      <c r="G30" s="66" t="s">
        <v>70</v>
      </c>
    </row>
    <row r="31" spans="1:16" ht="13" x14ac:dyDescent="0.15">
      <c r="A31" s="132">
        <v>21</v>
      </c>
      <c r="B31" s="118" t="s">
        <v>882</v>
      </c>
      <c r="C31" s="118" t="s">
        <v>71</v>
      </c>
      <c r="D31" s="139">
        <v>26.8</v>
      </c>
      <c r="E31" s="140">
        <v>6</v>
      </c>
      <c r="F31" s="141">
        <f>E31+D31</f>
        <v>32.799999999999997</v>
      </c>
      <c r="G31" s="66" t="s">
        <v>649</v>
      </c>
      <c r="H31" s="90"/>
      <c r="I31" s="90"/>
      <c r="J31" s="90"/>
      <c r="K31" s="91"/>
      <c r="L31" s="91"/>
      <c r="M31" s="91"/>
      <c r="N31" s="91"/>
      <c r="O31" s="91"/>
      <c r="P31" s="91"/>
    </row>
    <row r="32" spans="1:16" ht="13" x14ac:dyDescent="0.15">
      <c r="A32" s="132">
        <v>22</v>
      </c>
      <c r="B32" s="118" t="s">
        <v>949</v>
      </c>
      <c r="C32" s="118" t="s">
        <v>72</v>
      </c>
      <c r="D32" s="139">
        <v>38.299999999999997</v>
      </c>
      <c r="E32" s="142">
        <f>7+1.5</f>
        <v>8.5</v>
      </c>
      <c r="F32" s="143">
        <f>E32+D32</f>
        <v>46.8</v>
      </c>
      <c r="G32" s="66"/>
      <c r="H32" s="23"/>
      <c r="I32" s="23"/>
      <c r="J32" s="23"/>
    </row>
    <row r="33" spans="1:10" ht="13" x14ac:dyDescent="0.15">
      <c r="A33" s="130" t="s">
        <v>953</v>
      </c>
      <c r="B33" s="115" t="s">
        <v>73</v>
      </c>
      <c r="C33" s="115"/>
      <c r="D33" s="158">
        <f>D36+D37+D38+D42+D35+D40+D41+D39+D34</f>
        <v>89.3</v>
      </c>
      <c r="E33" s="158">
        <f>E36+E37+E38+E42+E35+E40+E41+E39+E34</f>
        <v>14</v>
      </c>
      <c r="F33" s="158">
        <f>F36+F37+F38+F42+F35+F40+F41+F39+F34</f>
        <v>103.3</v>
      </c>
      <c r="G33" s="66" t="s">
        <v>74</v>
      </c>
      <c r="H33" s="23"/>
      <c r="I33" s="23"/>
      <c r="J33" s="23"/>
    </row>
    <row r="34" spans="1:10" ht="13" x14ac:dyDescent="0.15">
      <c r="A34" s="132">
        <v>23</v>
      </c>
      <c r="B34" s="118" t="s">
        <v>674</v>
      </c>
      <c r="C34" s="124"/>
      <c r="D34" s="139">
        <v>1</v>
      </c>
      <c r="E34" s="140">
        <v>0</v>
      </c>
      <c r="F34" s="141">
        <f>D34+E34</f>
        <v>1</v>
      </c>
      <c r="G34" s="66"/>
      <c r="H34" s="23"/>
      <c r="I34" s="23"/>
      <c r="J34" s="23"/>
    </row>
    <row r="35" spans="1:10" ht="13" x14ac:dyDescent="0.15">
      <c r="A35" s="132">
        <v>24</v>
      </c>
      <c r="B35" s="118" t="s">
        <v>75</v>
      </c>
      <c r="C35" s="118" t="s">
        <v>76</v>
      </c>
      <c r="D35" s="139">
        <v>22</v>
      </c>
      <c r="E35" s="140">
        <v>0</v>
      </c>
      <c r="F35" s="141">
        <f t="shared" ref="F35:F51" si="1">E35+D35</f>
        <v>22</v>
      </c>
      <c r="G35" s="66" t="s">
        <v>757</v>
      </c>
      <c r="H35" s="23"/>
      <c r="I35" s="23"/>
      <c r="J35" s="23"/>
    </row>
    <row r="36" spans="1:10" ht="13" x14ac:dyDescent="0.15">
      <c r="A36" s="132">
        <v>25</v>
      </c>
      <c r="B36" s="118" t="s">
        <v>758</v>
      </c>
      <c r="C36" s="118" t="s">
        <v>759</v>
      </c>
      <c r="D36" s="139">
        <v>9.1999999999999993</v>
      </c>
      <c r="E36" s="140">
        <v>5</v>
      </c>
      <c r="F36" s="141">
        <f t="shared" si="1"/>
        <v>14.2</v>
      </c>
      <c r="G36" s="103"/>
      <c r="H36" s="23"/>
      <c r="I36" s="23"/>
      <c r="J36" s="23"/>
    </row>
    <row r="37" spans="1:10" ht="13" x14ac:dyDescent="0.15">
      <c r="A37" s="132">
        <v>26</v>
      </c>
      <c r="B37" s="118" t="s">
        <v>764</v>
      </c>
      <c r="C37" s="118" t="s">
        <v>760</v>
      </c>
      <c r="D37" s="139">
        <v>16.5</v>
      </c>
      <c r="E37" s="140">
        <v>5</v>
      </c>
      <c r="F37" s="141">
        <f t="shared" si="1"/>
        <v>21.5</v>
      </c>
      <c r="G37" s="103"/>
      <c r="H37" s="23"/>
      <c r="I37" s="23"/>
      <c r="J37" s="23"/>
    </row>
    <row r="38" spans="1:10" ht="13" x14ac:dyDescent="0.15">
      <c r="A38" s="132">
        <v>27</v>
      </c>
      <c r="B38" s="118" t="s">
        <v>1571</v>
      </c>
      <c r="C38" s="118" t="s">
        <v>761</v>
      </c>
      <c r="D38" s="139">
        <v>12.5</v>
      </c>
      <c r="E38" s="140">
        <v>1</v>
      </c>
      <c r="F38" s="141">
        <f t="shared" si="1"/>
        <v>13.5</v>
      </c>
      <c r="G38" s="103"/>
      <c r="H38" s="23"/>
      <c r="I38" s="23"/>
      <c r="J38" s="23"/>
    </row>
    <row r="39" spans="1:10" ht="13" x14ac:dyDescent="0.15">
      <c r="A39" s="132">
        <v>28</v>
      </c>
      <c r="B39" s="118" t="s">
        <v>28</v>
      </c>
      <c r="C39" s="118" t="s">
        <v>29</v>
      </c>
      <c r="D39" s="139">
        <f>8.5+3</f>
        <v>11.5</v>
      </c>
      <c r="E39" s="140">
        <v>0</v>
      </c>
      <c r="F39" s="141">
        <f t="shared" si="1"/>
        <v>11.5</v>
      </c>
      <c r="G39" s="66" t="s">
        <v>180</v>
      </c>
      <c r="H39" s="23"/>
      <c r="I39" s="23"/>
      <c r="J39" s="23"/>
    </row>
    <row r="40" spans="1:10" ht="13" x14ac:dyDescent="0.15">
      <c r="A40" s="132">
        <v>29</v>
      </c>
      <c r="B40" s="118" t="s">
        <v>1486</v>
      </c>
      <c r="C40" s="118" t="s">
        <v>1487</v>
      </c>
      <c r="D40" s="139">
        <v>8.1</v>
      </c>
      <c r="E40" s="140">
        <v>3</v>
      </c>
      <c r="F40" s="141">
        <f t="shared" si="1"/>
        <v>11.1</v>
      </c>
      <c r="G40" s="103"/>
      <c r="H40" s="23"/>
      <c r="I40" s="23"/>
      <c r="J40" s="23"/>
    </row>
    <row r="41" spans="1:10" ht="13" x14ac:dyDescent="0.15">
      <c r="A41" s="132">
        <v>30</v>
      </c>
      <c r="B41" s="118" t="s">
        <v>1572</v>
      </c>
      <c r="C41" s="118" t="s">
        <v>1488</v>
      </c>
      <c r="D41" s="139">
        <v>8.5</v>
      </c>
      <c r="E41" s="140">
        <v>0</v>
      </c>
      <c r="F41" s="141">
        <f t="shared" si="1"/>
        <v>8.5</v>
      </c>
      <c r="G41" s="66" t="s">
        <v>1581</v>
      </c>
      <c r="H41" s="23"/>
      <c r="I41" s="23"/>
      <c r="J41" s="23"/>
    </row>
    <row r="42" spans="1:10" ht="13" x14ac:dyDescent="0.15">
      <c r="A42" s="144"/>
      <c r="B42" s="122"/>
      <c r="C42" s="161"/>
      <c r="D42" s="139"/>
      <c r="E42" s="140"/>
      <c r="F42" s="141"/>
      <c r="H42" s="23"/>
      <c r="I42" s="23"/>
      <c r="J42" s="23"/>
    </row>
    <row r="43" spans="1:10" ht="13" x14ac:dyDescent="0.15">
      <c r="A43" s="125" t="s">
        <v>954</v>
      </c>
      <c r="B43" s="126" t="s">
        <v>977</v>
      </c>
      <c r="C43" s="126"/>
      <c r="D43" s="108">
        <f>D45+D46+D47+D48+D44</f>
        <v>104.30000000000001</v>
      </c>
      <c r="E43" s="131">
        <f>SUM(E44:E48)</f>
        <v>1</v>
      </c>
      <c r="F43" s="113">
        <f t="shared" si="1"/>
        <v>105.30000000000001</v>
      </c>
      <c r="G43" s="66"/>
      <c r="H43" s="23"/>
      <c r="I43" s="23"/>
      <c r="J43" s="23"/>
    </row>
    <row r="44" spans="1:10" ht="13" x14ac:dyDescent="0.15">
      <c r="A44" s="117">
        <v>31</v>
      </c>
      <c r="B44" s="93" t="s">
        <v>419</v>
      </c>
      <c r="C44" s="93"/>
      <c r="D44" s="107">
        <v>4</v>
      </c>
      <c r="E44" s="135">
        <v>0</v>
      </c>
      <c r="F44" s="121">
        <f>E44+D44</f>
        <v>4</v>
      </c>
      <c r="G44" s="66" t="s">
        <v>1273</v>
      </c>
      <c r="H44" s="23"/>
      <c r="I44" s="23"/>
      <c r="J44" s="23"/>
    </row>
    <row r="45" spans="1:10" ht="13" x14ac:dyDescent="0.15">
      <c r="A45" s="117"/>
      <c r="B45" s="93"/>
      <c r="C45" s="93"/>
      <c r="D45" s="107"/>
      <c r="E45" s="135"/>
      <c r="F45" s="121"/>
      <c r="G45" s="136" t="s">
        <v>1274</v>
      </c>
      <c r="H45" s="23"/>
      <c r="I45" s="23"/>
      <c r="J45" s="23"/>
    </row>
    <row r="46" spans="1:10" ht="13" x14ac:dyDescent="0.15">
      <c r="A46" s="117">
        <v>32</v>
      </c>
      <c r="B46" s="93" t="s">
        <v>978</v>
      </c>
      <c r="C46" s="93" t="s">
        <v>1275</v>
      </c>
      <c r="D46" s="107">
        <v>19.7</v>
      </c>
      <c r="E46" s="135">
        <v>0</v>
      </c>
      <c r="F46" s="121">
        <f t="shared" si="1"/>
        <v>19.7</v>
      </c>
      <c r="G46" s="103"/>
      <c r="H46" s="23"/>
      <c r="I46" s="23"/>
      <c r="J46" s="23"/>
    </row>
    <row r="47" spans="1:10" ht="13" x14ac:dyDescent="0.15">
      <c r="A47" s="117">
        <v>33</v>
      </c>
      <c r="B47" s="93" t="s">
        <v>979</v>
      </c>
      <c r="C47" s="93" t="s">
        <v>1276</v>
      </c>
      <c r="D47" s="107">
        <v>54.5</v>
      </c>
      <c r="E47" s="135">
        <v>0</v>
      </c>
      <c r="F47" s="121">
        <f t="shared" si="1"/>
        <v>54.5</v>
      </c>
      <c r="G47" s="66" t="s">
        <v>1251</v>
      </c>
      <c r="H47" s="23"/>
      <c r="I47" s="23"/>
      <c r="J47" s="23"/>
    </row>
    <row r="48" spans="1:10" ht="13" x14ac:dyDescent="0.15">
      <c r="A48" s="117">
        <v>34</v>
      </c>
      <c r="B48" s="93" t="s">
        <v>980</v>
      </c>
      <c r="C48" s="93" t="s">
        <v>1252</v>
      </c>
      <c r="D48" s="107">
        <v>26.1</v>
      </c>
      <c r="E48" s="137">
        <v>1</v>
      </c>
      <c r="F48" s="121">
        <f t="shared" si="1"/>
        <v>27.1</v>
      </c>
      <c r="G48" s="103"/>
      <c r="H48" s="23"/>
      <c r="I48" s="23"/>
      <c r="J48" s="23"/>
    </row>
    <row r="49" spans="1:10" ht="13" x14ac:dyDescent="0.15">
      <c r="A49" s="114" t="s">
        <v>981</v>
      </c>
      <c r="B49" s="109" t="s">
        <v>982</v>
      </c>
      <c r="C49" s="109"/>
      <c r="D49" s="108">
        <f>D50+D51</f>
        <v>54.5</v>
      </c>
      <c r="E49" s="131">
        <f>E50+E51</f>
        <v>0</v>
      </c>
      <c r="F49" s="113">
        <f t="shared" si="1"/>
        <v>54.5</v>
      </c>
      <c r="G49" s="103"/>
      <c r="H49" s="23"/>
      <c r="I49" s="23"/>
      <c r="J49" s="23"/>
    </row>
    <row r="50" spans="1:10" ht="13" x14ac:dyDescent="0.15">
      <c r="A50" s="117">
        <v>35</v>
      </c>
      <c r="B50" s="93" t="s">
        <v>983</v>
      </c>
      <c r="C50" s="93" t="s">
        <v>993</v>
      </c>
      <c r="D50" s="107">
        <v>23.5</v>
      </c>
      <c r="E50" s="128">
        <v>0</v>
      </c>
      <c r="F50" s="121">
        <f t="shared" si="1"/>
        <v>23.5</v>
      </c>
      <c r="G50" s="66"/>
      <c r="H50" s="23"/>
      <c r="I50" s="23"/>
      <c r="J50" s="23"/>
    </row>
    <row r="51" spans="1:10" ht="13" x14ac:dyDescent="0.15">
      <c r="A51" s="117">
        <v>36</v>
      </c>
      <c r="B51" s="93" t="s">
        <v>984</v>
      </c>
      <c r="C51" s="93" t="s">
        <v>994</v>
      </c>
      <c r="D51" s="107">
        <v>31</v>
      </c>
      <c r="E51" s="123">
        <v>0</v>
      </c>
      <c r="F51" s="121">
        <f t="shared" si="1"/>
        <v>31</v>
      </c>
      <c r="G51" s="66"/>
      <c r="H51" s="23"/>
      <c r="I51" s="23"/>
      <c r="J51" s="23"/>
    </row>
    <row r="52" spans="1:10" ht="13" x14ac:dyDescent="0.15">
      <c r="A52" s="114"/>
      <c r="B52" s="109" t="s">
        <v>985</v>
      </c>
      <c r="C52" s="109"/>
      <c r="D52" s="110">
        <f>D5+D6+D7+D8+D20+D25+D30+D33+D43+D49</f>
        <v>832.2</v>
      </c>
      <c r="E52" s="110">
        <f>E5+E6+E7+E8+E20+E25+E30+E33+E43+E49</f>
        <v>108.5</v>
      </c>
      <c r="F52" s="110">
        <f>F5+F6+F7+F8+F20+F25+F30+F33+F43+F49</f>
        <v>922.2</v>
      </c>
      <c r="G52" s="103"/>
      <c r="H52" s="23"/>
      <c r="I52" s="23"/>
      <c r="J52" s="23"/>
    </row>
    <row r="53" spans="1:10" ht="13" x14ac:dyDescent="0.15">
      <c r="A53" s="93"/>
      <c r="B53" s="93" t="s">
        <v>995</v>
      </c>
      <c r="C53" s="93"/>
      <c r="D53" s="94"/>
      <c r="E53" s="98"/>
      <c r="F53" s="98"/>
      <c r="G53" s="103"/>
      <c r="H53" s="23"/>
      <c r="I53" s="23"/>
      <c r="J53" s="23"/>
    </row>
    <row r="54" spans="1:10" ht="13" x14ac:dyDescent="0.15">
      <c r="D54" s="8"/>
      <c r="E54" s="64"/>
      <c r="F54" s="64"/>
      <c r="G54" s="103"/>
      <c r="H54" s="23"/>
      <c r="I54" s="23"/>
      <c r="J54" s="23"/>
    </row>
    <row r="55" spans="1:10" ht="13" x14ac:dyDescent="0.15">
      <c r="D55" s="8"/>
      <c r="E55" s="64"/>
      <c r="F55" s="64"/>
      <c r="G55" s="103"/>
      <c r="H55" s="23"/>
      <c r="I55" s="23"/>
      <c r="J55" s="23"/>
    </row>
    <row r="56" spans="1:10" ht="13" x14ac:dyDescent="0.15">
      <c r="B56" t="s">
        <v>184</v>
      </c>
      <c r="D56" s="69" t="s">
        <v>975</v>
      </c>
      <c r="E56" s="64"/>
      <c r="F56" s="64"/>
      <c r="G56" s="103"/>
      <c r="H56" s="23"/>
      <c r="I56" s="23"/>
      <c r="J56" s="23"/>
    </row>
    <row r="57" spans="1:10" ht="13" x14ac:dyDescent="0.15">
      <c r="B57" t="s">
        <v>434</v>
      </c>
      <c r="D57" s="8"/>
      <c r="E57" s="64"/>
      <c r="F57" s="64"/>
      <c r="G57" s="103"/>
      <c r="H57" s="23"/>
      <c r="I57" s="23"/>
      <c r="J57" s="23"/>
    </row>
    <row r="58" spans="1:10" ht="13" x14ac:dyDescent="0.15">
      <c r="B58" t="s">
        <v>1034</v>
      </c>
      <c r="D58" s="8"/>
      <c r="E58" s="64"/>
      <c r="F58" s="64"/>
      <c r="G58" s="103"/>
      <c r="H58" s="23"/>
      <c r="I58" s="23"/>
      <c r="J58" s="23"/>
    </row>
    <row r="59" spans="1:10" ht="13" x14ac:dyDescent="0.15">
      <c r="B59" t="s">
        <v>1035</v>
      </c>
      <c r="D59" s="69" t="s">
        <v>508</v>
      </c>
      <c r="E59" s="64"/>
      <c r="F59" s="64"/>
      <c r="G59" s="103"/>
      <c r="H59" s="23"/>
      <c r="I59" s="23"/>
      <c r="J59" s="23"/>
    </row>
    <row r="60" spans="1:10" ht="13" x14ac:dyDescent="0.15">
      <c r="B60" t="s">
        <v>509</v>
      </c>
      <c r="D60" s="69" t="s">
        <v>510</v>
      </c>
      <c r="E60" s="64"/>
      <c r="F60" s="64"/>
      <c r="G60" s="103"/>
      <c r="H60" s="23"/>
      <c r="I60" s="23"/>
      <c r="J60" s="23"/>
    </row>
    <row r="61" spans="1:10" ht="13" x14ac:dyDescent="0.15">
      <c r="B61" t="s">
        <v>1039</v>
      </c>
      <c r="D61" s="8"/>
      <c r="E61" s="64"/>
      <c r="F61" s="64"/>
      <c r="G61" s="103"/>
      <c r="H61" s="23"/>
      <c r="I61" s="23"/>
      <c r="J61" s="23"/>
    </row>
    <row r="62" spans="1:10" ht="13" x14ac:dyDescent="0.15">
      <c r="B62" t="s">
        <v>1040</v>
      </c>
      <c r="D62" s="8"/>
      <c r="E62" s="64"/>
      <c r="F62" s="64"/>
      <c r="G62" s="103"/>
      <c r="H62" s="23"/>
      <c r="I62" s="23"/>
      <c r="J62" s="23"/>
    </row>
    <row r="63" spans="1:10" ht="13" x14ac:dyDescent="0.15">
      <c r="B63" t="s">
        <v>672</v>
      </c>
      <c r="D63" s="8"/>
      <c r="E63" s="64"/>
      <c r="F63" s="64"/>
      <c r="G63" s="103"/>
      <c r="H63" s="23"/>
      <c r="I63" s="23"/>
      <c r="J63" s="23"/>
    </row>
    <row r="64" spans="1:10" ht="13" x14ac:dyDescent="0.15">
      <c r="B64" t="s">
        <v>673</v>
      </c>
      <c r="D64" s="8"/>
      <c r="E64" s="64"/>
      <c r="F64" s="64"/>
      <c r="G64" s="103"/>
      <c r="H64" s="23"/>
      <c r="I64" s="23"/>
      <c r="J64" s="23"/>
    </row>
    <row r="65" spans="2:10" ht="13" x14ac:dyDescent="0.15">
      <c r="B65" t="s">
        <v>1042</v>
      </c>
      <c r="D65" s="69" t="s">
        <v>1043</v>
      </c>
      <c r="E65" s="64"/>
      <c r="F65" s="64"/>
      <c r="G65" s="103"/>
      <c r="H65" s="23"/>
      <c r="I65" s="23"/>
      <c r="J65" s="23"/>
    </row>
    <row r="66" spans="2:10" ht="13" x14ac:dyDescent="0.15">
      <c r="D66" s="8"/>
      <c r="E66" s="64"/>
      <c r="F66" s="64"/>
      <c r="G66" s="103"/>
      <c r="H66" s="23"/>
      <c r="I66" s="23"/>
      <c r="J66" s="23"/>
    </row>
    <row r="67" spans="2:10" ht="12" customHeight="1" x14ac:dyDescent="0.15">
      <c r="D67" s="8"/>
      <c r="E67" s="64"/>
      <c r="F67" s="64"/>
      <c r="G67" s="103"/>
      <c r="H67" s="23"/>
      <c r="I67" s="23"/>
      <c r="J67" s="23"/>
    </row>
    <row r="68" spans="2:10" ht="13" hidden="1" x14ac:dyDescent="0.15">
      <c r="B68" t="s">
        <v>986</v>
      </c>
      <c r="E68" s="64"/>
      <c r="F68" s="64"/>
      <c r="G68" s="103"/>
      <c r="H68" s="23"/>
      <c r="I68" s="23"/>
      <c r="J68" s="23"/>
    </row>
    <row r="69" spans="2:10" ht="13.5" customHeight="1" x14ac:dyDescent="0.15">
      <c r="E69" s="64"/>
      <c r="F69" s="64"/>
      <c r="G69" s="103"/>
      <c r="H69" s="23"/>
      <c r="I69" s="23"/>
      <c r="J69" s="23"/>
    </row>
    <row r="70" spans="2:10" ht="13" x14ac:dyDescent="0.15">
      <c r="E70" s="64"/>
      <c r="F70" s="64"/>
      <c r="G70" s="103"/>
      <c r="H70" s="23"/>
      <c r="I70" s="23"/>
      <c r="J70" s="23"/>
    </row>
    <row r="71" spans="2:10" ht="13" x14ac:dyDescent="0.15">
      <c r="E71" s="64"/>
      <c r="F71" s="64"/>
      <c r="G71" s="103"/>
      <c r="H71" s="23"/>
      <c r="I71" s="23"/>
      <c r="J71" s="23"/>
    </row>
    <row r="72" spans="2:10" ht="6.75" customHeight="1" x14ac:dyDescent="0.15">
      <c r="E72" s="64"/>
      <c r="F72" s="64"/>
      <c r="G72" s="103"/>
      <c r="H72" s="23"/>
      <c r="I72" s="23"/>
      <c r="J72" s="23"/>
    </row>
    <row r="73" spans="2:10" ht="13" x14ac:dyDescent="0.15">
      <c r="E73" s="64"/>
      <c r="F73" s="64"/>
      <c r="G73" s="103"/>
      <c r="H73" s="23"/>
      <c r="I73" s="23"/>
      <c r="J73" s="23"/>
    </row>
    <row r="74" spans="2:10" ht="13" x14ac:dyDescent="0.15">
      <c r="E74" s="64"/>
      <c r="F74" s="64"/>
      <c r="G74" s="103"/>
      <c r="H74" s="23"/>
      <c r="I74" s="23"/>
      <c r="J74" s="23"/>
    </row>
    <row r="75" spans="2:10" ht="13" x14ac:dyDescent="0.15">
      <c r="E75" s="64"/>
      <c r="F75" s="64"/>
      <c r="G75" s="103"/>
      <c r="H75" s="23"/>
      <c r="I75" s="23"/>
      <c r="J75" s="23"/>
    </row>
    <row r="76" spans="2:10" ht="13" x14ac:dyDescent="0.15">
      <c r="E76" s="64"/>
      <c r="F76" s="64"/>
      <c r="G76" s="103"/>
      <c r="H76" s="23"/>
      <c r="I76" s="23"/>
      <c r="J76" s="23"/>
    </row>
    <row r="77" spans="2:10" ht="13" x14ac:dyDescent="0.15">
      <c r="E77" s="64"/>
      <c r="F77" s="64"/>
      <c r="G77" s="103"/>
      <c r="H77" s="23"/>
      <c r="I77" s="23"/>
      <c r="J77" s="23"/>
    </row>
    <row r="78" spans="2:10" ht="13" x14ac:dyDescent="0.15">
      <c r="E78" s="64"/>
      <c r="F78" s="64"/>
      <c r="G78" s="103"/>
      <c r="H78" s="23"/>
      <c r="I78" s="23"/>
      <c r="J78" s="23"/>
    </row>
    <row r="79" spans="2:10" ht="13" x14ac:dyDescent="0.15">
      <c r="E79" s="64"/>
      <c r="F79" s="64"/>
      <c r="G79" s="103"/>
      <c r="H79" s="23"/>
      <c r="I79" s="23"/>
      <c r="J79" s="23"/>
    </row>
    <row r="80" spans="2:10" ht="13" x14ac:dyDescent="0.15">
      <c r="E80" s="64"/>
      <c r="F80" s="64"/>
      <c r="G80" s="103"/>
      <c r="H80" s="23"/>
      <c r="I80" s="23"/>
      <c r="J80" s="23"/>
    </row>
    <row r="81" spans="5:10" ht="13" x14ac:dyDescent="0.15">
      <c r="E81" s="64"/>
      <c r="F81" s="64"/>
      <c r="G81" s="103"/>
      <c r="H81" s="23"/>
      <c r="I81" s="23"/>
      <c r="J81" s="23"/>
    </row>
    <row r="82" spans="5:10" ht="13" x14ac:dyDescent="0.15">
      <c r="E82" s="64"/>
      <c r="F82" s="64"/>
      <c r="G82" s="103"/>
      <c r="H82" s="23"/>
      <c r="I82" s="23"/>
      <c r="J82" s="23"/>
    </row>
    <row r="83" spans="5:10" ht="13" x14ac:dyDescent="0.15">
      <c r="E83" s="64"/>
      <c r="F83" s="64"/>
      <c r="G83" s="103"/>
      <c r="H83" s="23"/>
      <c r="I83" s="23"/>
      <c r="J83" s="23"/>
    </row>
    <row r="84" spans="5:10" ht="13" x14ac:dyDescent="0.15">
      <c r="E84" s="64"/>
      <c r="F84" s="64"/>
      <c r="G84" s="103"/>
      <c r="H84" s="23"/>
      <c r="I84" s="23"/>
      <c r="J84" s="23"/>
    </row>
    <row r="85" spans="5:10" ht="13" x14ac:dyDescent="0.15">
      <c r="E85" s="64"/>
      <c r="F85" s="64"/>
      <c r="G85" s="103"/>
      <c r="H85" s="23"/>
      <c r="I85" s="23"/>
      <c r="J85" s="23"/>
    </row>
    <row r="86" spans="5:10" ht="13" x14ac:dyDescent="0.15">
      <c r="E86" s="64"/>
      <c r="F86" s="64"/>
      <c r="G86" s="103"/>
      <c r="H86" s="23"/>
      <c r="I86" s="23"/>
      <c r="J86" s="23"/>
    </row>
    <row r="87" spans="5:10" ht="13" x14ac:dyDescent="0.15">
      <c r="E87" s="64"/>
      <c r="F87" s="64"/>
      <c r="G87" s="103"/>
      <c r="H87" s="23"/>
      <c r="I87" s="23"/>
      <c r="J87" s="23"/>
    </row>
    <row r="88" spans="5:10" ht="13" x14ac:dyDescent="0.15">
      <c r="E88" s="64"/>
      <c r="F88" s="64"/>
      <c r="G88" s="103"/>
      <c r="H88" s="23"/>
      <c r="I88" s="23"/>
      <c r="J88" s="23"/>
    </row>
    <row r="89" spans="5:10" ht="13" x14ac:dyDescent="0.15">
      <c r="E89" s="64"/>
      <c r="F89" s="64"/>
      <c r="G89" s="103"/>
      <c r="H89" s="23"/>
      <c r="I89" s="23"/>
      <c r="J89" s="23"/>
    </row>
    <row r="90" spans="5:10" ht="13" x14ac:dyDescent="0.15">
      <c r="E90" s="64"/>
      <c r="F90" s="64"/>
      <c r="G90" s="103"/>
      <c r="H90" s="23"/>
      <c r="I90" s="23"/>
      <c r="J90" s="23"/>
    </row>
    <row r="91" spans="5:10" ht="13" x14ac:dyDescent="0.15">
      <c r="E91" s="64"/>
      <c r="F91" s="64"/>
      <c r="G91" s="103"/>
      <c r="H91" s="23"/>
      <c r="I91" s="23"/>
      <c r="J91" s="23"/>
    </row>
    <row r="92" spans="5:10" ht="13" x14ac:dyDescent="0.15">
      <c r="E92" s="64"/>
      <c r="F92" s="64"/>
      <c r="G92" s="103"/>
      <c r="H92" s="23"/>
      <c r="I92" s="23"/>
      <c r="J92" s="23"/>
    </row>
    <row r="93" spans="5:10" ht="13" x14ac:dyDescent="0.15">
      <c r="E93" s="64"/>
      <c r="F93" s="64"/>
      <c r="G93" s="103"/>
      <c r="H93" s="23"/>
      <c r="I93" s="23"/>
      <c r="J93" s="23"/>
    </row>
    <row r="94" spans="5:10" ht="13" x14ac:dyDescent="0.15">
      <c r="E94" s="64"/>
      <c r="F94" s="64"/>
      <c r="G94" s="103"/>
      <c r="H94" s="23"/>
      <c r="I94" s="23"/>
      <c r="J94" s="23"/>
    </row>
    <row r="95" spans="5:10" ht="13" x14ac:dyDescent="0.15">
      <c r="E95" s="64"/>
      <c r="F95" s="64"/>
      <c r="G95" s="103"/>
      <c r="H95" s="23"/>
      <c r="I95" s="23"/>
      <c r="J95" s="23"/>
    </row>
    <row r="96" spans="5:10" ht="13" x14ac:dyDescent="0.15">
      <c r="E96" s="64"/>
      <c r="F96" s="64"/>
      <c r="G96" s="103"/>
      <c r="H96" s="23"/>
      <c r="I96" s="23"/>
      <c r="J96" s="23"/>
    </row>
    <row r="97" spans="5:10" ht="13" x14ac:dyDescent="0.15">
      <c r="E97" s="64"/>
      <c r="F97" s="64"/>
      <c r="G97" s="103"/>
      <c r="H97" s="23"/>
      <c r="I97" s="23"/>
      <c r="J97" s="23"/>
    </row>
    <row r="98" spans="5:10" ht="13" x14ac:dyDescent="0.15">
      <c r="E98" s="64"/>
      <c r="F98" s="64"/>
      <c r="G98" s="103"/>
      <c r="H98" s="23"/>
      <c r="I98" s="23"/>
      <c r="J98" s="23"/>
    </row>
    <row r="99" spans="5:10" ht="13" x14ac:dyDescent="0.15">
      <c r="E99" s="64"/>
      <c r="F99" s="64"/>
      <c r="G99" s="103"/>
      <c r="H99" s="23"/>
      <c r="I99" s="23"/>
      <c r="J99" s="23"/>
    </row>
    <row r="100" spans="5:10" ht="13" x14ac:dyDescent="0.15">
      <c r="E100" s="64"/>
      <c r="F100" s="64"/>
      <c r="G100" s="103"/>
      <c r="H100" s="23"/>
      <c r="I100" s="23"/>
      <c r="J100" s="23"/>
    </row>
    <row r="101" spans="5:10" ht="13" x14ac:dyDescent="0.15">
      <c r="E101" s="64"/>
      <c r="F101" s="64"/>
      <c r="G101" s="103"/>
      <c r="H101" s="23"/>
      <c r="I101" s="23"/>
      <c r="J101" s="23"/>
    </row>
    <row r="102" spans="5:10" ht="13" x14ac:dyDescent="0.15">
      <c r="E102" s="64"/>
      <c r="F102" s="64"/>
      <c r="G102" s="103"/>
      <c r="H102" s="23"/>
      <c r="I102" s="23"/>
      <c r="J102" s="23"/>
    </row>
    <row r="103" spans="5:10" ht="13" x14ac:dyDescent="0.15">
      <c r="E103" s="64"/>
      <c r="F103" s="64"/>
      <c r="G103" s="103"/>
      <c r="H103" s="23"/>
      <c r="I103" s="23"/>
      <c r="J103" s="23"/>
    </row>
    <row r="104" spans="5:10" ht="13" x14ac:dyDescent="0.15">
      <c r="E104" s="64"/>
      <c r="F104" s="64"/>
      <c r="G104" s="103"/>
      <c r="H104" s="23"/>
      <c r="I104" s="23"/>
      <c r="J104" s="23"/>
    </row>
    <row r="105" spans="5:10" ht="13" x14ac:dyDescent="0.15">
      <c r="E105" s="64"/>
      <c r="F105" s="64"/>
      <c r="G105" s="103"/>
      <c r="H105" s="23"/>
      <c r="I105" s="23"/>
      <c r="J105" s="23"/>
    </row>
    <row r="106" spans="5:10" ht="13" x14ac:dyDescent="0.15">
      <c r="E106" s="64"/>
      <c r="F106" s="64"/>
      <c r="G106" s="103"/>
      <c r="H106" s="23"/>
      <c r="I106" s="23"/>
      <c r="J106" s="23"/>
    </row>
    <row r="107" spans="5:10" ht="13" x14ac:dyDescent="0.15">
      <c r="E107" s="64"/>
      <c r="F107" s="64"/>
      <c r="G107" s="103"/>
      <c r="H107" s="23"/>
      <c r="I107" s="23"/>
      <c r="J107" s="23"/>
    </row>
    <row r="108" spans="5:10" ht="13" x14ac:dyDescent="0.15">
      <c r="E108" s="64"/>
      <c r="F108" s="64"/>
      <c r="G108" s="103"/>
      <c r="H108" s="23"/>
      <c r="I108" s="23"/>
      <c r="J108" s="23"/>
    </row>
    <row r="109" spans="5:10" ht="13" x14ac:dyDescent="0.15">
      <c r="E109" s="64"/>
      <c r="F109" s="64"/>
      <c r="G109" s="103"/>
      <c r="H109" s="23"/>
      <c r="I109" s="23"/>
      <c r="J109" s="23"/>
    </row>
    <row r="110" spans="5:10" ht="13" x14ac:dyDescent="0.15">
      <c r="E110" s="64"/>
      <c r="F110" s="64"/>
      <c r="G110" s="103"/>
      <c r="H110" s="23"/>
      <c r="I110" s="23"/>
      <c r="J110" s="23"/>
    </row>
    <row r="111" spans="5:10" ht="13" x14ac:dyDescent="0.15">
      <c r="E111" s="64"/>
      <c r="F111" s="64"/>
      <c r="G111" s="103"/>
      <c r="H111" s="23"/>
      <c r="I111" s="23"/>
      <c r="J111" s="23"/>
    </row>
    <row r="112" spans="5:10" ht="13" x14ac:dyDescent="0.15">
      <c r="E112" s="64"/>
      <c r="F112" s="64"/>
      <c r="G112" s="103"/>
      <c r="H112" s="23"/>
      <c r="I112" s="23"/>
      <c r="J112" s="23"/>
    </row>
    <row r="113" spans="5:10" ht="13" x14ac:dyDescent="0.15">
      <c r="E113" s="64"/>
      <c r="F113" s="64"/>
      <c r="G113" s="103"/>
      <c r="H113" s="23"/>
      <c r="I113" s="23"/>
      <c r="J113" s="23"/>
    </row>
    <row r="114" spans="5:10" ht="13" x14ac:dyDescent="0.15">
      <c r="E114" s="64"/>
      <c r="F114" s="64"/>
      <c r="G114" s="103"/>
      <c r="H114" s="23"/>
      <c r="I114" s="23"/>
      <c r="J114" s="23"/>
    </row>
    <row r="115" spans="5:10" ht="13" x14ac:dyDescent="0.15">
      <c r="E115" s="64"/>
      <c r="F115" s="64"/>
      <c r="G115" s="103"/>
      <c r="H115" s="23"/>
      <c r="I115" s="23"/>
      <c r="J115" s="23"/>
    </row>
    <row r="116" spans="5:10" ht="13" x14ac:dyDescent="0.15">
      <c r="E116" s="64"/>
      <c r="F116" s="64"/>
      <c r="G116" s="103"/>
      <c r="H116" s="23"/>
      <c r="I116" s="23"/>
      <c r="J116" s="23"/>
    </row>
    <row r="117" spans="5:10" ht="13" x14ac:dyDescent="0.15">
      <c r="E117" s="64"/>
      <c r="F117" s="64"/>
      <c r="G117" s="103"/>
      <c r="H117" s="23"/>
      <c r="I117" s="23"/>
      <c r="J117" s="23"/>
    </row>
    <row r="118" spans="5:10" ht="13" x14ac:dyDescent="0.15">
      <c r="E118" s="64"/>
      <c r="F118" s="64"/>
      <c r="G118" s="103"/>
      <c r="H118" s="23"/>
      <c r="I118" s="23"/>
      <c r="J118" s="23"/>
    </row>
    <row r="119" spans="5:10" ht="13" x14ac:dyDescent="0.15">
      <c r="E119" s="64"/>
      <c r="F119" s="64"/>
      <c r="G119" s="103"/>
      <c r="H119" s="23"/>
      <c r="I119" s="23"/>
      <c r="J119" s="23"/>
    </row>
    <row r="120" spans="5:10" ht="13" x14ac:dyDescent="0.15">
      <c r="E120" s="64"/>
      <c r="F120" s="64"/>
      <c r="G120" s="103"/>
      <c r="H120" s="23"/>
      <c r="I120" s="23"/>
      <c r="J120" s="23"/>
    </row>
    <row r="121" spans="5:10" ht="13" x14ac:dyDescent="0.15">
      <c r="E121" s="64"/>
      <c r="F121" s="64"/>
      <c r="G121" s="103"/>
      <c r="H121" s="23"/>
      <c r="I121" s="23"/>
      <c r="J121" s="23"/>
    </row>
    <row r="122" spans="5:10" ht="13" x14ac:dyDescent="0.15">
      <c r="E122" s="64"/>
      <c r="F122" s="64"/>
      <c r="G122" s="103"/>
      <c r="H122" s="23"/>
      <c r="I122" s="23"/>
      <c r="J122" s="23"/>
    </row>
    <row r="123" spans="5:10" ht="13" x14ac:dyDescent="0.15">
      <c r="E123" s="64"/>
      <c r="F123" s="64"/>
      <c r="G123" s="103"/>
      <c r="H123" s="23"/>
      <c r="I123" s="23"/>
      <c r="J123" s="23"/>
    </row>
    <row r="124" spans="5:10" ht="13" x14ac:dyDescent="0.15">
      <c r="E124" s="64"/>
      <c r="F124" s="64"/>
      <c r="G124" s="103"/>
      <c r="H124" s="23"/>
      <c r="I124" s="23"/>
      <c r="J124" s="23"/>
    </row>
    <row r="125" spans="5:10" ht="13" x14ac:dyDescent="0.15">
      <c r="E125" s="64"/>
      <c r="F125" s="64"/>
      <c r="G125" s="103"/>
      <c r="H125" s="23"/>
      <c r="I125" s="23"/>
      <c r="J125" s="23"/>
    </row>
    <row r="126" spans="5:10" ht="13" x14ac:dyDescent="0.15">
      <c r="E126" s="64"/>
      <c r="F126" s="64"/>
      <c r="G126" s="103"/>
      <c r="H126" s="23"/>
      <c r="I126" s="23"/>
      <c r="J126" s="23"/>
    </row>
    <row r="127" spans="5:10" ht="13" x14ac:dyDescent="0.15">
      <c r="E127" s="64"/>
      <c r="F127" s="64"/>
      <c r="G127" s="103"/>
      <c r="H127" s="23"/>
      <c r="I127" s="23"/>
      <c r="J127" s="23"/>
    </row>
    <row r="128" spans="5:10" ht="13" x14ac:dyDescent="0.15">
      <c r="E128" s="64"/>
      <c r="F128" s="64"/>
      <c r="G128" s="103"/>
      <c r="H128" s="23"/>
      <c r="I128" s="23"/>
      <c r="J128" s="23"/>
    </row>
    <row r="129" spans="5:10" ht="13" x14ac:dyDescent="0.15">
      <c r="E129" s="64"/>
      <c r="F129" s="64"/>
      <c r="G129" s="103"/>
      <c r="H129" s="23"/>
      <c r="I129" s="23"/>
      <c r="J129" s="23"/>
    </row>
    <row r="130" spans="5:10" ht="13" x14ac:dyDescent="0.15">
      <c r="E130" s="64"/>
      <c r="F130" s="64"/>
      <c r="G130" s="103"/>
      <c r="H130" s="23"/>
      <c r="I130" s="23"/>
      <c r="J130" s="23"/>
    </row>
    <row r="131" spans="5:10" ht="13" x14ac:dyDescent="0.15">
      <c r="E131" s="64"/>
      <c r="F131" s="64"/>
      <c r="G131" s="103"/>
      <c r="H131" s="23"/>
      <c r="I131" s="23"/>
      <c r="J131" s="23"/>
    </row>
    <row r="132" spans="5:10" ht="13" x14ac:dyDescent="0.15">
      <c r="E132" s="64"/>
      <c r="F132" s="64"/>
      <c r="G132" s="103"/>
      <c r="H132" s="23"/>
      <c r="I132" s="23"/>
      <c r="J132" s="23"/>
    </row>
    <row r="133" spans="5:10" ht="13" x14ac:dyDescent="0.15">
      <c r="E133" s="64"/>
      <c r="F133" s="64"/>
      <c r="G133" s="103"/>
      <c r="H133" s="23"/>
      <c r="I133" s="23"/>
      <c r="J133" s="23"/>
    </row>
    <row r="134" spans="5:10" ht="13" x14ac:dyDescent="0.15">
      <c r="E134" s="64"/>
      <c r="F134" s="64"/>
      <c r="G134" s="103"/>
      <c r="H134" s="23"/>
      <c r="I134" s="23"/>
      <c r="J134" s="23"/>
    </row>
    <row r="135" spans="5:10" ht="13" x14ac:dyDescent="0.15">
      <c r="E135" s="64"/>
      <c r="F135" s="64"/>
      <c r="G135" s="103"/>
      <c r="H135" s="23"/>
      <c r="I135" s="23"/>
      <c r="J135" s="23"/>
    </row>
    <row r="136" spans="5:10" ht="13" x14ac:dyDescent="0.15">
      <c r="E136" s="64"/>
      <c r="F136" s="64"/>
      <c r="G136" s="103"/>
      <c r="H136" s="23"/>
      <c r="I136" s="23"/>
      <c r="J136" s="23"/>
    </row>
    <row r="137" spans="5:10" ht="13" x14ac:dyDescent="0.15">
      <c r="E137" s="64"/>
      <c r="F137" s="64"/>
      <c r="G137" s="103"/>
      <c r="H137" s="23"/>
      <c r="I137" s="23"/>
      <c r="J137" s="23"/>
    </row>
    <row r="138" spans="5:10" ht="13" x14ac:dyDescent="0.15">
      <c r="E138" s="64"/>
      <c r="F138" s="64"/>
      <c r="G138" s="103"/>
      <c r="H138" s="23"/>
      <c r="I138" s="23"/>
      <c r="J138" s="23"/>
    </row>
    <row r="139" spans="5:10" ht="13" x14ac:dyDescent="0.15">
      <c r="E139" s="64"/>
      <c r="F139" s="64"/>
      <c r="G139" s="103"/>
      <c r="H139" s="23"/>
      <c r="I139" s="23"/>
      <c r="J139" s="23"/>
    </row>
    <row r="140" spans="5:10" ht="13" x14ac:dyDescent="0.15">
      <c r="E140" s="64"/>
      <c r="F140" s="64"/>
      <c r="G140" s="103"/>
      <c r="H140" s="23"/>
      <c r="I140" s="23"/>
      <c r="J140" s="23"/>
    </row>
    <row r="141" spans="5:10" ht="13" x14ac:dyDescent="0.15">
      <c r="E141" s="64"/>
      <c r="F141" s="64"/>
      <c r="G141" s="103"/>
      <c r="H141" s="23"/>
      <c r="I141" s="23"/>
      <c r="J141" s="23"/>
    </row>
    <row r="142" spans="5:10" ht="13" x14ac:dyDescent="0.15">
      <c r="E142" s="64"/>
      <c r="F142" s="64"/>
      <c r="G142" s="103"/>
      <c r="H142" s="23"/>
      <c r="I142" s="23"/>
      <c r="J142" s="23"/>
    </row>
    <row r="143" spans="5:10" ht="13" x14ac:dyDescent="0.15">
      <c r="E143" s="64"/>
      <c r="F143" s="64"/>
      <c r="G143" s="103"/>
      <c r="H143" s="23"/>
      <c r="I143" s="23"/>
      <c r="J143" s="23"/>
    </row>
    <row r="144" spans="5:10" ht="13" x14ac:dyDescent="0.15">
      <c r="E144" s="64"/>
      <c r="F144" s="64"/>
      <c r="G144" s="103"/>
      <c r="H144" s="23"/>
      <c r="I144" s="23"/>
      <c r="J144" s="23"/>
    </row>
    <row r="145" spans="5:10" ht="13" x14ac:dyDescent="0.15">
      <c r="E145" s="64"/>
      <c r="F145" s="64"/>
      <c r="G145" s="103"/>
      <c r="H145" s="23"/>
      <c r="I145" s="23"/>
      <c r="J145" s="23"/>
    </row>
    <row r="146" spans="5:10" ht="13" x14ac:dyDescent="0.15">
      <c r="E146" s="64"/>
      <c r="F146" s="64"/>
      <c r="G146" s="103"/>
      <c r="H146" s="23"/>
      <c r="I146" s="23"/>
      <c r="J146" s="23"/>
    </row>
    <row r="147" spans="5:10" ht="13" x14ac:dyDescent="0.15">
      <c r="E147" s="64"/>
      <c r="F147" s="64"/>
      <c r="G147" s="103"/>
      <c r="H147" s="23"/>
      <c r="I147" s="23"/>
      <c r="J147" s="23"/>
    </row>
    <row r="148" spans="5:10" ht="13" x14ac:dyDescent="0.15">
      <c r="E148" s="64"/>
      <c r="F148" s="64"/>
      <c r="G148" s="103"/>
      <c r="H148" s="23"/>
      <c r="I148" s="23"/>
      <c r="J148" s="23"/>
    </row>
    <row r="149" spans="5:10" ht="13" x14ac:dyDescent="0.15">
      <c r="E149" s="64"/>
      <c r="F149" s="64"/>
      <c r="G149" s="103"/>
      <c r="H149" s="23"/>
      <c r="I149" s="23"/>
      <c r="J149" s="23"/>
    </row>
    <row r="150" spans="5:10" ht="13" x14ac:dyDescent="0.15">
      <c r="E150" s="64"/>
      <c r="F150" s="64"/>
      <c r="G150" s="103"/>
      <c r="H150" s="23"/>
      <c r="I150" s="23"/>
      <c r="J150" s="23"/>
    </row>
    <row r="151" spans="5:10" ht="13" x14ac:dyDescent="0.15">
      <c r="E151" s="64"/>
      <c r="F151" s="64"/>
      <c r="G151" s="103"/>
      <c r="H151" s="23"/>
      <c r="I151" s="23"/>
      <c r="J151" s="23"/>
    </row>
    <row r="152" spans="5:10" ht="13" x14ac:dyDescent="0.15">
      <c r="E152" s="64"/>
      <c r="F152" s="64"/>
      <c r="G152" s="103"/>
      <c r="H152" s="23"/>
      <c r="I152" s="23"/>
      <c r="J152" s="23"/>
    </row>
    <row r="153" spans="5:10" ht="13" x14ac:dyDescent="0.15">
      <c r="E153" s="64"/>
      <c r="F153" s="64"/>
      <c r="G153" s="103"/>
      <c r="H153" s="23"/>
      <c r="I153" s="23"/>
      <c r="J153" s="23"/>
    </row>
    <row r="154" spans="5:10" ht="13" x14ac:dyDescent="0.15">
      <c r="E154" s="64"/>
      <c r="F154" s="64"/>
      <c r="G154" s="103"/>
      <c r="H154" s="23"/>
      <c r="I154" s="23"/>
      <c r="J154" s="23"/>
    </row>
    <row r="155" spans="5:10" ht="13" x14ac:dyDescent="0.15">
      <c r="E155" s="64"/>
      <c r="F155" s="64"/>
      <c r="G155" s="103"/>
      <c r="H155" s="23"/>
      <c r="I155" s="23"/>
      <c r="J155" s="23"/>
    </row>
    <row r="156" spans="5:10" ht="13" x14ac:dyDescent="0.15">
      <c r="E156" s="64"/>
      <c r="F156" s="64"/>
      <c r="G156" s="103"/>
      <c r="H156" s="23"/>
      <c r="I156" s="23"/>
      <c r="J156" s="23"/>
    </row>
    <row r="157" spans="5:10" ht="13" x14ac:dyDescent="0.15">
      <c r="E157" s="64"/>
      <c r="F157" s="64"/>
      <c r="G157" s="103"/>
      <c r="H157" s="23"/>
      <c r="I157" s="23"/>
      <c r="J157" s="23"/>
    </row>
    <row r="158" spans="5:10" ht="13" x14ac:dyDescent="0.15">
      <c r="E158" s="64"/>
      <c r="F158" s="64"/>
      <c r="G158" s="103"/>
      <c r="H158" s="23"/>
      <c r="I158" s="23"/>
      <c r="J158" s="23"/>
    </row>
    <row r="159" spans="5:10" ht="13" x14ac:dyDescent="0.15">
      <c r="E159" s="64"/>
      <c r="F159" s="64"/>
      <c r="G159" s="103"/>
      <c r="H159" s="23"/>
      <c r="I159" s="23"/>
      <c r="J159" s="23"/>
    </row>
    <row r="160" spans="5:10" ht="13" x14ac:dyDescent="0.15">
      <c r="E160" s="64"/>
      <c r="F160" s="64"/>
      <c r="G160" s="103"/>
      <c r="H160" s="23"/>
      <c r="I160" s="23"/>
      <c r="J160" s="23"/>
    </row>
    <row r="161" spans="5:10" ht="13" x14ac:dyDescent="0.15">
      <c r="E161" s="64"/>
      <c r="F161" s="64"/>
      <c r="G161" s="103"/>
      <c r="H161" s="23"/>
      <c r="I161" s="23"/>
      <c r="J161" s="23"/>
    </row>
    <row r="162" spans="5:10" ht="13" x14ac:dyDescent="0.15">
      <c r="E162" s="64"/>
      <c r="F162" s="64"/>
      <c r="G162" s="103"/>
      <c r="H162" s="23"/>
      <c r="I162" s="23"/>
      <c r="J162" s="23"/>
    </row>
    <row r="163" spans="5:10" ht="13" x14ac:dyDescent="0.15">
      <c r="E163" s="64"/>
      <c r="F163" s="64"/>
      <c r="G163" s="103"/>
      <c r="H163" s="23"/>
      <c r="I163" s="23"/>
      <c r="J163" s="23"/>
    </row>
    <row r="164" spans="5:10" ht="13" x14ac:dyDescent="0.15">
      <c r="E164" s="64"/>
      <c r="F164" s="64"/>
      <c r="G164" s="103"/>
      <c r="H164" s="23"/>
      <c r="I164" s="23"/>
      <c r="J164" s="23"/>
    </row>
    <row r="165" spans="5:10" ht="13" x14ac:dyDescent="0.15">
      <c r="E165" s="64"/>
      <c r="F165" s="64"/>
      <c r="G165" s="103"/>
      <c r="H165" s="23"/>
      <c r="I165" s="23"/>
      <c r="J165" s="23"/>
    </row>
    <row r="166" spans="5:10" ht="13" x14ac:dyDescent="0.15">
      <c r="E166" s="64"/>
      <c r="F166" s="64"/>
      <c r="G166" s="103"/>
      <c r="H166" s="23"/>
      <c r="I166" s="23"/>
      <c r="J166" s="23"/>
    </row>
    <row r="167" spans="5:10" ht="13" x14ac:dyDescent="0.15">
      <c r="E167" s="64"/>
      <c r="F167" s="64"/>
      <c r="G167" s="103"/>
      <c r="H167" s="23"/>
      <c r="I167" s="23"/>
      <c r="J167" s="23"/>
    </row>
    <row r="168" spans="5:10" ht="13" x14ac:dyDescent="0.15">
      <c r="E168" s="64"/>
      <c r="F168" s="64"/>
      <c r="G168" s="103"/>
      <c r="H168" s="23"/>
      <c r="I168" s="23"/>
      <c r="J168" s="23"/>
    </row>
    <row r="169" spans="5:10" ht="13" x14ac:dyDescent="0.15">
      <c r="E169" s="64"/>
      <c r="F169" s="64"/>
      <c r="G169" s="103"/>
      <c r="H169" s="23"/>
      <c r="I169" s="23"/>
      <c r="J169" s="23"/>
    </row>
    <row r="170" spans="5:10" ht="13" x14ac:dyDescent="0.15">
      <c r="E170" s="64"/>
      <c r="F170" s="64"/>
      <c r="G170" s="103"/>
      <c r="H170" s="23"/>
      <c r="I170" s="23"/>
      <c r="J170" s="23"/>
    </row>
    <row r="171" spans="5:10" ht="13" x14ac:dyDescent="0.15">
      <c r="E171" s="64"/>
      <c r="F171" s="64"/>
      <c r="G171" s="103"/>
      <c r="H171" s="23"/>
      <c r="I171" s="23"/>
      <c r="J171" s="23"/>
    </row>
    <row r="172" spans="5:10" ht="13" x14ac:dyDescent="0.15">
      <c r="E172" s="64"/>
      <c r="F172" s="64"/>
      <c r="G172" s="103"/>
      <c r="H172" s="23"/>
      <c r="I172" s="23"/>
      <c r="J172" s="23"/>
    </row>
    <row r="173" spans="5:10" ht="13" x14ac:dyDescent="0.15">
      <c r="E173" s="64"/>
      <c r="F173" s="64"/>
      <c r="G173" s="103"/>
      <c r="H173" s="23"/>
      <c r="I173" s="23"/>
      <c r="J173" s="23"/>
    </row>
    <row r="174" spans="5:10" ht="13" x14ac:dyDescent="0.15">
      <c r="E174" s="64"/>
      <c r="F174" s="64"/>
      <c r="G174" s="103"/>
      <c r="H174" s="23"/>
      <c r="I174" s="23"/>
      <c r="J174" s="23"/>
    </row>
    <row r="175" spans="5:10" ht="13" x14ac:dyDescent="0.15">
      <c r="E175" s="64"/>
      <c r="F175" s="64"/>
      <c r="G175" s="103"/>
      <c r="H175" s="23"/>
      <c r="I175" s="23"/>
      <c r="J175" s="23"/>
    </row>
    <row r="176" spans="5:10" ht="13" x14ac:dyDescent="0.15">
      <c r="E176" s="64"/>
      <c r="F176" s="64"/>
      <c r="G176" s="103"/>
      <c r="H176" s="23"/>
      <c r="I176" s="23"/>
      <c r="J176" s="23"/>
    </row>
    <row r="177" spans="5:10" ht="13" x14ac:dyDescent="0.15">
      <c r="E177" s="64"/>
      <c r="F177" s="64"/>
      <c r="G177" s="103"/>
      <c r="H177" s="23"/>
      <c r="I177" s="23"/>
      <c r="J177" s="23"/>
    </row>
    <row r="178" spans="5:10" ht="13" x14ac:dyDescent="0.15">
      <c r="E178" s="64"/>
      <c r="F178" s="64"/>
      <c r="G178" s="103"/>
      <c r="H178" s="23"/>
      <c r="I178" s="23"/>
      <c r="J178" s="23"/>
    </row>
    <row r="179" spans="5:10" ht="13" x14ac:dyDescent="0.15">
      <c r="E179" s="64"/>
      <c r="F179" s="64"/>
      <c r="G179" s="103"/>
      <c r="H179" s="23"/>
      <c r="I179" s="23"/>
      <c r="J179" s="23"/>
    </row>
    <row r="180" spans="5:10" ht="13" x14ac:dyDescent="0.15">
      <c r="E180" s="64"/>
      <c r="F180" s="64"/>
      <c r="G180" s="103"/>
      <c r="H180" s="23"/>
      <c r="I180" s="23"/>
      <c r="J180" s="23"/>
    </row>
    <row r="181" spans="5:10" ht="13" x14ac:dyDescent="0.15">
      <c r="E181" s="64"/>
      <c r="F181" s="64"/>
      <c r="G181" s="103"/>
      <c r="H181" s="23"/>
      <c r="I181" s="23"/>
      <c r="J181" s="23"/>
    </row>
    <row r="182" spans="5:10" ht="13" x14ac:dyDescent="0.15">
      <c r="E182" s="64"/>
      <c r="F182" s="64"/>
      <c r="G182" s="103"/>
      <c r="H182" s="23"/>
      <c r="I182" s="23"/>
      <c r="J182" s="23"/>
    </row>
    <row r="183" spans="5:10" ht="13" x14ac:dyDescent="0.15">
      <c r="E183" s="64"/>
      <c r="F183" s="64"/>
      <c r="G183" s="103"/>
      <c r="H183" s="23"/>
      <c r="I183" s="23"/>
      <c r="J183" s="23"/>
    </row>
    <row r="184" spans="5:10" ht="13" x14ac:dyDescent="0.15">
      <c r="E184" s="64"/>
      <c r="F184" s="64"/>
      <c r="G184" s="103"/>
      <c r="H184" s="23"/>
      <c r="I184" s="23"/>
      <c r="J184" s="23"/>
    </row>
    <row r="185" spans="5:10" ht="13" x14ac:dyDescent="0.15">
      <c r="E185" s="64"/>
      <c r="F185" s="64"/>
      <c r="G185" s="103"/>
      <c r="H185" s="23"/>
      <c r="I185" s="23"/>
      <c r="J185" s="23"/>
    </row>
    <row r="186" spans="5:10" ht="13" x14ac:dyDescent="0.15">
      <c r="E186" s="64"/>
      <c r="F186" s="64"/>
      <c r="G186" s="103"/>
      <c r="H186" s="23"/>
      <c r="I186" s="23"/>
      <c r="J186" s="23"/>
    </row>
    <row r="187" spans="5:10" ht="13" x14ac:dyDescent="0.15">
      <c r="E187" s="64"/>
      <c r="F187" s="64"/>
      <c r="G187" s="103"/>
      <c r="H187" s="23"/>
      <c r="I187" s="23"/>
      <c r="J187" s="23"/>
    </row>
    <row r="188" spans="5:10" ht="13" x14ac:dyDescent="0.15">
      <c r="E188" s="64"/>
      <c r="F188" s="64"/>
      <c r="G188" s="103"/>
      <c r="H188" s="23"/>
      <c r="I188" s="23"/>
      <c r="J188" s="23"/>
    </row>
    <row r="189" spans="5:10" ht="13" x14ac:dyDescent="0.15">
      <c r="E189" s="64"/>
      <c r="F189" s="64"/>
      <c r="G189" s="103"/>
      <c r="H189" s="23"/>
      <c r="I189" s="23"/>
      <c r="J189" s="23"/>
    </row>
    <row r="190" spans="5:10" ht="13" x14ac:dyDescent="0.15">
      <c r="E190" s="64"/>
      <c r="F190" s="64"/>
      <c r="G190" s="103"/>
      <c r="H190" s="23"/>
      <c r="I190" s="23"/>
      <c r="J190" s="23"/>
    </row>
    <row r="191" spans="5:10" ht="13" x14ac:dyDescent="0.15">
      <c r="E191" s="64"/>
      <c r="F191" s="64"/>
      <c r="G191" s="103"/>
      <c r="H191" s="23"/>
      <c r="I191" s="23"/>
      <c r="J191" s="23"/>
    </row>
    <row r="192" spans="5:10" ht="13" x14ac:dyDescent="0.15">
      <c r="E192" s="64"/>
      <c r="F192" s="64"/>
      <c r="G192" s="103"/>
      <c r="H192" s="23"/>
      <c r="I192" s="23"/>
      <c r="J192" s="23"/>
    </row>
    <row r="193" spans="5:10" ht="13" x14ac:dyDescent="0.15">
      <c r="E193" s="64"/>
      <c r="F193" s="64"/>
      <c r="G193" s="103"/>
      <c r="H193" s="23"/>
      <c r="I193" s="23"/>
      <c r="J193" s="23"/>
    </row>
    <row r="194" spans="5:10" ht="13" x14ac:dyDescent="0.15">
      <c r="E194" s="64"/>
      <c r="F194" s="64"/>
      <c r="G194" s="103"/>
      <c r="H194" s="23"/>
      <c r="I194" s="23"/>
      <c r="J194" s="23"/>
    </row>
    <row r="195" spans="5:10" ht="13" x14ac:dyDescent="0.15">
      <c r="E195" s="64"/>
      <c r="F195" s="64"/>
      <c r="G195" s="103"/>
      <c r="H195" s="23"/>
      <c r="I195" s="23"/>
      <c r="J195" s="23"/>
    </row>
    <row r="196" spans="5:10" ht="13" x14ac:dyDescent="0.15">
      <c r="E196" s="64"/>
      <c r="F196" s="64"/>
      <c r="G196" s="103"/>
      <c r="H196" s="23"/>
      <c r="I196" s="23"/>
      <c r="J196" s="23"/>
    </row>
    <row r="197" spans="5:10" ht="13" x14ac:dyDescent="0.15">
      <c r="E197" s="64"/>
      <c r="F197" s="64"/>
      <c r="G197" s="103"/>
      <c r="H197" s="23"/>
      <c r="I197" s="23"/>
      <c r="J197" s="23"/>
    </row>
    <row r="198" spans="5:10" ht="13" x14ac:dyDescent="0.15">
      <c r="E198" s="64"/>
      <c r="F198" s="64"/>
      <c r="G198" s="103"/>
      <c r="H198" s="23"/>
      <c r="I198" s="23"/>
      <c r="J198" s="23"/>
    </row>
    <row r="199" spans="5:10" ht="13" x14ac:dyDescent="0.15">
      <c r="E199" s="64"/>
      <c r="F199" s="64"/>
      <c r="G199" s="103"/>
      <c r="H199" s="23"/>
      <c r="I199" s="23"/>
      <c r="J199" s="23"/>
    </row>
    <row r="200" spans="5:10" ht="13" x14ac:dyDescent="0.15">
      <c r="E200" s="64"/>
      <c r="F200" s="64"/>
      <c r="G200" s="103"/>
      <c r="H200" s="23"/>
      <c r="I200" s="23"/>
      <c r="J200" s="23"/>
    </row>
    <row r="201" spans="5:10" ht="13" x14ac:dyDescent="0.15">
      <c r="E201" s="64"/>
      <c r="F201" s="64"/>
      <c r="G201" s="103"/>
      <c r="H201" s="23"/>
      <c r="I201" s="23"/>
      <c r="J201" s="23"/>
    </row>
    <row r="202" spans="5:10" ht="13" x14ac:dyDescent="0.15">
      <c r="E202" s="64"/>
      <c r="F202" s="64"/>
      <c r="G202" s="103"/>
      <c r="H202" s="23"/>
      <c r="I202" s="23"/>
      <c r="J202" s="23"/>
    </row>
    <row r="203" spans="5:10" ht="13" x14ac:dyDescent="0.15">
      <c r="E203" s="64"/>
      <c r="F203" s="64"/>
      <c r="G203" s="103"/>
      <c r="H203" s="23"/>
      <c r="I203" s="23"/>
      <c r="J203" s="23"/>
    </row>
    <row r="204" spans="5:10" ht="13" x14ac:dyDescent="0.15">
      <c r="E204" s="64"/>
      <c r="F204" s="64"/>
      <c r="G204" s="103"/>
      <c r="H204" s="23"/>
      <c r="I204" s="23"/>
      <c r="J204" s="23"/>
    </row>
    <row r="205" spans="5:10" ht="13" x14ac:dyDescent="0.15">
      <c r="E205" s="64"/>
      <c r="F205" s="64"/>
      <c r="G205" s="103"/>
      <c r="H205" s="23"/>
      <c r="I205" s="23"/>
      <c r="J205" s="23"/>
    </row>
    <row r="206" spans="5:10" ht="13" x14ac:dyDescent="0.15">
      <c r="E206" s="64"/>
      <c r="F206" s="64"/>
      <c r="G206" s="103"/>
      <c r="H206" s="23"/>
      <c r="I206" s="23"/>
      <c r="J206" s="23"/>
    </row>
    <row r="207" spans="5:10" ht="13" x14ac:dyDescent="0.15">
      <c r="E207" s="64"/>
      <c r="F207" s="64"/>
      <c r="G207" s="103"/>
      <c r="H207" s="23"/>
      <c r="I207" s="23"/>
      <c r="J207" s="23"/>
    </row>
    <row r="208" spans="5:10" ht="13" x14ac:dyDescent="0.15">
      <c r="E208" s="64"/>
      <c r="F208" s="64"/>
      <c r="G208" s="103"/>
      <c r="H208" s="23"/>
      <c r="I208" s="23"/>
      <c r="J208" s="23"/>
    </row>
    <row r="209" spans="5:10" ht="13" x14ac:dyDescent="0.15">
      <c r="E209" s="64"/>
      <c r="F209" s="64"/>
      <c r="G209" s="103"/>
      <c r="H209" s="23"/>
      <c r="I209" s="23"/>
      <c r="J209" s="23"/>
    </row>
    <row r="210" spans="5:10" ht="13" x14ac:dyDescent="0.15">
      <c r="E210" s="64"/>
      <c r="F210" s="64"/>
      <c r="G210" s="103"/>
      <c r="H210" s="23"/>
      <c r="I210" s="23"/>
      <c r="J210" s="23"/>
    </row>
    <row r="211" spans="5:10" ht="13" x14ac:dyDescent="0.15">
      <c r="E211" s="64"/>
      <c r="F211" s="64"/>
      <c r="G211" s="103"/>
      <c r="H211" s="23"/>
      <c r="I211" s="23"/>
      <c r="J211" s="23"/>
    </row>
    <row r="212" spans="5:10" ht="13" x14ac:dyDescent="0.15">
      <c r="E212" s="64"/>
      <c r="F212" s="64"/>
      <c r="G212" s="103"/>
      <c r="H212" s="23"/>
      <c r="I212" s="23"/>
      <c r="J212" s="23"/>
    </row>
    <row r="213" spans="5:10" ht="13" x14ac:dyDescent="0.15">
      <c r="E213" s="64"/>
      <c r="F213" s="64"/>
      <c r="G213" s="103"/>
      <c r="H213" s="23"/>
      <c r="I213" s="23"/>
      <c r="J213" s="23"/>
    </row>
    <row r="214" spans="5:10" ht="13" x14ac:dyDescent="0.15">
      <c r="E214" s="64"/>
      <c r="F214" s="64"/>
      <c r="G214" s="103"/>
      <c r="H214" s="23"/>
      <c r="I214" s="23"/>
      <c r="J214" s="23"/>
    </row>
    <row r="215" spans="5:10" ht="13" x14ac:dyDescent="0.15">
      <c r="E215" s="64"/>
      <c r="F215" s="64"/>
      <c r="G215" s="103"/>
      <c r="H215" s="23"/>
      <c r="I215" s="23"/>
      <c r="J215" s="23"/>
    </row>
    <row r="216" spans="5:10" ht="13" x14ac:dyDescent="0.15">
      <c r="E216" s="64"/>
      <c r="F216" s="64"/>
      <c r="G216" s="103"/>
      <c r="H216" s="23"/>
      <c r="I216" s="23"/>
      <c r="J216" s="23"/>
    </row>
    <row r="217" spans="5:10" ht="13" x14ac:dyDescent="0.15">
      <c r="E217" s="64"/>
      <c r="F217" s="64"/>
      <c r="G217" s="103"/>
      <c r="H217" s="23"/>
      <c r="I217" s="23"/>
      <c r="J217" s="23"/>
    </row>
    <row r="218" spans="5:10" ht="13" x14ac:dyDescent="0.15">
      <c r="E218" s="64"/>
      <c r="F218" s="64"/>
      <c r="G218" s="103"/>
      <c r="H218" s="23"/>
      <c r="I218" s="23"/>
      <c r="J218" s="23"/>
    </row>
    <row r="219" spans="5:10" ht="13" x14ac:dyDescent="0.15">
      <c r="E219" s="64"/>
      <c r="F219" s="64"/>
      <c r="G219" s="103"/>
      <c r="H219" s="23"/>
      <c r="I219" s="23"/>
      <c r="J219" s="23"/>
    </row>
    <row r="220" spans="5:10" ht="13" x14ac:dyDescent="0.15">
      <c r="E220" s="64"/>
      <c r="F220" s="64"/>
      <c r="G220" s="103"/>
      <c r="H220" s="23"/>
      <c r="I220" s="23"/>
      <c r="J220" s="23"/>
    </row>
    <row r="221" spans="5:10" ht="13" x14ac:dyDescent="0.15">
      <c r="E221" s="64"/>
      <c r="F221" s="64"/>
      <c r="G221" s="103"/>
      <c r="H221" s="23"/>
      <c r="I221" s="23"/>
      <c r="J221" s="23"/>
    </row>
    <row r="222" spans="5:10" ht="13" x14ac:dyDescent="0.15">
      <c r="E222" s="64"/>
      <c r="F222" s="64"/>
      <c r="G222" s="103"/>
      <c r="H222" s="23"/>
      <c r="I222" s="23"/>
      <c r="J222" s="23"/>
    </row>
    <row r="223" spans="5:10" ht="13" x14ac:dyDescent="0.15">
      <c r="E223" s="64"/>
      <c r="F223" s="64"/>
      <c r="G223" s="103"/>
      <c r="H223" s="23"/>
      <c r="I223" s="23"/>
      <c r="J223" s="23"/>
    </row>
    <row r="224" spans="5:10" ht="13" x14ac:dyDescent="0.15">
      <c r="E224" s="64"/>
      <c r="F224" s="64"/>
      <c r="G224" s="103"/>
      <c r="H224" s="23"/>
      <c r="I224" s="23"/>
      <c r="J224" s="23"/>
    </row>
    <row r="225" spans="5:10" ht="13" x14ac:dyDescent="0.15">
      <c r="E225" s="64"/>
      <c r="F225" s="64"/>
      <c r="G225" s="103"/>
      <c r="H225" s="23"/>
      <c r="I225" s="23"/>
      <c r="J225" s="23"/>
    </row>
    <row r="226" spans="5:10" ht="13" x14ac:dyDescent="0.15">
      <c r="E226" s="64"/>
      <c r="F226" s="64"/>
      <c r="G226" s="103"/>
      <c r="H226" s="23"/>
      <c r="I226" s="23"/>
      <c r="J226" s="23"/>
    </row>
    <row r="227" spans="5:10" ht="13" x14ac:dyDescent="0.15">
      <c r="E227" s="64"/>
      <c r="F227" s="64"/>
      <c r="G227" s="103"/>
      <c r="H227" s="23"/>
      <c r="I227" s="23"/>
      <c r="J227" s="23"/>
    </row>
    <row r="228" spans="5:10" ht="13" x14ac:dyDescent="0.15">
      <c r="E228" s="64"/>
      <c r="F228" s="64"/>
      <c r="G228" s="103"/>
      <c r="H228" s="23"/>
      <c r="I228" s="23"/>
      <c r="J228" s="23"/>
    </row>
    <row r="229" spans="5:10" ht="13" x14ac:dyDescent="0.15">
      <c r="E229" s="64"/>
      <c r="F229" s="64"/>
      <c r="G229" s="103"/>
      <c r="H229" s="23"/>
      <c r="I229" s="23"/>
      <c r="J229" s="23"/>
    </row>
    <row r="230" spans="5:10" ht="13" x14ac:dyDescent="0.15">
      <c r="E230" s="64"/>
      <c r="F230" s="64"/>
      <c r="G230" s="103"/>
      <c r="H230" s="23"/>
      <c r="I230" s="23"/>
      <c r="J230" s="23"/>
    </row>
    <row r="231" spans="5:10" ht="13" x14ac:dyDescent="0.15">
      <c r="E231" s="64"/>
      <c r="F231" s="64"/>
      <c r="G231" s="103"/>
      <c r="H231" s="23"/>
      <c r="I231" s="23"/>
      <c r="J231" s="23"/>
    </row>
    <row r="232" spans="5:10" ht="13" x14ac:dyDescent="0.15">
      <c r="E232" s="64"/>
      <c r="F232" s="64"/>
      <c r="G232" s="103"/>
      <c r="H232" s="23"/>
      <c r="I232" s="23"/>
      <c r="J232" s="23"/>
    </row>
    <row r="233" spans="5:10" ht="13" x14ac:dyDescent="0.15">
      <c r="E233" s="64"/>
      <c r="F233" s="64"/>
      <c r="G233" s="103"/>
      <c r="H233" s="23"/>
      <c r="I233" s="23"/>
      <c r="J233" s="23"/>
    </row>
    <row r="234" spans="5:10" ht="13" x14ac:dyDescent="0.15">
      <c r="E234" s="64"/>
      <c r="F234" s="64"/>
      <c r="G234" s="103"/>
      <c r="H234" s="23"/>
      <c r="I234" s="23"/>
      <c r="J234" s="23"/>
    </row>
    <row r="235" spans="5:10" ht="13" x14ac:dyDescent="0.15">
      <c r="E235" s="64"/>
      <c r="F235" s="64"/>
      <c r="G235" s="103"/>
      <c r="H235" s="23"/>
      <c r="I235" s="23"/>
      <c r="J235" s="23"/>
    </row>
    <row r="236" spans="5:10" ht="13" x14ac:dyDescent="0.15">
      <c r="E236" s="64"/>
      <c r="F236" s="64"/>
      <c r="G236" s="103"/>
      <c r="H236" s="23"/>
      <c r="I236" s="23"/>
      <c r="J236" s="23"/>
    </row>
    <row r="237" spans="5:10" ht="13" x14ac:dyDescent="0.15">
      <c r="E237" s="64"/>
      <c r="F237" s="64"/>
      <c r="G237" s="103"/>
      <c r="H237" s="23"/>
      <c r="I237" s="23"/>
      <c r="J237" s="23"/>
    </row>
    <row r="238" spans="5:10" ht="13" x14ac:dyDescent="0.15">
      <c r="E238" s="64"/>
      <c r="F238" s="64"/>
      <c r="G238" s="103"/>
      <c r="H238" s="23"/>
      <c r="I238" s="23"/>
      <c r="J238" s="23"/>
    </row>
    <row r="239" spans="5:10" ht="13" x14ac:dyDescent="0.15">
      <c r="E239" s="64"/>
      <c r="F239" s="64"/>
      <c r="G239" s="103"/>
      <c r="H239" s="23"/>
      <c r="I239" s="23"/>
      <c r="J239" s="23"/>
    </row>
    <row r="240" spans="5:10" ht="13" x14ac:dyDescent="0.15">
      <c r="E240" s="64"/>
      <c r="F240" s="64"/>
      <c r="G240" s="103"/>
      <c r="H240" s="23"/>
      <c r="I240" s="23"/>
      <c r="J240" s="23"/>
    </row>
    <row r="241" spans="5:10" ht="13" x14ac:dyDescent="0.15">
      <c r="E241" s="64"/>
      <c r="F241" s="64"/>
      <c r="G241" s="103"/>
      <c r="H241" s="23"/>
      <c r="I241" s="23"/>
      <c r="J241" s="23"/>
    </row>
    <row r="242" spans="5:10" ht="13" x14ac:dyDescent="0.15">
      <c r="E242" s="64"/>
      <c r="F242" s="64"/>
      <c r="G242" s="103"/>
      <c r="H242" s="23"/>
      <c r="I242" s="23"/>
      <c r="J242" s="23"/>
    </row>
    <row r="243" spans="5:10" ht="13" x14ac:dyDescent="0.15">
      <c r="E243" s="64"/>
      <c r="F243" s="64"/>
      <c r="G243" s="103"/>
      <c r="H243" s="23"/>
      <c r="I243" s="23"/>
      <c r="J243" s="23"/>
    </row>
    <row r="244" spans="5:10" ht="13" x14ac:dyDescent="0.15">
      <c r="E244" s="64"/>
      <c r="F244" s="64"/>
      <c r="G244" s="103"/>
      <c r="H244" s="23"/>
      <c r="I244" s="23"/>
      <c r="J244" s="23"/>
    </row>
    <row r="245" spans="5:10" ht="13" x14ac:dyDescent="0.15">
      <c r="E245" s="64"/>
      <c r="F245" s="64"/>
      <c r="G245" s="103"/>
      <c r="H245" s="23"/>
      <c r="I245" s="23"/>
      <c r="J245" s="23"/>
    </row>
    <row r="246" spans="5:10" ht="13" x14ac:dyDescent="0.15">
      <c r="E246" s="64"/>
      <c r="F246" s="64"/>
      <c r="G246" s="103"/>
      <c r="H246" s="23"/>
      <c r="I246" s="23"/>
      <c r="J246" s="23"/>
    </row>
    <row r="247" spans="5:10" ht="13" x14ac:dyDescent="0.15">
      <c r="E247" s="64"/>
      <c r="F247" s="64"/>
      <c r="G247" s="103"/>
      <c r="H247" s="23"/>
      <c r="I247" s="23"/>
      <c r="J247" s="23"/>
    </row>
    <row r="248" spans="5:10" ht="13" x14ac:dyDescent="0.15">
      <c r="E248" s="64"/>
      <c r="F248" s="64"/>
      <c r="G248" s="103"/>
      <c r="H248" s="23"/>
      <c r="I248" s="23"/>
      <c r="J248" s="23"/>
    </row>
    <row r="249" spans="5:10" ht="13" x14ac:dyDescent="0.15">
      <c r="E249" s="64"/>
      <c r="F249" s="64"/>
      <c r="G249" s="103"/>
      <c r="H249" s="23"/>
      <c r="I249" s="23"/>
      <c r="J249" s="23"/>
    </row>
    <row r="250" spans="5:10" ht="13" x14ac:dyDescent="0.15">
      <c r="E250" s="64"/>
      <c r="F250" s="64"/>
      <c r="G250" s="103"/>
      <c r="H250" s="23"/>
      <c r="I250" s="23"/>
      <c r="J250" s="23"/>
    </row>
    <row r="251" spans="5:10" ht="13" x14ac:dyDescent="0.15">
      <c r="E251" s="64"/>
      <c r="F251" s="64"/>
      <c r="G251" s="103"/>
      <c r="H251" s="23"/>
      <c r="I251" s="23"/>
      <c r="J251" s="23"/>
    </row>
    <row r="252" spans="5:10" ht="13" x14ac:dyDescent="0.15">
      <c r="E252" s="64"/>
      <c r="F252" s="64"/>
      <c r="G252" s="103"/>
      <c r="H252" s="23"/>
      <c r="I252" s="23"/>
      <c r="J252" s="23"/>
    </row>
    <row r="253" spans="5:10" ht="13" x14ac:dyDescent="0.15">
      <c r="E253" s="64"/>
      <c r="F253" s="64"/>
      <c r="G253" s="103"/>
      <c r="H253" s="23"/>
      <c r="I253" s="23"/>
      <c r="J253" s="23"/>
    </row>
    <row r="254" spans="5:10" ht="13" x14ac:dyDescent="0.15">
      <c r="E254" s="64"/>
      <c r="F254" s="64"/>
      <c r="G254" s="103"/>
      <c r="H254" s="23"/>
      <c r="I254" s="23"/>
      <c r="J254" s="23"/>
    </row>
    <row r="255" spans="5:10" ht="13" x14ac:dyDescent="0.15">
      <c r="E255" s="64"/>
      <c r="F255" s="64"/>
      <c r="G255" s="103"/>
      <c r="H255" s="23"/>
      <c r="I255" s="23"/>
      <c r="J255" s="23"/>
    </row>
    <row r="256" spans="5:10" ht="13" x14ac:dyDescent="0.15">
      <c r="E256" s="64"/>
      <c r="F256" s="64"/>
      <c r="G256" s="103"/>
      <c r="H256" s="23"/>
      <c r="I256" s="23"/>
      <c r="J256" s="23"/>
    </row>
    <row r="257" spans="5:10" ht="13" x14ac:dyDescent="0.15">
      <c r="E257" s="64"/>
      <c r="F257" s="64"/>
      <c r="G257" s="103"/>
      <c r="H257" s="23"/>
      <c r="I257" s="23"/>
      <c r="J257" s="23"/>
    </row>
    <row r="258" spans="5:10" ht="13" x14ac:dyDescent="0.15">
      <c r="E258" s="64"/>
      <c r="F258" s="64"/>
      <c r="G258" s="103"/>
      <c r="H258" s="23"/>
      <c r="I258" s="23"/>
      <c r="J258" s="23"/>
    </row>
    <row r="259" spans="5:10" ht="13" x14ac:dyDescent="0.15">
      <c r="E259" s="64"/>
      <c r="F259" s="64"/>
      <c r="G259" s="103"/>
      <c r="H259" s="23"/>
      <c r="I259" s="23"/>
      <c r="J259" s="23"/>
    </row>
    <row r="260" spans="5:10" ht="13" x14ac:dyDescent="0.15">
      <c r="E260" s="64"/>
      <c r="F260" s="64"/>
      <c r="G260" s="103"/>
      <c r="H260" s="23"/>
      <c r="I260" s="23"/>
      <c r="J260" s="23"/>
    </row>
    <row r="261" spans="5:10" ht="13" x14ac:dyDescent="0.15">
      <c r="E261" s="64"/>
      <c r="F261" s="64"/>
      <c r="G261" s="103"/>
      <c r="H261" s="23"/>
      <c r="I261" s="23"/>
      <c r="J261" s="23"/>
    </row>
    <row r="262" spans="5:10" ht="13" x14ac:dyDescent="0.15">
      <c r="E262" s="64"/>
      <c r="F262" s="64"/>
      <c r="G262" s="103"/>
      <c r="H262" s="23"/>
      <c r="I262" s="23"/>
      <c r="J262" s="23"/>
    </row>
    <row r="263" spans="5:10" ht="13" x14ac:dyDescent="0.15">
      <c r="E263" s="64"/>
      <c r="F263" s="64"/>
      <c r="G263" s="103"/>
      <c r="H263" s="23"/>
      <c r="I263" s="23"/>
      <c r="J263" s="23"/>
    </row>
    <row r="264" spans="5:10" ht="13" x14ac:dyDescent="0.15">
      <c r="E264" s="64"/>
      <c r="F264" s="64"/>
      <c r="G264" s="103"/>
      <c r="H264" s="23"/>
      <c r="I264" s="23"/>
      <c r="J264" s="23"/>
    </row>
    <row r="265" spans="5:10" ht="13" x14ac:dyDescent="0.15">
      <c r="E265" s="64"/>
      <c r="F265" s="64"/>
      <c r="G265" s="103"/>
      <c r="H265" s="23"/>
      <c r="I265" s="23"/>
      <c r="J265" s="23"/>
    </row>
    <row r="266" spans="5:10" ht="13" x14ac:dyDescent="0.15">
      <c r="E266" s="64"/>
      <c r="F266" s="64"/>
      <c r="G266" s="103"/>
      <c r="H266" s="23"/>
      <c r="I266" s="23"/>
      <c r="J266" s="23"/>
    </row>
    <row r="267" spans="5:10" ht="13" x14ac:dyDescent="0.15">
      <c r="E267" s="64"/>
      <c r="F267" s="64"/>
      <c r="G267" s="103"/>
      <c r="H267" s="23"/>
      <c r="I267" s="23"/>
      <c r="J267" s="23"/>
    </row>
    <row r="268" spans="5:10" ht="13" x14ac:dyDescent="0.15">
      <c r="E268" s="64"/>
      <c r="F268" s="64"/>
      <c r="G268" s="103"/>
      <c r="H268" s="23"/>
      <c r="I268" s="23"/>
      <c r="J268" s="23"/>
    </row>
    <row r="269" spans="5:10" ht="13" x14ac:dyDescent="0.15">
      <c r="E269" s="64"/>
      <c r="F269" s="64"/>
      <c r="G269" s="103"/>
      <c r="H269" s="23"/>
      <c r="I269" s="23"/>
      <c r="J269" s="23"/>
    </row>
    <row r="270" spans="5:10" ht="13" x14ac:dyDescent="0.15">
      <c r="E270" s="64"/>
      <c r="F270" s="64"/>
      <c r="G270" s="103"/>
      <c r="H270" s="23"/>
      <c r="I270" s="23"/>
      <c r="J270" s="23"/>
    </row>
    <row r="271" spans="5:10" ht="13" x14ac:dyDescent="0.15">
      <c r="E271" s="64"/>
      <c r="F271" s="64"/>
      <c r="G271" s="103"/>
      <c r="H271" s="23"/>
      <c r="I271" s="23"/>
      <c r="J271" s="23"/>
    </row>
    <row r="272" spans="5:10" ht="13" x14ac:dyDescent="0.15">
      <c r="E272" s="64"/>
      <c r="F272" s="64"/>
      <c r="G272" s="103"/>
      <c r="H272" s="23"/>
      <c r="I272" s="23"/>
      <c r="J272" s="23"/>
    </row>
    <row r="273" spans="5:10" ht="13" x14ac:dyDescent="0.15">
      <c r="E273" s="64"/>
      <c r="F273" s="64"/>
      <c r="G273" s="103"/>
      <c r="H273" s="23"/>
      <c r="I273" s="23"/>
      <c r="J273" s="23"/>
    </row>
    <row r="274" spans="5:10" ht="13" x14ac:dyDescent="0.15">
      <c r="E274" s="64"/>
      <c r="F274" s="64"/>
      <c r="G274" s="103"/>
      <c r="H274" s="23"/>
      <c r="I274" s="23"/>
      <c r="J274" s="23"/>
    </row>
    <row r="275" spans="5:10" ht="13" x14ac:dyDescent="0.15">
      <c r="E275" s="64"/>
      <c r="F275" s="64"/>
      <c r="G275" s="103"/>
      <c r="H275" s="23"/>
      <c r="I275" s="23"/>
      <c r="J275" s="23"/>
    </row>
    <row r="276" spans="5:10" ht="13" x14ac:dyDescent="0.15">
      <c r="E276" s="64"/>
      <c r="F276" s="64"/>
      <c r="G276" s="103"/>
      <c r="H276" s="23"/>
      <c r="I276" s="23"/>
      <c r="J276" s="23"/>
    </row>
    <row r="277" spans="5:10" ht="13" x14ac:dyDescent="0.15">
      <c r="E277" s="64"/>
      <c r="F277" s="64"/>
      <c r="G277" s="103"/>
      <c r="H277" s="23"/>
      <c r="I277" s="23"/>
      <c r="J277" s="23"/>
    </row>
    <row r="278" spans="5:10" ht="13" x14ac:dyDescent="0.15">
      <c r="E278" s="64"/>
      <c r="F278" s="64"/>
      <c r="G278" s="103"/>
      <c r="H278" s="23"/>
      <c r="I278" s="23"/>
      <c r="J278" s="23"/>
    </row>
    <row r="279" spans="5:10" ht="13" x14ac:dyDescent="0.15">
      <c r="E279" s="64"/>
      <c r="F279" s="64"/>
      <c r="G279" s="103"/>
      <c r="H279" s="23"/>
      <c r="I279" s="23"/>
      <c r="J279" s="23"/>
    </row>
    <row r="280" spans="5:10" ht="13" x14ac:dyDescent="0.15">
      <c r="E280" s="64"/>
      <c r="F280" s="64"/>
      <c r="G280" s="103"/>
      <c r="H280" s="23"/>
      <c r="I280" s="23"/>
      <c r="J280" s="23"/>
    </row>
    <row r="281" spans="5:10" ht="13" x14ac:dyDescent="0.15">
      <c r="E281" s="64"/>
      <c r="F281" s="64"/>
      <c r="G281" s="103"/>
      <c r="H281" s="23"/>
      <c r="I281" s="23"/>
      <c r="J281" s="23"/>
    </row>
    <row r="282" spans="5:10" ht="13" x14ac:dyDescent="0.15">
      <c r="E282" s="64"/>
      <c r="F282" s="64"/>
      <c r="G282" s="103"/>
      <c r="H282" s="23"/>
      <c r="I282" s="23"/>
      <c r="J282" s="23"/>
    </row>
    <row r="283" spans="5:10" ht="13" x14ac:dyDescent="0.15">
      <c r="E283" s="64"/>
      <c r="F283" s="64"/>
      <c r="G283" s="103"/>
      <c r="H283" s="23"/>
      <c r="I283" s="23"/>
      <c r="J283" s="23"/>
    </row>
    <row r="284" spans="5:10" ht="13" x14ac:dyDescent="0.15">
      <c r="E284" s="64"/>
      <c r="F284" s="64"/>
      <c r="G284" s="103"/>
      <c r="H284" s="23"/>
      <c r="I284" s="23"/>
      <c r="J284" s="23"/>
    </row>
    <row r="285" spans="5:10" ht="13" x14ac:dyDescent="0.15">
      <c r="E285" s="64"/>
      <c r="F285" s="64"/>
      <c r="G285" s="103"/>
      <c r="H285" s="23"/>
      <c r="I285" s="23"/>
      <c r="J285" s="23"/>
    </row>
    <row r="286" spans="5:10" ht="13" x14ac:dyDescent="0.15">
      <c r="E286" s="64"/>
      <c r="F286" s="64"/>
      <c r="G286" s="103"/>
      <c r="H286" s="23"/>
      <c r="I286" s="23"/>
      <c r="J286" s="23"/>
    </row>
    <row r="287" spans="5:10" ht="13" x14ac:dyDescent="0.15">
      <c r="E287" s="64"/>
      <c r="F287" s="64"/>
      <c r="G287" s="103"/>
      <c r="H287" s="23"/>
      <c r="I287" s="23"/>
      <c r="J287" s="23"/>
    </row>
    <row r="288" spans="5:10" ht="13" x14ac:dyDescent="0.15">
      <c r="E288" s="64"/>
      <c r="F288" s="64"/>
      <c r="G288" s="103"/>
      <c r="H288" s="23"/>
      <c r="I288" s="23"/>
      <c r="J288" s="23"/>
    </row>
    <row r="289" spans="5:10" ht="13" x14ac:dyDescent="0.15">
      <c r="E289" s="64"/>
      <c r="F289" s="64"/>
      <c r="G289" s="103"/>
      <c r="H289" s="23"/>
      <c r="I289" s="23"/>
      <c r="J289" s="23"/>
    </row>
    <row r="290" spans="5:10" ht="13" x14ac:dyDescent="0.15">
      <c r="E290" s="64"/>
      <c r="F290" s="64"/>
      <c r="G290" s="103"/>
      <c r="H290" s="23"/>
      <c r="I290" s="23"/>
      <c r="J290" s="23"/>
    </row>
    <row r="291" spans="5:10" ht="13" x14ac:dyDescent="0.15">
      <c r="E291" s="64"/>
      <c r="F291" s="64"/>
      <c r="G291" s="103"/>
      <c r="H291" s="23"/>
      <c r="I291" s="23"/>
      <c r="J291" s="23"/>
    </row>
    <row r="292" spans="5:10" ht="13" x14ac:dyDescent="0.15">
      <c r="E292" s="64"/>
      <c r="F292" s="64"/>
      <c r="G292" s="103"/>
      <c r="H292" s="23"/>
      <c r="I292" s="23"/>
      <c r="J292" s="23"/>
    </row>
    <row r="293" spans="5:10" ht="13" x14ac:dyDescent="0.15">
      <c r="E293" s="64"/>
      <c r="F293" s="64"/>
      <c r="G293" s="103"/>
      <c r="H293" s="23"/>
      <c r="I293" s="23"/>
      <c r="J293" s="23"/>
    </row>
    <row r="294" spans="5:10" ht="13" x14ac:dyDescent="0.15">
      <c r="E294" s="64"/>
      <c r="F294" s="64"/>
      <c r="G294" s="103"/>
      <c r="H294" s="23"/>
      <c r="I294" s="23"/>
      <c r="J294" s="23"/>
    </row>
    <row r="295" spans="5:10" ht="13" x14ac:dyDescent="0.15">
      <c r="E295" s="64"/>
      <c r="F295" s="64"/>
      <c r="G295" s="103"/>
      <c r="H295" s="23"/>
      <c r="I295" s="23"/>
      <c r="J295" s="23"/>
    </row>
    <row r="296" spans="5:10" ht="13" x14ac:dyDescent="0.15">
      <c r="E296" s="64"/>
      <c r="F296" s="64"/>
      <c r="G296" s="103"/>
      <c r="H296" s="23"/>
      <c r="I296" s="23"/>
      <c r="J296" s="23"/>
    </row>
    <row r="297" spans="5:10" ht="13" x14ac:dyDescent="0.15">
      <c r="E297" s="64"/>
      <c r="F297" s="64"/>
      <c r="G297" s="103"/>
      <c r="H297" s="23"/>
      <c r="I297" s="23"/>
      <c r="J297" s="23"/>
    </row>
    <row r="298" spans="5:10" ht="13" x14ac:dyDescent="0.15">
      <c r="E298" s="64"/>
      <c r="F298" s="64"/>
      <c r="G298" s="103"/>
      <c r="H298" s="23"/>
      <c r="I298" s="23"/>
      <c r="J298" s="23"/>
    </row>
    <row r="299" spans="5:10" ht="13" x14ac:dyDescent="0.15">
      <c r="E299" s="64"/>
      <c r="F299" s="64"/>
      <c r="G299" s="103"/>
      <c r="H299" s="23"/>
      <c r="I299" s="23"/>
      <c r="J299" s="23"/>
    </row>
    <row r="300" spans="5:10" ht="13" x14ac:dyDescent="0.15">
      <c r="E300" s="64"/>
      <c r="F300" s="64"/>
      <c r="G300" s="103"/>
      <c r="H300" s="23"/>
      <c r="I300" s="23"/>
      <c r="J300" s="23"/>
    </row>
    <row r="301" spans="5:10" ht="13" x14ac:dyDescent="0.15">
      <c r="E301" s="64"/>
      <c r="F301" s="64"/>
      <c r="G301" s="103"/>
      <c r="H301" s="23"/>
      <c r="I301" s="23"/>
      <c r="J301" s="23"/>
    </row>
    <row r="302" spans="5:10" ht="13" x14ac:dyDescent="0.15">
      <c r="E302" s="64"/>
      <c r="F302" s="64"/>
      <c r="G302" s="103"/>
      <c r="H302" s="23"/>
      <c r="I302" s="23"/>
      <c r="J302" s="23"/>
    </row>
    <row r="303" spans="5:10" ht="13" x14ac:dyDescent="0.15">
      <c r="E303" s="64"/>
      <c r="F303" s="64"/>
      <c r="G303" s="103"/>
      <c r="H303" s="23"/>
      <c r="I303" s="23"/>
      <c r="J303" s="23"/>
    </row>
    <row r="304" spans="5:10" ht="13" x14ac:dyDescent="0.15">
      <c r="E304" s="64"/>
      <c r="F304" s="64"/>
      <c r="G304" s="103"/>
      <c r="H304" s="23"/>
      <c r="I304" s="23"/>
      <c r="J304" s="23"/>
    </row>
    <row r="305" spans="5:10" ht="13" x14ac:dyDescent="0.15">
      <c r="E305" s="64"/>
      <c r="F305" s="64"/>
      <c r="G305" s="103"/>
      <c r="H305" s="23"/>
      <c r="I305" s="23"/>
      <c r="J305" s="23"/>
    </row>
    <row r="306" spans="5:10" ht="13" x14ac:dyDescent="0.15">
      <c r="E306" s="64"/>
      <c r="F306" s="64"/>
      <c r="G306" s="103"/>
      <c r="H306" s="23"/>
      <c r="I306" s="23"/>
      <c r="J306" s="23"/>
    </row>
    <row r="307" spans="5:10" ht="13" x14ac:dyDescent="0.15">
      <c r="E307" s="64"/>
      <c r="F307" s="64"/>
      <c r="G307" s="103"/>
      <c r="H307" s="23"/>
      <c r="I307" s="23"/>
      <c r="J307" s="23"/>
    </row>
    <row r="308" spans="5:10" ht="13" x14ac:dyDescent="0.15">
      <c r="E308" s="64"/>
      <c r="F308" s="64"/>
      <c r="G308" s="103"/>
      <c r="H308" s="23"/>
      <c r="I308" s="23"/>
      <c r="J308" s="23"/>
    </row>
    <row r="309" spans="5:10" ht="13" x14ac:dyDescent="0.15">
      <c r="E309" s="64"/>
      <c r="F309" s="64"/>
      <c r="G309" s="103"/>
      <c r="H309" s="23"/>
      <c r="I309" s="23"/>
      <c r="J309" s="23"/>
    </row>
    <row r="310" spans="5:10" ht="13" x14ac:dyDescent="0.15">
      <c r="E310" s="64"/>
      <c r="F310" s="64"/>
      <c r="G310" s="103"/>
      <c r="H310" s="23"/>
      <c r="I310" s="23"/>
      <c r="J310" s="23"/>
    </row>
    <row r="311" spans="5:10" ht="13" x14ac:dyDescent="0.15">
      <c r="E311" s="64"/>
      <c r="F311" s="64"/>
      <c r="G311" s="103"/>
      <c r="H311" s="23"/>
      <c r="I311" s="23"/>
      <c r="J311" s="23"/>
    </row>
    <row r="312" spans="5:10" ht="13" x14ac:dyDescent="0.15">
      <c r="E312" s="64"/>
      <c r="F312" s="64"/>
      <c r="G312" s="103"/>
      <c r="H312" s="23"/>
      <c r="I312" s="23"/>
      <c r="J312" s="23"/>
    </row>
    <row r="313" spans="5:10" ht="13" x14ac:dyDescent="0.15">
      <c r="E313" s="64"/>
      <c r="F313" s="64"/>
      <c r="G313" s="103"/>
      <c r="H313" s="23"/>
      <c r="I313" s="23"/>
      <c r="J313" s="23"/>
    </row>
    <row r="314" spans="5:10" ht="13" x14ac:dyDescent="0.15">
      <c r="E314" s="64"/>
      <c r="F314" s="64"/>
      <c r="G314" s="103"/>
      <c r="H314" s="23"/>
      <c r="I314" s="23"/>
      <c r="J314" s="23"/>
    </row>
    <row r="315" spans="5:10" ht="13" x14ac:dyDescent="0.15">
      <c r="E315" s="64"/>
      <c r="F315" s="64"/>
      <c r="G315" s="103"/>
      <c r="H315" s="23"/>
      <c r="I315" s="23"/>
      <c r="J315" s="23"/>
    </row>
    <row r="316" spans="5:10" ht="13" x14ac:dyDescent="0.15">
      <c r="E316" s="64"/>
      <c r="F316" s="64"/>
      <c r="G316" s="103"/>
      <c r="H316" s="23"/>
      <c r="I316" s="23"/>
      <c r="J316" s="23"/>
    </row>
    <row r="317" spans="5:10" ht="13" x14ac:dyDescent="0.15">
      <c r="E317" s="64"/>
      <c r="F317" s="64"/>
      <c r="G317" s="103"/>
      <c r="H317" s="23"/>
      <c r="I317" s="23"/>
      <c r="J317" s="23"/>
    </row>
    <row r="318" spans="5:10" ht="13" x14ac:dyDescent="0.15">
      <c r="E318" s="64"/>
      <c r="F318" s="64"/>
      <c r="G318" s="103"/>
      <c r="H318" s="23"/>
      <c r="I318" s="23"/>
      <c r="J318" s="23"/>
    </row>
    <row r="319" spans="5:10" ht="13" x14ac:dyDescent="0.15">
      <c r="E319" s="64"/>
      <c r="F319" s="64"/>
      <c r="G319" s="103"/>
      <c r="H319" s="23"/>
      <c r="I319" s="23"/>
      <c r="J319" s="23"/>
    </row>
    <row r="320" spans="5:10" ht="13" x14ac:dyDescent="0.15">
      <c r="E320" s="64"/>
      <c r="F320" s="64"/>
      <c r="G320" s="103"/>
      <c r="H320" s="23"/>
      <c r="I320" s="23"/>
      <c r="J320" s="23"/>
    </row>
    <row r="321" spans="5:10" ht="13" x14ac:dyDescent="0.15">
      <c r="E321" s="64"/>
      <c r="F321" s="64"/>
      <c r="G321" s="103"/>
      <c r="H321" s="23"/>
      <c r="I321" s="23"/>
      <c r="J321" s="23"/>
    </row>
    <row r="322" spans="5:10" ht="13" x14ac:dyDescent="0.15">
      <c r="E322" s="64"/>
      <c r="F322" s="64"/>
      <c r="G322" s="103"/>
      <c r="H322" s="23"/>
      <c r="I322" s="23"/>
      <c r="J322" s="23"/>
    </row>
    <row r="323" spans="5:10" ht="13" x14ac:dyDescent="0.15">
      <c r="E323" s="64"/>
      <c r="F323" s="64"/>
      <c r="G323" s="103"/>
      <c r="H323" s="23"/>
      <c r="I323" s="23"/>
      <c r="J323" s="23"/>
    </row>
    <row r="324" spans="5:10" ht="13" x14ac:dyDescent="0.15">
      <c r="E324" s="64"/>
      <c r="F324" s="64"/>
      <c r="G324" s="103"/>
      <c r="H324" s="23"/>
      <c r="I324" s="23"/>
      <c r="J324" s="23"/>
    </row>
    <row r="325" spans="5:10" ht="13" x14ac:dyDescent="0.15">
      <c r="E325" s="64"/>
      <c r="F325" s="64"/>
      <c r="G325" s="103"/>
      <c r="H325" s="23"/>
      <c r="I325" s="23"/>
      <c r="J325" s="23"/>
    </row>
    <row r="326" spans="5:10" ht="13" x14ac:dyDescent="0.15">
      <c r="E326" s="64"/>
      <c r="F326" s="64"/>
      <c r="G326" s="103"/>
      <c r="H326" s="23"/>
      <c r="I326" s="23"/>
      <c r="J326" s="23"/>
    </row>
    <row r="327" spans="5:10" ht="13" x14ac:dyDescent="0.15">
      <c r="E327" s="64"/>
      <c r="F327" s="64"/>
      <c r="G327" s="103"/>
      <c r="H327" s="23"/>
      <c r="I327" s="23"/>
      <c r="J327" s="23"/>
    </row>
    <row r="328" spans="5:10" ht="13" x14ac:dyDescent="0.15">
      <c r="E328" s="64"/>
      <c r="F328" s="64"/>
      <c r="G328" s="103"/>
      <c r="H328" s="23"/>
      <c r="I328" s="23"/>
      <c r="J328" s="23"/>
    </row>
    <row r="329" spans="5:10" ht="13" x14ac:dyDescent="0.15">
      <c r="E329" s="64"/>
      <c r="F329" s="64"/>
      <c r="G329" s="103"/>
      <c r="H329" s="23"/>
      <c r="I329" s="23"/>
      <c r="J329" s="23"/>
    </row>
    <row r="330" spans="5:10" ht="13" x14ac:dyDescent="0.15">
      <c r="E330" s="64"/>
      <c r="F330" s="64"/>
      <c r="G330" s="103"/>
      <c r="H330" s="23"/>
      <c r="I330" s="23"/>
      <c r="J330" s="23"/>
    </row>
    <row r="331" spans="5:10" ht="13" x14ac:dyDescent="0.15">
      <c r="E331" s="64"/>
      <c r="F331" s="64"/>
      <c r="G331" s="103"/>
      <c r="H331" s="23"/>
      <c r="I331" s="23"/>
      <c r="J331" s="23"/>
    </row>
    <row r="332" spans="5:10" ht="13" x14ac:dyDescent="0.15">
      <c r="E332" s="64"/>
      <c r="F332" s="64"/>
      <c r="G332" s="103"/>
      <c r="H332" s="23"/>
      <c r="I332" s="23"/>
      <c r="J332" s="23"/>
    </row>
    <row r="333" spans="5:10" ht="13" x14ac:dyDescent="0.15">
      <c r="E333" s="64"/>
      <c r="F333" s="64"/>
      <c r="G333" s="103"/>
      <c r="H333" s="23"/>
      <c r="I333" s="23"/>
      <c r="J333" s="23"/>
    </row>
    <row r="334" spans="5:10" ht="13" x14ac:dyDescent="0.15">
      <c r="E334" s="64"/>
      <c r="F334" s="64"/>
      <c r="G334" s="103"/>
      <c r="H334" s="23"/>
      <c r="I334" s="23"/>
      <c r="J334" s="23"/>
    </row>
    <row r="335" spans="5:10" ht="13" x14ac:dyDescent="0.15">
      <c r="E335" s="64"/>
      <c r="F335" s="64"/>
      <c r="G335" s="103"/>
      <c r="H335" s="23"/>
      <c r="I335" s="23"/>
      <c r="J335" s="23"/>
    </row>
    <row r="336" spans="5:10" ht="13" x14ac:dyDescent="0.15">
      <c r="E336" s="64"/>
      <c r="F336" s="64"/>
      <c r="G336" s="103"/>
      <c r="H336" s="23"/>
      <c r="I336" s="23"/>
      <c r="J336" s="23"/>
    </row>
    <row r="337" spans="5:10" ht="13" x14ac:dyDescent="0.15">
      <c r="E337" s="64"/>
      <c r="F337" s="64"/>
      <c r="G337" s="103"/>
      <c r="H337" s="23"/>
      <c r="I337" s="23"/>
      <c r="J337" s="23"/>
    </row>
    <row r="338" spans="5:10" ht="13" x14ac:dyDescent="0.15">
      <c r="E338" s="64"/>
      <c r="F338" s="64"/>
      <c r="G338" s="103"/>
      <c r="H338" s="23"/>
      <c r="I338" s="23"/>
      <c r="J338" s="23"/>
    </row>
    <row r="339" spans="5:10" ht="13" x14ac:dyDescent="0.15">
      <c r="E339" s="64"/>
      <c r="F339" s="64"/>
      <c r="G339" s="103"/>
      <c r="H339" s="23"/>
      <c r="I339" s="23"/>
      <c r="J339" s="23"/>
    </row>
    <row r="340" spans="5:10" ht="13" x14ac:dyDescent="0.15">
      <c r="E340" s="64"/>
      <c r="F340" s="64"/>
      <c r="G340" s="103"/>
      <c r="H340" s="23"/>
      <c r="I340" s="23"/>
      <c r="J340" s="23"/>
    </row>
    <row r="341" spans="5:10" ht="13" x14ac:dyDescent="0.15">
      <c r="E341" s="64"/>
      <c r="F341" s="64"/>
      <c r="G341" s="103"/>
      <c r="H341" s="23"/>
      <c r="I341" s="23"/>
      <c r="J341" s="23"/>
    </row>
    <row r="342" spans="5:10" ht="13" x14ac:dyDescent="0.15">
      <c r="E342" s="64"/>
      <c r="F342" s="64"/>
      <c r="G342" s="103"/>
      <c r="H342" s="23"/>
      <c r="I342" s="23"/>
      <c r="J342" s="23"/>
    </row>
    <row r="343" spans="5:10" ht="13" x14ac:dyDescent="0.15">
      <c r="E343" s="64"/>
      <c r="F343" s="64"/>
      <c r="G343" s="103"/>
      <c r="H343" s="23"/>
      <c r="I343" s="23"/>
      <c r="J343" s="23"/>
    </row>
    <row r="344" spans="5:10" ht="13" x14ac:dyDescent="0.15">
      <c r="E344" s="64"/>
      <c r="F344" s="64"/>
      <c r="G344" s="103"/>
      <c r="H344" s="23"/>
      <c r="I344" s="23"/>
      <c r="J344" s="23"/>
    </row>
    <row r="345" spans="5:10" ht="13" x14ac:dyDescent="0.15">
      <c r="E345" s="64"/>
      <c r="F345" s="64"/>
      <c r="G345" s="103"/>
      <c r="H345" s="23"/>
      <c r="I345" s="23"/>
      <c r="J345" s="23"/>
    </row>
    <row r="346" spans="5:10" ht="13" x14ac:dyDescent="0.15">
      <c r="E346" s="64"/>
      <c r="F346" s="64"/>
      <c r="G346" s="103"/>
      <c r="H346" s="23"/>
      <c r="I346" s="23"/>
      <c r="J346" s="23"/>
    </row>
    <row r="347" spans="5:10" ht="13" x14ac:dyDescent="0.15">
      <c r="E347" s="64"/>
      <c r="F347" s="64"/>
      <c r="G347" s="103"/>
      <c r="H347" s="23"/>
      <c r="I347" s="23"/>
      <c r="J347" s="23"/>
    </row>
    <row r="348" spans="5:10" ht="13" x14ac:dyDescent="0.15">
      <c r="E348" s="64"/>
      <c r="F348" s="64"/>
      <c r="G348" s="103"/>
      <c r="H348" s="23"/>
      <c r="I348" s="23"/>
      <c r="J348" s="23"/>
    </row>
    <row r="349" spans="5:10" ht="13" x14ac:dyDescent="0.15">
      <c r="E349" s="64"/>
      <c r="F349" s="64"/>
      <c r="G349" s="103"/>
      <c r="H349" s="23"/>
      <c r="I349" s="23"/>
      <c r="J349" s="23"/>
    </row>
    <row r="350" spans="5:10" ht="13" x14ac:dyDescent="0.15">
      <c r="E350" s="64"/>
      <c r="F350" s="64"/>
      <c r="G350" s="103"/>
      <c r="H350" s="23"/>
      <c r="I350" s="23"/>
      <c r="J350" s="23"/>
    </row>
    <row r="351" spans="5:10" ht="13" x14ac:dyDescent="0.15">
      <c r="E351" s="64"/>
      <c r="F351" s="64"/>
      <c r="G351" s="103"/>
      <c r="H351" s="23"/>
      <c r="I351" s="23"/>
      <c r="J351" s="23"/>
    </row>
    <row r="352" spans="5:10" ht="13" x14ac:dyDescent="0.15">
      <c r="E352" s="64"/>
      <c r="F352" s="64"/>
      <c r="G352" s="103"/>
      <c r="H352" s="23"/>
      <c r="I352" s="23"/>
      <c r="J352" s="23"/>
    </row>
    <row r="353" spans="5:10" ht="13" x14ac:dyDescent="0.15">
      <c r="E353" s="64"/>
      <c r="F353" s="64"/>
      <c r="G353" s="103"/>
      <c r="H353" s="23"/>
      <c r="I353" s="23"/>
      <c r="J353" s="23"/>
    </row>
    <row r="354" spans="5:10" ht="13" x14ac:dyDescent="0.15">
      <c r="E354" s="64"/>
      <c r="F354" s="64"/>
      <c r="G354" s="103"/>
      <c r="H354" s="23"/>
      <c r="I354" s="23"/>
      <c r="J354" s="23"/>
    </row>
    <row r="355" spans="5:10" ht="13" x14ac:dyDescent="0.15">
      <c r="E355" s="64"/>
      <c r="F355" s="64"/>
      <c r="G355" s="103"/>
      <c r="H355" s="23"/>
      <c r="I355" s="23"/>
      <c r="J355" s="23"/>
    </row>
    <row r="356" spans="5:10" ht="13" x14ac:dyDescent="0.15">
      <c r="E356" s="64"/>
      <c r="F356" s="64"/>
      <c r="G356" s="103"/>
      <c r="H356" s="23"/>
      <c r="I356" s="23"/>
      <c r="J356" s="23"/>
    </row>
    <row r="357" spans="5:10" ht="13" x14ac:dyDescent="0.15">
      <c r="E357" s="64"/>
      <c r="F357" s="64"/>
      <c r="G357" s="103"/>
      <c r="H357" s="23"/>
      <c r="I357" s="23"/>
      <c r="J357" s="23"/>
    </row>
    <row r="358" spans="5:10" ht="13" x14ac:dyDescent="0.15">
      <c r="E358" s="64"/>
      <c r="F358" s="64"/>
      <c r="G358" s="103"/>
      <c r="H358" s="23"/>
      <c r="I358" s="23"/>
      <c r="J358" s="23"/>
    </row>
    <row r="359" spans="5:10" ht="13" x14ac:dyDescent="0.15">
      <c r="E359" s="64"/>
      <c r="F359" s="64"/>
      <c r="G359" s="103"/>
      <c r="H359" s="23"/>
      <c r="I359" s="23"/>
      <c r="J359" s="23"/>
    </row>
    <row r="360" spans="5:10" ht="13" x14ac:dyDescent="0.15">
      <c r="E360" s="64"/>
      <c r="F360" s="64"/>
      <c r="G360" s="103"/>
      <c r="H360" s="23"/>
      <c r="I360" s="23"/>
      <c r="J360" s="23"/>
    </row>
    <row r="361" spans="5:10" ht="13" x14ac:dyDescent="0.15">
      <c r="E361" s="64"/>
      <c r="F361" s="64"/>
      <c r="G361" s="103"/>
      <c r="H361" s="23"/>
      <c r="I361" s="23"/>
      <c r="J361" s="23"/>
    </row>
    <row r="362" spans="5:10" ht="13" x14ac:dyDescent="0.15">
      <c r="E362" s="64"/>
      <c r="F362" s="64"/>
      <c r="G362" s="103"/>
      <c r="H362" s="23"/>
      <c r="I362" s="23"/>
      <c r="J362" s="23"/>
    </row>
    <row r="363" spans="5:10" ht="13" x14ac:dyDescent="0.15">
      <c r="E363" s="64"/>
      <c r="F363" s="64"/>
      <c r="G363" s="103"/>
      <c r="H363" s="23"/>
      <c r="I363" s="23"/>
      <c r="J363" s="23"/>
    </row>
    <row r="364" spans="5:10" ht="13" x14ac:dyDescent="0.15">
      <c r="E364" s="64"/>
      <c r="F364" s="64"/>
      <c r="G364" s="103"/>
      <c r="H364" s="23"/>
      <c r="I364" s="23"/>
      <c r="J364" s="23"/>
    </row>
    <row r="365" spans="5:10" ht="13" x14ac:dyDescent="0.15">
      <c r="E365" s="64"/>
      <c r="F365" s="64"/>
      <c r="G365" s="103"/>
      <c r="H365" s="23"/>
      <c r="I365" s="23"/>
      <c r="J365" s="23"/>
    </row>
    <row r="366" spans="5:10" ht="13" x14ac:dyDescent="0.15">
      <c r="E366" s="64"/>
      <c r="F366" s="64"/>
      <c r="G366" s="103"/>
      <c r="H366" s="23"/>
      <c r="I366" s="23"/>
      <c r="J366" s="23"/>
    </row>
    <row r="367" spans="5:10" ht="13" x14ac:dyDescent="0.15">
      <c r="E367" s="64"/>
      <c r="F367" s="64"/>
      <c r="G367" s="103"/>
      <c r="H367" s="23"/>
      <c r="I367" s="23"/>
      <c r="J367" s="23"/>
    </row>
    <row r="368" spans="5:10" ht="13" x14ac:dyDescent="0.15">
      <c r="E368" s="64"/>
      <c r="F368" s="64"/>
      <c r="G368" s="103"/>
      <c r="H368" s="23"/>
      <c r="I368" s="23"/>
      <c r="J368" s="23"/>
    </row>
    <row r="369" spans="5:10" ht="13" x14ac:dyDescent="0.15">
      <c r="E369" s="64"/>
      <c r="F369" s="64"/>
      <c r="G369" s="103"/>
      <c r="H369" s="23"/>
      <c r="I369" s="23"/>
      <c r="J369" s="23"/>
    </row>
    <row r="370" spans="5:10" ht="13" x14ac:dyDescent="0.15">
      <c r="E370" s="64"/>
      <c r="F370" s="64"/>
      <c r="G370" s="103"/>
      <c r="H370" s="23"/>
      <c r="I370" s="23"/>
      <c r="J370" s="23"/>
    </row>
    <row r="371" spans="5:10" ht="13" x14ac:dyDescent="0.15">
      <c r="E371" s="64"/>
      <c r="F371" s="64"/>
      <c r="G371" s="103"/>
      <c r="H371" s="23"/>
      <c r="I371" s="23"/>
      <c r="J371" s="23"/>
    </row>
    <row r="372" spans="5:10" ht="13" x14ac:dyDescent="0.15">
      <c r="E372" s="64"/>
      <c r="F372" s="64"/>
      <c r="G372" s="103"/>
      <c r="H372" s="23"/>
      <c r="I372" s="23"/>
      <c r="J372" s="23"/>
    </row>
    <row r="373" spans="5:10" ht="13" x14ac:dyDescent="0.15">
      <c r="E373" s="64"/>
      <c r="F373" s="64"/>
      <c r="G373" s="103"/>
      <c r="H373" s="23"/>
      <c r="I373" s="23"/>
      <c r="J373" s="23"/>
    </row>
    <row r="374" spans="5:10" ht="13" x14ac:dyDescent="0.15">
      <c r="E374" s="64"/>
      <c r="F374" s="64"/>
      <c r="G374" s="103"/>
      <c r="H374" s="23"/>
      <c r="I374" s="23"/>
      <c r="J374" s="23"/>
    </row>
    <row r="375" spans="5:10" ht="13" x14ac:dyDescent="0.15">
      <c r="E375" s="64"/>
      <c r="F375" s="64"/>
      <c r="G375" s="103"/>
      <c r="H375" s="23"/>
      <c r="I375" s="23"/>
      <c r="J375" s="23"/>
    </row>
    <row r="376" spans="5:10" ht="13" x14ac:dyDescent="0.15">
      <c r="E376" s="64"/>
      <c r="F376" s="64"/>
      <c r="G376" s="103"/>
      <c r="H376" s="23"/>
      <c r="I376" s="23"/>
      <c r="J376" s="23"/>
    </row>
    <row r="377" spans="5:10" ht="13" x14ac:dyDescent="0.15">
      <c r="E377" s="64"/>
      <c r="F377" s="64"/>
      <c r="G377" s="103"/>
      <c r="H377" s="23"/>
      <c r="I377" s="23"/>
      <c r="J377" s="23"/>
    </row>
    <row r="378" spans="5:10" ht="13" x14ac:dyDescent="0.15">
      <c r="E378" s="64"/>
      <c r="F378" s="64"/>
      <c r="G378" s="103"/>
      <c r="H378" s="23"/>
      <c r="I378" s="23"/>
      <c r="J378" s="23"/>
    </row>
    <row r="379" spans="5:10" ht="13" x14ac:dyDescent="0.15">
      <c r="E379" s="64"/>
      <c r="F379" s="64"/>
      <c r="G379" s="103"/>
      <c r="H379" s="23"/>
      <c r="I379" s="23"/>
      <c r="J379" s="23"/>
    </row>
    <row r="380" spans="5:10" ht="13" x14ac:dyDescent="0.15">
      <c r="E380" s="64"/>
      <c r="F380" s="64"/>
      <c r="G380" s="103"/>
      <c r="H380" s="23"/>
      <c r="I380" s="23"/>
      <c r="J380" s="23"/>
    </row>
    <row r="381" spans="5:10" ht="13" x14ac:dyDescent="0.15">
      <c r="E381" s="64"/>
      <c r="F381" s="64"/>
      <c r="G381" s="103"/>
      <c r="H381" s="23"/>
      <c r="I381" s="23"/>
      <c r="J381" s="23"/>
    </row>
    <row r="382" spans="5:10" ht="13" x14ac:dyDescent="0.15">
      <c r="E382" s="64"/>
      <c r="F382" s="64"/>
      <c r="G382" s="103"/>
      <c r="H382" s="23"/>
      <c r="I382" s="23"/>
      <c r="J382" s="23"/>
    </row>
    <row r="383" spans="5:10" ht="13" x14ac:dyDescent="0.15">
      <c r="E383" s="64"/>
      <c r="F383" s="64"/>
      <c r="G383" s="103"/>
      <c r="H383" s="23"/>
      <c r="I383" s="23"/>
      <c r="J383" s="23"/>
    </row>
    <row r="384" spans="5:10" ht="13" x14ac:dyDescent="0.15">
      <c r="E384" s="64"/>
      <c r="F384" s="64"/>
      <c r="G384" s="103"/>
      <c r="H384" s="23"/>
      <c r="I384" s="23"/>
      <c r="J384" s="23"/>
    </row>
    <row r="385" spans="5:10" ht="13" x14ac:dyDescent="0.15">
      <c r="E385" s="64"/>
      <c r="F385" s="64"/>
      <c r="G385" s="103"/>
      <c r="H385" s="23"/>
      <c r="I385" s="23"/>
      <c r="J385" s="23"/>
    </row>
    <row r="386" spans="5:10" ht="13" x14ac:dyDescent="0.15">
      <c r="E386" s="64"/>
      <c r="F386" s="64"/>
      <c r="G386" s="103"/>
      <c r="H386" s="23"/>
      <c r="I386" s="23"/>
      <c r="J386" s="23"/>
    </row>
    <row r="387" spans="5:10" ht="13" x14ac:dyDescent="0.15">
      <c r="E387" s="64"/>
      <c r="F387" s="64"/>
      <c r="G387" s="103"/>
      <c r="H387" s="23"/>
      <c r="I387" s="23"/>
      <c r="J387" s="23"/>
    </row>
    <row r="388" spans="5:10" ht="13" x14ac:dyDescent="0.15">
      <c r="E388" s="64"/>
      <c r="F388" s="64"/>
      <c r="G388" s="103"/>
      <c r="H388" s="23"/>
      <c r="I388" s="23"/>
      <c r="J388" s="23"/>
    </row>
    <row r="389" spans="5:10" ht="13" x14ac:dyDescent="0.15">
      <c r="E389" s="64"/>
      <c r="F389" s="64"/>
      <c r="G389" s="103"/>
      <c r="H389" s="23"/>
      <c r="I389" s="23"/>
      <c r="J389" s="23"/>
    </row>
    <row r="390" spans="5:10" ht="13" x14ac:dyDescent="0.15">
      <c r="E390" s="64"/>
      <c r="F390" s="64"/>
      <c r="G390" s="103"/>
      <c r="H390" s="23"/>
      <c r="I390" s="23"/>
      <c r="J390" s="23"/>
    </row>
    <row r="391" spans="5:10" ht="13" x14ac:dyDescent="0.15">
      <c r="E391" s="64"/>
      <c r="F391" s="64"/>
      <c r="G391" s="103"/>
      <c r="H391" s="23"/>
      <c r="I391" s="23"/>
      <c r="J391" s="23"/>
    </row>
    <row r="392" spans="5:10" ht="13" x14ac:dyDescent="0.15">
      <c r="E392" s="64"/>
      <c r="F392" s="64"/>
      <c r="G392" s="103"/>
      <c r="H392" s="23"/>
      <c r="I392" s="23"/>
      <c r="J392" s="23"/>
    </row>
    <row r="393" spans="5:10" ht="13" x14ac:dyDescent="0.15">
      <c r="E393" s="64"/>
      <c r="F393" s="64"/>
      <c r="G393" s="103"/>
      <c r="H393" s="23"/>
      <c r="I393" s="23"/>
      <c r="J393" s="23"/>
    </row>
    <row r="394" spans="5:10" ht="13" x14ac:dyDescent="0.15">
      <c r="E394" s="64"/>
      <c r="F394" s="64"/>
      <c r="G394" s="103"/>
      <c r="H394" s="23"/>
      <c r="I394" s="23"/>
      <c r="J394" s="23"/>
    </row>
    <row r="395" spans="5:10" ht="13" x14ac:dyDescent="0.15">
      <c r="E395" s="64"/>
      <c r="F395" s="64"/>
      <c r="G395" s="103"/>
      <c r="H395" s="23"/>
      <c r="I395" s="23"/>
      <c r="J395" s="23"/>
    </row>
    <row r="396" spans="5:10" ht="13" x14ac:dyDescent="0.15">
      <c r="E396" s="64"/>
      <c r="F396" s="64"/>
      <c r="G396" s="103"/>
      <c r="H396" s="23"/>
      <c r="I396" s="23"/>
      <c r="J396" s="23"/>
    </row>
    <row r="397" spans="5:10" ht="13" x14ac:dyDescent="0.15">
      <c r="E397" s="64"/>
      <c r="F397" s="64"/>
      <c r="G397" s="103"/>
      <c r="H397" s="23"/>
      <c r="I397" s="23"/>
      <c r="J397" s="23"/>
    </row>
    <row r="398" spans="5:10" ht="13" x14ac:dyDescent="0.15">
      <c r="E398" s="64"/>
      <c r="F398" s="64"/>
      <c r="G398" s="103"/>
      <c r="H398" s="23"/>
      <c r="I398" s="23"/>
      <c r="J398" s="23"/>
    </row>
    <row r="399" spans="5:10" ht="13" x14ac:dyDescent="0.15">
      <c r="E399" s="64"/>
      <c r="F399" s="64"/>
      <c r="G399" s="103"/>
      <c r="H399" s="23"/>
      <c r="I399" s="23"/>
      <c r="J399" s="23"/>
    </row>
    <row r="400" spans="5:10" ht="13" x14ac:dyDescent="0.15">
      <c r="E400" s="64"/>
      <c r="F400" s="64"/>
      <c r="G400" s="103"/>
      <c r="H400" s="23"/>
      <c r="I400" s="23"/>
      <c r="J400" s="23"/>
    </row>
    <row r="401" spans="5:10" ht="13" x14ac:dyDescent="0.15">
      <c r="E401" s="64"/>
      <c r="F401" s="64"/>
      <c r="G401" s="103"/>
      <c r="H401" s="23"/>
      <c r="I401" s="23"/>
      <c r="J401" s="23"/>
    </row>
    <row r="402" spans="5:10" ht="13" x14ac:dyDescent="0.15">
      <c r="E402" s="64"/>
      <c r="F402" s="64"/>
      <c r="G402" s="103"/>
      <c r="H402" s="23"/>
      <c r="I402" s="23"/>
      <c r="J402" s="23"/>
    </row>
    <row r="403" spans="5:10" ht="13" x14ac:dyDescent="0.15">
      <c r="E403" s="64"/>
      <c r="F403" s="64"/>
      <c r="G403" s="103"/>
      <c r="H403" s="23"/>
      <c r="I403" s="23"/>
      <c r="J403" s="23"/>
    </row>
    <row r="404" spans="5:10" ht="13" x14ac:dyDescent="0.15">
      <c r="E404" s="64"/>
      <c r="F404" s="64"/>
      <c r="G404" s="103"/>
      <c r="H404" s="23"/>
      <c r="I404" s="23"/>
      <c r="J404" s="23"/>
    </row>
    <row r="405" spans="5:10" ht="13" x14ac:dyDescent="0.15">
      <c r="E405" s="64"/>
      <c r="F405" s="64"/>
      <c r="G405" s="103"/>
      <c r="H405" s="23"/>
      <c r="I405" s="23"/>
      <c r="J405" s="23"/>
    </row>
    <row r="406" spans="5:10" ht="13" x14ac:dyDescent="0.15">
      <c r="E406" s="64"/>
      <c r="F406" s="64"/>
      <c r="G406" s="103"/>
      <c r="H406" s="23"/>
      <c r="I406" s="23"/>
      <c r="J406" s="23"/>
    </row>
    <row r="407" spans="5:10" ht="13" x14ac:dyDescent="0.15">
      <c r="E407" s="64"/>
      <c r="F407" s="64"/>
      <c r="G407" s="103"/>
      <c r="H407" s="23"/>
      <c r="I407" s="23"/>
      <c r="J407" s="23"/>
    </row>
    <row r="408" spans="5:10" ht="13" x14ac:dyDescent="0.15">
      <c r="E408" s="64"/>
      <c r="F408" s="64"/>
      <c r="G408" s="103"/>
      <c r="H408" s="23"/>
      <c r="I408" s="23"/>
      <c r="J408" s="23"/>
    </row>
    <row r="409" spans="5:10" ht="13" x14ac:dyDescent="0.15">
      <c r="E409" s="64"/>
      <c r="F409" s="64"/>
      <c r="G409" s="103"/>
      <c r="H409" s="23"/>
      <c r="I409" s="23"/>
      <c r="J409" s="23"/>
    </row>
    <row r="410" spans="5:10" ht="13" x14ac:dyDescent="0.15">
      <c r="E410" s="64"/>
      <c r="F410" s="64"/>
      <c r="G410" s="103"/>
      <c r="H410" s="23"/>
      <c r="I410" s="23"/>
      <c r="J410" s="23"/>
    </row>
    <row r="411" spans="5:10" ht="13" x14ac:dyDescent="0.15">
      <c r="E411" s="64"/>
      <c r="F411" s="64"/>
      <c r="G411" s="103"/>
      <c r="H411" s="23"/>
      <c r="I411" s="23"/>
      <c r="J411" s="23"/>
    </row>
    <row r="412" spans="5:10" ht="13" x14ac:dyDescent="0.15">
      <c r="E412" s="64"/>
      <c r="F412" s="64"/>
      <c r="G412" s="103"/>
      <c r="H412" s="23"/>
      <c r="I412" s="23"/>
      <c r="J412" s="23"/>
    </row>
    <row r="413" spans="5:10" ht="13" x14ac:dyDescent="0.15">
      <c r="E413" s="64"/>
      <c r="F413" s="64"/>
      <c r="G413" s="103"/>
      <c r="H413" s="23"/>
      <c r="I413" s="23"/>
      <c r="J413" s="23"/>
    </row>
    <row r="414" spans="5:10" ht="13" x14ac:dyDescent="0.15">
      <c r="E414" s="64"/>
      <c r="F414" s="64"/>
      <c r="G414" s="103"/>
      <c r="H414" s="23"/>
      <c r="I414" s="23"/>
      <c r="J414" s="23"/>
    </row>
    <row r="415" spans="5:10" ht="13" x14ac:dyDescent="0.15">
      <c r="E415" s="64"/>
      <c r="F415" s="64"/>
      <c r="G415" s="103"/>
      <c r="H415" s="23"/>
      <c r="I415" s="23"/>
      <c r="J415" s="23"/>
    </row>
    <row r="416" spans="5:10" ht="13" x14ac:dyDescent="0.15">
      <c r="E416" s="64"/>
      <c r="F416" s="64"/>
      <c r="G416" s="103"/>
      <c r="H416" s="23"/>
      <c r="I416" s="23"/>
      <c r="J416" s="23"/>
    </row>
    <row r="417" spans="5:10" ht="13" x14ac:dyDescent="0.15">
      <c r="E417" s="64"/>
      <c r="F417" s="64"/>
      <c r="G417" s="103"/>
      <c r="H417" s="23"/>
      <c r="I417" s="23"/>
      <c r="J417" s="23"/>
    </row>
    <row r="418" spans="5:10" ht="13" x14ac:dyDescent="0.15">
      <c r="E418" s="64"/>
      <c r="F418" s="64"/>
      <c r="G418" s="103"/>
      <c r="H418" s="23"/>
      <c r="I418" s="23"/>
      <c r="J418" s="23"/>
    </row>
    <row r="419" spans="5:10" ht="13" x14ac:dyDescent="0.15">
      <c r="E419" s="64"/>
      <c r="F419" s="64"/>
      <c r="G419" s="103"/>
      <c r="H419" s="23"/>
      <c r="I419" s="23"/>
      <c r="J419" s="23"/>
    </row>
    <row r="420" spans="5:10" ht="13" x14ac:dyDescent="0.15">
      <c r="E420" s="64"/>
      <c r="F420" s="64"/>
      <c r="G420" s="103"/>
      <c r="H420" s="23"/>
      <c r="I420" s="23"/>
      <c r="J420" s="23"/>
    </row>
    <row r="421" spans="5:10" ht="13" x14ac:dyDescent="0.15">
      <c r="E421" s="64"/>
      <c r="F421" s="64"/>
      <c r="G421" s="103"/>
      <c r="H421" s="23"/>
      <c r="I421" s="23"/>
      <c r="J421" s="23"/>
    </row>
    <row r="422" spans="5:10" ht="13" x14ac:dyDescent="0.15">
      <c r="E422" s="64"/>
      <c r="F422" s="64"/>
      <c r="G422" s="103"/>
      <c r="H422" s="23"/>
      <c r="I422" s="23"/>
      <c r="J422" s="23"/>
    </row>
    <row r="423" spans="5:10" ht="13" x14ac:dyDescent="0.15">
      <c r="E423" s="64"/>
      <c r="F423" s="64"/>
      <c r="G423" s="103"/>
      <c r="H423" s="23"/>
      <c r="I423" s="23"/>
      <c r="J423" s="23"/>
    </row>
    <row r="424" spans="5:10" ht="13" x14ac:dyDescent="0.15">
      <c r="E424" s="64"/>
      <c r="F424" s="64"/>
      <c r="G424" s="103"/>
      <c r="H424" s="23"/>
      <c r="I424" s="23"/>
      <c r="J424" s="23"/>
    </row>
    <row r="425" spans="5:10" ht="13" x14ac:dyDescent="0.15">
      <c r="E425" s="64"/>
      <c r="F425" s="64"/>
      <c r="G425" s="103"/>
      <c r="H425" s="23"/>
      <c r="I425" s="23"/>
      <c r="J425" s="23"/>
    </row>
    <row r="426" spans="5:10" ht="13" x14ac:dyDescent="0.15">
      <c r="E426" s="64"/>
      <c r="F426" s="64"/>
      <c r="G426" s="103"/>
      <c r="H426" s="23"/>
      <c r="I426" s="23"/>
      <c r="J426" s="23"/>
    </row>
    <row r="427" spans="5:10" ht="13" x14ac:dyDescent="0.15">
      <c r="E427" s="64"/>
      <c r="F427" s="64"/>
      <c r="G427" s="103"/>
      <c r="H427" s="23"/>
      <c r="I427" s="23"/>
      <c r="J427" s="23"/>
    </row>
    <row r="428" spans="5:10" ht="13" x14ac:dyDescent="0.15">
      <c r="E428" s="64"/>
      <c r="F428" s="64"/>
      <c r="G428" s="103"/>
      <c r="H428" s="23"/>
      <c r="I428" s="23"/>
      <c r="J428" s="23"/>
    </row>
    <row r="429" spans="5:10" ht="13" x14ac:dyDescent="0.15">
      <c r="E429" s="64"/>
      <c r="F429" s="64"/>
      <c r="G429" s="103"/>
      <c r="H429" s="23"/>
      <c r="I429" s="23"/>
      <c r="J429" s="23"/>
    </row>
    <row r="430" spans="5:10" ht="13" x14ac:dyDescent="0.15">
      <c r="E430" s="64"/>
      <c r="F430" s="64"/>
      <c r="G430" s="103"/>
      <c r="H430" s="23"/>
      <c r="I430" s="23"/>
      <c r="J430" s="23"/>
    </row>
    <row r="431" spans="5:10" ht="13" x14ac:dyDescent="0.15">
      <c r="E431" s="64"/>
      <c r="F431" s="64"/>
      <c r="G431" s="103"/>
      <c r="H431" s="23"/>
      <c r="I431" s="23"/>
      <c r="J431" s="23"/>
    </row>
    <row r="432" spans="5:10" ht="13" x14ac:dyDescent="0.15">
      <c r="E432" s="64"/>
      <c r="F432" s="64"/>
      <c r="G432" s="103"/>
      <c r="H432" s="23"/>
      <c r="I432" s="23"/>
      <c r="J432" s="23"/>
    </row>
    <row r="433" spans="5:10" ht="13" x14ac:dyDescent="0.15">
      <c r="E433" s="64"/>
      <c r="F433" s="64"/>
      <c r="G433" s="103"/>
      <c r="H433" s="23"/>
      <c r="I433" s="23"/>
      <c r="J433" s="23"/>
    </row>
    <row r="434" spans="5:10" ht="13" x14ac:dyDescent="0.15">
      <c r="E434" s="64"/>
      <c r="F434" s="64"/>
      <c r="G434" s="103"/>
      <c r="H434" s="23"/>
      <c r="I434" s="23"/>
      <c r="J434" s="23"/>
    </row>
    <row r="435" spans="5:10" ht="13" x14ac:dyDescent="0.15">
      <c r="E435" s="64"/>
      <c r="F435" s="64"/>
      <c r="G435" s="103"/>
      <c r="H435" s="23"/>
      <c r="I435" s="23"/>
      <c r="J435" s="23"/>
    </row>
    <row r="436" spans="5:10" ht="13" x14ac:dyDescent="0.15">
      <c r="E436" s="64"/>
      <c r="F436" s="64"/>
      <c r="G436" s="103"/>
      <c r="H436" s="23"/>
      <c r="I436" s="23"/>
      <c r="J436" s="23"/>
    </row>
    <row r="437" spans="5:10" ht="13" x14ac:dyDescent="0.15">
      <c r="E437" s="64"/>
      <c r="F437" s="64"/>
      <c r="G437" s="103"/>
      <c r="H437" s="23"/>
      <c r="I437" s="23"/>
      <c r="J437" s="23"/>
    </row>
    <row r="438" spans="5:10" ht="13" x14ac:dyDescent="0.15">
      <c r="E438" s="64"/>
      <c r="F438" s="64"/>
      <c r="G438" s="103"/>
      <c r="H438" s="23"/>
      <c r="I438" s="23"/>
      <c r="J438" s="23"/>
    </row>
    <row r="439" spans="5:10" ht="13" x14ac:dyDescent="0.15">
      <c r="E439" s="64"/>
      <c r="F439" s="64"/>
      <c r="G439" s="103"/>
      <c r="H439" s="23"/>
      <c r="I439" s="23"/>
      <c r="J439" s="23"/>
    </row>
    <row r="440" spans="5:10" ht="13" x14ac:dyDescent="0.15">
      <c r="E440" s="64"/>
      <c r="F440" s="64"/>
      <c r="G440" s="103"/>
      <c r="H440" s="23"/>
      <c r="I440" s="23"/>
      <c r="J440" s="23"/>
    </row>
    <row r="441" spans="5:10" ht="13" x14ac:dyDescent="0.15">
      <c r="E441" s="64"/>
      <c r="F441" s="64"/>
      <c r="G441" s="103"/>
      <c r="H441" s="23"/>
      <c r="I441" s="23"/>
      <c r="J441" s="23"/>
    </row>
    <row r="442" spans="5:10" ht="13" x14ac:dyDescent="0.15">
      <c r="E442" s="64"/>
      <c r="F442" s="64"/>
      <c r="G442" s="103"/>
      <c r="H442" s="23"/>
      <c r="I442" s="23"/>
      <c r="J442" s="23"/>
    </row>
    <row r="443" spans="5:10" ht="13" x14ac:dyDescent="0.15">
      <c r="E443" s="64"/>
      <c r="F443" s="64"/>
      <c r="G443" s="103"/>
      <c r="H443" s="23"/>
      <c r="I443" s="23"/>
      <c r="J443" s="23"/>
    </row>
    <row r="444" spans="5:10" ht="13" x14ac:dyDescent="0.15">
      <c r="E444" s="64"/>
      <c r="F444" s="64"/>
      <c r="G444" s="103"/>
      <c r="H444" s="23"/>
      <c r="I444" s="23"/>
      <c r="J444" s="23"/>
    </row>
    <row r="445" spans="5:10" ht="13" x14ac:dyDescent="0.15">
      <c r="E445" s="64"/>
      <c r="F445" s="64"/>
      <c r="G445" s="103"/>
      <c r="H445" s="23"/>
      <c r="I445" s="23"/>
      <c r="J445" s="23"/>
    </row>
    <row r="446" spans="5:10" ht="13" x14ac:dyDescent="0.15">
      <c r="E446" s="64"/>
      <c r="F446" s="64"/>
      <c r="G446" s="103"/>
      <c r="H446" s="23"/>
      <c r="I446" s="23"/>
      <c r="J446" s="23"/>
    </row>
    <row r="447" spans="5:10" ht="13" x14ac:dyDescent="0.15">
      <c r="E447" s="64"/>
      <c r="F447" s="64"/>
      <c r="G447" s="103"/>
      <c r="H447" s="23"/>
      <c r="I447" s="23"/>
      <c r="J447" s="23"/>
    </row>
    <row r="448" spans="5:10" ht="13" x14ac:dyDescent="0.15">
      <c r="E448" s="64"/>
      <c r="F448" s="64"/>
      <c r="G448" s="103"/>
      <c r="H448" s="23"/>
      <c r="I448" s="23"/>
      <c r="J448" s="23"/>
    </row>
    <row r="449" spans="5:10" ht="13" x14ac:dyDescent="0.15">
      <c r="E449" s="64"/>
      <c r="F449" s="64"/>
      <c r="G449" s="103"/>
      <c r="H449" s="23"/>
      <c r="I449" s="23"/>
      <c r="J449" s="23"/>
    </row>
    <row r="450" spans="5:10" ht="13" x14ac:dyDescent="0.15">
      <c r="E450" s="64"/>
      <c r="F450" s="64"/>
      <c r="G450" s="103"/>
      <c r="H450" s="23"/>
      <c r="I450" s="23"/>
      <c r="J450" s="23"/>
    </row>
    <row r="451" spans="5:10" ht="13" x14ac:dyDescent="0.15">
      <c r="E451" s="64"/>
      <c r="F451" s="64"/>
      <c r="G451" s="103"/>
      <c r="H451" s="23"/>
      <c r="I451" s="23"/>
      <c r="J451" s="23"/>
    </row>
    <row r="452" spans="5:10" ht="13" x14ac:dyDescent="0.15">
      <c r="E452" s="64"/>
      <c r="F452" s="64"/>
      <c r="G452" s="103"/>
      <c r="H452" s="23"/>
      <c r="I452" s="23"/>
      <c r="J452" s="23"/>
    </row>
    <row r="453" spans="5:10" ht="13" x14ac:dyDescent="0.15">
      <c r="E453" s="64"/>
      <c r="F453" s="64"/>
      <c r="G453" s="103"/>
      <c r="H453" s="23"/>
      <c r="I453" s="23"/>
      <c r="J453" s="23"/>
    </row>
    <row r="454" spans="5:10" ht="13" x14ac:dyDescent="0.15">
      <c r="E454" s="64"/>
      <c r="F454" s="64"/>
      <c r="G454" s="103"/>
      <c r="H454" s="23"/>
      <c r="I454" s="23"/>
      <c r="J454" s="23"/>
    </row>
    <row r="455" spans="5:10" ht="13" x14ac:dyDescent="0.15">
      <c r="E455" s="64"/>
      <c r="F455" s="64"/>
      <c r="G455" s="103"/>
      <c r="H455" s="23"/>
      <c r="I455" s="23"/>
      <c r="J455" s="23"/>
    </row>
    <row r="456" spans="5:10" ht="13" x14ac:dyDescent="0.15">
      <c r="E456" s="64"/>
      <c r="F456" s="64"/>
      <c r="G456" s="103"/>
      <c r="H456" s="23"/>
      <c r="I456" s="23"/>
      <c r="J456" s="23"/>
    </row>
    <row r="457" spans="5:10" ht="13" x14ac:dyDescent="0.15">
      <c r="E457" s="64"/>
      <c r="F457" s="64"/>
      <c r="G457" s="103"/>
      <c r="H457" s="23"/>
      <c r="I457" s="23"/>
      <c r="J457" s="23"/>
    </row>
    <row r="458" spans="5:10" ht="13" x14ac:dyDescent="0.15">
      <c r="E458" s="64"/>
      <c r="F458" s="64"/>
      <c r="G458" s="103"/>
      <c r="H458" s="23"/>
      <c r="I458" s="23"/>
      <c r="J458" s="23"/>
    </row>
    <row r="459" spans="5:10" ht="13" x14ac:dyDescent="0.15">
      <c r="E459" s="64"/>
      <c r="F459" s="64"/>
      <c r="G459" s="103"/>
      <c r="H459" s="23"/>
      <c r="I459" s="23"/>
      <c r="J459" s="23"/>
    </row>
    <row r="460" spans="5:10" ht="13" x14ac:dyDescent="0.15">
      <c r="E460" s="64"/>
      <c r="F460" s="64"/>
      <c r="G460" s="103"/>
      <c r="H460" s="23"/>
      <c r="I460" s="23"/>
      <c r="J460" s="23"/>
    </row>
    <row r="461" spans="5:10" ht="13" x14ac:dyDescent="0.15">
      <c r="E461" s="64"/>
      <c r="F461" s="64"/>
      <c r="G461" s="103"/>
      <c r="H461" s="23"/>
      <c r="I461" s="23"/>
      <c r="J461" s="23"/>
    </row>
    <row r="462" spans="5:10" ht="13" x14ac:dyDescent="0.15">
      <c r="E462" s="64"/>
      <c r="F462" s="64"/>
      <c r="G462" s="103"/>
      <c r="H462" s="23"/>
      <c r="I462" s="23"/>
      <c r="J462" s="23"/>
    </row>
    <row r="463" spans="5:10" ht="13" x14ac:dyDescent="0.15">
      <c r="E463" s="64"/>
      <c r="F463" s="64"/>
      <c r="G463" s="103"/>
      <c r="H463" s="23"/>
      <c r="I463" s="23"/>
      <c r="J463" s="23"/>
    </row>
    <row r="464" spans="5:10" ht="13" x14ac:dyDescent="0.15">
      <c r="E464" s="64"/>
      <c r="F464" s="64"/>
      <c r="G464" s="103"/>
      <c r="H464" s="23"/>
      <c r="I464" s="23"/>
      <c r="J464" s="23"/>
    </row>
    <row r="465" spans="5:10" ht="13" x14ac:dyDescent="0.15">
      <c r="E465" s="64"/>
      <c r="F465" s="64"/>
      <c r="G465" s="103"/>
      <c r="H465" s="23"/>
      <c r="I465" s="23"/>
      <c r="J465" s="23"/>
    </row>
    <row r="466" spans="5:10" ht="13" x14ac:dyDescent="0.15">
      <c r="E466" s="64"/>
      <c r="F466" s="64"/>
      <c r="G466" s="103"/>
      <c r="H466" s="23"/>
      <c r="I466" s="23"/>
      <c r="J466" s="23"/>
    </row>
    <row r="467" spans="5:10" ht="13" x14ac:dyDescent="0.15">
      <c r="E467" s="64"/>
      <c r="F467" s="64"/>
      <c r="G467" s="103"/>
      <c r="H467" s="23"/>
      <c r="I467" s="23"/>
      <c r="J467" s="23"/>
    </row>
    <row r="468" spans="5:10" ht="13" x14ac:dyDescent="0.15">
      <c r="E468" s="64"/>
      <c r="F468" s="64"/>
      <c r="G468" s="103"/>
      <c r="H468" s="23"/>
      <c r="I468" s="23"/>
      <c r="J468" s="23"/>
    </row>
    <row r="469" spans="5:10" ht="13" x14ac:dyDescent="0.15">
      <c r="E469" s="64"/>
      <c r="F469" s="64"/>
      <c r="G469" s="103"/>
      <c r="H469" s="23"/>
      <c r="I469" s="23"/>
      <c r="J469" s="23"/>
    </row>
    <row r="470" spans="5:10" ht="13" x14ac:dyDescent="0.15">
      <c r="E470" s="64"/>
      <c r="F470" s="64"/>
      <c r="G470" s="103"/>
      <c r="H470" s="23"/>
      <c r="I470" s="23"/>
      <c r="J470" s="23"/>
    </row>
    <row r="471" spans="5:10" ht="13" x14ac:dyDescent="0.15">
      <c r="E471" s="64"/>
      <c r="F471" s="64"/>
      <c r="G471" s="103"/>
      <c r="H471" s="23"/>
      <c r="I471" s="23"/>
      <c r="J471" s="23"/>
    </row>
    <row r="472" spans="5:10" ht="13" x14ac:dyDescent="0.15">
      <c r="E472" s="64"/>
      <c r="F472" s="64"/>
      <c r="G472" s="103"/>
      <c r="H472" s="23"/>
      <c r="I472" s="23"/>
      <c r="J472" s="23"/>
    </row>
    <row r="473" spans="5:10" ht="13" x14ac:dyDescent="0.15">
      <c r="E473" s="64"/>
      <c r="F473" s="64"/>
      <c r="G473" s="103"/>
      <c r="H473" s="23"/>
      <c r="I473" s="23"/>
      <c r="J473" s="23"/>
    </row>
    <row r="474" spans="5:10" ht="13" x14ac:dyDescent="0.15">
      <c r="E474" s="64"/>
      <c r="F474" s="64"/>
      <c r="G474" s="103"/>
      <c r="H474" s="23"/>
      <c r="I474" s="23"/>
      <c r="J474" s="23"/>
    </row>
    <row r="475" spans="5:10" ht="13" x14ac:dyDescent="0.15">
      <c r="E475" s="64"/>
      <c r="F475" s="64"/>
      <c r="G475" s="103"/>
      <c r="H475" s="23"/>
      <c r="I475" s="23"/>
      <c r="J475" s="23"/>
    </row>
    <row r="476" spans="5:10" ht="13" x14ac:dyDescent="0.15">
      <c r="E476" s="64"/>
      <c r="F476" s="64"/>
      <c r="G476" s="103"/>
      <c r="H476" s="23"/>
      <c r="I476" s="23"/>
      <c r="J476" s="23"/>
    </row>
    <row r="477" spans="5:10" ht="13" x14ac:dyDescent="0.15">
      <c r="E477" s="64"/>
      <c r="F477" s="64"/>
      <c r="G477" s="103"/>
      <c r="H477" s="23"/>
      <c r="I477" s="23"/>
      <c r="J477" s="23"/>
    </row>
    <row r="478" spans="5:10" ht="13" x14ac:dyDescent="0.15">
      <c r="E478" s="64"/>
      <c r="F478" s="64"/>
      <c r="G478" s="103"/>
      <c r="H478" s="23"/>
      <c r="I478" s="23"/>
      <c r="J478" s="23"/>
    </row>
    <row r="479" spans="5:10" ht="13" x14ac:dyDescent="0.15">
      <c r="E479" s="64"/>
      <c r="F479" s="64"/>
      <c r="G479" s="103"/>
      <c r="H479" s="23"/>
      <c r="I479" s="23"/>
      <c r="J479" s="23"/>
    </row>
    <row r="480" spans="5:10" ht="13" x14ac:dyDescent="0.15">
      <c r="E480" s="64"/>
      <c r="F480" s="64"/>
      <c r="G480" s="103"/>
      <c r="H480" s="23"/>
      <c r="I480" s="23"/>
      <c r="J480" s="23"/>
    </row>
    <row r="481" spans="5:10" ht="13" x14ac:dyDescent="0.15">
      <c r="E481" s="64"/>
      <c r="F481" s="64"/>
      <c r="G481" s="103"/>
      <c r="H481" s="23"/>
      <c r="I481" s="23"/>
      <c r="J481" s="23"/>
    </row>
    <row r="482" spans="5:10" ht="13" x14ac:dyDescent="0.15">
      <c r="E482" s="64"/>
      <c r="F482" s="64"/>
      <c r="G482" s="103"/>
      <c r="H482" s="23"/>
      <c r="I482" s="23"/>
      <c r="J482" s="23"/>
    </row>
    <row r="483" spans="5:10" ht="13" x14ac:dyDescent="0.15">
      <c r="E483" s="64"/>
      <c r="F483" s="64"/>
      <c r="G483" s="103"/>
      <c r="H483" s="23"/>
      <c r="I483" s="23"/>
      <c r="J483" s="23"/>
    </row>
    <row r="484" spans="5:10" ht="13" x14ac:dyDescent="0.15">
      <c r="E484" s="64"/>
      <c r="F484" s="64"/>
      <c r="G484" s="103"/>
      <c r="H484" s="23"/>
      <c r="I484" s="23"/>
      <c r="J484" s="23"/>
    </row>
    <row r="485" spans="5:10" ht="13" x14ac:dyDescent="0.15">
      <c r="E485" s="64"/>
      <c r="F485" s="64"/>
      <c r="G485" s="103"/>
      <c r="H485" s="23"/>
      <c r="I485" s="23"/>
      <c r="J485" s="23"/>
    </row>
    <row r="486" spans="5:10" ht="13" x14ac:dyDescent="0.15">
      <c r="E486" s="64"/>
      <c r="F486" s="64"/>
      <c r="G486" s="103"/>
      <c r="H486" s="23"/>
      <c r="I486" s="23"/>
      <c r="J486" s="23"/>
    </row>
    <row r="487" spans="5:10" ht="13" x14ac:dyDescent="0.15">
      <c r="E487" s="64"/>
      <c r="F487" s="64"/>
      <c r="G487" s="103"/>
      <c r="H487" s="23"/>
      <c r="I487" s="23"/>
      <c r="J487" s="23"/>
    </row>
    <row r="488" spans="5:10" ht="13" x14ac:dyDescent="0.15">
      <c r="E488" s="64"/>
      <c r="F488" s="64"/>
      <c r="G488" s="103"/>
      <c r="H488" s="23"/>
      <c r="I488" s="23"/>
      <c r="J488" s="23"/>
    </row>
    <row r="489" spans="5:10" ht="13" x14ac:dyDescent="0.15">
      <c r="E489" s="64"/>
      <c r="F489" s="64"/>
      <c r="G489" s="103"/>
      <c r="H489" s="23"/>
      <c r="I489" s="23"/>
      <c r="J489" s="23"/>
    </row>
    <row r="490" spans="5:10" ht="13" x14ac:dyDescent="0.15">
      <c r="E490" s="64"/>
      <c r="F490" s="64"/>
      <c r="G490" s="103"/>
      <c r="H490" s="23"/>
      <c r="I490" s="23"/>
      <c r="J490" s="23"/>
    </row>
    <row r="491" spans="5:10" ht="13" x14ac:dyDescent="0.15">
      <c r="E491" s="64"/>
      <c r="F491" s="64"/>
      <c r="G491" s="103"/>
      <c r="H491" s="23"/>
      <c r="I491" s="23"/>
      <c r="J491" s="23"/>
    </row>
    <row r="492" spans="5:10" ht="13" x14ac:dyDescent="0.15">
      <c r="E492" s="64"/>
      <c r="F492" s="64"/>
      <c r="G492" s="103"/>
      <c r="H492" s="23"/>
      <c r="I492" s="23"/>
      <c r="J492" s="23"/>
    </row>
    <row r="493" spans="5:10" ht="13" x14ac:dyDescent="0.15">
      <c r="E493" s="64"/>
      <c r="F493" s="64"/>
      <c r="G493" s="103"/>
      <c r="H493" s="23"/>
      <c r="I493" s="23"/>
      <c r="J493" s="23"/>
    </row>
    <row r="494" spans="5:10" ht="13" x14ac:dyDescent="0.15">
      <c r="E494" s="64"/>
      <c r="F494" s="64"/>
      <c r="G494" s="103"/>
      <c r="H494" s="23"/>
      <c r="I494" s="23"/>
      <c r="J494" s="23"/>
    </row>
    <row r="495" spans="5:10" ht="13" x14ac:dyDescent="0.15">
      <c r="E495" s="64"/>
      <c r="F495" s="64"/>
      <c r="G495" s="103"/>
      <c r="H495" s="23"/>
      <c r="I495" s="23"/>
      <c r="J495" s="23"/>
    </row>
    <row r="496" spans="5:10" ht="13" x14ac:dyDescent="0.15">
      <c r="E496" s="64"/>
      <c r="F496" s="64"/>
      <c r="G496" s="103"/>
      <c r="H496" s="23"/>
      <c r="I496" s="23"/>
      <c r="J496" s="23"/>
    </row>
    <row r="497" spans="5:10" ht="13" x14ac:dyDescent="0.15">
      <c r="E497" s="64"/>
      <c r="F497" s="64"/>
      <c r="G497" s="103"/>
      <c r="H497" s="23"/>
      <c r="I497" s="23"/>
      <c r="J497" s="23"/>
    </row>
    <row r="498" spans="5:10" ht="13" x14ac:dyDescent="0.15">
      <c r="E498" s="64"/>
      <c r="F498" s="64"/>
      <c r="G498" s="103"/>
      <c r="H498" s="23"/>
      <c r="I498" s="23"/>
      <c r="J498" s="23"/>
    </row>
    <row r="499" spans="5:10" ht="13" x14ac:dyDescent="0.15">
      <c r="E499" s="64"/>
      <c r="F499" s="64"/>
      <c r="G499" s="103"/>
      <c r="H499" s="23"/>
      <c r="I499" s="23"/>
      <c r="J499" s="23"/>
    </row>
    <row r="500" spans="5:10" ht="13" x14ac:dyDescent="0.15">
      <c r="E500" s="64"/>
      <c r="F500" s="64"/>
      <c r="G500" s="103"/>
      <c r="H500" s="23"/>
      <c r="I500" s="23"/>
      <c r="J500" s="23"/>
    </row>
    <row r="501" spans="5:10" ht="13" x14ac:dyDescent="0.15">
      <c r="E501" s="64"/>
      <c r="F501" s="64"/>
      <c r="G501" s="103"/>
      <c r="H501" s="23"/>
      <c r="I501" s="23"/>
      <c r="J501" s="23"/>
    </row>
    <row r="502" spans="5:10" ht="13" x14ac:dyDescent="0.15">
      <c r="E502" s="64"/>
      <c r="F502" s="64"/>
      <c r="G502" s="103"/>
      <c r="H502" s="23"/>
      <c r="I502" s="23"/>
      <c r="J502" s="23"/>
    </row>
    <row r="503" spans="5:10" ht="13" x14ac:dyDescent="0.15">
      <c r="E503" s="64"/>
      <c r="F503" s="64"/>
      <c r="G503" s="103"/>
      <c r="H503" s="23"/>
      <c r="I503" s="23"/>
      <c r="J503" s="23"/>
    </row>
    <row r="504" spans="5:10" ht="13" x14ac:dyDescent="0.15">
      <c r="E504" s="64"/>
      <c r="F504" s="64"/>
      <c r="G504" s="103"/>
      <c r="H504" s="23"/>
      <c r="I504" s="23"/>
      <c r="J504" s="23"/>
    </row>
    <row r="505" spans="5:10" ht="13" x14ac:dyDescent="0.15">
      <c r="E505" s="64"/>
      <c r="F505" s="64"/>
      <c r="G505" s="103"/>
      <c r="H505" s="23"/>
      <c r="I505" s="23"/>
      <c r="J505" s="23"/>
    </row>
    <row r="506" spans="5:10" ht="13" x14ac:dyDescent="0.15">
      <c r="E506" s="64"/>
      <c r="F506" s="64"/>
      <c r="G506" s="103"/>
      <c r="H506" s="23"/>
      <c r="I506" s="23"/>
      <c r="J506" s="23"/>
    </row>
    <row r="507" spans="5:10" ht="13" x14ac:dyDescent="0.15">
      <c r="E507" s="64"/>
      <c r="F507" s="64"/>
      <c r="G507" s="103"/>
      <c r="H507" s="23"/>
      <c r="I507" s="23"/>
      <c r="J507" s="23"/>
    </row>
    <row r="508" spans="5:10" ht="13" x14ac:dyDescent="0.15">
      <c r="E508" s="64"/>
      <c r="F508" s="64"/>
      <c r="G508" s="103"/>
      <c r="H508" s="23"/>
      <c r="I508" s="23"/>
      <c r="J508" s="23"/>
    </row>
    <row r="509" spans="5:10" ht="13" x14ac:dyDescent="0.15">
      <c r="E509" s="64"/>
      <c r="F509" s="64"/>
      <c r="G509" s="103"/>
      <c r="H509" s="23"/>
      <c r="I509" s="23"/>
      <c r="J509" s="23"/>
    </row>
    <row r="510" spans="5:10" ht="13" x14ac:dyDescent="0.15">
      <c r="E510" s="64"/>
      <c r="F510" s="64"/>
      <c r="G510" s="103"/>
      <c r="H510" s="23"/>
      <c r="I510" s="23"/>
      <c r="J510" s="23"/>
    </row>
    <row r="511" spans="5:10" ht="13" x14ac:dyDescent="0.15">
      <c r="E511" s="64"/>
      <c r="F511" s="64"/>
      <c r="G511" s="103"/>
      <c r="H511" s="23"/>
      <c r="I511" s="23"/>
      <c r="J511" s="23"/>
    </row>
    <row r="512" spans="5:10" ht="13" x14ac:dyDescent="0.15">
      <c r="E512" s="64"/>
      <c r="F512" s="64"/>
      <c r="G512" s="103"/>
      <c r="H512" s="23"/>
      <c r="I512" s="23"/>
      <c r="J512" s="23"/>
    </row>
    <row r="513" spans="5:10" ht="13" x14ac:dyDescent="0.15">
      <c r="E513" s="64"/>
      <c r="F513" s="64"/>
      <c r="G513" s="103"/>
      <c r="H513" s="23"/>
      <c r="I513" s="23"/>
      <c r="J513" s="23"/>
    </row>
    <row r="514" spans="5:10" ht="13" x14ac:dyDescent="0.15">
      <c r="E514" s="64"/>
      <c r="F514" s="64"/>
      <c r="G514" s="103"/>
      <c r="H514" s="23"/>
      <c r="I514" s="23"/>
      <c r="J514" s="23"/>
    </row>
    <row r="515" spans="5:10" ht="13" x14ac:dyDescent="0.15">
      <c r="E515" s="64"/>
      <c r="F515" s="64"/>
      <c r="G515" s="103"/>
      <c r="H515" s="23"/>
      <c r="I515" s="23"/>
      <c r="J515" s="23"/>
    </row>
    <row r="516" spans="5:10" ht="13" x14ac:dyDescent="0.15">
      <c r="E516" s="64"/>
      <c r="F516" s="64"/>
      <c r="G516" s="103"/>
      <c r="H516" s="23"/>
      <c r="I516" s="23"/>
      <c r="J516" s="23"/>
    </row>
    <row r="517" spans="5:10" ht="13" x14ac:dyDescent="0.15">
      <c r="E517" s="64"/>
      <c r="F517" s="64"/>
      <c r="G517" s="103"/>
      <c r="H517" s="23"/>
      <c r="I517" s="23"/>
      <c r="J517" s="23"/>
    </row>
    <row r="518" spans="5:10" ht="13" x14ac:dyDescent="0.15">
      <c r="E518" s="64"/>
      <c r="F518" s="64"/>
      <c r="G518" s="103"/>
      <c r="H518" s="23"/>
      <c r="I518" s="23"/>
      <c r="J518" s="23"/>
    </row>
    <row r="519" spans="5:10" ht="13" x14ac:dyDescent="0.15">
      <c r="E519" s="64"/>
      <c r="F519" s="64"/>
      <c r="G519" s="103"/>
      <c r="H519" s="23"/>
      <c r="I519" s="23"/>
      <c r="J519" s="23"/>
    </row>
    <row r="520" spans="5:10" ht="13" x14ac:dyDescent="0.15">
      <c r="E520" s="64"/>
      <c r="F520" s="64"/>
      <c r="G520" s="103"/>
      <c r="H520" s="23"/>
      <c r="I520" s="23"/>
      <c r="J520" s="23"/>
    </row>
    <row r="521" spans="5:10" ht="13" x14ac:dyDescent="0.15">
      <c r="E521" s="64"/>
      <c r="F521" s="64"/>
      <c r="G521" s="103"/>
      <c r="H521" s="23"/>
      <c r="I521" s="23"/>
      <c r="J521" s="23"/>
    </row>
    <row r="522" spans="5:10" ht="13" x14ac:dyDescent="0.15">
      <c r="E522" s="64"/>
      <c r="F522" s="64"/>
      <c r="G522" s="103"/>
      <c r="H522" s="23"/>
      <c r="I522" s="23"/>
      <c r="J522" s="23"/>
    </row>
    <row r="523" spans="5:10" ht="13" x14ac:dyDescent="0.15">
      <c r="E523" s="64"/>
      <c r="F523" s="64"/>
      <c r="G523" s="103"/>
      <c r="H523" s="23"/>
      <c r="I523" s="23"/>
      <c r="J523" s="23"/>
    </row>
    <row r="524" spans="5:10" ht="13" x14ac:dyDescent="0.15">
      <c r="E524" s="64"/>
      <c r="F524" s="64"/>
      <c r="G524" s="103"/>
      <c r="H524" s="23"/>
      <c r="I524" s="23"/>
      <c r="J524" s="23"/>
    </row>
    <row r="525" spans="5:10" ht="13" x14ac:dyDescent="0.15">
      <c r="E525" s="64"/>
      <c r="F525" s="64"/>
      <c r="G525" s="103"/>
      <c r="H525" s="23"/>
      <c r="I525" s="23"/>
      <c r="J525" s="23"/>
    </row>
    <row r="526" spans="5:10" ht="13" x14ac:dyDescent="0.15">
      <c r="E526" s="64"/>
      <c r="F526" s="64"/>
      <c r="G526" s="103"/>
      <c r="H526" s="23"/>
      <c r="I526" s="23"/>
      <c r="J526" s="23"/>
    </row>
    <row r="527" spans="5:10" ht="13" x14ac:dyDescent="0.15">
      <c r="E527" s="64"/>
      <c r="F527" s="64"/>
      <c r="G527" s="103"/>
      <c r="H527" s="23"/>
      <c r="I527" s="23"/>
      <c r="J527" s="23"/>
    </row>
    <row r="528" spans="5:10" ht="13" x14ac:dyDescent="0.15">
      <c r="E528" s="64"/>
      <c r="F528" s="64"/>
      <c r="G528" s="103"/>
      <c r="H528" s="23"/>
      <c r="I528" s="23"/>
      <c r="J528" s="23"/>
    </row>
    <row r="529" spans="5:10" ht="13" x14ac:dyDescent="0.15">
      <c r="E529" s="64"/>
      <c r="F529" s="64"/>
      <c r="G529" s="103"/>
      <c r="H529" s="23"/>
      <c r="I529" s="23"/>
      <c r="J529" s="23"/>
    </row>
    <row r="530" spans="5:10" ht="13" x14ac:dyDescent="0.15">
      <c r="E530" s="64"/>
      <c r="F530" s="64"/>
      <c r="G530" s="103"/>
      <c r="H530" s="23"/>
      <c r="I530" s="23"/>
      <c r="J530" s="23"/>
    </row>
    <row r="531" spans="5:10" ht="13" x14ac:dyDescent="0.15">
      <c r="E531" s="64"/>
      <c r="F531" s="64"/>
      <c r="G531" s="103"/>
      <c r="H531" s="23"/>
      <c r="I531" s="23"/>
      <c r="J531" s="23"/>
    </row>
    <row r="532" spans="5:10" ht="13" x14ac:dyDescent="0.15">
      <c r="E532" s="64"/>
      <c r="F532" s="64"/>
      <c r="G532" s="103"/>
      <c r="H532" s="23"/>
      <c r="I532" s="23"/>
      <c r="J532" s="23"/>
    </row>
    <row r="533" spans="5:10" ht="13" x14ac:dyDescent="0.15">
      <c r="E533" s="64"/>
      <c r="F533" s="64"/>
      <c r="G533" s="103"/>
      <c r="H533" s="23"/>
      <c r="I533" s="23"/>
      <c r="J533" s="23"/>
    </row>
    <row r="534" spans="5:10" ht="13" x14ac:dyDescent="0.15">
      <c r="E534" s="64"/>
      <c r="F534" s="64"/>
      <c r="G534" s="103"/>
      <c r="H534" s="23"/>
      <c r="I534" s="23"/>
      <c r="J534" s="23"/>
    </row>
    <row r="535" spans="5:10" ht="13" x14ac:dyDescent="0.15">
      <c r="E535" s="64"/>
      <c r="F535" s="64"/>
      <c r="G535" s="103"/>
      <c r="H535" s="23"/>
      <c r="I535" s="23"/>
      <c r="J535" s="23"/>
    </row>
    <row r="536" spans="5:10" ht="13" x14ac:dyDescent="0.15">
      <c r="E536" s="64"/>
      <c r="F536" s="64"/>
      <c r="G536" s="103"/>
      <c r="H536" s="23"/>
      <c r="I536" s="23"/>
      <c r="J536" s="23"/>
    </row>
    <row r="537" spans="5:10" ht="13" x14ac:dyDescent="0.15">
      <c r="E537" s="64"/>
      <c r="F537" s="64"/>
      <c r="G537" s="103"/>
      <c r="H537" s="23"/>
      <c r="I537" s="23"/>
      <c r="J537" s="23"/>
    </row>
    <row r="538" spans="5:10" ht="13" x14ac:dyDescent="0.15">
      <c r="E538" s="64"/>
      <c r="F538" s="64"/>
      <c r="G538" s="103"/>
      <c r="H538" s="23"/>
      <c r="I538" s="23"/>
      <c r="J538" s="23"/>
    </row>
    <row r="539" spans="5:10" ht="13" x14ac:dyDescent="0.15">
      <c r="E539" s="64"/>
      <c r="F539" s="64"/>
      <c r="G539" s="103"/>
      <c r="H539" s="23"/>
      <c r="I539" s="23"/>
      <c r="J539" s="23"/>
    </row>
    <row r="540" spans="5:10" ht="13" x14ac:dyDescent="0.15">
      <c r="E540" s="64"/>
      <c r="F540" s="64"/>
      <c r="G540" s="103"/>
      <c r="H540" s="23"/>
      <c r="I540" s="23"/>
      <c r="J540" s="23"/>
    </row>
    <row r="541" spans="5:10" ht="13" x14ac:dyDescent="0.15">
      <c r="E541" s="64"/>
      <c r="F541" s="64"/>
      <c r="G541" s="103"/>
      <c r="H541" s="23"/>
      <c r="I541" s="23"/>
      <c r="J541" s="23"/>
    </row>
    <row r="542" spans="5:10" ht="13" x14ac:dyDescent="0.15">
      <c r="E542" s="64"/>
      <c r="F542" s="64"/>
      <c r="G542" s="103"/>
      <c r="H542" s="23"/>
      <c r="I542" s="23"/>
      <c r="J542" s="23"/>
    </row>
    <row r="543" spans="5:10" ht="13" x14ac:dyDescent="0.15">
      <c r="E543" s="64"/>
      <c r="F543" s="64"/>
      <c r="G543" s="103"/>
      <c r="H543" s="23"/>
      <c r="I543" s="23"/>
      <c r="J543" s="23"/>
    </row>
    <row r="544" spans="5:10" ht="13" x14ac:dyDescent="0.15">
      <c r="E544" s="64"/>
      <c r="F544" s="64"/>
      <c r="G544" s="103"/>
      <c r="H544" s="23"/>
      <c r="I544" s="23"/>
      <c r="J544" s="23"/>
    </row>
    <row r="545" spans="5:10" ht="13" x14ac:dyDescent="0.15">
      <c r="E545" s="64"/>
      <c r="F545" s="64"/>
      <c r="G545" s="103"/>
      <c r="H545" s="23"/>
      <c r="I545" s="23"/>
      <c r="J545" s="23"/>
    </row>
    <row r="546" spans="5:10" ht="13" x14ac:dyDescent="0.15">
      <c r="E546" s="64"/>
      <c r="F546" s="64"/>
      <c r="G546" s="103"/>
      <c r="H546" s="23"/>
      <c r="I546" s="23"/>
      <c r="J546" s="23"/>
    </row>
    <row r="547" spans="5:10" ht="13" x14ac:dyDescent="0.15">
      <c r="E547" s="64"/>
      <c r="F547" s="64"/>
      <c r="G547" s="103"/>
      <c r="H547" s="23"/>
      <c r="I547" s="23"/>
      <c r="J547" s="23"/>
    </row>
    <row r="548" spans="5:10" ht="13" x14ac:dyDescent="0.15">
      <c r="E548" s="64"/>
      <c r="F548" s="64"/>
      <c r="G548" s="103"/>
      <c r="H548" s="23"/>
      <c r="I548" s="23"/>
      <c r="J548" s="23"/>
    </row>
    <row r="549" spans="5:10" ht="13" x14ac:dyDescent="0.15">
      <c r="E549" s="64"/>
      <c r="F549" s="64"/>
      <c r="G549" s="103"/>
      <c r="H549" s="23"/>
      <c r="I549" s="23"/>
      <c r="J549" s="23"/>
    </row>
    <row r="550" spans="5:10" ht="13" x14ac:dyDescent="0.15">
      <c r="E550" s="64"/>
      <c r="F550" s="64"/>
      <c r="G550" s="103"/>
      <c r="H550" s="23"/>
      <c r="I550" s="23"/>
      <c r="J550" s="23"/>
    </row>
    <row r="551" spans="5:10" ht="13" x14ac:dyDescent="0.15">
      <c r="E551" s="64"/>
      <c r="F551" s="64"/>
      <c r="G551" s="103"/>
      <c r="H551" s="23"/>
      <c r="I551" s="23"/>
      <c r="J551" s="23"/>
    </row>
    <row r="552" spans="5:10" ht="13" x14ac:dyDescent="0.15">
      <c r="E552" s="64"/>
      <c r="F552" s="64"/>
      <c r="G552" s="103"/>
      <c r="H552" s="23"/>
      <c r="I552" s="23"/>
      <c r="J552" s="23"/>
    </row>
    <row r="553" spans="5:10" ht="13" x14ac:dyDescent="0.15">
      <c r="E553" s="64"/>
      <c r="F553" s="64"/>
      <c r="G553" s="103"/>
      <c r="H553" s="23"/>
      <c r="I553" s="23"/>
      <c r="J553" s="23"/>
    </row>
    <row r="554" spans="5:10" ht="13" x14ac:dyDescent="0.15">
      <c r="E554" s="64"/>
      <c r="F554" s="64"/>
      <c r="G554" s="103"/>
      <c r="H554" s="23"/>
      <c r="I554" s="23"/>
      <c r="J554" s="23"/>
    </row>
    <row r="555" spans="5:10" ht="13" x14ac:dyDescent="0.15">
      <c r="E555" s="64"/>
      <c r="F555" s="64"/>
      <c r="G555" s="103"/>
      <c r="H555" s="23"/>
      <c r="I555" s="23"/>
      <c r="J555" s="23"/>
    </row>
    <row r="556" spans="5:10" ht="13" x14ac:dyDescent="0.15">
      <c r="E556" s="64"/>
      <c r="F556" s="64"/>
      <c r="G556" s="103"/>
      <c r="H556" s="23"/>
      <c r="I556" s="23"/>
      <c r="J556" s="23"/>
    </row>
    <row r="557" spans="5:10" ht="13" x14ac:dyDescent="0.15">
      <c r="E557" s="64"/>
      <c r="F557" s="64"/>
      <c r="G557" s="103"/>
      <c r="H557" s="23"/>
      <c r="I557" s="23"/>
      <c r="J557" s="23"/>
    </row>
    <row r="558" spans="5:10" ht="13" x14ac:dyDescent="0.15">
      <c r="E558" s="64"/>
      <c r="F558" s="64"/>
      <c r="G558" s="103"/>
      <c r="H558" s="23"/>
      <c r="I558" s="23"/>
      <c r="J558" s="23"/>
    </row>
    <row r="559" spans="5:10" ht="13" x14ac:dyDescent="0.15">
      <c r="E559" s="64"/>
      <c r="F559" s="64"/>
      <c r="G559" s="103"/>
      <c r="H559" s="23"/>
      <c r="I559" s="23"/>
      <c r="J559" s="23"/>
    </row>
    <row r="560" spans="5:10" ht="13" x14ac:dyDescent="0.15">
      <c r="E560" s="64"/>
      <c r="F560" s="64"/>
      <c r="G560" s="103"/>
      <c r="H560" s="23"/>
      <c r="I560" s="23"/>
      <c r="J560" s="23"/>
    </row>
    <row r="561" spans="5:10" ht="13" x14ac:dyDescent="0.15">
      <c r="E561" s="64"/>
      <c r="F561" s="64"/>
      <c r="G561" s="103"/>
      <c r="H561" s="23"/>
      <c r="I561" s="23"/>
      <c r="J561" s="23"/>
    </row>
    <row r="562" spans="5:10" ht="13" x14ac:dyDescent="0.15">
      <c r="E562" s="64"/>
      <c r="F562" s="64"/>
      <c r="G562" s="103"/>
      <c r="H562" s="23"/>
      <c r="I562" s="23"/>
      <c r="J562" s="23"/>
    </row>
    <row r="563" spans="5:10" ht="13" x14ac:dyDescent="0.15">
      <c r="E563" s="64"/>
      <c r="F563" s="64"/>
      <c r="G563" s="103"/>
      <c r="H563" s="23"/>
      <c r="I563" s="23"/>
      <c r="J563" s="23"/>
    </row>
    <row r="564" spans="5:10" ht="13" x14ac:dyDescent="0.15">
      <c r="E564" s="64"/>
      <c r="F564" s="64"/>
      <c r="G564" s="103"/>
      <c r="H564" s="23"/>
      <c r="I564" s="23"/>
      <c r="J564" s="23"/>
    </row>
    <row r="565" spans="5:10" ht="13" x14ac:dyDescent="0.15">
      <c r="E565" s="64"/>
      <c r="F565" s="64"/>
      <c r="G565" s="103"/>
      <c r="H565" s="23"/>
      <c r="I565" s="23"/>
      <c r="J565" s="23"/>
    </row>
    <row r="566" spans="5:10" ht="13" x14ac:dyDescent="0.15">
      <c r="E566" s="64"/>
      <c r="F566" s="64"/>
      <c r="G566" s="103"/>
      <c r="H566" s="23"/>
      <c r="I566" s="23"/>
      <c r="J566" s="23"/>
    </row>
    <row r="567" spans="5:10" ht="13" x14ac:dyDescent="0.15">
      <c r="E567" s="64"/>
      <c r="F567" s="64"/>
      <c r="G567" s="103"/>
      <c r="H567" s="23"/>
      <c r="I567" s="23"/>
      <c r="J567" s="23"/>
    </row>
    <row r="568" spans="5:10" ht="13" x14ac:dyDescent="0.15">
      <c r="E568" s="64"/>
      <c r="F568" s="64"/>
      <c r="G568" s="103"/>
      <c r="H568" s="23"/>
      <c r="I568" s="23"/>
      <c r="J568" s="23"/>
    </row>
    <row r="569" spans="5:10" ht="13" x14ac:dyDescent="0.15">
      <c r="E569" s="64"/>
      <c r="F569" s="64"/>
      <c r="G569" s="103"/>
      <c r="H569" s="23"/>
      <c r="I569" s="23"/>
      <c r="J569" s="23"/>
    </row>
    <row r="570" spans="5:10" ht="13" x14ac:dyDescent="0.15">
      <c r="E570" s="64"/>
      <c r="F570" s="64"/>
      <c r="G570" s="103"/>
      <c r="H570" s="23"/>
      <c r="I570" s="23"/>
      <c r="J570" s="23"/>
    </row>
    <row r="571" spans="5:10" ht="13" x14ac:dyDescent="0.15">
      <c r="E571" s="64"/>
      <c r="F571" s="64"/>
      <c r="G571" s="103"/>
      <c r="H571" s="23"/>
      <c r="I571" s="23"/>
      <c r="J571" s="23"/>
    </row>
    <row r="572" spans="5:10" ht="13" x14ac:dyDescent="0.15">
      <c r="E572" s="64"/>
      <c r="F572" s="64"/>
      <c r="G572" s="103"/>
      <c r="H572" s="23"/>
      <c r="I572" s="23"/>
      <c r="J572" s="23"/>
    </row>
    <row r="573" spans="5:10" ht="13" x14ac:dyDescent="0.15">
      <c r="E573" s="64"/>
      <c r="F573" s="64"/>
      <c r="G573" s="103"/>
      <c r="H573" s="23"/>
      <c r="I573" s="23"/>
      <c r="J573" s="23"/>
    </row>
    <row r="574" spans="5:10" ht="13" x14ac:dyDescent="0.15">
      <c r="E574" s="64"/>
      <c r="F574" s="64"/>
      <c r="G574" s="103"/>
      <c r="H574" s="23"/>
      <c r="I574" s="23"/>
      <c r="J574" s="23"/>
    </row>
    <row r="575" spans="5:10" ht="13" x14ac:dyDescent="0.15">
      <c r="E575" s="64"/>
      <c r="F575" s="64"/>
      <c r="G575" s="103"/>
      <c r="H575" s="23"/>
      <c r="I575" s="23"/>
      <c r="J575" s="23"/>
    </row>
    <row r="576" spans="5:10" ht="13" x14ac:dyDescent="0.15">
      <c r="E576" s="64"/>
      <c r="F576" s="64"/>
      <c r="G576" s="103"/>
      <c r="H576" s="23"/>
      <c r="I576" s="23"/>
      <c r="J576" s="23"/>
    </row>
    <row r="577" spans="5:10" ht="13" x14ac:dyDescent="0.15">
      <c r="E577" s="64"/>
      <c r="F577" s="64"/>
      <c r="G577" s="103"/>
      <c r="H577" s="23"/>
      <c r="I577" s="23"/>
      <c r="J577" s="23"/>
    </row>
    <row r="578" spans="5:10" ht="13" x14ac:dyDescent="0.15">
      <c r="E578" s="64"/>
      <c r="F578" s="64"/>
      <c r="G578" s="103"/>
      <c r="H578" s="23"/>
      <c r="I578" s="23"/>
      <c r="J578" s="23"/>
    </row>
    <row r="579" spans="5:10" ht="13" x14ac:dyDescent="0.15">
      <c r="E579" s="64"/>
      <c r="F579" s="64"/>
      <c r="G579" s="103"/>
      <c r="H579" s="23"/>
      <c r="I579" s="23"/>
      <c r="J579" s="23"/>
    </row>
    <row r="580" spans="5:10" ht="13" x14ac:dyDescent="0.15">
      <c r="E580" s="64"/>
      <c r="F580" s="64"/>
      <c r="G580" s="103"/>
      <c r="H580" s="23"/>
      <c r="I580" s="23"/>
      <c r="J580" s="23"/>
    </row>
    <row r="581" spans="5:10" ht="13" x14ac:dyDescent="0.15">
      <c r="E581" s="64"/>
      <c r="F581" s="64"/>
      <c r="G581" s="103"/>
      <c r="H581" s="23"/>
      <c r="I581" s="23"/>
      <c r="J581" s="23"/>
    </row>
    <row r="582" spans="5:10" ht="13" x14ac:dyDescent="0.15">
      <c r="E582" s="64"/>
      <c r="F582" s="64"/>
      <c r="G582" s="103"/>
      <c r="H582" s="23"/>
      <c r="I582" s="23"/>
      <c r="J582" s="23"/>
    </row>
    <row r="583" spans="5:10" ht="13" x14ac:dyDescent="0.15">
      <c r="E583" s="64"/>
      <c r="F583" s="64"/>
      <c r="G583" s="103"/>
      <c r="H583" s="23"/>
      <c r="I583" s="23"/>
      <c r="J583" s="23"/>
    </row>
    <row r="584" spans="5:10" ht="13" x14ac:dyDescent="0.15">
      <c r="E584" s="64"/>
      <c r="F584" s="64"/>
      <c r="G584" s="103"/>
      <c r="H584" s="23"/>
      <c r="I584" s="23"/>
      <c r="J584" s="23"/>
    </row>
    <row r="585" spans="5:10" ht="13" x14ac:dyDescent="0.15">
      <c r="E585" s="64"/>
      <c r="F585" s="64"/>
      <c r="G585" s="103"/>
      <c r="H585" s="23"/>
      <c r="I585" s="23"/>
      <c r="J585" s="23"/>
    </row>
    <row r="586" spans="5:10" ht="13" x14ac:dyDescent="0.15">
      <c r="E586" s="64"/>
      <c r="F586" s="64"/>
      <c r="G586" s="103"/>
      <c r="H586" s="23"/>
      <c r="I586" s="23"/>
      <c r="J586" s="23"/>
    </row>
    <row r="587" spans="5:10" ht="13" x14ac:dyDescent="0.15">
      <c r="E587" s="64"/>
      <c r="F587" s="64"/>
      <c r="G587" s="103"/>
      <c r="H587" s="23"/>
      <c r="I587" s="23"/>
      <c r="J587" s="23"/>
    </row>
    <row r="588" spans="5:10" ht="13" x14ac:dyDescent="0.15">
      <c r="E588" s="64"/>
      <c r="F588" s="64"/>
      <c r="G588" s="103"/>
      <c r="H588" s="23"/>
      <c r="I588" s="23"/>
      <c r="J588" s="23"/>
    </row>
    <row r="589" spans="5:10" ht="13" x14ac:dyDescent="0.15">
      <c r="E589" s="64"/>
      <c r="F589" s="64"/>
      <c r="G589" s="103"/>
      <c r="H589" s="23"/>
      <c r="I589" s="23"/>
      <c r="J589" s="23"/>
    </row>
    <row r="590" spans="5:10" ht="13" x14ac:dyDescent="0.15">
      <c r="E590" s="64"/>
      <c r="F590" s="64"/>
      <c r="G590" s="103"/>
      <c r="H590" s="23"/>
      <c r="I590" s="23"/>
      <c r="J590" s="23"/>
    </row>
    <row r="591" spans="5:10" ht="13" x14ac:dyDescent="0.15">
      <c r="E591" s="64"/>
      <c r="F591" s="64"/>
      <c r="G591" s="103"/>
      <c r="H591" s="23"/>
      <c r="I591" s="23"/>
      <c r="J591" s="23"/>
    </row>
    <row r="592" spans="5:10" ht="13" x14ac:dyDescent="0.15">
      <c r="E592" s="64"/>
      <c r="F592" s="64"/>
      <c r="G592" s="103"/>
      <c r="H592" s="23"/>
      <c r="I592" s="23"/>
      <c r="J592" s="23"/>
    </row>
    <row r="593" spans="5:10" ht="13" x14ac:dyDescent="0.15">
      <c r="E593" s="64"/>
      <c r="F593" s="64"/>
      <c r="G593" s="103"/>
      <c r="H593" s="23"/>
      <c r="I593" s="23"/>
      <c r="J593" s="23"/>
    </row>
    <row r="594" spans="5:10" ht="13" x14ac:dyDescent="0.15">
      <c r="E594" s="64"/>
      <c r="F594" s="64"/>
      <c r="G594" s="103"/>
      <c r="H594" s="23"/>
      <c r="I594" s="23"/>
      <c r="J594" s="23"/>
    </row>
    <row r="595" spans="5:10" ht="13" x14ac:dyDescent="0.15">
      <c r="E595" s="64"/>
      <c r="F595" s="64"/>
      <c r="G595" s="103"/>
      <c r="H595" s="23"/>
      <c r="I595" s="23"/>
      <c r="J595" s="23"/>
    </row>
    <row r="596" spans="5:10" ht="13" x14ac:dyDescent="0.15">
      <c r="E596" s="64"/>
      <c r="F596" s="64"/>
      <c r="G596" s="103"/>
      <c r="H596" s="23"/>
      <c r="I596" s="23"/>
      <c r="J596" s="23"/>
    </row>
    <row r="597" spans="5:10" ht="13" x14ac:dyDescent="0.15">
      <c r="E597" s="64"/>
      <c r="F597" s="64"/>
      <c r="G597" s="103"/>
      <c r="H597" s="23"/>
      <c r="I597" s="23"/>
      <c r="J597" s="23"/>
    </row>
    <row r="598" spans="5:10" ht="13" x14ac:dyDescent="0.15">
      <c r="E598" s="64"/>
      <c r="F598" s="64"/>
      <c r="G598" s="103"/>
      <c r="H598" s="23"/>
      <c r="I598" s="23"/>
      <c r="J598" s="23"/>
    </row>
    <row r="599" spans="5:10" ht="13" x14ac:dyDescent="0.15">
      <c r="E599" s="64"/>
      <c r="F599" s="64"/>
      <c r="G599" s="103"/>
      <c r="H599" s="23"/>
      <c r="I599" s="23"/>
      <c r="J599" s="23"/>
    </row>
    <row r="600" spans="5:10" ht="13" x14ac:dyDescent="0.15">
      <c r="E600" s="64"/>
      <c r="F600" s="64"/>
      <c r="G600" s="103"/>
      <c r="H600" s="23"/>
      <c r="I600" s="23"/>
      <c r="J600" s="23"/>
    </row>
    <row r="601" spans="5:10" ht="13" x14ac:dyDescent="0.15">
      <c r="E601" s="64"/>
      <c r="F601" s="64"/>
      <c r="G601" s="103"/>
      <c r="H601" s="23"/>
      <c r="I601" s="23"/>
      <c r="J601" s="23"/>
    </row>
    <row r="602" spans="5:10" ht="13" x14ac:dyDescent="0.15">
      <c r="E602" s="64"/>
      <c r="F602" s="64"/>
      <c r="G602" s="103"/>
      <c r="H602" s="23"/>
      <c r="I602" s="23"/>
      <c r="J602" s="23"/>
    </row>
    <row r="603" spans="5:10" ht="13" x14ac:dyDescent="0.15">
      <c r="E603" s="64"/>
      <c r="F603" s="64"/>
      <c r="G603" s="103"/>
      <c r="H603" s="23"/>
      <c r="I603" s="23"/>
      <c r="J603" s="23"/>
    </row>
    <row r="604" spans="5:10" ht="13" x14ac:dyDescent="0.15">
      <c r="E604" s="64"/>
      <c r="F604" s="64"/>
      <c r="G604" s="103"/>
      <c r="H604" s="23"/>
      <c r="I604" s="23"/>
      <c r="J604" s="23"/>
    </row>
    <row r="605" spans="5:10" ht="13" x14ac:dyDescent="0.15">
      <c r="E605" s="64"/>
      <c r="F605" s="64"/>
      <c r="G605" s="103"/>
      <c r="H605" s="23"/>
      <c r="I605" s="23"/>
      <c r="J605" s="23"/>
    </row>
    <row r="606" spans="5:10" ht="13" x14ac:dyDescent="0.15">
      <c r="E606" s="64"/>
      <c r="F606" s="64"/>
      <c r="G606" s="103"/>
      <c r="H606" s="23"/>
      <c r="I606" s="23"/>
      <c r="J606" s="23"/>
    </row>
    <row r="607" spans="5:10" ht="13" x14ac:dyDescent="0.15">
      <c r="E607" s="64"/>
      <c r="F607" s="64"/>
      <c r="G607" s="103"/>
      <c r="H607" s="23"/>
      <c r="I607" s="23"/>
      <c r="J607" s="23"/>
    </row>
    <row r="608" spans="5:10" ht="13" x14ac:dyDescent="0.15">
      <c r="E608" s="64"/>
      <c r="F608" s="64"/>
      <c r="G608" s="103"/>
      <c r="H608" s="23"/>
      <c r="I608" s="23"/>
      <c r="J608" s="23"/>
    </row>
    <row r="609" spans="5:10" ht="13" x14ac:dyDescent="0.15">
      <c r="E609" s="64"/>
      <c r="F609" s="64"/>
      <c r="G609" s="103"/>
      <c r="H609" s="23"/>
      <c r="I609" s="23"/>
      <c r="J609" s="23"/>
    </row>
    <row r="610" spans="5:10" ht="13" x14ac:dyDescent="0.15">
      <c r="E610" s="64"/>
      <c r="F610" s="64"/>
      <c r="G610" s="103"/>
      <c r="H610" s="23"/>
      <c r="I610" s="23"/>
      <c r="J610" s="23"/>
    </row>
    <row r="611" spans="5:10" ht="13" x14ac:dyDescent="0.15">
      <c r="E611" s="64"/>
      <c r="F611" s="64"/>
      <c r="G611" s="103"/>
      <c r="H611" s="23"/>
      <c r="I611" s="23"/>
      <c r="J611" s="23"/>
    </row>
    <row r="612" spans="5:10" ht="13" x14ac:dyDescent="0.15">
      <c r="E612" s="64"/>
      <c r="F612" s="64"/>
      <c r="G612" s="103"/>
      <c r="H612" s="23"/>
      <c r="I612" s="23"/>
      <c r="J612" s="23"/>
    </row>
    <row r="613" spans="5:10" ht="13" x14ac:dyDescent="0.15">
      <c r="E613" s="64"/>
      <c r="F613" s="64"/>
      <c r="G613" s="103"/>
      <c r="H613" s="23"/>
      <c r="I613" s="23"/>
      <c r="J613" s="23"/>
    </row>
    <row r="614" spans="5:10" ht="13" x14ac:dyDescent="0.15">
      <c r="E614" s="64"/>
      <c r="F614" s="64"/>
      <c r="G614" s="103"/>
      <c r="H614" s="23"/>
      <c r="I614" s="23"/>
      <c r="J614" s="23"/>
    </row>
    <row r="615" spans="5:10" ht="13" x14ac:dyDescent="0.15">
      <c r="E615" s="64"/>
      <c r="F615" s="64"/>
      <c r="G615" s="103"/>
      <c r="H615" s="23"/>
      <c r="I615" s="23"/>
      <c r="J615" s="23"/>
    </row>
    <row r="616" spans="5:10" ht="13" x14ac:dyDescent="0.15">
      <c r="E616" s="64"/>
      <c r="F616" s="64"/>
      <c r="G616" s="103"/>
      <c r="H616" s="23"/>
      <c r="I616" s="23"/>
      <c r="J616" s="23"/>
    </row>
    <row r="617" spans="5:10" ht="13" x14ac:dyDescent="0.15">
      <c r="E617" s="64"/>
      <c r="F617" s="64"/>
      <c r="G617" s="103"/>
      <c r="H617" s="23"/>
      <c r="I617" s="23"/>
      <c r="J617" s="23"/>
    </row>
    <row r="618" spans="5:10" ht="13" x14ac:dyDescent="0.15">
      <c r="E618" s="64"/>
      <c r="F618" s="64"/>
      <c r="G618" s="103"/>
      <c r="H618" s="23"/>
      <c r="I618" s="23"/>
      <c r="J618" s="23"/>
    </row>
    <row r="619" spans="5:10" ht="13" x14ac:dyDescent="0.15">
      <c r="E619" s="64"/>
      <c r="F619" s="64"/>
      <c r="G619" s="103"/>
      <c r="H619" s="23"/>
      <c r="I619" s="23"/>
      <c r="J619" s="23"/>
    </row>
    <row r="620" spans="5:10" ht="13" x14ac:dyDescent="0.15">
      <c r="E620" s="64"/>
      <c r="F620" s="64"/>
      <c r="G620" s="103"/>
      <c r="H620" s="23"/>
      <c r="I620" s="23"/>
      <c r="J620" s="23"/>
    </row>
    <row r="621" spans="5:10" ht="13" x14ac:dyDescent="0.15">
      <c r="E621" s="64"/>
      <c r="F621" s="64"/>
      <c r="G621" s="103"/>
      <c r="H621" s="23"/>
      <c r="I621" s="23"/>
      <c r="J621" s="23"/>
    </row>
    <row r="622" spans="5:10" ht="13" x14ac:dyDescent="0.15">
      <c r="E622" s="64"/>
      <c r="F622" s="64"/>
      <c r="G622" s="103"/>
      <c r="H622" s="23"/>
      <c r="I622" s="23"/>
      <c r="J622" s="23"/>
    </row>
    <row r="623" spans="5:10" ht="13" x14ac:dyDescent="0.15">
      <c r="E623" s="64"/>
      <c r="F623" s="64"/>
      <c r="G623" s="103"/>
      <c r="H623" s="23"/>
      <c r="I623" s="23"/>
      <c r="J623" s="23"/>
    </row>
    <row r="624" spans="5:10" ht="13" x14ac:dyDescent="0.15">
      <c r="E624" s="64"/>
      <c r="F624" s="64"/>
      <c r="G624" s="103"/>
      <c r="H624" s="23"/>
      <c r="I624" s="23"/>
      <c r="J624" s="23"/>
    </row>
    <row r="625" spans="5:10" ht="13" x14ac:dyDescent="0.15">
      <c r="E625" s="64"/>
      <c r="F625" s="64"/>
      <c r="G625" s="103"/>
      <c r="H625" s="23"/>
      <c r="I625" s="23"/>
      <c r="J625" s="23"/>
    </row>
    <row r="626" spans="5:10" ht="13" x14ac:dyDescent="0.15">
      <c r="E626" s="64"/>
      <c r="F626" s="64"/>
      <c r="G626" s="103"/>
      <c r="H626" s="23"/>
      <c r="I626" s="23"/>
      <c r="J626" s="23"/>
    </row>
    <row r="627" spans="5:10" ht="13" x14ac:dyDescent="0.15">
      <c r="E627" s="64"/>
      <c r="F627" s="64"/>
      <c r="G627" s="103"/>
      <c r="H627" s="23"/>
      <c r="I627" s="23"/>
      <c r="J627" s="23"/>
    </row>
    <row r="628" spans="5:10" ht="13" x14ac:dyDescent="0.15">
      <c r="E628" s="64"/>
      <c r="F628" s="64"/>
      <c r="G628" s="103"/>
      <c r="H628" s="23"/>
      <c r="I628" s="23"/>
      <c r="J628" s="23"/>
    </row>
    <row r="629" spans="5:10" ht="13" x14ac:dyDescent="0.15">
      <c r="E629" s="64"/>
      <c r="F629" s="64"/>
      <c r="G629" s="103"/>
      <c r="H629" s="23"/>
      <c r="I629" s="23"/>
      <c r="J629" s="23"/>
    </row>
    <row r="630" spans="5:10" ht="13" x14ac:dyDescent="0.15">
      <c r="E630" s="64"/>
      <c r="F630" s="64"/>
      <c r="G630" s="103"/>
      <c r="H630" s="23"/>
      <c r="I630" s="23"/>
      <c r="J630" s="23"/>
    </row>
    <row r="631" spans="5:10" ht="13" x14ac:dyDescent="0.15">
      <c r="E631" s="64"/>
      <c r="F631" s="64"/>
      <c r="G631" s="103"/>
      <c r="H631" s="23"/>
      <c r="I631" s="23"/>
      <c r="J631" s="23"/>
    </row>
    <row r="632" spans="5:10" ht="13" x14ac:dyDescent="0.15">
      <c r="E632" s="64"/>
      <c r="F632" s="64"/>
      <c r="G632" s="103"/>
      <c r="H632" s="23"/>
      <c r="I632" s="23"/>
      <c r="J632" s="23"/>
    </row>
    <row r="633" spans="5:10" ht="13" x14ac:dyDescent="0.15">
      <c r="E633" s="64"/>
      <c r="F633" s="64"/>
      <c r="G633" s="103"/>
      <c r="H633" s="23"/>
      <c r="I633" s="23"/>
      <c r="J633" s="23"/>
    </row>
    <row r="634" spans="5:10" ht="13" x14ac:dyDescent="0.15">
      <c r="E634" s="64"/>
      <c r="F634" s="64"/>
      <c r="G634" s="103"/>
      <c r="H634" s="23"/>
      <c r="I634" s="23"/>
      <c r="J634" s="23"/>
    </row>
    <row r="635" spans="5:10" ht="13" x14ac:dyDescent="0.15">
      <c r="E635" s="64"/>
      <c r="F635" s="64"/>
      <c r="G635" s="103"/>
      <c r="H635" s="23"/>
      <c r="I635" s="23"/>
      <c r="J635" s="23"/>
    </row>
    <row r="636" spans="5:10" ht="13" x14ac:dyDescent="0.15">
      <c r="E636" s="64"/>
      <c r="F636" s="64"/>
      <c r="G636" s="103"/>
      <c r="H636" s="23"/>
      <c r="I636" s="23"/>
      <c r="J636" s="23"/>
    </row>
    <row r="637" spans="5:10" ht="13" x14ac:dyDescent="0.15">
      <c r="E637" s="64"/>
      <c r="F637" s="64"/>
      <c r="G637" s="103"/>
      <c r="H637" s="23"/>
      <c r="I637" s="23"/>
      <c r="J637" s="23"/>
    </row>
    <row r="638" spans="5:10" ht="13" x14ac:dyDescent="0.15">
      <c r="E638" s="64"/>
      <c r="F638" s="64"/>
      <c r="G638" s="103"/>
      <c r="H638" s="23"/>
      <c r="I638" s="23"/>
      <c r="J638" s="23"/>
    </row>
    <row r="639" spans="5:10" ht="13" x14ac:dyDescent="0.15">
      <c r="E639" s="64"/>
      <c r="F639" s="64"/>
      <c r="G639" s="103"/>
      <c r="H639" s="23"/>
      <c r="I639" s="23"/>
      <c r="J639" s="23"/>
    </row>
    <row r="640" spans="5:10" ht="13" x14ac:dyDescent="0.15">
      <c r="E640" s="64"/>
      <c r="F640" s="64"/>
      <c r="G640" s="103"/>
      <c r="H640" s="23"/>
      <c r="I640" s="23"/>
      <c r="J640" s="23"/>
    </row>
    <row r="641" spans="5:10" ht="13" x14ac:dyDescent="0.15">
      <c r="E641" s="64"/>
      <c r="F641" s="64"/>
      <c r="G641" s="103"/>
      <c r="H641" s="23"/>
      <c r="I641" s="23"/>
      <c r="J641" s="23"/>
    </row>
    <row r="642" spans="5:10" ht="13" x14ac:dyDescent="0.15">
      <c r="E642" s="64"/>
      <c r="F642" s="64"/>
      <c r="G642" s="103"/>
      <c r="H642" s="23"/>
      <c r="I642" s="23"/>
      <c r="J642" s="23"/>
    </row>
    <row r="643" spans="5:10" ht="13" x14ac:dyDescent="0.15">
      <c r="E643" s="64"/>
      <c r="F643" s="64"/>
      <c r="G643" s="103"/>
      <c r="H643" s="23"/>
      <c r="I643" s="23"/>
      <c r="J643" s="23"/>
    </row>
    <row r="644" spans="5:10" ht="13" x14ac:dyDescent="0.15">
      <c r="E644" s="64"/>
      <c r="F644" s="64"/>
      <c r="G644" s="103"/>
      <c r="H644" s="23"/>
      <c r="I644" s="23"/>
      <c r="J644" s="23"/>
    </row>
    <row r="645" spans="5:10" ht="13" x14ac:dyDescent="0.15">
      <c r="E645" s="64"/>
      <c r="F645" s="64"/>
      <c r="G645" s="103"/>
      <c r="H645" s="23"/>
      <c r="I645" s="23"/>
      <c r="J645" s="23"/>
    </row>
    <row r="646" spans="5:10" ht="13" x14ac:dyDescent="0.15">
      <c r="E646" s="64"/>
      <c r="F646" s="64"/>
      <c r="G646" s="103"/>
      <c r="H646" s="23"/>
      <c r="I646" s="23"/>
      <c r="J646" s="23"/>
    </row>
    <row r="647" spans="5:10" ht="13" x14ac:dyDescent="0.15">
      <c r="E647" s="64"/>
      <c r="F647" s="64"/>
      <c r="G647" s="103"/>
      <c r="H647" s="23"/>
      <c r="I647" s="23"/>
      <c r="J647" s="23"/>
    </row>
    <row r="648" spans="5:10" ht="13" x14ac:dyDescent="0.15">
      <c r="E648" s="64"/>
      <c r="F648" s="64"/>
      <c r="G648" s="103"/>
      <c r="H648" s="23"/>
      <c r="I648" s="23"/>
      <c r="J648" s="23"/>
    </row>
    <row r="649" spans="5:10" ht="13" x14ac:dyDescent="0.15">
      <c r="E649" s="64"/>
      <c r="F649" s="64"/>
      <c r="G649" s="103"/>
      <c r="H649" s="23"/>
      <c r="I649" s="23"/>
      <c r="J649" s="23"/>
    </row>
    <row r="650" spans="5:10" ht="13" x14ac:dyDescent="0.15">
      <c r="E650" s="64"/>
      <c r="F650" s="64"/>
      <c r="G650" s="103"/>
      <c r="H650" s="23"/>
      <c r="I650" s="23"/>
      <c r="J650" s="23"/>
    </row>
    <row r="651" spans="5:10" ht="13" x14ac:dyDescent="0.15">
      <c r="E651" s="64"/>
      <c r="F651" s="64"/>
      <c r="G651" s="103"/>
      <c r="H651" s="23"/>
      <c r="I651" s="23"/>
      <c r="J651" s="23"/>
    </row>
    <row r="652" spans="5:10" ht="13" x14ac:dyDescent="0.15">
      <c r="E652" s="64"/>
      <c r="F652" s="64"/>
      <c r="G652" s="103"/>
      <c r="H652" s="23"/>
      <c r="I652" s="23"/>
      <c r="J652" s="23"/>
    </row>
    <row r="653" spans="5:10" ht="13" x14ac:dyDescent="0.15">
      <c r="E653" s="64"/>
      <c r="F653" s="64"/>
      <c r="G653" s="103"/>
      <c r="H653" s="23"/>
      <c r="I653" s="23"/>
      <c r="J653" s="23"/>
    </row>
    <row r="654" spans="5:10" ht="13" x14ac:dyDescent="0.15">
      <c r="E654" s="64"/>
      <c r="F654" s="64"/>
      <c r="G654" s="103"/>
      <c r="H654" s="23"/>
      <c r="I654" s="23"/>
      <c r="J654" s="23"/>
    </row>
    <row r="655" spans="5:10" ht="13" x14ac:dyDescent="0.15">
      <c r="E655" s="64"/>
      <c r="F655" s="64"/>
      <c r="G655" s="103"/>
      <c r="H655" s="23"/>
      <c r="I655" s="23"/>
      <c r="J655" s="23"/>
    </row>
    <row r="656" spans="5:10" ht="13" x14ac:dyDescent="0.15">
      <c r="E656" s="64"/>
      <c r="F656" s="64"/>
      <c r="G656" s="103"/>
      <c r="H656" s="23"/>
      <c r="I656" s="23"/>
      <c r="J656" s="23"/>
    </row>
    <row r="657" spans="5:10" ht="13" x14ac:dyDescent="0.15">
      <c r="E657" s="64"/>
      <c r="F657" s="64"/>
      <c r="G657" s="103"/>
      <c r="H657" s="23"/>
      <c r="I657" s="23"/>
      <c r="J657" s="23"/>
    </row>
    <row r="658" spans="5:10" ht="13" x14ac:dyDescent="0.15">
      <c r="E658" s="64"/>
      <c r="F658" s="64"/>
      <c r="G658" s="103"/>
      <c r="H658" s="23"/>
      <c r="I658" s="23"/>
      <c r="J658" s="23"/>
    </row>
    <row r="659" spans="5:10" ht="13" x14ac:dyDescent="0.15">
      <c r="E659" s="64"/>
      <c r="F659" s="64"/>
      <c r="G659" s="103"/>
      <c r="H659" s="23"/>
      <c r="I659" s="23"/>
      <c r="J659" s="23"/>
    </row>
    <row r="660" spans="5:10" ht="13" x14ac:dyDescent="0.15">
      <c r="E660" s="64"/>
      <c r="F660" s="64"/>
      <c r="G660" s="103"/>
      <c r="H660" s="23"/>
      <c r="I660" s="23"/>
      <c r="J660" s="23"/>
    </row>
    <row r="661" spans="5:10" ht="13" x14ac:dyDescent="0.15">
      <c r="E661" s="64"/>
      <c r="F661" s="64"/>
      <c r="G661" s="103"/>
      <c r="H661" s="23"/>
      <c r="I661" s="23"/>
      <c r="J661" s="23"/>
    </row>
    <row r="662" spans="5:10" ht="13" x14ac:dyDescent="0.15">
      <c r="E662" s="64"/>
      <c r="F662" s="64"/>
      <c r="G662" s="103"/>
      <c r="H662" s="23"/>
      <c r="I662" s="23"/>
      <c r="J662" s="23"/>
    </row>
    <row r="663" spans="5:10" ht="13" x14ac:dyDescent="0.15">
      <c r="E663" s="64"/>
      <c r="F663" s="64"/>
      <c r="G663" s="103"/>
      <c r="H663" s="23"/>
      <c r="I663" s="23"/>
      <c r="J663" s="23"/>
    </row>
    <row r="664" spans="5:10" ht="13" x14ac:dyDescent="0.15">
      <c r="E664" s="64"/>
      <c r="F664" s="64"/>
      <c r="G664" s="103"/>
      <c r="H664" s="23"/>
      <c r="I664" s="23"/>
      <c r="J664" s="23"/>
    </row>
    <row r="665" spans="5:10" ht="13" x14ac:dyDescent="0.15">
      <c r="E665" s="64"/>
      <c r="F665" s="64"/>
      <c r="G665" s="103"/>
      <c r="H665" s="23"/>
      <c r="I665" s="23"/>
      <c r="J665" s="23"/>
    </row>
    <row r="666" spans="5:10" ht="13" x14ac:dyDescent="0.15">
      <c r="E666" s="64"/>
      <c r="F666" s="64"/>
      <c r="G666" s="103"/>
      <c r="H666" s="23"/>
      <c r="I666" s="23"/>
      <c r="J666" s="23"/>
    </row>
    <row r="667" spans="5:10" ht="13" x14ac:dyDescent="0.15">
      <c r="E667" s="64"/>
      <c r="F667" s="64"/>
      <c r="G667" s="103"/>
      <c r="H667" s="23"/>
      <c r="I667" s="23"/>
      <c r="J667" s="23"/>
    </row>
    <row r="668" spans="5:10" ht="13" x14ac:dyDescent="0.15">
      <c r="E668" s="64"/>
      <c r="F668" s="64"/>
      <c r="G668" s="103"/>
      <c r="H668" s="23"/>
      <c r="I668" s="23"/>
      <c r="J668" s="23"/>
    </row>
    <row r="669" spans="5:10" ht="13" x14ac:dyDescent="0.15">
      <c r="E669" s="64"/>
      <c r="F669" s="64"/>
      <c r="G669" s="103"/>
      <c r="H669" s="23"/>
      <c r="I669" s="23"/>
      <c r="J669" s="23"/>
    </row>
    <row r="670" spans="5:10" ht="13" x14ac:dyDescent="0.15">
      <c r="E670" s="64"/>
      <c r="F670" s="64"/>
      <c r="G670" s="103"/>
      <c r="H670" s="23"/>
      <c r="I670" s="23"/>
      <c r="J670" s="23"/>
    </row>
    <row r="671" spans="5:10" ht="13" x14ac:dyDescent="0.15">
      <c r="E671" s="64"/>
      <c r="F671" s="64"/>
      <c r="G671" s="103"/>
      <c r="H671" s="23"/>
      <c r="I671" s="23"/>
      <c r="J671" s="23"/>
    </row>
    <row r="672" spans="5:10" ht="13" x14ac:dyDescent="0.15">
      <c r="E672" s="64"/>
      <c r="F672" s="64"/>
      <c r="G672" s="103"/>
      <c r="H672" s="23"/>
      <c r="I672" s="23"/>
      <c r="J672" s="23"/>
    </row>
    <row r="673" spans="5:10" ht="13" x14ac:dyDescent="0.15">
      <c r="E673" s="64"/>
      <c r="F673" s="64"/>
      <c r="G673" s="103"/>
      <c r="H673" s="23"/>
      <c r="I673" s="23"/>
      <c r="J673" s="23"/>
    </row>
    <row r="674" spans="5:10" ht="13" x14ac:dyDescent="0.15">
      <c r="E674" s="64"/>
      <c r="F674" s="64"/>
      <c r="G674" s="103"/>
      <c r="H674" s="23"/>
      <c r="I674" s="23"/>
      <c r="J674" s="23"/>
    </row>
    <row r="675" spans="5:10" ht="13" x14ac:dyDescent="0.15">
      <c r="E675" s="64"/>
      <c r="F675" s="64"/>
      <c r="G675" s="103"/>
      <c r="H675" s="23"/>
      <c r="I675" s="23"/>
      <c r="J675" s="23"/>
    </row>
    <row r="676" spans="5:10" ht="13" x14ac:dyDescent="0.15">
      <c r="E676" s="64"/>
      <c r="F676" s="64"/>
      <c r="G676" s="103"/>
      <c r="H676" s="23"/>
      <c r="I676" s="23"/>
      <c r="J676" s="23"/>
    </row>
    <row r="677" spans="5:10" ht="13" x14ac:dyDescent="0.15">
      <c r="E677" s="64"/>
      <c r="F677" s="64"/>
      <c r="G677" s="103"/>
      <c r="H677" s="23"/>
      <c r="I677" s="23"/>
      <c r="J677" s="23"/>
    </row>
    <row r="678" spans="5:10" ht="13" x14ac:dyDescent="0.15">
      <c r="E678" s="64"/>
      <c r="F678" s="64"/>
      <c r="G678" s="103"/>
      <c r="H678" s="23"/>
      <c r="I678" s="23"/>
      <c r="J678" s="23"/>
    </row>
    <row r="679" spans="5:10" ht="13" x14ac:dyDescent="0.15">
      <c r="E679" s="64"/>
      <c r="F679" s="64"/>
      <c r="G679" s="103"/>
      <c r="H679" s="23"/>
      <c r="I679" s="23"/>
      <c r="J679" s="23"/>
    </row>
    <row r="680" spans="5:10" ht="13" x14ac:dyDescent="0.15">
      <c r="E680" s="64"/>
      <c r="F680" s="64"/>
      <c r="G680" s="103"/>
      <c r="H680" s="23"/>
      <c r="I680" s="23"/>
      <c r="J680" s="23"/>
    </row>
    <row r="681" spans="5:10" ht="13" x14ac:dyDescent="0.15">
      <c r="E681" s="64"/>
      <c r="F681" s="64"/>
      <c r="G681" s="103"/>
      <c r="H681" s="23"/>
      <c r="I681" s="23"/>
      <c r="J681" s="23"/>
    </row>
    <row r="682" spans="5:10" ht="13" x14ac:dyDescent="0.15">
      <c r="E682" s="64"/>
      <c r="F682" s="64"/>
      <c r="G682" s="103"/>
      <c r="H682" s="23"/>
      <c r="I682" s="23"/>
      <c r="J682" s="23"/>
    </row>
    <row r="683" spans="5:10" ht="13" x14ac:dyDescent="0.15">
      <c r="E683" s="64"/>
      <c r="F683" s="64"/>
      <c r="G683" s="103"/>
      <c r="H683" s="23"/>
      <c r="I683" s="23"/>
      <c r="J683" s="23"/>
    </row>
    <row r="684" spans="5:10" ht="13" x14ac:dyDescent="0.15">
      <c r="E684" s="64"/>
      <c r="F684" s="64"/>
      <c r="G684" s="103"/>
      <c r="H684" s="23"/>
      <c r="I684" s="23"/>
      <c r="J684" s="23"/>
    </row>
    <row r="685" spans="5:10" ht="13" x14ac:dyDescent="0.15">
      <c r="E685" s="64"/>
      <c r="F685" s="64"/>
      <c r="G685" s="103"/>
      <c r="H685" s="23"/>
      <c r="I685" s="23"/>
      <c r="J685" s="23"/>
    </row>
    <row r="686" spans="5:10" ht="13" x14ac:dyDescent="0.15">
      <c r="E686" s="64"/>
      <c r="F686" s="64"/>
      <c r="G686" s="103"/>
      <c r="H686" s="23"/>
      <c r="I686" s="23"/>
      <c r="J686" s="23"/>
    </row>
    <row r="687" spans="5:10" ht="13" x14ac:dyDescent="0.15">
      <c r="E687" s="64"/>
      <c r="F687" s="64"/>
      <c r="G687" s="103"/>
      <c r="H687" s="23"/>
      <c r="I687" s="23"/>
      <c r="J687" s="23"/>
    </row>
    <row r="688" spans="5:10" ht="13" x14ac:dyDescent="0.15">
      <c r="E688" s="64"/>
      <c r="F688" s="64"/>
      <c r="G688" s="103"/>
      <c r="H688" s="23"/>
      <c r="I688" s="23"/>
      <c r="J688" s="23"/>
    </row>
    <row r="689" spans="5:10" ht="13" x14ac:dyDescent="0.15">
      <c r="E689" s="64"/>
      <c r="F689" s="64"/>
      <c r="G689" s="103"/>
      <c r="H689" s="23"/>
      <c r="I689" s="23"/>
      <c r="J689" s="23"/>
    </row>
    <row r="690" spans="5:10" ht="13" x14ac:dyDescent="0.15">
      <c r="E690" s="64"/>
      <c r="F690" s="64"/>
      <c r="G690" s="103"/>
      <c r="H690" s="23"/>
      <c r="I690" s="23"/>
      <c r="J690" s="23"/>
    </row>
    <row r="691" spans="5:10" ht="13" x14ac:dyDescent="0.15">
      <c r="E691" s="64"/>
      <c r="F691" s="64"/>
      <c r="G691" s="103"/>
      <c r="H691" s="23"/>
      <c r="I691" s="23"/>
      <c r="J691" s="23"/>
    </row>
    <row r="692" spans="5:10" ht="13" x14ac:dyDescent="0.15">
      <c r="E692" s="64"/>
      <c r="F692" s="64"/>
      <c r="G692" s="103"/>
      <c r="H692" s="23"/>
      <c r="I692" s="23"/>
      <c r="J692" s="23"/>
    </row>
    <row r="693" spans="5:10" ht="13" x14ac:dyDescent="0.15">
      <c r="E693" s="64"/>
      <c r="F693" s="64"/>
      <c r="G693" s="103"/>
      <c r="H693" s="23"/>
      <c r="I693" s="23"/>
      <c r="J693" s="23"/>
    </row>
    <row r="694" spans="5:10" ht="13" x14ac:dyDescent="0.15">
      <c r="E694" s="64"/>
      <c r="F694" s="64"/>
      <c r="G694" s="103"/>
      <c r="H694" s="23"/>
      <c r="I694" s="23"/>
      <c r="J694" s="23"/>
    </row>
    <row r="695" spans="5:10" ht="13" x14ac:dyDescent="0.15">
      <c r="E695" s="64"/>
      <c r="F695" s="64"/>
      <c r="G695" s="103"/>
      <c r="H695" s="23"/>
      <c r="I695" s="23"/>
      <c r="J695" s="23"/>
    </row>
    <row r="696" spans="5:10" ht="13" x14ac:dyDescent="0.15">
      <c r="E696" s="64"/>
      <c r="F696" s="64"/>
      <c r="G696" s="103"/>
      <c r="H696" s="23"/>
      <c r="I696" s="23"/>
      <c r="J696" s="23"/>
    </row>
    <row r="697" spans="5:10" ht="13" x14ac:dyDescent="0.15">
      <c r="E697" s="64"/>
      <c r="F697" s="64"/>
      <c r="G697" s="103"/>
      <c r="H697" s="23"/>
      <c r="I697" s="23"/>
      <c r="J697" s="23"/>
    </row>
    <row r="698" spans="5:10" ht="13" x14ac:dyDescent="0.15">
      <c r="E698" s="64"/>
      <c r="F698" s="64"/>
      <c r="G698" s="103"/>
      <c r="H698" s="23"/>
      <c r="I698" s="23"/>
      <c r="J698" s="23"/>
    </row>
    <row r="699" spans="5:10" ht="13" x14ac:dyDescent="0.15">
      <c r="E699" s="64"/>
      <c r="F699" s="64"/>
      <c r="G699" s="103"/>
      <c r="H699" s="23"/>
      <c r="I699" s="23"/>
      <c r="J699" s="23"/>
    </row>
    <row r="700" spans="5:10" ht="13" x14ac:dyDescent="0.15">
      <c r="E700" s="64"/>
      <c r="F700" s="64"/>
      <c r="G700" s="103"/>
      <c r="H700" s="23"/>
      <c r="I700" s="23"/>
      <c r="J700" s="23"/>
    </row>
    <row r="701" spans="5:10" ht="13" x14ac:dyDescent="0.15">
      <c r="E701" s="64"/>
      <c r="F701" s="64"/>
      <c r="G701" s="103"/>
      <c r="H701" s="23"/>
      <c r="I701" s="23"/>
      <c r="J701" s="23"/>
    </row>
    <row r="702" spans="5:10" ht="13" x14ac:dyDescent="0.15">
      <c r="E702" s="64"/>
      <c r="F702" s="64"/>
      <c r="G702" s="103"/>
      <c r="H702" s="23"/>
      <c r="I702" s="23"/>
      <c r="J702" s="23"/>
    </row>
    <row r="703" spans="5:10" ht="13" x14ac:dyDescent="0.15">
      <c r="E703" s="64"/>
      <c r="F703" s="64"/>
      <c r="G703" s="103"/>
      <c r="H703" s="23"/>
      <c r="I703" s="23"/>
      <c r="J703" s="23"/>
    </row>
    <row r="704" spans="5:10" ht="13" x14ac:dyDescent="0.15">
      <c r="E704" s="64"/>
      <c r="F704" s="64"/>
      <c r="G704" s="103"/>
      <c r="H704" s="23"/>
      <c r="I704" s="23"/>
      <c r="J704" s="23"/>
    </row>
    <row r="705" spans="5:10" ht="13" x14ac:dyDescent="0.15">
      <c r="E705" s="64"/>
      <c r="F705" s="64"/>
      <c r="G705" s="103"/>
      <c r="H705" s="23"/>
      <c r="I705" s="23"/>
      <c r="J705" s="23"/>
    </row>
    <row r="706" spans="5:10" ht="13" x14ac:dyDescent="0.15">
      <c r="E706" s="64"/>
      <c r="F706" s="64"/>
      <c r="G706" s="103"/>
      <c r="H706" s="23"/>
      <c r="I706" s="23"/>
      <c r="J706" s="23"/>
    </row>
    <row r="707" spans="5:10" ht="13" x14ac:dyDescent="0.15">
      <c r="E707" s="64"/>
      <c r="F707" s="64"/>
      <c r="G707" s="103"/>
      <c r="H707" s="23"/>
      <c r="I707" s="23"/>
      <c r="J707" s="23"/>
    </row>
    <row r="708" spans="5:10" ht="13" x14ac:dyDescent="0.15">
      <c r="E708" s="64"/>
      <c r="F708" s="64"/>
      <c r="G708" s="103"/>
      <c r="H708" s="23"/>
      <c r="I708" s="23"/>
      <c r="J708" s="23"/>
    </row>
    <row r="709" spans="5:10" ht="13" x14ac:dyDescent="0.15">
      <c r="E709" s="64"/>
      <c r="F709" s="64"/>
      <c r="G709" s="103"/>
      <c r="H709" s="23"/>
      <c r="I709" s="23"/>
      <c r="J709" s="23"/>
    </row>
    <row r="710" spans="5:10" ht="13" x14ac:dyDescent="0.15">
      <c r="E710" s="64"/>
      <c r="F710" s="64"/>
      <c r="G710" s="103"/>
      <c r="H710" s="23"/>
      <c r="I710" s="23"/>
      <c r="J710" s="23"/>
    </row>
    <row r="711" spans="5:10" ht="13" x14ac:dyDescent="0.15">
      <c r="E711" s="64"/>
      <c r="F711" s="64"/>
      <c r="G711" s="103"/>
      <c r="H711" s="23"/>
      <c r="I711" s="23"/>
      <c r="J711" s="23"/>
    </row>
    <row r="712" spans="5:10" ht="13" x14ac:dyDescent="0.15">
      <c r="E712" s="64"/>
      <c r="F712" s="64"/>
      <c r="G712" s="103"/>
      <c r="H712" s="23"/>
      <c r="I712" s="23"/>
      <c r="J712" s="23"/>
    </row>
    <row r="713" spans="5:10" ht="13" x14ac:dyDescent="0.15">
      <c r="E713" s="64"/>
      <c r="F713" s="64"/>
      <c r="G713" s="103"/>
      <c r="H713" s="23"/>
      <c r="I713" s="23"/>
      <c r="J713" s="23"/>
    </row>
    <row r="714" spans="5:10" ht="13" x14ac:dyDescent="0.15">
      <c r="E714" s="64"/>
      <c r="F714" s="64"/>
      <c r="G714" s="103"/>
      <c r="H714" s="23"/>
      <c r="I714" s="23"/>
      <c r="J714" s="23"/>
    </row>
    <row r="715" spans="5:10" ht="13" x14ac:dyDescent="0.15">
      <c r="E715" s="64"/>
      <c r="F715" s="64"/>
      <c r="G715" s="103"/>
      <c r="H715" s="23"/>
      <c r="I715" s="23"/>
      <c r="J715" s="23"/>
    </row>
    <row r="716" spans="5:10" ht="13" x14ac:dyDescent="0.15">
      <c r="E716" s="64"/>
      <c r="F716" s="64"/>
      <c r="G716" s="103"/>
      <c r="H716" s="23"/>
      <c r="I716" s="23"/>
      <c r="J716" s="23"/>
    </row>
    <row r="717" spans="5:10" ht="13" x14ac:dyDescent="0.15">
      <c r="E717" s="64"/>
      <c r="F717" s="64"/>
      <c r="G717" s="103"/>
      <c r="H717" s="23"/>
      <c r="I717" s="23"/>
      <c r="J717" s="23"/>
    </row>
    <row r="718" spans="5:10" ht="13" x14ac:dyDescent="0.15">
      <c r="E718" s="64"/>
      <c r="F718" s="64"/>
      <c r="G718" s="103"/>
      <c r="H718" s="23"/>
      <c r="I718" s="23"/>
      <c r="J718" s="23"/>
    </row>
    <row r="719" spans="5:10" ht="13" x14ac:dyDescent="0.15">
      <c r="E719" s="64"/>
      <c r="F719" s="64"/>
      <c r="G719" s="103"/>
      <c r="H719" s="23"/>
      <c r="I719" s="23"/>
      <c r="J719" s="23"/>
    </row>
    <row r="720" spans="5:10" ht="13" x14ac:dyDescent="0.15">
      <c r="E720" s="64"/>
      <c r="F720" s="64"/>
      <c r="G720" s="103"/>
      <c r="H720" s="23"/>
      <c r="I720" s="23"/>
      <c r="J720" s="23"/>
    </row>
    <row r="721" spans="5:10" ht="13" x14ac:dyDescent="0.15">
      <c r="E721" s="64"/>
      <c r="F721" s="64"/>
      <c r="G721" s="103"/>
      <c r="H721" s="23"/>
      <c r="I721" s="23"/>
      <c r="J721" s="23"/>
    </row>
    <row r="722" spans="5:10" ht="13" x14ac:dyDescent="0.15">
      <c r="E722" s="64"/>
      <c r="F722" s="64"/>
      <c r="G722" s="103"/>
      <c r="H722" s="23"/>
      <c r="I722" s="23"/>
      <c r="J722" s="23"/>
    </row>
    <row r="723" spans="5:10" ht="13" x14ac:dyDescent="0.15">
      <c r="E723" s="64"/>
      <c r="F723" s="64"/>
      <c r="G723" s="103"/>
      <c r="H723" s="23"/>
      <c r="I723" s="23"/>
      <c r="J723" s="23"/>
    </row>
    <row r="724" spans="5:10" ht="13" x14ac:dyDescent="0.15">
      <c r="E724" s="64"/>
      <c r="F724" s="64"/>
      <c r="G724" s="103"/>
      <c r="H724" s="23"/>
      <c r="I724" s="23"/>
      <c r="J724" s="23"/>
    </row>
    <row r="725" spans="5:10" ht="13" x14ac:dyDescent="0.15">
      <c r="E725" s="64"/>
      <c r="F725" s="64"/>
      <c r="G725" s="103"/>
      <c r="H725" s="23"/>
      <c r="I725" s="23"/>
      <c r="J725" s="23"/>
    </row>
    <row r="726" spans="5:10" ht="13" x14ac:dyDescent="0.15">
      <c r="E726" s="64"/>
      <c r="F726" s="64"/>
      <c r="G726" s="103"/>
      <c r="H726" s="23"/>
      <c r="I726" s="23"/>
      <c r="J726" s="23"/>
    </row>
    <row r="727" spans="5:10" ht="13" x14ac:dyDescent="0.15">
      <c r="E727" s="64"/>
      <c r="F727" s="64"/>
      <c r="G727" s="103"/>
      <c r="H727" s="23"/>
      <c r="I727" s="23"/>
      <c r="J727" s="23"/>
    </row>
    <row r="728" spans="5:10" ht="13" x14ac:dyDescent="0.15">
      <c r="E728" s="64"/>
      <c r="F728" s="64"/>
      <c r="G728" s="103"/>
      <c r="H728" s="23"/>
      <c r="I728" s="23"/>
      <c r="J728" s="23"/>
    </row>
    <row r="729" spans="5:10" ht="13" x14ac:dyDescent="0.15">
      <c r="E729" s="64"/>
      <c r="F729" s="64"/>
      <c r="G729" s="103"/>
      <c r="H729" s="23"/>
      <c r="I729" s="23"/>
      <c r="J729" s="23"/>
    </row>
    <row r="730" spans="5:10" ht="13" x14ac:dyDescent="0.15">
      <c r="E730" s="64"/>
      <c r="F730" s="64"/>
      <c r="G730" s="103"/>
      <c r="H730" s="23"/>
      <c r="I730" s="23"/>
      <c r="J730" s="23"/>
    </row>
    <row r="731" spans="5:10" ht="13" x14ac:dyDescent="0.15">
      <c r="E731" s="64"/>
      <c r="F731" s="64"/>
      <c r="G731" s="103"/>
      <c r="H731" s="23"/>
      <c r="I731" s="23"/>
      <c r="J731" s="23"/>
    </row>
    <row r="732" spans="5:10" ht="13" x14ac:dyDescent="0.15">
      <c r="E732" s="64"/>
      <c r="F732" s="64"/>
      <c r="G732" s="103"/>
      <c r="H732" s="23"/>
      <c r="I732" s="23"/>
      <c r="J732" s="23"/>
    </row>
    <row r="733" spans="5:10" ht="13" x14ac:dyDescent="0.15">
      <c r="E733" s="64"/>
      <c r="F733" s="64"/>
      <c r="G733" s="103"/>
      <c r="H733" s="23"/>
      <c r="I733" s="23"/>
      <c r="J733" s="23"/>
    </row>
    <row r="734" spans="5:10" ht="13" x14ac:dyDescent="0.15">
      <c r="E734" s="64"/>
      <c r="F734" s="64"/>
      <c r="G734" s="103"/>
      <c r="H734" s="23"/>
      <c r="I734" s="23"/>
      <c r="J734" s="23"/>
    </row>
    <row r="735" spans="5:10" ht="13" x14ac:dyDescent="0.15">
      <c r="E735" s="64"/>
      <c r="F735" s="64"/>
      <c r="G735" s="103"/>
      <c r="H735" s="23"/>
      <c r="I735" s="23"/>
      <c r="J735" s="23"/>
    </row>
    <row r="736" spans="5:10" ht="13" x14ac:dyDescent="0.15">
      <c r="E736" s="64"/>
      <c r="F736" s="64"/>
      <c r="G736" s="103"/>
      <c r="H736" s="23"/>
      <c r="I736" s="23"/>
      <c r="J736" s="23"/>
    </row>
    <row r="737" spans="5:10" ht="13" x14ac:dyDescent="0.15">
      <c r="E737" s="64"/>
      <c r="F737" s="64"/>
      <c r="G737" s="103"/>
      <c r="H737" s="23"/>
      <c r="I737" s="23"/>
      <c r="J737" s="23"/>
    </row>
    <row r="738" spans="5:10" ht="13" x14ac:dyDescent="0.15">
      <c r="E738" s="64"/>
      <c r="F738" s="64"/>
      <c r="G738" s="103"/>
      <c r="H738" s="23"/>
      <c r="I738" s="23"/>
      <c r="J738" s="23"/>
    </row>
    <row r="739" spans="5:10" ht="13" x14ac:dyDescent="0.15">
      <c r="E739" s="64"/>
      <c r="F739" s="64"/>
      <c r="G739" s="103"/>
      <c r="H739" s="23"/>
      <c r="I739" s="23"/>
      <c r="J739" s="23"/>
    </row>
    <row r="740" spans="5:10" ht="13" x14ac:dyDescent="0.15">
      <c r="E740" s="64"/>
      <c r="F740" s="64"/>
      <c r="G740" s="103"/>
      <c r="H740" s="23"/>
      <c r="I740" s="23"/>
      <c r="J740" s="23"/>
    </row>
    <row r="741" spans="5:10" ht="13" x14ac:dyDescent="0.15">
      <c r="E741" s="64"/>
      <c r="F741" s="64"/>
      <c r="G741" s="103"/>
      <c r="H741" s="23"/>
      <c r="I741" s="23"/>
      <c r="J741" s="23"/>
    </row>
    <row r="742" spans="5:10" ht="13" x14ac:dyDescent="0.15">
      <c r="E742" s="64"/>
      <c r="F742" s="64"/>
      <c r="G742" s="103"/>
      <c r="H742" s="23"/>
      <c r="I742" s="23"/>
      <c r="J742" s="23"/>
    </row>
    <row r="743" spans="5:10" ht="13" x14ac:dyDescent="0.15">
      <c r="E743" s="64"/>
      <c r="F743" s="64"/>
      <c r="G743" s="103"/>
      <c r="H743" s="23"/>
      <c r="I743" s="23"/>
      <c r="J743" s="23"/>
    </row>
    <row r="744" spans="5:10" ht="13" x14ac:dyDescent="0.15">
      <c r="E744" s="64"/>
      <c r="F744" s="64"/>
      <c r="G744" s="103"/>
      <c r="H744" s="23"/>
      <c r="I744" s="23"/>
      <c r="J744" s="23"/>
    </row>
    <row r="745" spans="5:10" ht="13" x14ac:dyDescent="0.15">
      <c r="E745" s="64"/>
      <c r="F745" s="64"/>
      <c r="G745" s="103"/>
      <c r="H745" s="23"/>
      <c r="I745" s="23"/>
      <c r="J745" s="23"/>
    </row>
    <row r="746" spans="5:10" ht="13" x14ac:dyDescent="0.15">
      <c r="E746" s="64"/>
      <c r="F746" s="64"/>
      <c r="G746" s="103"/>
      <c r="H746" s="23"/>
      <c r="I746" s="23"/>
      <c r="J746" s="23"/>
    </row>
    <row r="747" spans="5:10" ht="13" x14ac:dyDescent="0.15">
      <c r="E747" s="64"/>
      <c r="F747" s="64"/>
      <c r="G747" s="103"/>
      <c r="H747" s="23"/>
      <c r="I747" s="23"/>
      <c r="J747" s="23"/>
    </row>
    <row r="748" spans="5:10" ht="13" x14ac:dyDescent="0.15">
      <c r="E748" s="64"/>
      <c r="F748" s="64"/>
      <c r="G748" s="103"/>
      <c r="H748" s="23"/>
      <c r="I748" s="23"/>
      <c r="J748" s="23"/>
    </row>
    <row r="749" spans="5:10" ht="13" x14ac:dyDescent="0.15">
      <c r="E749" s="64"/>
      <c r="F749" s="64"/>
      <c r="G749" s="103"/>
      <c r="H749" s="23"/>
      <c r="I749" s="23"/>
      <c r="J749" s="23"/>
    </row>
    <row r="750" spans="5:10" ht="13" x14ac:dyDescent="0.15">
      <c r="E750" s="64"/>
      <c r="F750" s="64"/>
      <c r="G750" s="103"/>
      <c r="H750" s="23"/>
      <c r="I750" s="23"/>
      <c r="J750" s="23"/>
    </row>
    <row r="751" spans="5:10" ht="13" x14ac:dyDescent="0.15">
      <c r="E751" s="64"/>
      <c r="F751" s="64"/>
      <c r="G751" s="103"/>
      <c r="H751" s="23"/>
      <c r="I751" s="23"/>
      <c r="J751" s="23"/>
    </row>
    <row r="752" spans="5:10" ht="13" x14ac:dyDescent="0.15">
      <c r="E752" s="64"/>
      <c r="F752" s="64"/>
      <c r="G752" s="103"/>
      <c r="H752" s="23"/>
      <c r="I752" s="23"/>
      <c r="J752" s="23"/>
    </row>
    <row r="753" spans="5:10" ht="13" x14ac:dyDescent="0.15">
      <c r="E753" s="64"/>
      <c r="F753" s="64"/>
      <c r="G753" s="103"/>
      <c r="H753" s="23"/>
      <c r="I753" s="23"/>
      <c r="J753" s="23"/>
    </row>
    <row r="754" spans="5:10" ht="13" x14ac:dyDescent="0.15">
      <c r="E754" s="64"/>
      <c r="F754" s="64"/>
      <c r="G754" s="103"/>
      <c r="H754" s="23"/>
      <c r="I754" s="23"/>
      <c r="J754" s="23"/>
    </row>
    <row r="755" spans="5:10" ht="13" x14ac:dyDescent="0.15">
      <c r="E755" s="64"/>
      <c r="F755" s="64"/>
      <c r="G755" s="103"/>
      <c r="H755" s="23"/>
      <c r="I755" s="23"/>
      <c r="J755" s="23"/>
    </row>
    <row r="756" spans="5:10" ht="13" x14ac:dyDescent="0.15">
      <c r="E756" s="64"/>
      <c r="F756" s="64"/>
      <c r="G756" s="103"/>
      <c r="H756" s="23"/>
      <c r="I756" s="23"/>
      <c r="J756" s="23"/>
    </row>
    <row r="757" spans="5:10" ht="13" x14ac:dyDescent="0.15">
      <c r="E757" s="64"/>
      <c r="F757" s="64"/>
      <c r="G757" s="103"/>
      <c r="H757" s="23"/>
      <c r="I757" s="23"/>
      <c r="J757" s="23"/>
    </row>
    <row r="758" spans="5:10" ht="13" x14ac:dyDescent="0.15">
      <c r="E758" s="64"/>
      <c r="F758" s="64"/>
      <c r="G758" s="103"/>
      <c r="H758" s="23"/>
      <c r="I758" s="23"/>
      <c r="J758" s="23"/>
    </row>
    <row r="759" spans="5:10" ht="13" x14ac:dyDescent="0.15">
      <c r="E759" s="64"/>
      <c r="F759" s="64"/>
      <c r="G759" s="103"/>
      <c r="H759" s="23"/>
      <c r="I759" s="23"/>
      <c r="J759" s="23"/>
    </row>
    <row r="760" spans="5:10" ht="13" x14ac:dyDescent="0.15">
      <c r="E760" s="64"/>
      <c r="F760" s="64"/>
      <c r="G760" s="103"/>
      <c r="H760" s="23"/>
      <c r="I760" s="23"/>
      <c r="J760" s="23"/>
    </row>
    <row r="761" spans="5:10" ht="13" x14ac:dyDescent="0.15">
      <c r="E761" s="64"/>
      <c r="F761" s="64"/>
      <c r="G761" s="103"/>
      <c r="H761" s="23"/>
      <c r="I761" s="23"/>
      <c r="J761" s="23"/>
    </row>
    <row r="762" spans="5:10" ht="13" x14ac:dyDescent="0.15">
      <c r="E762" s="64"/>
      <c r="F762" s="64"/>
      <c r="G762" s="103"/>
      <c r="H762" s="23"/>
      <c r="I762" s="23"/>
      <c r="J762" s="23"/>
    </row>
    <row r="763" spans="5:10" ht="13" x14ac:dyDescent="0.15">
      <c r="E763" s="64"/>
      <c r="F763" s="64"/>
      <c r="G763" s="103"/>
      <c r="H763" s="23"/>
      <c r="I763" s="23"/>
      <c r="J763" s="23"/>
    </row>
    <row r="764" spans="5:10" ht="13" x14ac:dyDescent="0.15">
      <c r="E764" s="64"/>
      <c r="F764" s="64"/>
      <c r="G764" s="103"/>
      <c r="H764" s="23"/>
      <c r="I764" s="23"/>
      <c r="J764" s="23"/>
    </row>
    <row r="765" spans="5:10" ht="13" x14ac:dyDescent="0.15">
      <c r="E765" s="64"/>
      <c r="F765" s="64"/>
      <c r="G765" s="103"/>
      <c r="H765" s="23"/>
      <c r="I765" s="23"/>
      <c r="J765" s="23"/>
    </row>
    <row r="766" spans="5:10" ht="13" x14ac:dyDescent="0.15">
      <c r="E766" s="64"/>
      <c r="F766" s="64"/>
      <c r="G766" s="103"/>
      <c r="H766" s="23"/>
      <c r="I766" s="23"/>
      <c r="J766" s="23"/>
    </row>
    <row r="767" spans="5:10" ht="13" x14ac:dyDescent="0.15">
      <c r="E767" s="64"/>
      <c r="F767" s="64"/>
      <c r="G767" s="103"/>
      <c r="H767" s="23"/>
      <c r="I767" s="23"/>
      <c r="J767" s="23"/>
    </row>
    <row r="768" spans="5:10" ht="13" x14ac:dyDescent="0.15">
      <c r="E768" s="64"/>
      <c r="F768" s="64"/>
      <c r="G768" s="103"/>
      <c r="H768" s="23"/>
      <c r="I768" s="23"/>
      <c r="J768" s="23"/>
    </row>
    <row r="769" spans="5:10" ht="13" x14ac:dyDescent="0.15">
      <c r="E769" s="64"/>
      <c r="F769" s="64"/>
      <c r="G769" s="103"/>
      <c r="H769" s="23"/>
      <c r="I769" s="23"/>
      <c r="J769" s="23"/>
    </row>
    <row r="770" spans="5:10" ht="13" x14ac:dyDescent="0.15">
      <c r="E770" s="64"/>
      <c r="F770" s="64"/>
      <c r="G770" s="103"/>
      <c r="H770" s="23"/>
      <c r="I770" s="23"/>
      <c r="J770" s="23"/>
    </row>
    <row r="771" spans="5:10" ht="13" x14ac:dyDescent="0.15">
      <c r="E771" s="64"/>
      <c r="F771" s="64"/>
      <c r="G771" s="103"/>
      <c r="H771" s="23"/>
      <c r="I771" s="23"/>
      <c r="J771" s="23"/>
    </row>
    <row r="772" spans="5:10" ht="13" x14ac:dyDescent="0.15">
      <c r="E772" s="64"/>
      <c r="F772" s="64"/>
      <c r="G772" s="103"/>
      <c r="H772" s="23"/>
      <c r="I772" s="23"/>
      <c r="J772" s="23"/>
    </row>
    <row r="773" spans="5:10" ht="13" x14ac:dyDescent="0.15">
      <c r="E773" s="64"/>
      <c r="F773" s="64"/>
      <c r="G773" s="103"/>
      <c r="H773" s="23"/>
      <c r="I773" s="23"/>
      <c r="J773" s="23"/>
    </row>
    <row r="774" spans="5:10" ht="13" x14ac:dyDescent="0.15">
      <c r="E774" s="64"/>
      <c r="F774" s="64"/>
      <c r="G774" s="103"/>
      <c r="H774" s="23"/>
      <c r="I774" s="23"/>
      <c r="J774" s="23"/>
    </row>
    <row r="775" spans="5:10" ht="13" x14ac:dyDescent="0.15">
      <c r="E775" s="64"/>
      <c r="F775" s="64"/>
      <c r="G775" s="103"/>
      <c r="H775" s="23"/>
      <c r="I775" s="23"/>
      <c r="J775" s="23"/>
    </row>
    <row r="776" spans="5:10" ht="13" x14ac:dyDescent="0.15">
      <c r="E776" s="64"/>
      <c r="F776" s="64"/>
      <c r="G776" s="103"/>
      <c r="H776" s="23"/>
      <c r="I776" s="23"/>
      <c r="J776" s="23"/>
    </row>
    <row r="777" spans="5:10" ht="13" x14ac:dyDescent="0.15">
      <c r="E777" s="64"/>
      <c r="F777" s="64"/>
      <c r="G777" s="103"/>
      <c r="H777" s="23"/>
      <c r="I777" s="23"/>
      <c r="J777" s="23"/>
    </row>
    <row r="778" spans="5:10" ht="13" x14ac:dyDescent="0.15">
      <c r="E778" s="64"/>
      <c r="F778" s="64"/>
      <c r="G778" s="103"/>
      <c r="H778" s="23"/>
      <c r="I778" s="23"/>
      <c r="J778" s="23"/>
    </row>
    <row r="779" spans="5:10" ht="13" x14ac:dyDescent="0.15">
      <c r="E779" s="64"/>
      <c r="F779" s="64"/>
      <c r="G779" s="103"/>
      <c r="H779" s="23"/>
      <c r="I779" s="23"/>
      <c r="J779" s="23"/>
    </row>
    <row r="780" spans="5:10" ht="13" x14ac:dyDescent="0.15">
      <c r="E780" s="64"/>
      <c r="F780" s="64"/>
      <c r="G780" s="103"/>
      <c r="H780" s="23"/>
      <c r="I780" s="23"/>
      <c r="J780" s="23"/>
    </row>
    <row r="781" spans="5:10" ht="13" x14ac:dyDescent="0.15">
      <c r="E781" s="64"/>
      <c r="F781" s="64"/>
      <c r="G781" s="103"/>
      <c r="H781" s="23"/>
      <c r="I781" s="23"/>
      <c r="J781" s="23"/>
    </row>
    <row r="782" spans="5:10" ht="13" x14ac:dyDescent="0.15">
      <c r="E782" s="64"/>
      <c r="F782" s="64"/>
      <c r="G782" s="103"/>
      <c r="H782" s="23"/>
      <c r="I782" s="23"/>
      <c r="J782" s="23"/>
    </row>
    <row r="783" spans="5:10" ht="13" x14ac:dyDescent="0.15">
      <c r="E783" s="64"/>
      <c r="F783" s="64"/>
      <c r="G783" s="103"/>
      <c r="H783" s="23"/>
      <c r="I783" s="23"/>
      <c r="J783" s="23"/>
    </row>
    <row r="784" spans="5:10" ht="13" x14ac:dyDescent="0.15">
      <c r="E784" s="64"/>
      <c r="F784" s="64"/>
      <c r="G784" s="103"/>
      <c r="H784" s="23"/>
      <c r="I784" s="23"/>
      <c r="J784" s="23"/>
    </row>
    <row r="785" spans="5:10" ht="13" x14ac:dyDescent="0.15">
      <c r="E785" s="64"/>
      <c r="F785" s="64"/>
      <c r="G785" s="103"/>
      <c r="H785" s="23"/>
      <c r="I785" s="23"/>
      <c r="J785" s="23"/>
    </row>
    <row r="786" spans="5:10" ht="13" x14ac:dyDescent="0.15">
      <c r="E786" s="64"/>
      <c r="F786" s="64"/>
      <c r="G786" s="103"/>
      <c r="H786" s="23"/>
      <c r="I786" s="23"/>
      <c r="J786" s="23"/>
    </row>
    <row r="787" spans="5:10" ht="13" x14ac:dyDescent="0.15">
      <c r="E787" s="64"/>
      <c r="F787" s="64"/>
      <c r="G787" s="103"/>
      <c r="H787" s="23"/>
      <c r="I787" s="23"/>
      <c r="J787" s="23"/>
    </row>
    <row r="788" spans="5:10" ht="13" x14ac:dyDescent="0.15">
      <c r="E788" s="64"/>
      <c r="F788" s="64"/>
      <c r="G788" s="103"/>
      <c r="H788" s="23"/>
      <c r="I788" s="23"/>
      <c r="J788" s="23"/>
    </row>
    <row r="789" spans="5:10" ht="13" x14ac:dyDescent="0.15">
      <c r="E789" s="64"/>
      <c r="F789" s="64"/>
      <c r="G789" s="103"/>
      <c r="H789" s="23"/>
      <c r="I789" s="23"/>
      <c r="J789" s="23"/>
    </row>
    <row r="790" spans="5:10" ht="13" x14ac:dyDescent="0.15">
      <c r="E790" s="64"/>
      <c r="F790" s="64"/>
      <c r="G790" s="103"/>
      <c r="H790" s="23"/>
      <c r="I790" s="23"/>
      <c r="J790" s="23"/>
    </row>
    <row r="791" spans="5:10" ht="13" x14ac:dyDescent="0.15">
      <c r="E791" s="64"/>
      <c r="F791" s="64"/>
      <c r="G791" s="103"/>
      <c r="H791" s="23"/>
      <c r="I791" s="23"/>
      <c r="J791" s="23"/>
    </row>
    <row r="792" spans="5:10" ht="13" x14ac:dyDescent="0.15">
      <c r="E792" s="64"/>
      <c r="F792" s="64"/>
      <c r="G792" s="103"/>
      <c r="H792" s="23"/>
      <c r="I792" s="23"/>
      <c r="J792" s="23"/>
    </row>
    <row r="793" spans="5:10" ht="13" x14ac:dyDescent="0.15">
      <c r="E793" s="64"/>
      <c r="F793" s="64"/>
      <c r="G793" s="103"/>
      <c r="H793" s="23"/>
      <c r="I793" s="23"/>
      <c r="J793" s="23"/>
    </row>
    <row r="794" spans="5:10" ht="13" x14ac:dyDescent="0.15">
      <c r="E794" s="64"/>
      <c r="F794" s="64"/>
      <c r="G794" s="103"/>
      <c r="H794" s="23"/>
      <c r="I794" s="23"/>
      <c r="J794" s="23"/>
    </row>
    <row r="795" spans="5:10" ht="13" x14ac:dyDescent="0.15">
      <c r="E795" s="64"/>
      <c r="F795" s="64"/>
      <c r="G795" s="103"/>
      <c r="H795" s="23"/>
      <c r="I795" s="23"/>
      <c r="J795" s="23"/>
    </row>
    <row r="796" spans="5:10" ht="13" x14ac:dyDescent="0.15">
      <c r="E796" s="64"/>
      <c r="F796" s="64"/>
      <c r="G796" s="103"/>
      <c r="H796" s="23"/>
      <c r="I796" s="23"/>
      <c r="J796" s="23"/>
    </row>
    <row r="797" spans="5:10" ht="13" x14ac:dyDescent="0.15">
      <c r="E797" s="64"/>
      <c r="F797" s="64"/>
      <c r="G797" s="103"/>
      <c r="H797" s="23"/>
      <c r="I797" s="23"/>
      <c r="J797" s="23"/>
    </row>
    <row r="798" spans="5:10" ht="13" x14ac:dyDescent="0.15">
      <c r="E798" s="64"/>
      <c r="F798" s="64"/>
      <c r="G798" s="103"/>
      <c r="H798" s="23"/>
      <c r="I798" s="23"/>
      <c r="J798" s="23"/>
    </row>
    <row r="799" spans="5:10" ht="13" x14ac:dyDescent="0.15">
      <c r="E799" s="64"/>
      <c r="F799" s="64"/>
      <c r="G799" s="103"/>
      <c r="H799" s="23"/>
      <c r="I799" s="23"/>
      <c r="J799" s="23"/>
    </row>
    <row r="800" spans="5:10" ht="13" x14ac:dyDescent="0.15">
      <c r="E800" s="64"/>
      <c r="F800" s="64"/>
      <c r="G800" s="103"/>
      <c r="H800" s="23"/>
      <c r="I800" s="23"/>
      <c r="J800" s="23"/>
    </row>
    <row r="801" spans="5:10" ht="13" x14ac:dyDescent="0.15">
      <c r="E801" s="64"/>
      <c r="F801" s="64"/>
      <c r="G801" s="103"/>
      <c r="H801" s="23"/>
      <c r="I801" s="23"/>
      <c r="J801" s="23"/>
    </row>
    <row r="802" spans="5:10" ht="13" x14ac:dyDescent="0.15">
      <c r="E802" s="64"/>
      <c r="F802" s="64"/>
      <c r="G802" s="103"/>
      <c r="H802" s="23"/>
      <c r="I802" s="23"/>
      <c r="J802" s="23"/>
    </row>
    <row r="803" spans="5:10" ht="13" x14ac:dyDescent="0.15">
      <c r="E803" s="64"/>
      <c r="F803" s="64"/>
      <c r="G803" s="103"/>
      <c r="H803" s="23"/>
      <c r="I803" s="23"/>
      <c r="J803" s="23"/>
    </row>
    <row r="804" spans="5:10" ht="13" x14ac:dyDescent="0.15">
      <c r="E804" s="64"/>
      <c r="F804" s="64"/>
      <c r="G804" s="103"/>
      <c r="H804" s="23"/>
      <c r="I804" s="23"/>
      <c r="J804" s="23"/>
    </row>
    <row r="805" spans="5:10" ht="13" x14ac:dyDescent="0.15">
      <c r="E805" s="64"/>
      <c r="F805" s="64"/>
      <c r="G805" s="103"/>
      <c r="H805" s="23"/>
      <c r="I805" s="23"/>
      <c r="J805" s="23"/>
    </row>
    <row r="806" spans="5:10" ht="13" x14ac:dyDescent="0.15">
      <c r="E806" s="64"/>
      <c r="F806" s="64"/>
      <c r="G806" s="103"/>
      <c r="H806" s="23"/>
      <c r="I806" s="23"/>
      <c r="J806" s="23"/>
    </row>
    <row r="807" spans="5:10" ht="13" x14ac:dyDescent="0.15">
      <c r="E807" s="64"/>
      <c r="F807" s="64"/>
      <c r="G807" s="103"/>
      <c r="H807" s="23"/>
      <c r="I807" s="23"/>
      <c r="J807" s="23"/>
    </row>
    <row r="808" spans="5:10" ht="13" x14ac:dyDescent="0.15">
      <c r="E808" s="64"/>
      <c r="F808" s="64"/>
      <c r="G808" s="103"/>
      <c r="H808" s="23"/>
      <c r="I808" s="23"/>
      <c r="J808" s="23"/>
    </row>
    <row r="809" spans="5:10" ht="13" x14ac:dyDescent="0.15">
      <c r="E809" s="64"/>
      <c r="F809" s="64"/>
      <c r="G809" s="103"/>
      <c r="H809" s="23"/>
      <c r="I809" s="23"/>
      <c r="J809" s="23"/>
    </row>
    <row r="810" spans="5:10" ht="13" x14ac:dyDescent="0.15">
      <c r="E810" s="64"/>
      <c r="F810" s="64"/>
      <c r="G810" s="103"/>
      <c r="H810" s="23"/>
      <c r="I810" s="23"/>
      <c r="J810" s="23"/>
    </row>
    <row r="811" spans="5:10" ht="13" x14ac:dyDescent="0.15">
      <c r="E811" s="64"/>
      <c r="F811" s="64"/>
      <c r="G811" s="103"/>
      <c r="H811" s="23"/>
      <c r="I811" s="23"/>
      <c r="J811" s="23"/>
    </row>
    <row r="812" spans="5:10" ht="13" x14ac:dyDescent="0.15">
      <c r="E812" s="64"/>
      <c r="F812" s="64"/>
      <c r="G812" s="103"/>
      <c r="H812" s="23"/>
      <c r="I812" s="23"/>
      <c r="J812" s="23"/>
    </row>
    <row r="813" spans="5:10" ht="13" x14ac:dyDescent="0.15">
      <c r="E813" s="64"/>
      <c r="F813" s="64"/>
      <c r="G813" s="103"/>
      <c r="H813" s="23"/>
      <c r="I813" s="23"/>
      <c r="J813" s="23"/>
    </row>
    <row r="814" spans="5:10" ht="13" x14ac:dyDescent="0.15">
      <c r="E814" s="64"/>
      <c r="F814" s="64"/>
      <c r="G814" s="103"/>
      <c r="H814" s="23"/>
      <c r="I814" s="23"/>
      <c r="J814" s="23"/>
    </row>
    <row r="815" spans="5:10" ht="13" x14ac:dyDescent="0.15">
      <c r="E815" s="64"/>
      <c r="F815" s="64"/>
      <c r="G815" s="103"/>
      <c r="H815" s="23"/>
      <c r="I815" s="23"/>
      <c r="J815" s="23"/>
    </row>
    <row r="816" spans="5:10" ht="13" x14ac:dyDescent="0.15">
      <c r="E816" s="64"/>
      <c r="F816" s="64"/>
      <c r="G816" s="103"/>
      <c r="H816" s="23"/>
      <c r="I816" s="23"/>
      <c r="J816" s="23"/>
    </row>
    <row r="817" spans="5:10" ht="13" x14ac:dyDescent="0.15">
      <c r="E817" s="64"/>
      <c r="F817" s="64"/>
      <c r="G817" s="103"/>
      <c r="H817" s="23"/>
      <c r="I817" s="23"/>
      <c r="J817" s="23"/>
    </row>
    <row r="818" spans="5:10" ht="13" x14ac:dyDescent="0.15">
      <c r="E818" s="64"/>
      <c r="F818" s="64"/>
      <c r="G818" s="103"/>
      <c r="H818" s="23"/>
      <c r="I818" s="23"/>
      <c r="J818" s="23"/>
    </row>
    <row r="819" spans="5:10" ht="13" x14ac:dyDescent="0.15">
      <c r="E819" s="64"/>
      <c r="F819" s="64"/>
      <c r="G819" s="103"/>
      <c r="H819" s="23"/>
      <c r="I819" s="23"/>
      <c r="J819" s="23"/>
    </row>
    <row r="820" spans="5:10" ht="13" x14ac:dyDescent="0.15">
      <c r="E820" s="64"/>
      <c r="F820" s="64"/>
      <c r="G820" s="103"/>
      <c r="H820" s="23"/>
      <c r="I820" s="23"/>
      <c r="J820" s="23"/>
    </row>
    <row r="821" spans="5:10" ht="13" x14ac:dyDescent="0.15">
      <c r="E821" s="64"/>
      <c r="F821" s="64"/>
      <c r="G821" s="103"/>
      <c r="H821" s="23"/>
      <c r="I821" s="23"/>
      <c r="J821" s="23"/>
    </row>
    <row r="822" spans="5:10" ht="13" x14ac:dyDescent="0.15">
      <c r="E822" s="64"/>
      <c r="F822" s="64"/>
      <c r="G822" s="103"/>
      <c r="H822" s="23"/>
      <c r="I822" s="23"/>
      <c r="J822" s="23"/>
    </row>
    <row r="823" spans="5:10" ht="13" x14ac:dyDescent="0.15">
      <c r="E823" s="64"/>
      <c r="F823" s="64"/>
      <c r="G823" s="103"/>
      <c r="H823" s="23"/>
      <c r="I823" s="23"/>
      <c r="J823" s="23"/>
    </row>
    <row r="824" spans="5:10" ht="13" x14ac:dyDescent="0.15">
      <c r="E824" s="64"/>
      <c r="F824" s="64"/>
      <c r="G824" s="103"/>
      <c r="H824" s="23"/>
      <c r="I824" s="23"/>
      <c r="J824" s="23"/>
    </row>
    <row r="825" spans="5:10" ht="13" x14ac:dyDescent="0.15">
      <c r="E825" s="64"/>
      <c r="F825" s="64"/>
      <c r="G825" s="103"/>
      <c r="H825" s="23"/>
      <c r="I825" s="23"/>
      <c r="J825" s="23"/>
    </row>
    <row r="826" spans="5:10" ht="13" x14ac:dyDescent="0.15">
      <c r="E826" s="64"/>
      <c r="F826" s="64"/>
      <c r="G826" s="103"/>
      <c r="H826" s="23"/>
      <c r="I826" s="23"/>
      <c r="J826" s="23"/>
    </row>
    <row r="827" spans="5:10" ht="13" x14ac:dyDescent="0.15">
      <c r="E827" s="64"/>
      <c r="F827" s="64"/>
      <c r="G827" s="103"/>
      <c r="H827" s="23"/>
      <c r="I827" s="23"/>
      <c r="J827" s="23"/>
    </row>
    <row r="828" spans="5:10" ht="13" x14ac:dyDescent="0.15">
      <c r="E828" s="64"/>
      <c r="F828" s="64"/>
      <c r="G828" s="103"/>
      <c r="H828" s="23"/>
      <c r="I828" s="23"/>
      <c r="J828" s="23"/>
    </row>
    <row r="829" spans="5:10" ht="13" x14ac:dyDescent="0.15">
      <c r="E829" s="64"/>
      <c r="F829" s="64"/>
      <c r="G829" s="103"/>
      <c r="H829" s="23"/>
      <c r="I829" s="23"/>
      <c r="J829" s="23"/>
    </row>
    <row r="830" spans="5:10" ht="13" x14ac:dyDescent="0.15">
      <c r="E830" s="64"/>
      <c r="F830" s="64"/>
      <c r="G830" s="103"/>
      <c r="H830" s="23"/>
      <c r="I830" s="23"/>
      <c r="J830" s="23"/>
    </row>
    <row r="831" spans="5:10" ht="13" x14ac:dyDescent="0.15">
      <c r="E831" s="64"/>
      <c r="F831" s="64"/>
      <c r="G831" s="103"/>
      <c r="H831" s="23"/>
      <c r="I831" s="23"/>
      <c r="J831" s="23"/>
    </row>
    <row r="832" spans="5:10" ht="13" x14ac:dyDescent="0.15">
      <c r="E832" s="64"/>
      <c r="F832" s="64"/>
      <c r="G832" s="103"/>
      <c r="H832" s="23"/>
      <c r="I832" s="23"/>
      <c r="J832" s="23"/>
    </row>
    <row r="833" spans="5:10" ht="13" x14ac:dyDescent="0.15">
      <c r="E833" s="64"/>
      <c r="F833" s="64"/>
      <c r="G833" s="103"/>
      <c r="H833" s="23"/>
      <c r="I833" s="23"/>
      <c r="J833" s="23"/>
    </row>
    <row r="834" spans="5:10" ht="13" x14ac:dyDescent="0.15">
      <c r="E834" s="64"/>
      <c r="F834" s="64"/>
      <c r="G834" s="103"/>
      <c r="H834" s="23"/>
      <c r="I834" s="23"/>
      <c r="J834" s="23"/>
    </row>
    <row r="835" spans="5:10" ht="13" x14ac:dyDescent="0.15">
      <c r="E835" s="64"/>
      <c r="F835" s="64"/>
      <c r="G835" s="103"/>
      <c r="H835" s="23"/>
      <c r="I835" s="23"/>
      <c r="J835" s="23"/>
    </row>
    <row r="836" spans="5:10" ht="13" x14ac:dyDescent="0.15">
      <c r="E836" s="64"/>
      <c r="F836" s="64"/>
      <c r="G836" s="103"/>
      <c r="H836" s="23"/>
      <c r="I836" s="23"/>
      <c r="J836" s="23"/>
    </row>
    <row r="837" spans="5:10" ht="13" x14ac:dyDescent="0.15">
      <c r="E837" s="64"/>
      <c r="F837" s="64"/>
      <c r="G837" s="103"/>
      <c r="H837" s="23"/>
      <c r="I837" s="23"/>
      <c r="J837" s="23"/>
    </row>
    <row r="838" spans="5:10" ht="13" x14ac:dyDescent="0.15">
      <c r="G838" s="103"/>
      <c r="H838" s="23"/>
      <c r="I838" s="23"/>
      <c r="J838" s="23"/>
    </row>
    <row r="839" spans="5:10" ht="13" x14ac:dyDescent="0.15">
      <c r="G839" s="103"/>
      <c r="H839" s="23"/>
      <c r="I839" s="23"/>
      <c r="J839" s="23"/>
    </row>
  </sheetData>
  <phoneticPr fontId="0" type="noConversion"/>
  <pageMargins left="0.75" right="0.75" top="1" bottom="1" header="0.5" footer="0.5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N1889"/>
  <sheetViews>
    <sheetView workbookViewId="0">
      <selection activeCell="N20" sqref="N20"/>
    </sheetView>
  </sheetViews>
  <sheetFormatPr baseColWidth="10" defaultColWidth="11.5" defaultRowHeight="13" x14ac:dyDescent="0.15"/>
  <cols>
    <col min="1" max="1" width="5.1640625" customWidth="1"/>
    <col min="2" max="2" width="21.83203125" customWidth="1"/>
    <col min="3" max="3" width="10.1640625" customWidth="1"/>
    <col min="4" max="4" width="10.83203125" customWidth="1"/>
    <col min="5" max="5" width="8.1640625" customWidth="1"/>
  </cols>
  <sheetData>
    <row r="1" spans="1:14" x14ac:dyDescent="0.15">
      <c r="A1" s="66">
        <v>0</v>
      </c>
      <c r="B1" s="66" t="s">
        <v>1611</v>
      </c>
      <c r="C1" s="65"/>
      <c r="D1" s="65">
        <v>1</v>
      </c>
      <c r="E1" s="350">
        <v>10000</v>
      </c>
      <c r="F1" s="65">
        <v>1</v>
      </c>
      <c r="G1" s="23"/>
      <c r="H1" s="23"/>
    </row>
    <row r="2" spans="1:14" x14ac:dyDescent="0.15">
      <c r="A2" s="66">
        <f>A1+1</f>
        <v>1</v>
      </c>
      <c r="B2" s="75" t="s">
        <v>33</v>
      </c>
      <c r="C2" s="73"/>
      <c r="D2" s="23">
        <f>D1+1</f>
        <v>2</v>
      </c>
      <c r="E2" s="350">
        <v>10000</v>
      </c>
      <c r="F2" s="23">
        <f>F1+1</f>
        <v>2</v>
      </c>
      <c r="G2" s="23"/>
      <c r="H2" s="23">
        <v>180</v>
      </c>
      <c r="J2">
        <v>15200</v>
      </c>
    </row>
    <row r="3" spans="1:14" x14ac:dyDescent="0.15">
      <c r="A3" s="66">
        <f t="shared" ref="A3:A41" si="0">A2+1</f>
        <v>2</v>
      </c>
      <c r="B3" s="75" t="s">
        <v>31</v>
      </c>
      <c r="C3" s="321"/>
      <c r="D3" s="23">
        <f t="shared" ref="D3:D66" si="1">D2+1</f>
        <v>3</v>
      </c>
      <c r="E3" s="350">
        <v>10000</v>
      </c>
      <c r="F3" s="23">
        <f t="shared" ref="F3:F66" si="2">F2+1</f>
        <v>3</v>
      </c>
      <c r="G3" s="23"/>
      <c r="H3" s="23">
        <v>76</v>
      </c>
      <c r="J3">
        <v>13000</v>
      </c>
      <c r="N3" s="164">
        <v>1080</v>
      </c>
    </row>
    <row r="4" spans="1:14" x14ac:dyDescent="0.15">
      <c r="A4" s="66">
        <f t="shared" si="0"/>
        <v>3</v>
      </c>
      <c r="B4" s="75" t="s">
        <v>695</v>
      </c>
      <c r="C4" s="321"/>
      <c r="D4" s="23">
        <f t="shared" si="1"/>
        <v>4</v>
      </c>
      <c r="E4" s="351">
        <v>10000</v>
      </c>
      <c r="F4" s="23">
        <f t="shared" si="2"/>
        <v>4</v>
      </c>
      <c r="G4" s="23"/>
      <c r="H4" s="23">
        <v>150</v>
      </c>
      <c r="N4" s="164">
        <v>-740</v>
      </c>
    </row>
    <row r="5" spans="1:14" x14ac:dyDescent="0.15">
      <c r="A5" s="66">
        <f t="shared" si="0"/>
        <v>4</v>
      </c>
      <c r="B5" s="83" t="s">
        <v>1612</v>
      </c>
      <c r="C5" s="64"/>
      <c r="D5" s="23">
        <f t="shared" si="1"/>
        <v>5</v>
      </c>
      <c r="E5" s="351">
        <v>10000</v>
      </c>
      <c r="F5" s="23">
        <f t="shared" si="2"/>
        <v>5</v>
      </c>
      <c r="G5" s="23"/>
      <c r="H5" s="65">
        <v>154</v>
      </c>
      <c r="N5" s="164">
        <v>-740</v>
      </c>
    </row>
    <row r="6" spans="1:14" x14ac:dyDescent="0.15">
      <c r="A6" s="66">
        <f t="shared" si="0"/>
        <v>5</v>
      </c>
      <c r="B6" s="83" t="s">
        <v>32</v>
      </c>
      <c r="C6" s="18"/>
      <c r="D6" s="23">
        <f t="shared" si="1"/>
        <v>6</v>
      </c>
      <c r="E6" s="351">
        <v>10000</v>
      </c>
      <c r="F6" s="23">
        <f t="shared" si="2"/>
        <v>6</v>
      </c>
      <c r="G6" s="23"/>
      <c r="H6" s="65">
        <v>16</v>
      </c>
      <c r="N6" s="164">
        <v>-3180</v>
      </c>
    </row>
    <row r="7" spans="1:14" x14ac:dyDescent="0.15">
      <c r="A7" s="66">
        <f t="shared" si="0"/>
        <v>6</v>
      </c>
      <c r="B7" s="66" t="s">
        <v>696</v>
      </c>
      <c r="C7" s="64"/>
      <c r="D7" s="23">
        <f t="shared" si="1"/>
        <v>7</v>
      </c>
      <c r="E7" s="351">
        <v>10000</v>
      </c>
      <c r="F7" s="23">
        <f t="shared" si="2"/>
        <v>7</v>
      </c>
      <c r="G7" s="23"/>
      <c r="H7" s="65">
        <v>24</v>
      </c>
      <c r="N7" s="164">
        <v>-3180</v>
      </c>
    </row>
    <row r="8" spans="1:14" x14ac:dyDescent="0.15">
      <c r="A8" s="66">
        <f t="shared" si="0"/>
        <v>7</v>
      </c>
      <c r="B8" s="66" t="s">
        <v>767</v>
      </c>
      <c r="C8" s="64"/>
      <c r="D8" s="23">
        <f t="shared" si="1"/>
        <v>8</v>
      </c>
      <c r="E8" s="350"/>
      <c r="F8" s="23">
        <f t="shared" si="2"/>
        <v>8</v>
      </c>
      <c r="G8" s="23"/>
      <c r="H8" s="65">
        <v>2</v>
      </c>
      <c r="J8">
        <v>10600</v>
      </c>
      <c r="N8" s="164">
        <v>-3180</v>
      </c>
    </row>
    <row r="9" spans="1:14" x14ac:dyDescent="0.15">
      <c r="A9" s="66">
        <f t="shared" si="0"/>
        <v>8</v>
      </c>
      <c r="B9" s="66" t="s">
        <v>769</v>
      </c>
      <c r="C9" s="64"/>
      <c r="D9" s="23">
        <f t="shared" si="1"/>
        <v>9</v>
      </c>
      <c r="E9" s="352">
        <v>12000</v>
      </c>
      <c r="F9" s="23">
        <f t="shared" si="2"/>
        <v>9</v>
      </c>
      <c r="G9" s="23"/>
      <c r="H9" s="65">
        <v>20</v>
      </c>
      <c r="J9">
        <v>8000</v>
      </c>
      <c r="N9" s="164">
        <v>-1360</v>
      </c>
    </row>
    <row r="10" spans="1:14" x14ac:dyDescent="0.15">
      <c r="A10" s="66">
        <f t="shared" si="0"/>
        <v>9</v>
      </c>
      <c r="B10" s="66" t="s">
        <v>990</v>
      </c>
      <c r="C10" s="64"/>
      <c r="D10" s="23">
        <f t="shared" si="1"/>
        <v>10</v>
      </c>
      <c r="E10" s="352">
        <v>10000</v>
      </c>
      <c r="F10" s="23">
        <f t="shared" si="2"/>
        <v>10</v>
      </c>
      <c r="G10" s="23"/>
      <c r="H10" s="65">
        <v>100</v>
      </c>
      <c r="J10">
        <v>13590</v>
      </c>
      <c r="N10" s="164">
        <v>-1960</v>
      </c>
    </row>
    <row r="11" spans="1:14" ht="14" x14ac:dyDescent="0.15">
      <c r="A11" s="66">
        <f t="shared" si="0"/>
        <v>10</v>
      </c>
      <c r="B11" s="323" t="s">
        <v>770</v>
      </c>
      <c r="C11" s="322"/>
      <c r="D11" s="23">
        <f t="shared" si="1"/>
        <v>11</v>
      </c>
      <c r="E11" s="352">
        <v>7600</v>
      </c>
      <c r="F11" s="23">
        <f t="shared" si="2"/>
        <v>11</v>
      </c>
      <c r="G11" s="23"/>
      <c r="H11" s="23">
        <f>SUM(H2:H10)</f>
        <v>722</v>
      </c>
      <c r="J11">
        <v>6400</v>
      </c>
      <c r="N11" s="164">
        <v>-3500</v>
      </c>
    </row>
    <row r="12" spans="1:14" x14ac:dyDescent="0.15">
      <c r="A12" s="66">
        <f t="shared" si="0"/>
        <v>11</v>
      </c>
      <c r="B12" s="324" t="s">
        <v>771</v>
      </c>
      <c r="C12" s="65"/>
      <c r="D12" s="23">
        <f t="shared" si="1"/>
        <v>12</v>
      </c>
      <c r="E12" s="352">
        <v>7700</v>
      </c>
      <c r="F12" s="23">
        <f t="shared" si="2"/>
        <v>12</v>
      </c>
      <c r="G12" s="23"/>
      <c r="H12" s="23"/>
      <c r="J12">
        <v>6400</v>
      </c>
      <c r="N12" s="164">
        <v>-2820</v>
      </c>
    </row>
    <row r="13" spans="1:14" x14ac:dyDescent="0.15">
      <c r="A13" s="66">
        <f t="shared" si="0"/>
        <v>12</v>
      </c>
      <c r="B13" s="324" t="s">
        <v>772</v>
      </c>
      <c r="C13" s="65"/>
      <c r="D13" s="23">
        <f t="shared" si="1"/>
        <v>13</v>
      </c>
      <c r="E13" s="350">
        <v>13500</v>
      </c>
      <c r="F13" s="23">
        <f t="shared" si="2"/>
        <v>13</v>
      </c>
      <c r="G13" s="23"/>
      <c r="H13" s="23"/>
      <c r="J13">
        <v>6500</v>
      </c>
      <c r="N13" s="164">
        <v>-3180</v>
      </c>
    </row>
    <row r="14" spans="1:14" x14ac:dyDescent="0.15">
      <c r="A14" s="66">
        <f t="shared" si="0"/>
        <v>13</v>
      </c>
      <c r="B14" s="83" t="s">
        <v>773</v>
      </c>
      <c r="C14" s="65"/>
      <c r="D14" s="23">
        <f t="shared" si="1"/>
        <v>14</v>
      </c>
      <c r="E14" s="352">
        <v>10000</v>
      </c>
      <c r="F14" s="23">
        <f t="shared" si="2"/>
        <v>14</v>
      </c>
      <c r="G14" s="23"/>
      <c r="H14" s="23"/>
      <c r="J14">
        <v>5000</v>
      </c>
      <c r="K14">
        <f t="shared" ref="K14:K71" si="3">6000-J14</f>
        <v>1000</v>
      </c>
      <c r="N14" s="164">
        <v>-3180</v>
      </c>
    </row>
    <row r="15" spans="1:14" x14ac:dyDescent="0.15">
      <c r="A15" s="66">
        <f t="shared" si="0"/>
        <v>14</v>
      </c>
      <c r="B15" s="83" t="s">
        <v>774</v>
      </c>
      <c r="C15" s="60"/>
      <c r="D15" s="23">
        <f t="shared" si="1"/>
        <v>15</v>
      </c>
      <c r="E15" s="352">
        <v>7000</v>
      </c>
      <c r="F15" s="23">
        <f t="shared" si="2"/>
        <v>15</v>
      </c>
      <c r="G15" s="23"/>
      <c r="H15" s="23"/>
      <c r="J15">
        <v>6200</v>
      </c>
      <c r="N15" s="164">
        <v>-740</v>
      </c>
    </row>
    <row r="16" spans="1:14" x14ac:dyDescent="0.15">
      <c r="A16" s="66">
        <f t="shared" si="0"/>
        <v>15</v>
      </c>
      <c r="B16" s="165" t="s">
        <v>775</v>
      </c>
      <c r="C16" s="146"/>
      <c r="D16" s="23">
        <f t="shared" si="1"/>
        <v>16</v>
      </c>
      <c r="E16" s="352">
        <v>10000</v>
      </c>
      <c r="F16" s="23">
        <f t="shared" si="2"/>
        <v>16</v>
      </c>
      <c r="G16" s="23"/>
      <c r="H16" s="23"/>
      <c r="J16">
        <v>6200</v>
      </c>
      <c r="N16" s="164">
        <v>-1960</v>
      </c>
    </row>
    <row r="17" spans="1:14" x14ac:dyDescent="0.15">
      <c r="A17" s="66">
        <f t="shared" si="0"/>
        <v>16</v>
      </c>
      <c r="B17" s="66" t="s">
        <v>776</v>
      </c>
      <c r="C17" s="65"/>
      <c r="D17" s="23">
        <f t="shared" si="1"/>
        <v>17</v>
      </c>
      <c r="E17" s="350">
        <v>8700</v>
      </c>
      <c r="F17" s="23">
        <f t="shared" si="2"/>
        <v>17</v>
      </c>
      <c r="G17" s="23"/>
      <c r="H17" s="23"/>
      <c r="J17">
        <v>5000</v>
      </c>
      <c r="K17">
        <f t="shared" si="3"/>
        <v>1000</v>
      </c>
      <c r="N17" s="164">
        <v>-740</v>
      </c>
    </row>
    <row r="18" spans="1:14" x14ac:dyDescent="0.15">
      <c r="A18" s="66">
        <f t="shared" si="0"/>
        <v>17</v>
      </c>
      <c r="B18" s="66" t="s">
        <v>777</v>
      </c>
      <c r="C18" s="65"/>
      <c r="D18" s="23">
        <f t="shared" si="1"/>
        <v>18</v>
      </c>
      <c r="E18" s="350">
        <v>10500</v>
      </c>
      <c r="F18" s="23">
        <f t="shared" si="2"/>
        <v>18</v>
      </c>
      <c r="G18" s="23"/>
      <c r="H18" s="23"/>
      <c r="N18" s="164">
        <v>-740</v>
      </c>
    </row>
    <row r="19" spans="1:14" x14ac:dyDescent="0.15">
      <c r="A19" s="66">
        <f t="shared" si="0"/>
        <v>18</v>
      </c>
      <c r="B19" s="66" t="s">
        <v>886</v>
      </c>
      <c r="C19" s="65"/>
      <c r="D19" s="23">
        <f t="shared" si="1"/>
        <v>19</v>
      </c>
      <c r="E19" s="352">
        <v>5730</v>
      </c>
      <c r="F19" s="23">
        <f t="shared" si="2"/>
        <v>19</v>
      </c>
      <c r="G19" s="23"/>
      <c r="H19" s="23"/>
      <c r="N19" s="164">
        <v>-740</v>
      </c>
    </row>
    <row r="20" spans="1:14" x14ac:dyDescent="0.15">
      <c r="A20" s="66">
        <f t="shared" si="0"/>
        <v>19</v>
      </c>
      <c r="B20" s="66" t="s">
        <v>1074</v>
      </c>
      <c r="C20" s="65"/>
      <c r="D20" s="23">
        <f t="shared" si="1"/>
        <v>20</v>
      </c>
      <c r="E20" s="384">
        <v>10000</v>
      </c>
      <c r="F20" s="23">
        <f t="shared" si="2"/>
        <v>20</v>
      </c>
      <c r="G20" s="23"/>
      <c r="N20" s="164">
        <v>-740</v>
      </c>
    </row>
    <row r="21" spans="1:14" x14ac:dyDescent="0.15">
      <c r="A21" s="66">
        <f t="shared" si="0"/>
        <v>20</v>
      </c>
      <c r="B21" s="66" t="s">
        <v>1075</v>
      </c>
      <c r="C21" s="65"/>
      <c r="D21" s="23">
        <f t="shared" si="1"/>
        <v>21</v>
      </c>
      <c r="E21" s="352">
        <v>12000</v>
      </c>
      <c r="F21" s="23">
        <f t="shared" si="2"/>
        <v>21</v>
      </c>
      <c r="G21" s="23"/>
      <c r="N21" s="164">
        <v>-740</v>
      </c>
    </row>
    <row r="22" spans="1:14" x14ac:dyDescent="0.15">
      <c r="A22" s="66">
        <f t="shared" si="0"/>
        <v>21</v>
      </c>
      <c r="B22" s="66" t="s">
        <v>1076</v>
      </c>
      <c r="C22" s="65"/>
      <c r="D22" s="23">
        <f t="shared" si="1"/>
        <v>22</v>
      </c>
      <c r="E22" s="352">
        <v>12000</v>
      </c>
      <c r="F22" s="23">
        <f t="shared" si="2"/>
        <v>22</v>
      </c>
      <c r="G22" s="23"/>
      <c r="J22">
        <v>6000</v>
      </c>
      <c r="K22">
        <f t="shared" si="3"/>
        <v>0</v>
      </c>
      <c r="N22" s="164">
        <v>480</v>
      </c>
    </row>
    <row r="23" spans="1:14" x14ac:dyDescent="0.15">
      <c r="A23" s="66">
        <f t="shared" si="0"/>
        <v>22</v>
      </c>
      <c r="B23" s="66" t="s">
        <v>1077</v>
      </c>
      <c r="C23" s="65"/>
      <c r="D23" s="23">
        <f t="shared" si="1"/>
        <v>23</v>
      </c>
      <c r="E23" s="352">
        <v>3870</v>
      </c>
      <c r="F23" s="23">
        <f t="shared" si="2"/>
        <v>23</v>
      </c>
      <c r="G23" s="23"/>
      <c r="J23">
        <v>3940</v>
      </c>
      <c r="K23">
        <f t="shared" si="3"/>
        <v>2060</v>
      </c>
      <c r="N23" s="164">
        <v>-740</v>
      </c>
    </row>
    <row r="24" spans="1:14" x14ac:dyDescent="0.15">
      <c r="A24" s="66">
        <f t="shared" si="0"/>
        <v>23</v>
      </c>
      <c r="B24" s="66" t="s">
        <v>1078</v>
      </c>
      <c r="C24" s="65"/>
      <c r="D24" s="23">
        <f t="shared" si="1"/>
        <v>24</v>
      </c>
      <c r="E24" s="352">
        <v>3850</v>
      </c>
      <c r="F24" s="23">
        <f t="shared" si="2"/>
        <v>24</v>
      </c>
      <c r="G24" s="23"/>
      <c r="J24">
        <v>6590</v>
      </c>
      <c r="N24" s="164">
        <v>-740</v>
      </c>
    </row>
    <row r="25" spans="1:14" x14ac:dyDescent="0.15">
      <c r="A25" s="66">
        <f t="shared" si="0"/>
        <v>24</v>
      </c>
      <c r="B25" s="66" t="s">
        <v>1079</v>
      </c>
      <c r="C25" s="65"/>
      <c r="D25" s="23">
        <f t="shared" si="1"/>
        <v>25</v>
      </c>
      <c r="E25" s="352">
        <v>7600</v>
      </c>
      <c r="F25" s="23">
        <f t="shared" si="2"/>
        <v>25</v>
      </c>
      <c r="G25" s="23"/>
      <c r="J25">
        <v>6384</v>
      </c>
      <c r="N25" s="164">
        <v>-740</v>
      </c>
    </row>
    <row r="26" spans="1:14" x14ac:dyDescent="0.15">
      <c r="A26" s="66">
        <f t="shared" si="0"/>
        <v>25</v>
      </c>
      <c r="B26" s="66" t="s">
        <v>851</v>
      </c>
      <c r="C26" s="65"/>
      <c r="D26" s="23">
        <f t="shared" si="1"/>
        <v>26</v>
      </c>
      <c r="E26" s="352">
        <v>13000</v>
      </c>
      <c r="F26" s="23">
        <f t="shared" si="2"/>
        <v>26</v>
      </c>
      <c r="G26" s="23"/>
      <c r="J26">
        <v>5700</v>
      </c>
      <c r="K26">
        <f t="shared" si="3"/>
        <v>300</v>
      </c>
      <c r="N26" s="164">
        <v>-1230</v>
      </c>
    </row>
    <row r="27" spans="1:14" x14ac:dyDescent="0.15">
      <c r="A27" s="66">
        <f t="shared" si="0"/>
        <v>26</v>
      </c>
      <c r="B27" s="66" t="s">
        <v>852</v>
      </c>
      <c r="C27" s="65"/>
      <c r="D27" s="23">
        <f t="shared" si="1"/>
        <v>27</v>
      </c>
      <c r="E27" s="350">
        <v>7100</v>
      </c>
      <c r="F27" s="23">
        <f t="shared" si="2"/>
        <v>27</v>
      </c>
      <c r="G27" s="23"/>
      <c r="J27">
        <v>5700</v>
      </c>
      <c r="K27">
        <f t="shared" si="3"/>
        <v>300</v>
      </c>
      <c r="N27" s="164">
        <v>-1600</v>
      </c>
    </row>
    <row r="28" spans="1:14" x14ac:dyDescent="0.15">
      <c r="A28" s="66">
        <f t="shared" si="0"/>
        <v>27</v>
      </c>
      <c r="B28" s="66" t="s">
        <v>853</v>
      </c>
      <c r="C28" s="65"/>
      <c r="D28" s="23">
        <f t="shared" si="1"/>
        <v>28</v>
      </c>
      <c r="E28" s="350">
        <v>9640</v>
      </c>
      <c r="F28" s="23">
        <f t="shared" si="2"/>
        <v>28</v>
      </c>
      <c r="G28" s="23"/>
      <c r="J28">
        <v>4800</v>
      </c>
      <c r="K28">
        <f t="shared" si="3"/>
        <v>1200</v>
      </c>
      <c r="N28" s="164">
        <v>480</v>
      </c>
    </row>
    <row r="29" spans="1:14" x14ac:dyDescent="0.15">
      <c r="A29" s="66">
        <f t="shared" si="0"/>
        <v>28</v>
      </c>
      <c r="B29" s="66" t="s">
        <v>1081</v>
      </c>
      <c r="C29" s="65"/>
      <c r="D29" s="23">
        <f t="shared" si="1"/>
        <v>29</v>
      </c>
      <c r="E29" s="352">
        <v>9000</v>
      </c>
      <c r="F29" s="23">
        <f t="shared" si="2"/>
        <v>29</v>
      </c>
      <c r="G29" s="23"/>
      <c r="J29">
        <v>5000</v>
      </c>
      <c r="K29">
        <f t="shared" si="3"/>
        <v>1000</v>
      </c>
      <c r="N29" s="164">
        <v>-740</v>
      </c>
    </row>
    <row r="30" spans="1:14" x14ac:dyDescent="0.15">
      <c r="A30" s="66">
        <f t="shared" si="0"/>
        <v>29</v>
      </c>
      <c r="B30" s="66" t="s">
        <v>1082</v>
      </c>
      <c r="C30" s="65"/>
      <c r="D30" s="23">
        <f t="shared" si="1"/>
        <v>30</v>
      </c>
      <c r="E30" s="352">
        <v>3000</v>
      </c>
      <c r="F30" s="23">
        <f t="shared" si="2"/>
        <v>30</v>
      </c>
      <c r="G30" s="23"/>
      <c r="J30">
        <v>5720</v>
      </c>
      <c r="K30">
        <f t="shared" si="3"/>
        <v>280</v>
      </c>
      <c r="N30" s="164">
        <v>-140</v>
      </c>
    </row>
    <row r="31" spans="1:14" x14ac:dyDescent="0.15">
      <c r="A31" s="66">
        <f t="shared" si="0"/>
        <v>30</v>
      </c>
      <c r="B31" s="66" t="s">
        <v>1083</v>
      </c>
      <c r="C31" s="65"/>
      <c r="D31" s="23">
        <f t="shared" si="1"/>
        <v>31</v>
      </c>
      <c r="E31" s="353">
        <v>8100</v>
      </c>
      <c r="F31" s="23">
        <f t="shared" si="2"/>
        <v>31</v>
      </c>
      <c r="G31" s="23"/>
      <c r="J31">
        <v>5720</v>
      </c>
      <c r="K31">
        <f t="shared" si="3"/>
        <v>280</v>
      </c>
      <c r="N31" s="164">
        <v>-740</v>
      </c>
    </row>
    <row r="32" spans="1:14" x14ac:dyDescent="0.15">
      <c r="A32" s="66">
        <f t="shared" si="0"/>
        <v>31</v>
      </c>
      <c r="B32" s="66" t="s">
        <v>1084</v>
      </c>
      <c r="C32" s="65"/>
      <c r="D32" s="23">
        <f t="shared" si="1"/>
        <v>32</v>
      </c>
      <c r="E32" s="352">
        <v>8200</v>
      </c>
      <c r="F32" s="23">
        <f t="shared" si="2"/>
        <v>32</v>
      </c>
      <c r="G32" s="23"/>
      <c r="J32">
        <v>5824</v>
      </c>
      <c r="K32">
        <f t="shared" si="3"/>
        <v>176</v>
      </c>
      <c r="N32" s="164">
        <v>-740</v>
      </c>
    </row>
    <row r="33" spans="1:14" x14ac:dyDescent="0.15">
      <c r="A33" s="66">
        <f t="shared" si="0"/>
        <v>32</v>
      </c>
      <c r="B33" s="66" t="s">
        <v>245</v>
      </c>
      <c r="C33" s="65"/>
      <c r="D33" s="23">
        <f t="shared" si="1"/>
        <v>33</v>
      </c>
      <c r="E33" s="350">
        <v>6370</v>
      </c>
      <c r="F33" s="23">
        <f t="shared" si="2"/>
        <v>33</v>
      </c>
      <c r="G33" s="23"/>
      <c r="J33">
        <v>6188</v>
      </c>
      <c r="N33" s="164">
        <v>-740</v>
      </c>
    </row>
    <row r="34" spans="1:14" x14ac:dyDescent="0.15">
      <c r="A34" s="66">
        <f t="shared" si="0"/>
        <v>33</v>
      </c>
      <c r="B34" s="66" t="s">
        <v>1450</v>
      </c>
      <c r="C34" s="65"/>
      <c r="D34" s="23">
        <f t="shared" si="1"/>
        <v>34</v>
      </c>
      <c r="E34" s="350">
        <v>14900</v>
      </c>
      <c r="F34" s="23">
        <f t="shared" si="2"/>
        <v>34</v>
      </c>
      <c r="G34" s="23"/>
      <c r="J34">
        <v>5824</v>
      </c>
      <c r="K34">
        <f t="shared" si="3"/>
        <v>176</v>
      </c>
      <c r="N34" s="164">
        <v>1700</v>
      </c>
    </row>
    <row r="35" spans="1:14" x14ac:dyDescent="0.15">
      <c r="A35" s="66">
        <f t="shared" si="0"/>
        <v>34</v>
      </c>
      <c r="B35" s="66" t="s">
        <v>571</v>
      </c>
      <c r="C35" s="65"/>
      <c r="D35" s="23">
        <f t="shared" si="1"/>
        <v>35</v>
      </c>
      <c r="E35" s="350">
        <v>8000</v>
      </c>
      <c r="F35" s="23">
        <f t="shared" si="2"/>
        <v>35</v>
      </c>
      <c r="G35" s="23"/>
      <c r="K35">
        <f t="shared" si="3"/>
        <v>6000</v>
      </c>
      <c r="N35" s="164">
        <v>-740</v>
      </c>
    </row>
    <row r="36" spans="1:14" x14ac:dyDescent="0.15">
      <c r="A36" s="66">
        <f t="shared" si="0"/>
        <v>35</v>
      </c>
      <c r="B36" s="66" t="s">
        <v>1264</v>
      </c>
      <c r="C36" s="65"/>
      <c r="D36" s="23">
        <f t="shared" si="1"/>
        <v>36</v>
      </c>
      <c r="E36" s="349">
        <v>8000</v>
      </c>
      <c r="F36" s="23">
        <f t="shared" si="2"/>
        <v>36</v>
      </c>
      <c r="G36" s="23"/>
      <c r="K36">
        <f t="shared" si="3"/>
        <v>6000</v>
      </c>
      <c r="N36" s="164">
        <v>-740</v>
      </c>
    </row>
    <row r="37" spans="1:14" x14ac:dyDescent="0.15">
      <c r="A37" s="66">
        <f t="shared" si="0"/>
        <v>36</v>
      </c>
      <c r="B37" s="66" t="s">
        <v>1553</v>
      </c>
      <c r="C37" s="65"/>
      <c r="D37" s="23">
        <f t="shared" si="1"/>
        <v>37</v>
      </c>
      <c r="E37" s="349">
        <v>8000</v>
      </c>
      <c r="F37" s="23">
        <f t="shared" si="2"/>
        <v>37</v>
      </c>
      <c r="G37" s="23"/>
      <c r="K37">
        <f t="shared" si="3"/>
        <v>6000</v>
      </c>
      <c r="N37" s="164">
        <v>-740</v>
      </c>
    </row>
    <row r="38" spans="1:14" x14ac:dyDescent="0.15">
      <c r="A38" s="66">
        <f t="shared" si="0"/>
        <v>37</v>
      </c>
      <c r="B38" s="66" t="s">
        <v>1554</v>
      </c>
      <c r="C38" s="65"/>
      <c r="D38" s="23">
        <f t="shared" si="1"/>
        <v>38</v>
      </c>
      <c r="E38" s="349">
        <v>8000</v>
      </c>
      <c r="F38" s="23">
        <f t="shared" si="2"/>
        <v>38</v>
      </c>
      <c r="G38" s="23"/>
      <c r="K38">
        <f t="shared" si="3"/>
        <v>6000</v>
      </c>
      <c r="N38" s="164">
        <v>-740</v>
      </c>
    </row>
    <row r="39" spans="1:14" x14ac:dyDescent="0.15">
      <c r="A39" s="66">
        <f t="shared" si="0"/>
        <v>38</v>
      </c>
      <c r="B39" s="66" t="s">
        <v>755</v>
      </c>
      <c r="C39" s="65"/>
      <c r="D39" s="23">
        <f t="shared" si="1"/>
        <v>39</v>
      </c>
      <c r="E39" s="349">
        <v>5900</v>
      </c>
      <c r="F39" s="23">
        <f t="shared" si="2"/>
        <v>39</v>
      </c>
      <c r="G39" s="23"/>
      <c r="K39">
        <f t="shared" si="3"/>
        <v>6000</v>
      </c>
      <c r="N39" s="164">
        <v>1700</v>
      </c>
    </row>
    <row r="40" spans="1:14" x14ac:dyDescent="0.15">
      <c r="A40" s="66">
        <f t="shared" si="0"/>
        <v>39</v>
      </c>
      <c r="B40" s="66" t="s">
        <v>894</v>
      </c>
      <c r="C40" s="65"/>
      <c r="D40" s="23">
        <f t="shared" si="1"/>
        <v>40</v>
      </c>
      <c r="E40" s="350">
        <v>15000</v>
      </c>
      <c r="F40" s="23">
        <f t="shared" si="2"/>
        <v>40</v>
      </c>
      <c r="G40" s="23"/>
      <c r="J40">
        <v>10700</v>
      </c>
      <c r="N40" s="164">
        <v>-740</v>
      </c>
    </row>
    <row r="41" spans="1:14" x14ac:dyDescent="0.15">
      <c r="A41" s="66">
        <f t="shared" si="0"/>
        <v>40</v>
      </c>
      <c r="B41" s="66" t="s">
        <v>1598</v>
      </c>
      <c r="C41" s="65"/>
      <c r="D41" s="23">
        <f t="shared" si="1"/>
        <v>41</v>
      </c>
      <c r="E41" s="352">
        <v>6730</v>
      </c>
      <c r="F41" s="23">
        <f t="shared" si="2"/>
        <v>41</v>
      </c>
      <c r="G41" s="23"/>
      <c r="J41">
        <v>11000</v>
      </c>
      <c r="N41" s="164">
        <v>-740</v>
      </c>
    </row>
    <row r="42" spans="1:14" x14ac:dyDescent="0.15">
      <c r="A42" s="66">
        <v>41</v>
      </c>
      <c r="B42" s="66" t="s">
        <v>1538</v>
      </c>
      <c r="C42" s="65"/>
      <c r="D42" s="23">
        <f t="shared" si="1"/>
        <v>42</v>
      </c>
      <c r="E42" s="349">
        <v>7800</v>
      </c>
      <c r="F42" s="23">
        <f t="shared" si="2"/>
        <v>42</v>
      </c>
      <c r="G42" s="23"/>
      <c r="J42">
        <v>9700</v>
      </c>
      <c r="N42" s="164">
        <v>-740</v>
      </c>
    </row>
    <row r="43" spans="1:14" x14ac:dyDescent="0.15">
      <c r="A43" s="66">
        <v>42</v>
      </c>
      <c r="B43" s="66" t="s">
        <v>1539</v>
      </c>
      <c r="C43" s="65"/>
      <c r="D43" s="23">
        <f t="shared" si="1"/>
        <v>43</v>
      </c>
      <c r="E43" s="350">
        <v>8520</v>
      </c>
      <c r="F43" s="23">
        <f t="shared" si="2"/>
        <v>43</v>
      </c>
      <c r="G43" s="23"/>
      <c r="J43">
        <v>6700</v>
      </c>
      <c r="N43" s="164">
        <v>1700</v>
      </c>
    </row>
    <row r="44" spans="1:14" x14ac:dyDescent="0.15">
      <c r="A44" s="66">
        <v>43</v>
      </c>
      <c r="B44" s="66" t="s">
        <v>1540</v>
      </c>
      <c r="C44" s="65"/>
      <c r="D44" s="23">
        <f t="shared" si="1"/>
        <v>44</v>
      </c>
      <c r="E44" s="350">
        <v>7070</v>
      </c>
      <c r="F44" s="23">
        <f t="shared" si="2"/>
        <v>44</v>
      </c>
      <c r="G44" s="23"/>
      <c r="J44">
        <v>8760</v>
      </c>
    </row>
    <row r="45" spans="1:14" x14ac:dyDescent="0.15">
      <c r="A45" s="66">
        <v>44</v>
      </c>
      <c r="B45" s="66" t="s">
        <v>1541</v>
      </c>
      <c r="C45" s="65"/>
      <c r="D45" s="23">
        <f t="shared" si="1"/>
        <v>45</v>
      </c>
      <c r="E45" s="350">
        <v>7330</v>
      </c>
      <c r="F45" s="23">
        <f t="shared" si="2"/>
        <v>45</v>
      </c>
      <c r="G45" s="23"/>
      <c r="J45">
        <v>8540</v>
      </c>
    </row>
    <row r="46" spans="1:14" x14ac:dyDescent="0.15">
      <c r="A46" s="66">
        <v>45</v>
      </c>
      <c r="B46" s="66" t="s">
        <v>1542</v>
      </c>
      <c r="C46" s="65"/>
      <c r="D46" s="23">
        <f t="shared" si="1"/>
        <v>46</v>
      </c>
      <c r="E46" s="349">
        <v>6000</v>
      </c>
      <c r="F46" s="23">
        <f t="shared" si="2"/>
        <v>46</v>
      </c>
      <c r="G46" s="23"/>
      <c r="J46">
        <v>6300</v>
      </c>
    </row>
    <row r="47" spans="1:14" x14ac:dyDescent="0.15">
      <c r="A47" s="66">
        <v>46</v>
      </c>
      <c r="B47" s="66" t="s">
        <v>1543</v>
      </c>
      <c r="C47" s="65"/>
      <c r="D47" s="23">
        <f t="shared" si="1"/>
        <v>47</v>
      </c>
      <c r="E47" s="349">
        <v>9840</v>
      </c>
      <c r="F47" s="23">
        <f t="shared" si="2"/>
        <v>47</v>
      </c>
      <c r="G47" s="23"/>
      <c r="J47">
        <v>6170</v>
      </c>
    </row>
    <row r="48" spans="1:14" x14ac:dyDescent="0.15">
      <c r="A48" s="66">
        <v>47</v>
      </c>
      <c r="B48" s="66" t="s">
        <v>1451</v>
      </c>
      <c r="C48" s="65"/>
      <c r="D48" s="23">
        <f t="shared" si="1"/>
        <v>48</v>
      </c>
      <c r="E48" s="351">
        <v>7000</v>
      </c>
      <c r="F48" s="23">
        <f t="shared" si="2"/>
        <v>48</v>
      </c>
      <c r="G48" s="23"/>
      <c r="J48">
        <v>6100</v>
      </c>
    </row>
    <row r="49" spans="1:11" x14ac:dyDescent="0.15">
      <c r="A49" s="66"/>
      <c r="B49" s="66"/>
      <c r="C49" s="65"/>
      <c r="D49" s="23">
        <f t="shared" si="1"/>
        <v>49</v>
      </c>
      <c r="E49" s="351">
        <v>7000</v>
      </c>
      <c r="F49" s="23">
        <f t="shared" si="2"/>
        <v>49</v>
      </c>
      <c r="G49" s="23"/>
      <c r="J49">
        <v>5000</v>
      </c>
      <c r="K49">
        <f t="shared" si="3"/>
        <v>1000</v>
      </c>
    </row>
    <row r="50" spans="1:11" x14ac:dyDescent="0.15">
      <c r="A50" s="66"/>
      <c r="B50" s="66"/>
      <c r="C50" s="65"/>
      <c r="D50" s="23">
        <f t="shared" si="1"/>
        <v>50</v>
      </c>
      <c r="E50" s="351">
        <v>8000</v>
      </c>
      <c r="F50" s="23">
        <f t="shared" si="2"/>
        <v>50</v>
      </c>
      <c r="G50" s="23"/>
      <c r="J50">
        <v>5000</v>
      </c>
      <c r="K50">
        <f t="shared" si="3"/>
        <v>1000</v>
      </c>
    </row>
    <row r="51" spans="1:11" x14ac:dyDescent="0.15">
      <c r="A51" s="66"/>
      <c r="B51" s="66"/>
      <c r="C51" s="65"/>
      <c r="D51" s="23">
        <f t="shared" si="1"/>
        <v>51</v>
      </c>
      <c r="E51" s="351">
        <v>14000</v>
      </c>
      <c r="F51" s="23">
        <f t="shared" si="2"/>
        <v>51</v>
      </c>
      <c r="G51" s="23"/>
      <c r="J51">
        <v>5000</v>
      </c>
      <c r="K51">
        <f t="shared" si="3"/>
        <v>1000</v>
      </c>
    </row>
    <row r="52" spans="1:11" x14ac:dyDescent="0.15">
      <c r="A52" s="66"/>
      <c r="B52" s="66"/>
      <c r="C52" s="65"/>
      <c r="D52" s="23">
        <f t="shared" si="1"/>
        <v>52</v>
      </c>
      <c r="E52" s="352">
        <v>8000</v>
      </c>
      <c r="F52" s="23">
        <f t="shared" si="2"/>
        <v>52</v>
      </c>
      <c r="G52" s="23"/>
      <c r="J52">
        <v>5000</v>
      </c>
      <c r="K52">
        <f t="shared" si="3"/>
        <v>1000</v>
      </c>
    </row>
    <row r="53" spans="1:11" x14ac:dyDescent="0.15">
      <c r="A53" s="66"/>
      <c r="B53" s="66"/>
      <c r="C53" s="65"/>
      <c r="D53" s="23">
        <f t="shared" si="1"/>
        <v>53</v>
      </c>
      <c r="E53" s="352">
        <v>4300</v>
      </c>
      <c r="F53" s="23">
        <f t="shared" si="2"/>
        <v>53</v>
      </c>
      <c r="G53" s="23"/>
      <c r="J53">
        <v>5600</v>
      </c>
      <c r="K53">
        <f t="shared" si="3"/>
        <v>400</v>
      </c>
    </row>
    <row r="54" spans="1:11" x14ac:dyDescent="0.15">
      <c r="A54" s="66"/>
      <c r="B54" s="66"/>
      <c r="C54" s="65"/>
      <c r="D54" s="23">
        <f t="shared" si="1"/>
        <v>54</v>
      </c>
      <c r="E54" s="352">
        <v>8000</v>
      </c>
      <c r="F54" s="23">
        <f t="shared" si="2"/>
        <v>54</v>
      </c>
      <c r="G54" s="23"/>
      <c r="J54">
        <v>5000</v>
      </c>
      <c r="K54">
        <f t="shared" si="3"/>
        <v>1000</v>
      </c>
    </row>
    <row r="55" spans="1:11" x14ac:dyDescent="0.15">
      <c r="A55" s="66"/>
      <c r="B55" s="66"/>
      <c r="C55" s="65"/>
      <c r="D55" s="23">
        <f t="shared" si="1"/>
        <v>55</v>
      </c>
      <c r="E55" s="352">
        <v>2200</v>
      </c>
      <c r="F55" s="23">
        <f t="shared" si="2"/>
        <v>55</v>
      </c>
      <c r="G55" s="23"/>
      <c r="J55">
        <v>7600</v>
      </c>
    </row>
    <row r="56" spans="1:11" x14ac:dyDescent="0.15">
      <c r="A56" s="66"/>
      <c r="B56" s="66"/>
      <c r="C56" s="65"/>
      <c r="D56" s="23">
        <f t="shared" si="1"/>
        <v>56</v>
      </c>
      <c r="E56" s="352">
        <v>4430</v>
      </c>
      <c r="F56" s="23">
        <f t="shared" si="2"/>
        <v>56</v>
      </c>
      <c r="G56" s="23"/>
      <c r="J56">
        <v>8160</v>
      </c>
    </row>
    <row r="57" spans="1:11" x14ac:dyDescent="0.15">
      <c r="A57" s="66"/>
      <c r="B57" s="66"/>
      <c r="C57" s="65"/>
      <c r="D57" s="23">
        <f t="shared" si="1"/>
        <v>57</v>
      </c>
      <c r="E57" s="350">
        <v>12000</v>
      </c>
      <c r="F57" s="23">
        <f t="shared" si="2"/>
        <v>57</v>
      </c>
      <c r="G57" s="23"/>
      <c r="J57">
        <v>5000</v>
      </c>
      <c r="K57">
        <f t="shared" si="3"/>
        <v>1000</v>
      </c>
    </row>
    <row r="58" spans="1:11" x14ac:dyDescent="0.15">
      <c r="A58" s="66"/>
      <c r="B58" s="66"/>
      <c r="C58" s="65"/>
      <c r="D58" s="23">
        <f t="shared" si="1"/>
        <v>58</v>
      </c>
      <c r="E58" s="352">
        <v>4700</v>
      </c>
      <c r="F58" s="23">
        <f t="shared" si="2"/>
        <v>58</v>
      </c>
      <c r="G58" s="23"/>
      <c r="J58">
        <v>5600</v>
      </c>
      <c r="K58">
        <f t="shared" si="3"/>
        <v>400</v>
      </c>
    </row>
    <row r="59" spans="1:11" x14ac:dyDescent="0.15">
      <c r="A59" s="66"/>
      <c r="B59" s="66"/>
      <c r="C59" s="65"/>
      <c r="D59" s="23">
        <f t="shared" si="1"/>
        <v>59</v>
      </c>
      <c r="E59" s="352">
        <v>6070</v>
      </c>
      <c r="F59" s="23">
        <f t="shared" si="2"/>
        <v>59</v>
      </c>
      <c r="G59" s="23"/>
      <c r="J59">
        <v>5500</v>
      </c>
      <c r="K59">
        <f t="shared" si="3"/>
        <v>500</v>
      </c>
    </row>
    <row r="60" spans="1:11" x14ac:dyDescent="0.15">
      <c r="A60" s="66"/>
      <c r="B60" s="66"/>
      <c r="C60" s="65"/>
      <c r="D60" s="23">
        <f t="shared" si="1"/>
        <v>60</v>
      </c>
      <c r="E60" s="352">
        <v>6650</v>
      </c>
      <c r="F60" s="23">
        <f t="shared" si="2"/>
        <v>60</v>
      </c>
      <c r="G60" s="23"/>
      <c r="J60">
        <v>5000</v>
      </c>
      <c r="K60">
        <f t="shared" si="3"/>
        <v>1000</v>
      </c>
    </row>
    <row r="61" spans="1:11" x14ac:dyDescent="0.15">
      <c r="A61" s="66"/>
      <c r="B61" s="66"/>
      <c r="C61" s="65"/>
      <c r="D61" s="23">
        <f t="shared" si="1"/>
        <v>61</v>
      </c>
      <c r="E61" s="349">
        <v>3400</v>
      </c>
      <c r="F61" s="23">
        <f t="shared" si="2"/>
        <v>61</v>
      </c>
      <c r="G61" s="23"/>
      <c r="J61">
        <v>1400</v>
      </c>
      <c r="K61">
        <f t="shared" si="3"/>
        <v>4600</v>
      </c>
    </row>
    <row r="62" spans="1:11" x14ac:dyDescent="0.15">
      <c r="A62" s="66"/>
      <c r="B62" s="66"/>
      <c r="C62" s="65"/>
      <c r="D62" s="23">
        <f t="shared" si="1"/>
        <v>62</v>
      </c>
      <c r="E62" s="351">
        <v>9000</v>
      </c>
      <c r="F62" s="23">
        <f t="shared" si="2"/>
        <v>62</v>
      </c>
      <c r="G62" s="23"/>
      <c r="J62">
        <v>1800</v>
      </c>
      <c r="K62">
        <f t="shared" si="3"/>
        <v>4200</v>
      </c>
    </row>
    <row r="63" spans="1:11" x14ac:dyDescent="0.15">
      <c r="A63" s="66"/>
      <c r="B63" s="66"/>
      <c r="C63" s="65"/>
      <c r="D63" s="23">
        <f t="shared" si="1"/>
        <v>63</v>
      </c>
      <c r="E63" s="351">
        <v>6600</v>
      </c>
      <c r="F63" s="23">
        <f t="shared" si="2"/>
        <v>63</v>
      </c>
      <c r="G63" s="23"/>
      <c r="J63">
        <v>5000</v>
      </c>
      <c r="K63">
        <f t="shared" si="3"/>
        <v>1000</v>
      </c>
    </row>
    <row r="64" spans="1:11" x14ac:dyDescent="0.15">
      <c r="A64" s="66"/>
      <c r="B64" s="66"/>
      <c r="C64" s="65"/>
      <c r="D64" s="23">
        <f t="shared" si="1"/>
        <v>64</v>
      </c>
      <c r="E64" s="349">
        <v>7500</v>
      </c>
      <c r="F64" s="23">
        <f t="shared" si="2"/>
        <v>64</v>
      </c>
      <c r="G64" s="23"/>
      <c r="J64">
        <v>5100</v>
      </c>
      <c r="K64">
        <f t="shared" si="3"/>
        <v>900</v>
      </c>
    </row>
    <row r="65" spans="1:11" x14ac:dyDescent="0.15">
      <c r="A65" s="66"/>
      <c r="B65" s="66"/>
      <c r="C65" s="65"/>
      <c r="D65" s="23">
        <f t="shared" si="1"/>
        <v>65</v>
      </c>
      <c r="E65" s="349">
        <v>8000</v>
      </c>
      <c r="F65" s="23">
        <f t="shared" si="2"/>
        <v>65</v>
      </c>
      <c r="G65" s="23"/>
      <c r="J65">
        <v>5100</v>
      </c>
      <c r="K65">
        <f t="shared" si="3"/>
        <v>900</v>
      </c>
    </row>
    <row r="66" spans="1:11" x14ac:dyDescent="0.15">
      <c r="A66" s="66"/>
      <c r="B66" s="66"/>
      <c r="C66" s="65"/>
      <c r="D66" s="23">
        <f t="shared" si="1"/>
        <v>66</v>
      </c>
      <c r="E66" s="349">
        <v>8500</v>
      </c>
      <c r="F66" s="23">
        <f t="shared" si="2"/>
        <v>66</v>
      </c>
      <c r="G66" s="23"/>
      <c r="J66">
        <v>5100</v>
      </c>
      <c r="K66">
        <f t="shared" si="3"/>
        <v>900</v>
      </c>
    </row>
    <row r="67" spans="1:11" x14ac:dyDescent="0.15">
      <c r="A67" s="66"/>
      <c r="B67" s="66"/>
      <c r="C67" s="65"/>
      <c r="D67" s="23">
        <f t="shared" ref="D67:D102" si="4">D66+1</f>
        <v>67</v>
      </c>
      <c r="E67" s="349">
        <v>8500</v>
      </c>
      <c r="F67" s="23">
        <f t="shared" ref="F67:F102" si="5">F66+1</f>
        <v>67</v>
      </c>
      <c r="G67" s="23"/>
      <c r="J67">
        <v>5100</v>
      </c>
      <c r="K67">
        <f t="shared" si="3"/>
        <v>900</v>
      </c>
    </row>
    <row r="68" spans="1:11" x14ac:dyDescent="0.15">
      <c r="A68" s="66"/>
      <c r="B68" s="66"/>
      <c r="C68" s="65"/>
      <c r="D68" s="23">
        <f t="shared" si="4"/>
        <v>68</v>
      </c>
      <c r="E68" s="350">
        <v>13000</v>
      </c>
      <c r="F68" s="23">
        <f t="shared" si="5"/>
        <v>68</v>
      </c>
      <c r="G68" s="23"/>
      <c r="J68">
        <v>5967</v>
      </c>
      <c r="K68">
        <f t="shared" si="3"/>
        <v>33</v>
      </c>
    </row>
    <row r="69" spans="1:11" x14ac:dyDescent="0.15">
      <c r="A69" s="66"/>
      <c r="B69" s="66"/>
      <c r="C69" s="65"/>
      <c r="D69" s="23">
        <f t="shared" si="4"/>
        <v>69</v>
      </c>
      <c r="E69" s="350">
        <v>2600</v>
      </c>
      <c r="F69" s="23">
        <f t="shared" si="5"/>
        <v>69</v>
      </c>
      <c r="G69" s="23"/>
      <c r="J69">
        <v>5100</v>
      </c>
      <c r="K69">
        <f t="shared" si="3"/>
        <v>900</v>
      </c>
    </row>
    <row r="70" spans="1:11" x14ac:dyDescent="0.15">
      <c r="A70" s="66"/>
      <c r="B70" s="66"/>
      <c r="C70" s="65"/>
      <c r="D70" s="23">
        <f t="shared" si="4"/>
        <v>70</v>
      </c>
      <c r="E70" s="354">
        <v>1800</v>
      </c>
      <c r="F70" s="23">
        <f t="shared" si="5"/>
        <v>70</v>
      </c>
      <c r="G70" s="23"/>
      <c r="J70">
        <v>5100</v>
      </c>
      <c r="K70">
        <f t="shared" si="3"/>
        <v>900</v>
      </c>
    </row>
    <row r="71" spans="1:11" x14ac:dyDescent="0.15">
      <c r="A71" s="66"/>
      <c r="B71" s="66"/>
      <c r="C71" s="65"/>
      <c r="D71" s="23">
        <f t="shared" si="4"/>
        <v>71</v>
      </c>
      <c r="E71" s="350">
        <v>9000</v>
      </c>
      <c r="F71" s="23">
        <f t="shared" si="5"/>
        <v>71</v>
      </c>
      <c r="G71" s="23"/>
      <c r="J71">
        <v>5100</v>
      </c>
      <c r="K71">
        <f t="shared" si="3"/>
        <v>900</v>
      </c>
    </row>
    <row r="72" spans="1:11" x14ac:dyDescent="0.15">
      <c r="A72" s="66"/>
      <c r="B72" s="66"/>
      <c r="C72" s="65"/>
      <c r="D72" s="23">
        <f t="shared" si="4"/>
        <v>72</v>
      </c>
      <c r="E72" s="348">
        <v>5100</v>
      </c>
      <c r="F72" s="23">
        <f t="shared" si="5"/>
        <v>72</v>
      </c>
      <c r="G72" s="23"/>
      <c r="J72">
        <v>6496</v>
      </c>
    </row>
    <row r="73" spans="1:11" x14ac:dyDescent="0.15">
      <c r="A73" s="66"/>
      <c r="B73" s="66"/>
      <c r="C73" s="65"/>
      <c r="D73" s="23">
        <f t="shared" si="4"/>
        <v>73</v>
      </c>
      <c r="E73" s="352">
        <v>5200</v>
      </c>
      <c r="F73" s="23">
        <f t="shared" si="5"/>
        <v>73</v>
      </c>
      <c r="G73" s="23"/>
      <c r="J73">
        <v>5200</v>
      </c>
      <c r="K73">
        <f>6000-J73</f>
        <v>800</v>
      </c>
    </row>
    <row r="74" spans="1:11" x14ac:dyDescent="0.15">
      <c r="A74" s="66"/>
      <c r="B74" s="66"/>
      <c r="C74" s="65"/>
      <c r="D74" s="23">
        <f t="shared" si="4"/>
        <v>74</v>
      </c>
      <c r="E74" s="352">
        <v>10270</v>
      </c>
      <c r="F74" s="23">
        <f t="shared" si="5"/>
        <v>74</v>
      </c>
      <c r="G74" s="23"/>
      <c r="J74">
        <v>5200</v>
      </c>
      <c r="K74">
        <f>6000-J74</f>
        <v>800</v>
      </c>
    </row>
    <row r="75" spans="1:11" x14ac:dyDescent="0.15">
      <c r="A75" s="66"/>
      <c r="B75" s="66"/>
      <c r="C75" s="65"/>
      <c r="D75" s="23">
        <f t="shared" si="4"/>
        <v>75</v>
      </c>
      <c r="E75" s="350">
        <v>9000</v>
      </c>
      <c r="F75" s="23">
        <f t="shared" si="5"/>
        <v>75</v>
      </c>
      <c r="G75" s="23"/>
    </row>
    <row r="76" spans="1:11" x14ac:dyDescent="0.15">
      <c r="A76" s="66"/>
      <c r="B76" s="66"/>
      <c r="C76" s="65"/>
      <c r="D76" s="23">
        <f t="shared" si="4"/>
        <v>76</v>
      </c>
      <c r="E76" s="350">
        <v>6020</v>
      </c>
      <c r="F76" s="23">
        <f t="shared" si="5"/>
        <v>76</v>
      </c>
      <c r="G76" s="23"/>
    </row>
    <row r="77" spans="1:11" x14ac:dyDescent="0.15">
      <c r="A77" s="66"/>
      <c r="B77" s="66"/>
      <c r="C77" s="65"/>
      <c r="D77" s="23">
        <f t="shared" si="4"/>
        <v>77</v>
      </c>
      <c r="E77" s="350">
        <v>9600</v>
      </c>
      <c r="F77" s="23">
        <f t="shared" si="5"/>
        <v>77</v>
      </c>
      <c r="G77" s="23"/>
    </row>
    <row r="78" spans="1:11" x14ac:dyDescent="0.15">
      <c r="A78" s="66"/>
      <c r="B78" s="66"/>
      <c r="C78" s="65"/>
      <c r="D78" s="23">
        <f t="shared" si="4"/>
        <v>78</v>
      </c>
      <c r="E78" s="350">
        <v>6540</v>
      </c>
      <c r="F78" s="23">
        <f t="shared" si="5"/>
        <v>78</v>
      </c>
      <c r="G78" s="23"/>
    </row>
    <row r="79" spans="1:11" x14ac:dyDescent="0.15">
      <c r="A79" s="66"/>
      <c r="B79" s="66"/>
      <c r="C79" s="65"/>
      <c r="D79" s="23">
        <f t="shared" si="4"/>
        <v>79</v>
      </c>
      <c r="E79" s="350">
        <v>8050</v>
      </c>
      <c r="F79" s="23">
        <f t="shared" si="5"/>
        <v>79</v>
      </c>
      <c r="G79" s="23"/>
      <c r="J79">
        <v>10600</v>
      </c>
    </row>
    <row r="80" spans="1:11" x14ac:dyDescent="0.15">
      <c r="A80" s="66"/>
      <c r="B80" s="66"/>
      <c r="C80" s="65"/>
      <c r="D80" s="23">
        <f t="shared" si="4"/>
        <v>80</v>
      </c>
      <c r="E80" s="350">
        <v>8350</v>
      </c>
      <c r="F80" s="23">
        <f t="shared" si="5"/>
        <v>80</v>
      </c>
      <c r="G80" s="23"/>
      <c r="J80">
        <v>11600</v>
      </c>
    </row>
    <row r="81" spans="1:12" x14ac:dyDescent="0.15">
      <c r="A81" s="66"/>
      <c r="B81" s="66"/>
      <c r="C81" s="65"/>
      <c r="D81" s="23">
        <f t="shared" si="4"/>
        <v>81</v>
      </c>
      <c r="E81" s="350">
        <v>8950</v>
      </c>
      <c r="F81" s="23">
        <f t="shared" si="5"/>
        <v>81</v>
      </c>
      <c r="G81" s="23"/>
      <c r="J81">
        <v>7100</v>
      </c>
    </row>
    <row r="82" spans="1:12" x14ac:dyDescent="0.15">
      <c r="A82" s="66"/>
      <c r="B82" s="66"/>
      <c r="C82" s="65"/>
      <c r="D82" s="23">
        <f t="shared" si="4"/>
        <v>82</v>
      </c>
      <c r="E82" s="350">
        <v>2820</v>
      </c>
      <c r="F82" s="23">
        <f t="shared" si="5"/>
        <v>82</v>
      </c>
      <c r="G82" s="23"/>
      <c r="J82">
        <v>8100</v>
      </c>
    </row>
    <row r="83" spans="1:12" x14ac:dyDescent="0.15">
      <c r="A83" s="66"/>
      <c r="B83" s="66"/>
      <c r="C83" s="65"/>
      <c r="D83" s="23">
        <f t="shared" si="4"/>
        <v>83</v>
      </c>
      <c r="E83" s="350">
        <v>2990</v>
      </c>
      <c r="F83" s="23">
        <f t="shared" si="5"/>
        <v>83</v>
      </c>
      <c r="G83" s="23"/>
    </row>
    <row r="84" spans="1:12" x14ac:dyDescent="0.15">
      <c r="A84" s="66"/>
      <c r="B84" s="66"/>
      <c r="C84" s="65"/>
      <c r="D84" s="23">
        <f t="shared" si="4"/>
        <v>84</v>
      </c>
      <c r="E84" s="350">
        <v>8650</v>
      </c>
      <c r="F84" s="23">
        <f t="shared" si="5"/>
        <v>84</v>
      </c>
      <c r="G84" s="23"/>
    </row>
    <row r="85" spans="1:12" x14ac:dyDescent="0.15">
      <c r="A85" s="66"/>
      <c r="B85" s="66"/>
      <c r="C85" s="65"/>
      <c r="D85" s="23">
        <f t="shared" si="4"/>
        <v>85</v>
      </c>
      <c r="E85" s="352">
        <v>10000</v>
      </c>
      <c r="F85" s="23">
        <f t="shared" si="5"/>
        <v>85</v>
      </c>
      <c r="G85" s="23"/>
    </row>
    <row r="86" spans="1:12" x14ac:dyDescent="0.15">
      <c r="A86" s="66"/>
      <c r="B86" s="66"/>
      <c r="C86" s="65"/>
      <c r="D86" s="23">
        <f t="shared" si="4"/>
        <v>86</v>
      </c>
      <c r="E86" s="350">
        <v>9600</v>
      </c>
      <c r="F86" s="23">
        <f t="shared" si="5"/>
        <v>86</v>
      </c>
      <c r="G86" s="23"/>
    </row>
    <row r="87" spans="1:12" x14ac:dyDescent="0.15">
      <c r="A87" s="66"/>
      <c r="B87" s="66"/>
      <c r="C87" s="65"/>
      <c r="D87" s="23">
        <f t="shared" si="4"/>
        <v>87</v>
      </c>
      <c r="E87" s="352">
        <v>2880</v>
      </c>
      <c r="F87" s="23">
        <f t="shared" si="5"/>
        <v>87</v>
      </c>
      <c r="G87" s="23"/>
      <c r="J87">
        <v>9600</v>
      </c>
    </row>
    <row r="88" spans="1:12" x14ac:dyDescent="0.15">
      <c r="A88" s="66"/>
      <c r="B88" s="66"/>
      <c r="C88" s="65"/>
      <c r="D88" s="23">
        <f t="shared" si="4"/>
        <v>88</v>
      </c>
      <c r="E88" s="352"/>
      <c r="F88" s="23">
        <f t="shared" si="5"/>
        <v>88</v>
      </c>
      <c r="G88" s="23"/>
      <c r="J88">
        <v>6300</v>
      </c>
    </row>
    <row r="89" spans="1:12" x14ac:dyDescent="0.15">
      <c r="A89" s="66"/>
      <c r="B89" s="66"/>
      <c r="C89" s="65"/>
      <c r="D89" s="23">
        <f t="shared" si="4"/>
        <v>89</v>
      </c>
      <c r="E89" s="350">
        <v>4820</v>
      </c>
      <c r="F89" s="23">
        <f t="shared" si="5"/>
        <v>89</v>
      </c>
      <c r="G89" s="23"/>
    </row>
    <row r="90" spans="1:12" x14ac:dyDescent="0.15">
      <c r="A90" s="66"/>
      <c r="B90" s="66"/>
      <c r="C90" s="65"/>
      <c r="D90" s="23">
        <f t="shared" si="4"/>
        <v>90</v>
      </c>
      <c r="E90" s="350">
        <v>7880</v>
      </c>
      <c r="F90" s="23">
        <f t="shared" si="5"/>
        <v>90</v>
      </c>
      <c r="G90" s="23"/>
      <c r="J90">
        <v>6300</v>
      </c>
    </row>
    <row r="91" spans="1:12" x14ac:dyDescent="0.15">
      <c r="A91" s="66"/>
      <c r="B91" s="66"/>
      <c r="C91" s="65"/>
      <c r="D91" s="23">
        <f t="shared" si="4"/>
        <v>91</v>
      </c>
      <c r="E91" s="350">
        <v>8100</v>
      </c>
      <c r="F91" s="23">
        <f t="shared" si="5"/>
        <v>91</v>
      </c>
      <c r="G91" s="23"/>
      <c r="J91">
        <v>6300</v>
      </c>
    </row>
    <row r="92" spans="1:12" x14ac:dyDescent="0.15">
      <c r="A92" s="66"/>
      <c r="B92" s="66"/>
      <c r="C92" s="65"/>
      <c r="D92" s="23">
        <f t="shared" si="4"/>
        <v>92</v>
      </c>
      <c r="E92" s="351">
        <v>4800</v>
      </c>
      <c r="F92" s="23">
        <f t="shared" si="5"/>
        <v>92</v>
      </c>
      <c r="G92" s="23"/>
      <c r="J92">
        <v>8100</v>
      </c>
    </row>
    <row r="93" spans="1:12" x14ac:dyDescent="0.15">
      <c r="A93" s="66"/>
      <c r="B93" s="66"/>
      <c r="C93" s="65"/>
      <c r="D93" s="23">
        <f t="shared" si="4"/>
        <v>93</v>
      </c>
      <c r="E93" s="350">
        <v>7500</v>
      </c>
      <c r="F93" s="23">
        <f t="shared" si="5"/>
        <v>93</v>
      </c>
      <c r="G93" s="23"/>
      <c r="J93">
        <v>6300</v>
      </c>
    </row>
    <row r="94" spans="1:12" x14ac:dyDescent="0.15">
      <c r="A94" s="66"/>
      <c r="B94" s="66"/>
      <c r="C94" s="65"/>
      <c r="D94" s="23">
        <f t="shared" si="4"/>
        <v>94</v>
      </c>
      <c r="E94" s="352">
        <v>8000</v>
      </c>
      <c r="F94" s="23">
        <f t="shared" si="5"/>
        <v>94</v>
      </c>
      <c r="G94" s="23"/>
      <c r="J94">
        <v>7600</v>
      </c>
    </row>
    <row r="95" spans="1:12" x14ac:dyDescent="0.15">
      <c r="A95" s="66"/>
      <c r="B95" s="66"/>
      <c r="C95" s="65"/>
      <c r="D95" s="23">
        <f t="shared" si="4"/>
        <v>95</v>
      </c>
      <c r="E95" s="348">
        <v>10000</v>
      </c>
      <c r="F95" s="23">
        <f t="shared" si="5"/>
        <v>95</v>
      </c>
      <c r="G95" s="23"/>
      <c r="K95">
        <f>SUM(K2:K94)</f>
        <v>63805</v>
      </c>
    </row>
    <row r="96" spans="1:12" x14ac:dyDescent="0.15">
      <c r="A96" s="66"/>
      <c r="B96" s="66"/>
      <c r="C96" s="65"/>
      <c r="D96" s="23">
        <f t="shared" si="4"/>
        <v>96</v>
      </c>
      <c r="E96" s="352">
        <v>6000</v>
      </c>
      <c r="F96" s="23">
        <f t="shared" si="5"/>
        <v>96</v>
      </c>
      <c r="G96" s="23"/>
      <c r="J96">
        <f>SUM(J2:J95)</f>
        <v>471573</v>
      </c>
      <c r="K96">
        <f>J96+230000+63000</f>
        <v>764573</v>
      </c>
      <c r="L96">
        <f>K96+0.15*J96</f>
        <v>835308.95</v>
      </c>
    </row>
    <row r="97" spans="1:12" x14ac:dyDescent="0.15">
      <c r="A97" s="66"/>
      <c r="B97" s="66"/>
      <c r="C97" s="65"/>
      <c r="D97" s="23">
        <f t="shared" si="4"/>
        <v>97</v>
      </c>
      <c r="E97" s="349">
        <v>8600</v>
      </c>
      <c r="F97" s="23">
        <f t="shared" si="5"/>
        <v>97</v>
      </c>
      <c r="G97" s="23"/>
      <c r="J97">
        <f>J96/70.3</f>
        <v>6708.00853485064</v>
      </c>
      <c r="K97">
        <f>K96/70.3</f>
        <v>10875.860597439545</v>
      </c>
      <c r="L97">
        <f>L96/70.3</f>
        <v>11882.06187766714</v>
      </c>
    </row>
    <row r="98" spans="1:12" x14ac:dyDescent="0.15">
      <c r="A98" s="66"/>
      <c r="B98" s="66"/>
      <c r="C98" s="65"/>
      <c r="D98" s="23">
        <f t="shared" si="4"/>
        <v>98</v>
      </c>
      <c r="E98" s="352">
        <v>8000</v>
      </c>
      <c r="F98" s="23">
        <f t="shared" si="5"/>
        <v>98</v>
      </c>
      <c r="G98" s="23"/>
    </row>
    <row r="99" spans="1:12" x14ac:dyDescent="0.15">
      <c r="A99" s="66"/>
      <c r="B99" s="66"/>
      <c r="C99" s="65"/>
      <c r="D99" s="23">
        <f t="shared" si="4"/>
        <v>99</v>
      </c>
      <c r="E99" s="350">
        <v>8000</v>
      </c>
      <c r="F99" s="23">
        <f t="shared" si="5"/>
        <v>99</v>
      </c>
      <c r="G99" s="23"/>
    </row>
    <row r="100" spans="1:12" x14ac:dyDescent="0.15">
      <c r="A100" s="66"/>
      <c r="B100" s="66"/>
      <c r="C100" s="65"/>
      <c r="D100" s="23">
        <f t="shared" si="4"/>
        <v>100</v>
      </c>
      <c r="E100" s="350">
        <v>2300</v>
      </c>
      <c r="F100" s="23">
        <f t="shared" si="5"/>
        <v>100</v>
      </c>
      <c r="G100" s="23"/>
    </row>
    <row r="101" spans="1:12" x14ac:dyDescent="0.15">
      <c r="A101" s="66"/>
      <c r="B101" s="66"/>
      <c r="C101" s="65"/>
      <c r="D101" s="23">
        <f t="shared" si="4"/>
        <v>101</v>
      </c>
      <c r="E101" s="350">
        <v>9000</v>
      </c>
      <c r="F101" s="23">
        <f t="shared" si="5"/>
        <v>101</v>
      </c>
      <c r="G101" s="23"/>
    </row>
    <row r="102" spans="1:12" x14ac:dyDescent="0.15">
      <c r="A102" s="66"/>
      <c r="B102" s="66"/>
      <c r="C102" s="65"/>
      <c r="D102" s="23">
        <f t="shared" si="4"/>
        <v>102</v>
      </c>
      <c r="E102" s="350">
        <v>9000</v>
      </c>
      <c r="F102" s="23">
        <f t="shared" si="5"/>
        <v>102</v>
      </c>
      <c r="G102" s="23"/>
    </row>
    <row r="103" spans="1:12" x14ac:dyDescent="0.15">
      <c r="A103" s="66"/>
      <c r="B103" s="66"/>
      <c r="C103" s="65"/>
      <c r="D103" s="65"/>
      <c r="E103" s="65"/>
      <c r="F103" s="23"/>
      <c r="G103" s="23"/>
    </row>
    <row r="104" spans="1:12" x14ac:dyDescent="0.15">
      <c r="A104" s="66"/>
      <c r="B104" s="66"/>
      <c r="C104" s="65"/>
      <c r="D104" s="65"/>
      <c r="E104" s="65"/>
      <c r="F104" s="23"/>
      <c r="G104" s="23"/>
    </row>
    <row r="105" spans="1:12" x14ac:dyDescent="0.15">
      <c r="A105" s="66"/>
      <c r="B105" s="66"/>
      <c r="C105" s="65"/>
      <c r="D105" s="65"/>
      <c r="E105" s="65"/>
      <c r="F105" s="23"/>
      <c r="G105" s="23"/>
    </row>
    <row r="106" spans="1:12" x14ac:dyDescent="0.15">
      <c r="A106" s="66"/>
      <c r="B106" s="66"/>
      <c r="C106" s="65"/>
      <c r="D106" s="65"/>
      <c r="E106" s="65"/>
      <c r="F106" s="23"/>
      <c r="G106" s="23"/>
    </row>
    <row r="107" spans="1:12" x14ac:dyDescent="0.15">
      <c r="A107" s="66"/>
      <c r="B107" s="66"/>
      <c r="C107" s="65"/>
      <c r="D107" s="65"/>
      <c r="E107" s="65"/>
      <c r="F107" s="23"/>
      <c r="G107" s="23"/>
    </row>
    <row r="108" spans="1:12" x14ac:dyDescent="0.15">
      <c r="A108" s="66"/>
      <c r="B108" s="66"/>
      <c r="C108" s="65"/>
      <c r="D108" s="65"/>
      <c r="E108" s="65"/>
      <c r="F108" s="23"/>
      <c r="G108" s="23"/>
    </row>
    <row r="109" spans="1:12" x14ac:dyDescent="0.15">
      <c r="A109" s="66"/>
      <c r="B109" s="66"/>
      <c r="C109" s="65"/>
      <c r="D109" s="65"/>
      <c r="E109" s="65"/>
      <c r="F109" s="23"/>
      <c r="G109" s="23"/>
    </row>
    <row r="110" spans="1:12" x14ac:dyDescent="0.15">
      <c r="A110" s="66"/>
      <c r="B110" s="66"/>
      <c r="C110" s="65"/>
      <c r="D110" s="65"/>
      <c r="E110" s="65"/>
      <c r="F110" s="23"/>
      <c r="G110" s="23"/>
    </row>
    <row r="111" spans="1:12" x14ac:dyDescent="0.15">
      <c r="A111" s="66"/>
      <c r="B111" s="66"/>
      <c r="C111" s="65"/>
      <c r="D111" s="65"/>
      <c r="E111" s="65"/>
      <c r="F111" s="23"/>
      <c r="G111" s="23"/>
    </row>
    <row r="112" spans="1:12" x14ac:dyDescent="0.15">
      <c r="A112" s="66"/>
      <c r="B112" s="66"/>
      <c r="C112" s="65"/>
      <c r="D112" s="65"/>
      <c r="E112" s="65"/>
      <c r="F112" s="23"/>
      <c r="G112" s="23"/>
    </row>
    <row r="113" spans="1:7" x14ac:dyDescent="0.15">
      <c r="A113" s="66"/>
      <c r="B113" s="66"/>
      <c r="C113" s="65"/>
      <c r="D113" s="65"/>
      <c r="E113" s="65"/>
      <c r="F113" s="23"/>
      <c r="G113" s="23"/>
    </row>
    <row r="114" spans="1:7" x14ac:dyDescent="0.15">
      <c r="A114" s="66"/>
      <c r="B114" s="66"/>
      <c r="C114" s="65"/>
      <c r="D114" s="65"/>
      <c r="E114" s="65"/>
      <c r="F114" s="23"/>
      <c r="G114" s="23"/>
    </row>
    <row r="115" spans="1:7" x14ac:dyDescent="0.15">
      <c r="A115" s="66"/>
      <c r="B115" s="66"/>
      <c r="C115" s="65"/>
      <c r="D115" s="65"/>
      <c r="E115" s="65"/>
      <c r="F115" s="23"/>
      <c r="G115" s="23"/>
    </row>
    <row r="116" spans="1:7" x14ac:dyDescent="0.15">
      <c r="A116" s="66"/>
      <c r="B116" s="66"/>
      <c r="C116" s="65"/>
      <c r="D116" s="65"/>
      <c r="E116" s="65"/>
      <c r="F116" s="23"/>
      <c r="G116" s="23"/>
    </row>
    <row r="117" spans="1:7" x14ac:dyDescent="0.15">
      <c r="A117" s="66"/>
      <c r="B117" s="66"/>
      <c r="C117" s="65"/>
      <c r="D117" s="65"/>
      <c r="E117" s="65"/>
      <c r="F117" s="23"/>
      <c r="G117" s="23"/>
    </row>
    <row r="118" spans="1:7" x14ac:dyDescent="0.15">
      <c r="A118" s="66"/>
      <c r="B118" s="66"/>
      <c r="C118" s="65"/>
      <c r="D118" s="65"/>
      <c r="E118" s="65"/>
      <c r="F118" s="23"/>
      <c r="G118" s="23"/>
    </row>
    <row r="119" spans="1:7" x14ac:dyDescent="0.15">
      <c r="A119" s="66"/>
      <c r="B119" s="66"/>
      <c r="C119" s="65"/>
      <c r="D119" s="65"/>
      <c r="E119" s="65"/>
      <c r="F119" s="23"/>
      <c r="G119" s="23"/>
    </row>
    <row r="120" spans="1:7" x14ac:dyDescent="0.15">
      <c r="A120" s="66"/>
      <c r="B120" s="66"/>
      <c r="C120" s="65"/>
      <c r="D120" s="65"/>
      <c r="E120" s="65"/>
      <c r="F120" s="23"/>
      <c r="G120" s="23"/>
    </row>
    <row r="121" spans="1:7" x14ac:dyDescent="0.15">
      <c r="A121" s="66"/>
      <c r="B121" s="66"/>
      <c r="C121" s="65"/>
      <c r="D121" s="65"/>
      <c r="E121" s="65"/>
      <c r="F121" s="23"/>
      <c r="G121" s="23"/>
    </row>
    <row r="122" spans="1:7" x14ac:dyDescent="0.15">
      <c r="A122" s="66"/>
      <c r="B122" s="66"/>
      <c r="C122" s="65"/>
      <c r="D122" s="65"/>
      <c r="E122" s="65"/>
      <c r="F122" s="23"/>
      <c r="G122" s="23"/>
    </row>
    <row r="123" spans="1:7" x14ac:dyDescent="0.15">
      <c r="A123" s="66"/>
      <c r="B123" s="66"/>
      <c r="C123" s="65"/>
      <c r="D123" s="65"/>
      <c r="E123" s="65"/>
      <c r="F123" s="23"/>
      <c r="G123" s="23"/>
    </row>
    <row r="124" spans="1:7" x14ac:dyDescent="0.15">
      <c r="A124" s="66"/>
      <c r="B124" s="66"/>
      <c r="C124" s="65"/>
      <c r="D124" s="65"/>
      <c r="E124" s="65"/>
      <c r="F124" s="23"/>
      <c r="G124" s="23"/>
    </row>
    <row r="125" spans="1:7" x14ac:dyDescent="0.15">
      <c r="A125" s="66"/>
      <c r="B125" s="66"/>
      <c r="C125" s="65"/>
      <c r="D125" s="65"/>
      <c r="E125" s="65"/>
      <c r="F125" s="23"/>
      <c r="G125" s="23"/>
    </row>
    <row r="126" spans="1:7" x14ac:dyDescent="0.15">
      <c r="A126" s="66"/>
      <c r="B126" s="66"/>
      <c r="C126" s="65"/>
      <c r="D126" s="65"/>
      <c r="E126" s="65"/>
      <c r="F126" s="23"/>
      <c r="G126" s="23"/>
    </row>
    <row r="127" spans="1:7" x14ac:dyDescent="0.15">
      <c r="A127" s="66"/>
      <c r="B127" s="66"/>
      <c r="C127" s="65"/>
      <c r="D127" s="65"/>
      <c r="E127" s="65"/>
      <c r="F127" s="23"/>
      <c r="G127" s="23"/>
    </row>
    <row r="128" spans="1:7" x14ac:dyDescent="0.15">
      <c r="A128" s="66"/>
      <c r="B128" s="66"/>
      <c r="C128" s="65"/>
      <c r="D128" s="65"/>
      <c r="E128" s="65"/>
      <c r="F128" s="23"/>
      <c r="G128" s="23"/>
    </row>
    <row r="129" spans="1:7" x14ac:dyDescent="0.15">
      <c r="A129" s="66"/>
      <c r="B129" s="66"/>
      <c r="C129" s="65"/>
      <c r="D129" s="65"/>
      <c r="E129" s="65"/>
      <c r="F129" s="23"/>
      <c r="G129" s="23"/>
    </row>
    <row r="130" spans="1:7" x14ac:dyDescent="0.15">
      <c r="A130" s="66"/>
      <c r="B130" s="66"/>
      <c r="C130" s="65"/>
      <c r="D130" s="65"/>
      <c r="E130" s="65"/>
      <c r="F130" s="23"/>
      <c r="G130" s="23"/>
    </row>
    <row r="131" spans="1:7" x14ac:dyDescent="0.15">
      <c r="A131" s="66"/>
      <c r="B131" s="66"/>
      <c r="C131" s="65"/>
      <c r="D131" s="65"/>
      <c r="E131" s="65"/>
      <c r="F131" s="23"/>
      <c r="G131" s="23"/>
    </row>
    <row r="132" spans="1:7" x14ac:dyDescent="0.15">
      <c r="A132" s="66"/>
      <c r="B132" s="66"/>
      <c r="C132" s="65"/>
      <c r="D132" s="65"/>
      <c r="E132" s="65"/>
      <c r="F132" s="23"/>
      <c r="G132" s="23"/>
    </row>
    <row r="133" spans="1:7" x14ac:dyDescent="0.15">
      <c r="A133" s="66"/>
      <c r="B133" s="66"/>
      <c r="C133" s="65"/>
      <c r="D133" s="65"/>
      <c r="E133" s="65"/>
      <c r="F133" s="23"/>
      <c r="G133" s="23"/>
    </row>
    <row r="134" spans="1:7" x14ac:dyDescent="0.15">
      <c r="A134" s="66"/>
      <c r="B134" s="66"/>
      <c r="C134" s="65"/>
      <c r="D134" s="65"/>
      <c r="E134" s="65"/>
      <c r="F134" s="23"/>
      <c r="G134" s="23"/>
    </row>
    <row r="135" spans="1:7" x14ac:dyDescent="0.15">
      <c r="A135" s="66"/>
      <c r="B135" s="66"/>
      <c r="C135" s="65"/>
      <c r="D135" s="65"/>
      <c r="E135" s="65"/>
      <c r="F135" s="23"/>
      <c r="G135" s="23"/>
    </row>
    <row r="136" spans="1:7" x14ac:dyDescent="0.15">
      <c r="A136" s="66"/>
      <c r="B136" s="66"/>
      <c r="C136" s="65"/>
      <c r="D136" s="65"/>
      <c r="E136" s="65"/>
      <c r="F136" s="23"/>
      <c r="G136" s="23"/>
    </row>
    <row r="137" spans="1:7" x14ac:dyDescent="0.15">
      <c r="A137" s="66"/>
      <c r="B137" s="66"/>
      <c r="C137" s="65"/>
      <c r="D137" s="65"/>
      <c r="E137" s="65"/>
      <c r="F137" s="23"/>
      <c r="G137" s="23"/>
    </row>
    <row r="138" spans="1:7" x14ac:dyDescent="0.15">
      <c r="A138" s="66"/>
      <c r="B138" s="66"/>
      <c r="C138" s="65"/>
      <c r="D138" s="65"/>
      <c r="E138" s="65"/>
      <c r="F138" s="23"/>
      <c r="G138" s="23"/>
    </row>
    <row r="139" spans="1:7" x14ac:dyDescent="0.15">
      <c r="A139" s="66"/>
      <c r="B139" s="66"/>
      <c r="C139" s="65"/>
      <c r="D139" s="65"/>
      <c r="E139" s="65"/>
      <c r="F139" s="23"/>
      <c r="G139" s="23"/>
    </row>
    <row r="140" spans="1:7" x14ac:dyDescent="0.15">
      <c r="A140" s="66"/>
      <c r="B140" s="66"/>
      <c r="C140" s="65"/>
      <c r="D140" s="65"/>
      <c r="E140" s="65"/>
      <c r="F140" s="23"/>
      <c r="G140" s="23"/>
    </row>
    <row r="141" spans="1:7" x14ac:dyDescent="0.15">
      <c r="A141" s="66"/>
      <c r="B141" s="66"/>
      <c r="C141" s="65"/>
      <c r="D141" s="65"/>
      <c r="E141" s="65"/>
      <c r="F141" s="23"/>
      <c r="G141" s="23"/>
    </row>
    <row r="142" spans="1:7" x14ac:dyDescent="0.15">
      <c r="A142" s="66"/>
      <c r="B142" s="66"/>
      <c r="C142" s="65"/>
      <c r="D142" s="65"/>
      <c r="E142" s="65"/>
      <c r="F142" s="23"/>
      <c r="G142" s="23"/>
    </row>
    <row r="143" spans="1:7" x14ac:dyDescent="0.15">
      <c r="A143" s="66"/>
      <c r="B143" s="66"/>
      <c r="C143" s="65"/>
      <c r="D143" s="65"/>
      <c r="E143" s="65"/>
      <c r="F143" s="23"/>
      <c r="G143" s="23"/>
    </row>
    <row r="144" spans="1:7" x14ac:dyDescent="0.15">
      <c r="A144" s="66"/>
      <c r="B144" s="66"/>
      <c r="C144" s="65"/>
      <c r="D144" s="65"/>
      <c r="E144" s="65"/>
      <c r="F144" s="23"/>
      <c r="G144" s="23"/>
    </row>
    <row r="145" spans="1:7" x14ac:dyDescent="0.15">
      <c r="A145" s="66"/>
      <c r="B145" s="66"/>
      <c r="C145" s="65"/>
      <c r="D145" s="65"/>
      <c r="E145" s="65"/>
      <c r="F145" s="23"/>
      <c r="G145" s="23"/>
    </row>
    <row r="146" spans="1:7" x14ac:dyDescent="0.15">
      <c r="A146" s="66"/>
      <c r="B146" s="66"/>
      <c r="C146" s="65"/>
      <c r="D146" s="65"/>
      <c r="E146" s="65"/>
      <c r="F146" s="23"/>
      <c r="G146" s="23"/>
    </row>
    <row r="147" spans="1:7" x14ac:dyDescent="0.15">
      <c r="A147" s="66"/>
      <c r="B147" s="66"/>
      <c r="C147" s="65"/>
      <c r="D147" s="65"/>
      <c r="E147" s="65"/>
      <c r="F147" s="23"/>
      <c r="G147" s="23"/>
    </row>
    <row r="148" spans="1:7" x14ac:dyDescent="0.15">
      <c r="A148" s="66"/>
      <c r="B148" s="66"/>
      <c r="C148" s="65"/>
      <c r="D148" s="65"/>
      <c r="E148" s="65"/>
      <c r="F148" s="23"/>
      <c r="G148" s="23"/>
    </row>
    <row r="149" spans="1:7" x14ac:dyDescent="0.15">
      <c r="A149" s="66"/>
      <c r="B149" s="66"/>
      <c r="C149" s="65"/>
      <c r="D149" s="65"/>
      <c r="E149" s="65"/>
      <c r="F149" s="23"/>
      <c r="G149" s="23"/>
    </row>
    <row r="150" spans="1:7" x14ac:dyDescent="0.15">
      <c r="A150" s="66"/>
      <c r="B150" s="66"/>
      <c r="C150" s="65"/>
      <c r="D150" s="65"/>
      <c r="E150" s="65"/>
      <c r="F150" s="23"/>
      <c r="G150" s="23"/>
    </row>
    <row r="151" spans="1:7" x14ac:dyDescent="0.15">
      <c r="A151" s="66"/>
      <c r="B151" s="66"/>
      <c r="C151" s="65"/>
      <c r="D151" s="65"/>
      <c r="E151" s="65"/>
      <c r="F151" s="23"/>
      <c r="G151" s="23"/>
    </row>
    <row r="152" spans="1:7" x14ac:dyDescent="0.15">
      <c r="A152" s="66"/>
      <c r="B152" s="66"/>
      <c r="C152" s="65"/>
      <c r="D152" s="65"/>
      <c r="E152" s="65"/>
      <c r="F152" s="23"/>
      <c r="G152" s="23"/>
    </row>
    <row r="153" spans="1:7" x14ac:dyDescent="0.15">
      <c r="A153" s="66"/>
      <c r="B153" s="66"/>
      <c r="C153" s="65"/>
      <c r="D153" s="65"/>
      <c r="E153" s="65"/>
      <c r="F153" s="23"/>
      <c r="G153" s="23"/>
    </row>
    <row r="154" spans="1:7" x14ac:dyDescent="0.15">
      <c r="A154" s="66"/>
      <c r="B154" s="66"/>
      <c r="C154" s="65"/>
      <c r="D154" s="65"/>
      <c r="E154" s="65"/>
      <c r="F154" s="23"/>
      <c r="G154" s="23"/>
    </row>
    <row r="155" spans="1:7" x14ac:dyDescent="0.15">
      <c r="A155" s="66"/>
      <c r="B155" s="66"/>
      <c r="C155" s="65"/>
      <c r="D155" s="65"/>
      <c r="E155" s="65"/>
      <c r="F155" s="23"/>
      <c r="G155" s="23"/>
    </row>
    <row r="156" spans="1:7" x14ac:dyDescent="0.15">
      <c r="A156" s="66"/>
      <c r="B156" s="66"/>
      <c r="C156" s="65"/>
      <c r="D156" s="65"/>
      <c r="E156" s="65"/>
      <c r="F156" s="23"/>
      <c r="G156" s="23"/>
    </row>
    <row r="157" spans="1:7" x14ac:dyDescent="0.15">
      <c r="A157" s="66"/>
      <c r="B157" s="66"/>
      <c r="C157" s="65"/>
      <c r="D157" s="65"/>
      <c r="E157" s="65"/>
      <c r="F157" s="23"/>
      <c r="G157" s="23"/>
    </row>
    <row r="158" spans="1:7" x14ac:dyDescent="0.15">
      <c r="A158" s="66"/>
      <c r="B158" s="66"/>
      <c r="C158" s="65"/>
      <c r="D158" s="65"/>
      <c r="E158" s="65"/>
      <c r="F158" s="23"/>
      <c r="G158" s="23"/>
    </row>
    <row r="159" spans="1:7" x14ac:dyDescent="0.15">
      <c r="A159" s="66"/>
      <c r="B159" s="66"/>
      <c r="C159" s="65"/>
      <c r="D159" s="65"/>
      <c r="E159" s="65"/>
      <c r="F159" s="23"/>
      <c r="G159" s="23"/>
    </row>
    <row r="160" spans="1:7" x14ac:dyDescent="0.15">
      <c r="A160" s="66"/>
      <c r="B160" s="66"/>
      <c r="C160" s="65"/>
      <c r="D160" s="65"/>
      <c r="E160" s="65"/>
      <c r="F160" s="23"/>
      <c r="G160" s="23"/>
    </row>
    <row r="161" spans="1:7" x14ac:dyDescent="0.15">
      <c r="A161" s="66"/>
      <c r="B161" s="66"/>
      <c r="C161" s="65"/>
      <c r="D161" s="65"/>
      <c r="E161" s="65"/>
      <c r="F161" s="23"/>
      <c r="G161" s="23"/>
    </row>
    <row r="162" spans="1:7" x14ac:dyDescent="0.15">
      <c r="A162" s="66"/>
      <c r="B162" s="66"/>
      <c r="C162" s="65"/>
      <c r="D162" s="65"/>
      <c r="E162" s="65"/>
      <c r="F162" s="23"/>
      <c r="G162" s="23"/>
    </row>
    <row r="163" spans="1:7" x14ac:dyDescent="0.15">
      <c r="A163" s="66"/>
      <c r="B163" s="66"/>
      <c r="C163" s="65"/>
      <c r="D163" s="65"/>
      <c r="E163" s="65"/>
      <c r="F163" s="23"/>
      <c r="G163" s="23"/>
    </row>
    <row r="164" spans="1:7" x14ac:dyDescent="0.15">
      <c r="A164" s="66"/>
      <c r="B164" s="66"/>
      <c r="C164" s="65"/>
      <c r="D164" s="65"/>
      <c r="E164" s="65"/>
      <c r="F164" s="23"/>
      <c r="G164" s="23"/>
    </row>
    <row r="165" spans="1:7" x14ac:dyDescent="0.15">
      <c r="A165" s="66"/>
      <c r="B165" s="66"/>
      <c r="C165" s="65"/>
      <c r="D165" s="65"/>
      <c r="E165" s="65"/>
      <c r="F165" s="23"/>
      <c r="G165" s="23"/>
    </row>
    <row r="166" spans="1:7" x14ac:dyDescent="0.15">
      <c r="A166" s="66"/>
      <c r="B166" s="66"/>
      <c r="C166" s="65"/>
      <c r="D166" s="65"/>
      <c r="E166" s="65"/>
      <c r="F166" s="23"/>
      <c r="G166" s="23"/>
    </row>
    <row r="167" spans="1:7" x14ac:dyDescent="0.15">
      <c r="A167" s="66"/>
      <c r="B167" s="66"/>
      <c r="C167" s="65"/>
      <c r="D167" s="65"/>
      <c r="E167" s="65"/>
      <c r="F167" s="23"/>
      <c r="G167" s="23"/>
    </row>
    <row r="168" spans="1:7" x14ac:dyDescent="0.15">
      <c r="A168" s="66"/>
      <c r="B168" s="66"/>
      <c r="C168" s="65"/>
      <c r="D168" s="65"/>
      <c r="E168" s="65"/>
      <c r="F168" s="23"/>
      <c r="G168" s="23"/>
    </row>
    <row r="169" spans="1:7" x14ac:dyDescent="0.15">
      <c r="A169" s="66"/>
      <c r="B169" s="66"/>
      <c r="C169" s="65"/>
      <c r="D169" s="65"/>
      <c r="E169" s="65"/>
      <c r="F169" s="23"/>
      <c r="G169" s="23"/>
    </row>
    <row r="170" spans="1:7" x14ac:dyDescent="0.15">
      <c r="A170" s="66"/>
      <c r="B170" s="66"/>
      <c r="C170" s="65"/>
      <c r="D170" s="65"/>
      <c r="E170" s="65"/>
      <c r="F170" s="23"/>
      <c r="G170" s="23"/>
    </row>
    <row r="171" spans="1:7" x14ac:dyDescent="0.15">
      <c r="A171" s="66"/>
      <c r="B171" s="66"/>
      <c r="C171" s="65"/>
      <c r="D171" s="65"/>
      <c r="E171" s="65"/>
      <c r="F171" s="23"/>
      <c r="G171" s="23"/>
    </row>
    <row r="172" spans="1:7" x14ac:dyDescent="0.15">
      <c r="A172" s="66"/>
      <c r="B172" s="66"/>
      <c r="C172" s="65"/>
      <c r="D172" s="65"/>
      <c r="E172" s="65"/>
      <c r="F172" s="23"/>
      <c r="G172" s="23"/>
    </row>
    <row r="173" spans="1:7" x14ac:dyDescent="0.15">
      <c r="A173" s="66"/>
      <c r="B173" s="66"/>
      <c r="C173" s="65"/>
      <c r="D173" s="65"/>
      <c r="E173" s="65"/>
      <c r="F173" s="23"/>
      <c r="G173" s="23"/>
    </row>
    <row r="174" spans="1:7" x14ac:dyDescent="0.15">
      <c r="A174" s="66"/>
      <c r="B174" s="66"/>
      <c r="C174" s="65"/>
      <c r="D174" s="65"/>
      <c r="E174" s="65"/>
      <c r="F174" s="23"/>
      <c r="G174" s="23"/>
    </row>
    <row r="175" spans="1:7" x14ac:dyDescent="0.15">
      <c r="A175" s="66"/>
      <c r="B175" s="66"/>
      <c r="C175" s="65"/>
      <c r="D175" s="65"/>
      <c r="E175" s="65"/>
      <c r="F175" s="23"/>
      <c r="G175" s="23"/>
    </row>
    <row r="176" spans="1:7" x14ac:dyDescent="0.15">
      <c r="A176" s="66"/>
      <c r="B176" s="66"/>
      <c r="C176" s="65"/>
      <c r="D176" s="65"/>
      <c r="E176" s="65"/>
      <c r="F176" s="23"/>
      <c r="G176" s="23"/>
    </row>
    <row r="177" spans="1:7" x14ac:dyDescent="0.15">
      <c r="A177" s="66"/>
      <c r="B177" s="66"/>
      <c r="C177" s="65"/>
      <c r="D177" s="65"/>
      <c r="E177" s="65"/>
      <c r="F177" s="23"/>
      <c r="G177" s="23"/>
    </row>
    <row r="178" spans="1:7" x14ac:dyDescent="0.15">
      <c r="A178" s="66"/>
      <c r="B178" s="66"/>
      <c r="C178" s="65"/>
      <c r="D178" s="65"/>
      <c r="E178" s="65"/>
      <c r="F178" s="23"/>
      <c r="G178" s="23"/>
    </row>
    <row r="179" spans="1:7" x14ac:dyDescent="0.15">
      <c r="A179" s="66"/>
      <c r="B179" s="66"/>
      <c r="C179" s="65"/>
      <c r="D179" s="65"/>
      <c r="E179" s="65"/>
      <c r="F179" s="23"/>
      <c r="G179" s="23"/>
    </row>
    <row r="180" spans="1:7" x14ac:dyDescent="0.15">
      <c r="A180" s="66"/>
      <c r="B180" s="66"/>
      <c r="C180" s="65"/>
      <c r="D180" s="65"/>
      <c r="E180" s="65"/>
      <c r="F180" s="23"/>
      <c r="G180" s="23"/>
    </row>
    <row r="181" spans="1:7" x14ac:dyDescent="0.15">
      <c r="A181" s="66"/>
      <c r="B181" s="66"/>
      <c r="C181" s="65"/>
      <c r="D181" s="65"/>
      <c r="E181" s="65"/>
      <c r="F181" s="23"/>
      <c r="G181" s="23"/>
    </row>
    <row r="182" spans="1:7" x14ac:dyDescent="0.15">
      <c r="A182" s="66"/>
      <c r="B182" s="66"/>
      <c r="C182" s="65"/>
      <c r="D182" s="65"/>
      <c r="E182" s="65"/>
      <c r="F182" s="23"/>
      <c r="G182" s="23"/>
    </row>
    <row r="183" spans="1:7" x14ac:dyDescent="0.15">
      <c r="A183" s="66"/>
      <c r="B183" s="66"/>
      <c r="C183" s="65"/>
      <c r="D183" s="65"/>
      <c r="E183" s="65"/>
      <c r="F183" s="23"/>
      <c r="G183" s="23"/>
    </row>
    <row r="184" spans="1:7" x14ac:dyDescent="0.15">
      <c r="A184" s="66"/>
      <c r="B184" s="66"/>
      <c r="C184" s="65"/>
      <c r="D184" s="65"/>
      <c r="E184" s="65"/>
      <c r="F184" s="23"/>
      <c r="G184" s="23"/>
    </row>
    <row r="185" spans="1:7" x14ac:dyDescent="0.15">
      <c r="A185" s="66"/>
      <c r="B185" s="66"/>
      <c r="C185" s="65"/>
      <c r="D185" s="65"/>
      <c r="E185" s="65"/>
      <c r="F185" s="23"/>
      <c r="G185" s="23"/>
    </row>
    <row r="186" spans="1:7" x14ac:dyDescent="0.15">
      <c r="A186" s="66"/>
      <c r="B186" s="66"/>
      <c r="C186" s="65"/>
      <c r="D186" s="65"/>
      <c r="E186" s="65"/>
      <c r="F186" s="23"/>
      <c r="G186" s="23"/>
    </row>
    <row r="187" spans="1:7" x14ac:dyDescent="0.15">
      <c r="A187" s="66"/>
      <c r="B187" s="66"/>
      <c r="C187" s="65"/>
      <c r="D187" s="65"/>
      <c r="E187" s="65"/>
      <c r="F187" s="23"/>
      <c r="G187" s="23"/>
    </row>
    <row r="188" spans="1:7" x14ac:dyDescent="0.15">
      <c r="A188" s="66"/>
      <c r="B188" s="66"/>
      <c r="C188" s="65"/>
      <c r="D188" s="65"/>
      <c r="E188" s="65"/>
      <c r="F188" s="23"/>
      <c r="G188" s="23"/>
    </row>
    <row r="189" spans="1:7" x14ac:dyDescent="0.15">
      <c r="A189" s="66"/>
      <c r="B189" s="66"/>
      <c r="C189" s="65"/>
      <c r="D189" s="65"/>
      <c r="E189" s="65"/>
      <c r="F189" s="23"/>
      <c r="G189" s="23"/>
    </row>
    <row r="190" spans="1:7" x14ac:dyDescent="0.15">
      <c r="A190" s="66"/>
      <c r="B190" s="66"/>
      <c r="C190" s="65"/>
      <c r="D190" s="65"/>
      <c r="E190" s="65"/>
      <c r="F190" s="23"/>
      <c r="G190" s="23"/>
    </row>
    <row r="191" spans="1:7" x14ac:dyDescent="0.15">
      <c r="A191" s="66"/>
      <c r="B191" s="66"/>
      <c r="C191" s="65"/>
      <c r="D191" s="65"/>
      <c r="E191" s="65"/>
      <c r="F191" s="23"/>
      <c r="G191" s="23"/>
    </row>
    <row r="192" spans="1:7" x14ac:dyDescent="0.15">
      <c r="A192" s="66"/>
      <c r="B192" s="66"/>
      <c r="C192" s="65"/>
      <c r="D192" s="65"/>
      <c r="E192" s="65"/>
      <c r="F192" s="23"/>
      <c r="G192" s="23"/>
    </row>
    <row r="193" spans="1:7" x14ac:dyDescent="0.15">
      <c r="A193" s="66"/>
      <c r="B193" s="66"/>
      <c r="C193" s="65"/>
      <c r="D193" s="65"/>
      <c r="E193" s="65"/>
      <c r="F193" s="23"/>
      <c r="G193" s="23"/>
    </row>
    <row r="194" spans="1:7" x14ac:dyDescent="0.15">
      <c r="A194" s="66"/>
      <c r="B194" s="66"/>
      <c r="C194" s="65"/>
      <c r="D194" s="65"/>
      <c r="E194" s="65"/>
      <c r="F194" s="23"/>
      <c r="G194" s="23"/>
    </row>
    <row r="195" spans="1:7" x14ac:dyDescent="0.15">
      <c r="A195" s="66"/>
      <c r="B195" s="66"/>
      <c r="C195" s="65"/>
      <c r="D195" s="65"/>
      <c r="E195" s="65"/>
      <c r="F195" s="23"/>
      <c r="G195" s="23"/>
    </row>
    <row r="196" spans="1:7" x14ac:dyDescent="0.15">
      <c r="A196" s="66"/>
      <c r="B196" s="66"/>
      <c r="C196" s="65"/>
      <c r="D196" s="65"/>
      <c r="E196" s="65"/>
      <c r="F196" s="23"/>
      <c r="G196" s="23"/>
    </row>
    <row r="197" spans="1:7" x14ac:dyDescent="0.15">
      <c r="A197" s="66"/>
      <c r="B197" s="66"/>
      <c r="C197" s="65"/>
      <c r="D197" s="65"/>
      <c r="E197" s="65"/>
      <c r="F197" s="23"/>
      <c r="G197" s="23"/>
    </row>
    <row r="198" spans="1:7" x14ac:dyDescent="0.15">
      <c r="A198" s="66"/>
      <c r="B198" s="66"/>
      <c r="C198" s="65"/>
      <c r="D198" s="65"/>
      <c r="E198" s="65"/>
      <c r="F198" s="23"/>
      <c r="G198" s="23"/>
    </row>
    <row r="199" spans="1:7" x14ac:dyDescent="0.15">
      <c r="A199" s="66"/>
      <c r="B199" s="66"/>
      <c r="C199" s="65"/>
      <c r="D199" s="65"/>
      <c r="E199" s="65"/>
      <c r="F199" s="23"/>
      <c r="G199" s="23"/>
    </row>
    <row r="200" spans="1:7" x14ac:dyDescent="0.15">
      <c r="A200" s="66"/>
      <c r="B200" s="66"/>
      <c r="C200" s="65"/>
      <c r="D200" s="65"/>
      <c r="E200" s="65"/>
      <c r="F200" s="23"/>
      <c r="G200" s="23"/>
    </row>
    <row r="201" spans="1:7" x14ac:dyDescent="0.15">
      <c r="A201" s="66"/>
      <c r="B201" s="66"/>
      <c r="C201" s="65"/>
      <c r="D201" s="65"/>
      <c r="E201" s="65"/>
      <c r="F201" s="23"/>
      <c r="G201" s="23"/>
    </row>
    <row r="202" spans="1:7" x14ac:dyDescent="0.15">
      <c r="A202" s="66"/>
      <c r="B202" s="66"/>
      <c r="C202" s="65"/>
      <c r="D202" s="65"/>
      <c r="E202" s="65"/>
      <c r="F202" s="23"/>
      <c r="G202" s="23"/>
    </row>
    <row r="203" spans="1:7" x14ac:dyDescent="0.15">
      <c r="A203" s="66"/>
      <c r="B203" s="66"/>
      <c r="C203" s="65"/>
      <c r="D203" s="65"/>
      <c r="E203" s="65"/>
      <c r="F203" s="23"/>
      <c r="G203" s="23"/>
    </row>
    <row r="204" spans="1:7" x14ac:dyDescent="0.15">
      <c r="A204" s="66"/>
      <c r="B204" s="66"/>
      <c r="C204" s="65"/>
      <c r="D204" s="65"/>
      <c r="E204" s="65"/>
      <c r="F204" s="23"/>
      <c r="G204" s="23"/>
    </row>
    <row r="205" spans="1:7" x14ac:dyDescent="0.15">
      <c r="A205" s="66"/>
      <c r="B205" s="66"/>
      <c r="C205" s="65"/>
      <c r="D205" s="65"/>
      <c r="E205" s="65"/>
      <c r="F205" s="23"/>
      <c r="G205" s="23"/>
    </row>
    <row r="206" spans="1:7" x14ac:dyDescent="0.15">
      <c r="A206" s="66"/>
      <c r="B206" s="66"/>
      <c r="C206" s="65"/>
      <c r="D206" s="65"/>
      <c r="E206" s="65"/>
      <c r="F206" s="23"/>
      <c r="G206" s="23"/>
    </row>
    <row r="207" spans="1:7" x14ac:dyDescent="0.15">
      <c r="A207" s="66"/>
      <c r="B207" s="66"/>
      <c r="C207" s="65"/>
      <c r="D207" s="65"/>
      <c r="E207" s="65"/>
      <c r="F207" s="23"/>
      <c r="G207" s="23"/>
    </row>
    <row r="208" spans="1:7" x14ac:dyDescent="0.15">
      <c r="A208" s="66"/>
      <c r="B208" s="66"/>
      <c r="C208" s="65"/>
      <c r="D208" s="65"/>
      <c r="E208" s="65"/>
      <c r="F208" s="23"/>
      <c r="G208" s="23"/>
    </row>
    <row r="209" spans="1:7" x14ac:dyDescent="0.15">
      <c r="A209" s="66"/>
      <c r="B209" s="66"/>
      <c r="C209" s="65"/>
      <c r="D209" s="65"/>
      <c r="E209" s="65"/>
      <c r="F209" s="23"/>
      <c r="G209" s="23"/>
    </row>
    <row r="210" spans="1:7" x14ac:dyDescent="0.15">
      <c r="A210" s="66"/>
      <c r="B210" s="66"/>
      <c r="C210" s="65"/>
      <c r="D210" s="65"/>
      <c r="E210" s="65"/>
      <c r="F210" s="23"/>
      <c r="G210" s="23"/>
    </row>
    <row r="211" spans="1:7" x14ac:dyDescent="0.15">
      <c r="A211" s="66"/>
      <c r="B211" s="66"/>
      <c r="C211" s="65"/>
      <c r="D211" s="65"/>
      <c r="E211" s="65"/>
      <c r="F211" s="23"/>
      <c r="G211" s="23"/>
    </row>
    <row r="212" spans="1:7" x14ac:dyDescent="0.15">
      <c r="A212" s="66"/>
      <c r="B212" s="66"/>
      <c r="C212" s="65"/>
      <c r="D212" s="65"/>
      <c r="E212" s="65"/>
      <c r="F212" s="23"/>
      <c r="G212" s="23"/>
    </row>
    <row r="213" spans="1:7" x14ac:dyDescent="0.15">
      <c r="A213" s="66"/>
      <c r="B213" s="66"/>
      <c r="C213" s="65"/>
      <c r="D213" s="65"/>
      <c r="E213" s="65"/>
      <c r="F213" s="23"/>
      <c r="G213" s="23"/>
    </row>
    <row r="214" spans="1:7" x14ac:dyDescent="0.15">
      <c r="A214" s="66"/>
      <c r="B214" s="66"/>
      <c r="C214" s="65"/>
      <c r="D214" s="65"/>
      <c r="E214" s="65"/>
      <c r="F214" s="23"/>
      <c r="G214" s="23"/>
    </row>
    <row r="215" spans="1:7" x14ac:dyDescent="0.15">
      <c r="A215" s="66"/>
      <c r="B215" s="66"/>
      <c r="C215" s="65"/>
      <c r="D215" s="65"/>
      <c r="E215" s="65"/>
      <c r="F215" s="23"/>
      <c r="G215" s="23"/>
    </row>
    <row r="216" spans="1:7" x14ac:dyDescent="0.15">
      <c r="A216" s="66"/>
      <c r="B216" s="66"/>
      <c r="C216" s="65"/>
      <c r="D216" s="65"/>
      <c r="E216" s="65"/>
      <c r="F216" s="23"/>
      <c r="G216" s="23"/>
    </row>
    <row r="217" spans="1:7" x14ac:dyDescent="0.15">
      <c r="A217" s="66"/>
      <c r="B217" s="66"/>
      <c r="C217" s="65"/>
      <c r="D217" s="65"/>
      <c r="E217" s="65"/>
      <c r="F217" s="23"/>
      <c r="G217" s="23"/>
    </row>
    <row r="218" spans="1:7" x14ac:dyDescent="0.15">
      <c r="A218" s="66"/>
      <c r="B218" s="66"/>
      <c r="C218" s="65"/>
      <c r="D218" s="65"/>
      <c r="E218" s="65"/>
      <c r="F218" s="23"/>
      <c r="G218" s="23"/>
    </row>
    <row r="219" spans="1:7" x14ac:dyDescent="0.15">
      <c r="A219" s="66"/>
      <c r="B219" s="66"/>
      <c r="C219" s="65"/>
      <c r="D219" s="65"/>
      <c r="E219" s="65"/>
      <c r="F219" s="23"/>
      <c r="G219" s="23"/>
    </row>
    <row r="220" spans="1:7" x14ac:dyDescent="0.15">
      <c r="A220" s="66"/>
      <c r="B220" s="66"/>
      <c r="C220" s="65"/>
      <c r="D220" s="65"/>
      <c r="E220" s="65"/>
      <c r="F220" s="23"/>
      <c r="G220" s="23"/>
    </row>
    <row r="221" spans="1:7" x14ac:dyDescent="0.15">
      <c r="A221" s="66"/>
      <c r="B221" s="66"/>
      <c r="C221" s="65"/>
      <c r="D221" s="65"/>
      <c r="E221" s="65"/>
      <c r="F221" s="23"/>
      <c r="G221" s="23"/>
    </row>
    <row r="222" spans="1:7" x14ac:dyDescent="0.15">
      <c r="A222" s="66"/>
      <c r="B222" s="66"/>
      <c r="C222" s="65"/>
      <c r="D222" s="65"/>
      <c r="E222" s="65"/>
      <c r="F222" s="23"/>
      <c r="G222" s="23"/>
    </row>
    <row r="223" spans="1:7" x14ac:dyDescent="0.15">
      <c r="A223" s="66"/>
      <c r="B223" s="66"/>
      <c r="C223" s="65"/>
      <c r="D223" s="65"/>
      <c r="E223" s="65"/>
      <c r="F223" s="23"/>
      <c r="G223" s="23"/>
    </row>
    <row r="224" spans="1:7" x14ac:dyDescent="0.15">
      <c r="A224" s="66"/>
      <c r="B224" s="66"/>
      <c r="C224" s="65"/>
      <c r="D224" s="65"/>
      <c r="E224" s="65"/>
      <c r="F224" s="23"/>
      <c r="G224" s="23"/>
    </row>
    <row r="225" spans="1:7" x14ac:dyDescent="0.15">
      <c r="A225" s="66"/>
      <c r="B225" s="66"/>
      <c r="C225" s="65"/>
      <c r="D225" s="65"/>
      <c r="E225" s="65"/>
      <c r="F225" s="23"/>
      <c r="G225" s="23"/>
    </row>
    <row r="226" spans="1:7" x14ac:dyDescent="0.15">
      <c r="A226" s="66"/>
      <c r="B226" s="66"/>
      <c r="C226" s="65"/>
      <c r="D226" s="65"/>
      <c r="E226" s="65"/>
      <c r="F226" s="23"/>
      <c r="G226" s="23"/>
    </row>
    <row r="227" spans="1:7" x14ac:dyDescent="0.15">
      <c r="A227" s="66"/>
      <c r="B227" s="66"/>
      <c r="C227" s="65"/>
      <c r="D227" s="65"/>
      <c r="E227" s="65"/>
      <c r="F227" s="23"/>
      <c r="G227" s="23"/>
    </row>
    <row r="228" spans="1:7" x14ac:dyDescent="0.15">
      <c r="A228" s="66"/>
      <c r="B228" s="66"/>
      <c r="C228" s="65"/>
      <c r="D228" s="65"/>
      <c r="E228" s="65"/>
      <c r="F228" s="23"/>
      <c r="G228" s="23"/>
    </row>
    <row r="229" spans="1:7" x14ac:dyDescent="0.15">
      <c r="A229" s="66"/>
      <c r="B229" s="66"/>
      <c r="C229" s="65"/>
      <c r="D229" s="65"/>
      <c r="E229" s="65"/>
      <c r="F229" s="23"/>
      <c r="G229" s="23"/>
    </row>
    <row r="230" spans="1:7" x14ac:dyDescent="0.15">
      <c r="A230" s="66"/>
      <c r="B230" s="66"/>
      <c r="C230" s="65"/>
      <c r="D230" s="65"/>
      <c r="E230" s="65"/>
      <c r="F230" s="23"/>
      <c r="G230" s="23"/>
    </row>
    <row r="231" spans="1:7" x14ac:dyDescent="0.15">
      <c r="A231" s="66"/>
      <c r="B231" s="66"/>
      <c r="C231" s="65"/>
      <c r="D231" s="65"/>
      <c r="E231" s="65"/>
      <c r="F231" s="23"/>
      <c r="G231" s="23"/>
    </row>
    <row r="232" spans="1:7" x14ac:dyDescent="0.15">
      <c r="A232" s="66"/>
      <c r="B232" s="66"/>
      <c r="C232" s="65"/>
      <c r="D232" s="65"/>
      <c r="E232" s="65"/>
      <c r="F232" s="23"/>
      <c r="G232" s="23"/>
    </row>
    <row r="233" spans="1:7" x14ac:dyDescent="0.15">
      <c r="A233" s="66"/>
      <c r="B233" s="66"/>
      <c r="C233" s="65"/>
      <c r="D233" s="65"/>
      <c r="E233" s="65"/>
      <c r="F233" s="23"/>
      <c r="G233" s="23"/>
    </row>
    <row r="234" spans="1:7" x14ac:dyDescent="0.15">
      <c r="A234" s="66"/>
      <c r="B234" s="66"/>
      <c r="C234" s="65"/>
      <c r="D234" s="65"/>
      <c r="E234" s="65"/>
      <c r="F234" s="23"/>
      <c r="G234" s="23"/>
    </row>
    <row r="235" spans="1:7" x14ac:dyDescent="0.15">
      <c r="A235" s="66"/>
      <c r="B235" s="66"/>
      <c r="C235" s="65"/>
      <c r="D235" s="65"/>
      <c r="E235" s="65"/>
      <c r="F235" s="23"/>
      <c r="G235" s="23"/>
    </row>
    <row r="236" spans="1:7" x14ac:dyDescent="0.15">
      <c r="A236" s="66"/>
      <c r="B236" s="66"/>
      <c r="C236" s="65"/>
      <c r="D236" s="65"/>
      <c r="E236" s="65"/>
      <c r="F236" s="23"/>
      <c r="G236" s="23"/>
    </row>
    <row r="237" spans="1:7" x14ac:dyDescent="0.15">
      <c r="A237" s="66"/>
      <c r="B237" s="66"/>
      <c r="C237" s="65"/>
      <c r="D237" s="65"/>
      <c r="E237" s="65"/>
      <c r="F237" s="23"/>
      <c r="G237" s="23"/>
    </row>
    <row r="238" spans="1:7" x14ac:dyDescent="0.15">
      <c r="A238" s="66"/>
      <c r="B238" s="66"/>
      <c r="C238" s="65"/>
      <c r="D238" s="65"/>
      <c r="E238" s="65"/>
      <c r="F238" s="23"/>
      <c r="G238" s="23"/>
    </row>
    <row r="239" spans="1:7" x14ac:dyDescent="0.15">
      <c r="A239" s="66"/>
      <c r="B239" s="66"/>
      <c r="C239" s="65"/>
      <c r="D239" s="65"/>
      <c r="E239" s="65"/>
      <c r="F239" s="23"/>
      <c r="G239" s="23"/>
    </row>
    <row r="240" spans="1:7" x14ac:dyDescent="0.15">
      <c r="A240" s="66"/>
      <c r="B240" s="66"/>
      <c r="C240" s="65"/>
      <c r="D240" s="65"/>
      <c r="E240" s="65"/>
      <c r="F240" s="23"/>
      <c r="G240" s="23"/>
    </row>
    <row r="241" spans="1:7" x14ac:dyDescent="0.15">
      <c r="A241" s="66"/>
      <c r="B241" s="66"/>
      <c r="C241" s="65"/>
      <c r="D241" s="65"/>
      <c r="E241" s="65"/>
      <c r="F241" s="23"/>
      <c r="G241" s="23"/>
    </row>
    <row r="242" spans="1:7" x14ac:dyDescent="0.15">
      <c r="A242" s="66"/>
      <c r="B242" s="66"/>
      <c r="C242" s="65"/>
      <c r="D242" s="65"/>
      <c r="E242" s="65"/>
      <c r="F242" s="23"/>
      <c r="G242" s="23"/>
    </row>
    <row r="243" spans="1:7" x14ac:dyDescent="0.15">
      <c r="A243" s="66"/>
      <c r="B243" s="66"/>
      <c r="C243" s="65"/>
      <c r="D243" s="65"/>
      <c r="E243" s="65"/>
      <c r="F243" s="23"/>
      <c r="G243" s="23"/>
    </row>
    <row r="244" spans="1:7" x14ac:dyDescent="0.15">
      <c r="A244" s="66"/>
      <c r="B244" s="66"/>
      <c r="C244" s="65"/>
      <c r="D244" s="65"/>
      <c r="E244" s="65"/>
      <c r="F244" s="23"/>
      <c r="G244" s="23"/>
    </row>
    <row r="245" spans="1:7" x14ac:dyDescent="0.15">
      <c r="A245" s="66"/>
      <c r="B245" s="66"/>
      <c r="C245" s="65"/>
      <c r="D245" s="65"/>
      <c r="E245" s="65"/>
      <c r="F245" s="23"/>
      <c r="G245" s="23"/>
    </row>
    <row r="246" spans="1:7" x14ac:dyDescent="0.15">
      <c r="A246" s="66"/>
      <c r="B246" s="66"/>
      <c r="C246" s="65"/>
      <c r="D246" s="65"/>
      <c r="E246" s="65"/>
      <c r="F246" s="23"/>
      <c r="G246" s="23"/>
    </row>
    <row r="247" spans="1:7" x14ac:dyDescent="0.15">
      <c r="A247" s="66"/>
      <c r="B247" s="66"/>
      <c r="C247" s="65"/>
      <c r="D247" s="65"/>
      <c r="E247" s="65"/>
      <c r="F247" s="23"/>
      <c r="G247" s="23"/>
    </row>
    <row r="248" spans="1:7" x14ac:dyDescent="0.15">
      <c r="A248" s="66"/>
      <c r="B248" s="66"/>
      <c r="C248" s="65"/>
      <c r="D248" s="65"/>
      <c r="E248" s="65"/>
      <c r="F248" s="23"/>
      <c r="G248" s="23"/>
    </row>
    <row r="249" spans="1:7" x14ac:dyDescent="0.15">
      <c r="A249" s="66"/>
      <c r="B249" s="66"/>
      <c r="C249" s="65"/>
      <c r="D249" s="65"/>
      <c r="E249" s="65"/>
      <c r="F249" s="23"/>
      <c r="G249" s="23"/>
    </row>
    <row r="250" spans="1:7" x14ac:dyDescent="0.15">
      <c r="A250" s="66"/>
      <c r="B250" s="66"/>
      <c r="C250" s="65"/>
      <c r="D250" s="65"/>
      <c r="E250" s="65"/>
      <c r="F250" s="23"/>
      <c r="G250" s="23"/>
    </row>
    <row r="251" spans="1:7" x14ac:dyDescent="0.15">
      <c r="A251" s="66"/>
      <c r="B251" s="66"/>
      <c r="C251" s="65"/>
      <c r="D251" s="65"/>
      <c r="E251" s="65"/>
      <c r="F251" s="23"/>
      <c r="G251" s="23"/>
    </row>
    <row r="252" spans="1:7" x14ac:dyDescent="0.15">
      <c r="A252" s="66"/>
      <c r="B252" s="66"/>
      <c r="C252" s="65"/>
      <c r="D252" s="65"/>
      <c r="E252" s="65"/>
      <c r="F252" s="23"/>
      <c r="G252" s="23"/>
    </row>
    <row r="253" spans="1:7" x14ac:dyDescent="0.15">
      <c r="A253" s="66"/>
      <c r="B253" s="66"/>
      <c r="C253" s="65"/>
      <c r="D253" s="65"/>
      <c r="E253" s="65"/>
      <c r="F253" s="23"/>
      <c r="G253" s="23"/>
    </row>
    <row r="254" spans="1:7" x14ac:dyDescent="0.15">
      <c r="A254" s="66"/>
      <c r="B254" s="66"/>
      <c r="C254" s="65"/>
      <c r="D254" s="65"/>
      <c r="E254" s="65"/>
      <c r="F254" s="23"/>
      <c r="G254" s="23"/>
    </row>
    <row r="255" spans="1:7" x14ac:dyDescent="0.15">
      <c r="A255" s="66"/>
      <c r="B255" s="66"/>
      <c r="C255" s="65"/>
      <c r="D255" s="65"/>
      <c r="E255" s="65"/>
      <c r="F255" s="23"/>
      <c r="G255" s="23"/>
    </row>
    <row r="256" spans="1:7" x14ac:dyDescent="0.15">
      <c r="A256" s="66"/>
      <c r="B256" s="66"/>
      <c r="C256" s="65"/>
      <c r="D256" s="65"/>
      <c r="E256" s="65"/>
      <c r="F256" s="23"/>
      <c r="G256" s="23"/>
    </row>
    <row r="257" spans="1:7" x14ac:dyDescent="0.15">
      <c r="A257" s="66"/>
      <c r="B257" s="66"/>
      <c r="C257" s="65"/>
      <c r="D257" s="65"/>
      <c r="E257" s="65"/>
      <c r="F257" s="23"/>
      <c r="G257" s="23"/>
    </row>
    <row r="258" spans="1:7" x14ac:dyDescent="0.15">
      <c r="A258" s="66"/>
      <c r="B258" s="66"/>
      <c r="C258" s="65"/>
      <c r="D258" s="65"/>
      <c r="E258" s="65"/>
      <c r="F258" s="23"/>
      <c r="G258" s="23"/>
    </row>
    <row r="259" spans="1:7" x14ac:dyDescent="0.15">
      <c r="A259" s="66"/>
      <c r="B259" s="66"/>
      <c r="C259" s="65"/>
      <c r="D259" s="65"/>
      <c r="E259" s="65"/>
      <c r="F259" s="23"/>
      <c r="G259" s="23"/>
    </row>
    <row r="260" spans="1:7" x14ac:dyDescent="0.15">
      <c r="A260" s="66"/>
      <c r="B260" s="66"/>
      <c r="C260" s="65"/>
      <c r="D260" s="65"/>
      <c r="E260" s="65"/>
      <c r="F260" s="23"/>
      <c r="G260" s="23"/>
    </row>
    <row r="261" spans="1:7" x14ac:dyDescent="0.15">
      <c r="A261" s="66"/>
      <c r="B261" s="66"/>
      <c r="C261" s="65"/>
      <c r="D261" s="65"/>
      <c r="E261" s="65"/>
      <c r="F261" s="23"/>
      <c r="G261" s="23"/>
    </row>
    <row r="262" spans="1:7" x14ac:dyDescent="0.15">
      <c r="A262" s="66"/>
      <c r="B262" s="66"/>
      <c r="C262" s="65"/>
      <c r="D262" s="65"/>
      <c r="E262" s="65"/>
      <c r="F262" s="23"/>
      <c r="G262" s="23"/>
    </row>
    <row r="263" spans="1:7" x14ac:dyDescent="0.15">
      <c r="A263" s="66"/>
      <c r="B263" s="66"/>
      <c r="C263" s="65"/>
      <c r="D263" s="65"/>
      <c r="E263" s="65"/>
      <c r="F263" s="23"/>
      <c r="G263" s="23"/>
    </row>
    <row r="264" spans="1:7" x14ac:dyDescent="0.15">
      <c r="A264" s="66"/>
      <c r="B264" s="66"/>
      <c r="C264" s="65"/>
      <c r="D264" s="65"/>
      <c r="E264" s="65"/>
      <c r="F264" s="23"/>
      <c r="G264" s="23"/>
    </row>
    <row r="265" spans="1:7" x14ac:dyDescent="0.15">
      <c r="A265" s="66"/>
      <c r="B265" s="66"/>
      <c r="C265" s="65"/>
      <c r="D265" s="65"/>
      <c r="E265" s="65"/>
      <c r="F265" s="23"/>
      <c r="G265" s="23"/>
    </row>
    <row r="266" spans="1:7" x14ac:dyDescent="0.15">
      <c r="A266" s="66"/>
      <c r="B266" s="66"/>
      <c r="C266" s="65"/>
      <c r="D266" s="65"/>
      <c r="E266" s="65"/>
      <c r="F266" s="23"/>
      <c r="G266" s="23"/>
    </row>
    <row r="267" spans="1:7" x14ac:dyDescent="0.15">
      <c r="A267" s="66"/>
      <c r="B267" s="66"/>
      <c r="C267" s="65"/>
      <c r="D267" s="65"/>
      <c r="E267" s="65"/>
      <c r="F267" s="23"/>
      <c r="G267" s="23"/>
    </row>
    <row r="268" spans="1:7" x14ac:dyDescent="0.15">
      <c r="A268" s="66"/>
      <c r="B268" s="66"/>
      <c r="C268" s="65"/>
      <c r="D268" s="65"/>
      <c r="E268" s="65"/>
      <c r="F268" s="23"/>
      <c r="G268" s="23"/>
    </row>
    <row r="269" spans="1:7" x14ac:dyDescent="0.15">
      <c r="A269" s="66"/>
      <c r="B269" s="66"/>
      <c r="C269" s="65"/>
      <c r="D269" s="65"/>
      <c r="E269" s="65"/>
      <c r="F269" s="23"/>
      <c r="G269" s="23"/>
    </row>
    <row r="270" spans="1:7" x14ac:dyDescent="0.15">
      <c r="A270" s="66"/>
      <c r="B270" s="66"/>
      <c r="C270" s="65"/>
      <c r="D270" s="65"/>
      <c r="E270" s="65"/>
      <c r="F270" s="23"/>
      <c r="G270" s="23"/>
    </row>
    <row r="271" spans="1:7" x14ac:dyDescent="0.15">
      <c r="A271" s="66"/>
      <c r="B271" s="66"/>
      <c r="C271" s="65"/>
      <c r="D271" s="65"/>
      <c r="E271" s="65"/>
      <c r="F271" s="23"/>
      <c r="G271" s="23"/>
    </row>
    <row r="272" spans="1:7" x14ac:dyDescent="0.15">
      <c r="A272" s="66"/>
      <c r="B272" s="66"/>
      <c r="C272" s="65"/>
      <c r="D272" s="65"/>
      <c r="E272" s="65"/>
      <c r="F272" s="23"/>
      <c r="G272" s="23"/>
    </row>
    <row r="273" spans="1:7" x14ac:dyDescent="0.15">
      <c r="A273" s="66"/>
      <c r="B273" s="66"/>
      <c r="C273" s="65"/>
      <c r="D273" s="65"/>
      <c r="E273" s="65"/>
      <c r="F273" s="23"/>
      <c r="G273" s="23"/>
    </row>
    <row r="274" spans="1:7" x14ac:dyDescent="0.15">
      <c r="A274" s="66"/>
      <c r="B274" s="66"/>
      <c r="C274" s="65"/>
      <c r="D274" s="65"/>
      <c r="E274" s="65"/>
      <c r="F274" s="23"/>
      <c r="G274" s="23"/>
    </row>
    <row r="275" spans="1:7" x14ac:dyDescent="0.15">
      <c r="A275" s="66"/>
      <c r="B275" s="66"/>
      <c r="C275" s="65"/>
      <c r="D275" s="65"/>
      <c r="E275" s="65"/>
      <c r="F275" s="23"/>
      <c r="G275" s="23"/>
    </row>
    <row r="276" spans="1:7" x14ac:dyDescent="0.15">
      <c r="A276" s="66"/>
      <c r="B276" s="66"/>
      <c r="C276" s="65"/>
      <c r="D276" s="65"/>
      <c r="E276" s="65"/>
      <c r="F276" s="23"/>
      <c r="G276" s="23"/>
    </row>
    <row r="277" spans="1:7" x14ac:dyDescent="0.15">
      <c r="A277" s="66"/>
      <c r="B277" s="66"/>
      <c r="C277" s="65"/>
      <c r="D277" s="65"/>
      <c r="E277" s="65"/>
      <c r="F277" s="23"/>
      <c r="G277" s="23"/>
    </row>
    <row r="278" spans="1:7" x14ac:dyDescent="0.15">
      <c r="A278" s="66"/>
      <c r="B278" s="66"/>
      <c r="C278" s="65"/>
      <c r="D278" s="65"/>
      <c r="E278" s="65"/>
      <c r="F278" s="23"/>
      <c r="G278" s="23"/>
    </row>
    <row r="279" spans="1:7" x14ac:dyDescent="0.15">
      <c r="A279" s="66"/>
      <c r="B279" s="66"/>
      <c r="C279" s="65"/>
      <c r="D279" s="65"/>
      <c r="E279" s="65"/>
      <c r="F279" s="23"/>
      <c r="G279" s="23"/>
    </row>
    <row r="280" spans="1:7" x14ac:dyDescent="0.15">
      <c r="A280" s="66"/>
      <c r="B280" s="66"/>
      <c r="C280" s="65"/>
      <c r="D280" s="65"/>
      <c r="E280" s="65"/>
      <c r="F280" s="23"/>
      <c r="G280" s="23"/>
    </row>
    <row r="281" spans="1:7" x14ac:dyDescent="0.15">
      <c r="A281" s="66"/>
      <c r="B281" s="66"/>
      <c r="C281" s="65"/>
      <c r="D281" s="65"/>
      <c r="E281" s="65"/>
      <c r="F281" s="23"/>
      <c r="G281" s="23"/>
    </row>
    <row r="282" spans="1:7" x14ac:dyDescent="0.15">
      <c r="A282" s="66"/>
      <c r="B282" s="66"/>
      <c r="C282" s="65"/>
      <c r="D282" s="65"/>
      <c r="E282" s="65"/>
      <c r="F282" s="23"/>
      <c r="G282" s="23"/>
    </row>
    <row r="283" spans="1:7" x14ac:dyDescent="0.15">
      <c r="A283" s="66"/>
      <c r="B283" s="66"/>
      <c r="C283" s="65"/>
      <c r="D283" s="65"/>
      <c r="E283" s="65"/>
      <c r="F283" s="23"/>
      <c r="G283" s="23"/>
    </row>
    <row r="284" spans="1:7" x14ac:dyDescent="0.15">
      <c r="A284" s="66"/>
      <c r="B284" s="66"/>
      <c r="C284" s="65"/>
      <c r="D284" s="65"/>
      <c r="E284" s="65"/>
      <c r="F284" s="23"/>
      <c r="G284" s="23"/>
    </row>
    <row r="285" spans="1:7" x14ac:dyDescent="0.15">
      <c r="A285" s="66"/>
      <c r="B285" s="66"/>
      <c r="C285" s="65"/>
      <c r="D285" s="65"/>
      <c r="E285" s="65"/>
      <c r="F285" s="23"/>
      <c r="G285" s="23"/>
    </row>
    <row r="286" spans="1:7" x14ac:dyDescent="0.15">
      <c r="A286" s="66"/>
      <c r="B286" s="66"/>
      <c r="C286" s="65"/>
      <c r="D286" s="65"/>
      <c r="E286" s="65"/>
      <c r="F286" s="23"/>
      <c r="G286" s="23"/>
    </row>
    <row r="287" spans="1:7" x14ac:dyDescent="0.15">
      <c r="A287" s="66"/>
      <c r="B287" s="66"/>
      <c r="C287" s="65"/>
      <c r="D287" s="65"/>
      <c r="E287" s="65"/>
      <c r="F287" s="23"/>
      <c r="G287" s="23"/>
    </row>
    <row r="288" spans="1:7" x14ac:dyDescent="0.15">
      <c r="A288" s="66"/>
      <c r="B288" s="66"/>
      <c r="C288" s="65"/>
      <c r="D288" s="65"/>
      <c r="E288" s="65"/>
      <c r="F288" s="23"/>
      <c r="G288" s="23"/>
    </row>
    <row r="289" spans="1:7" x14ac:dyDescent="0.15">
      <c r="A289" s="66"/>
      <c r="B289" s="66"/>
      <c r="C289" s="65"/>
      <c r="D289" s="65"/>
      <c r="E289" s="65"/>
      <c r="F289" s="23"/>
      <c r="G289" s="23"/>
    </row>
    <row r="290" spans="1:7" x14ac:dyDescent="0.15">
      <c r="A290" s="66"/>
      <c r="B290" s="66"/>
      <c r="C290" s="65"/>
      <c r="D290" s="65"/>
      <c r="E290" s="65"/>
      <c r="F290" s="23"/>
      <c r="G290" s="23"/>
    </row>
    <row r="291" spans="1:7" x14ac:dyDescent="0.15">
      <c r="A291" s="66"/>
      <c r="B291" s="66"/>
      <c r="C291" s="65"/>
      <c r="D291" s="65"/>
      <c r="E291" s="65"/>
      <c r="F291" s="23"/>
      <c r="G291" s="23"/>
    </row>
    <row r="292" spans="1:7" x14ac:dyDescent="0.15">
      <c r="A292" s="66"/>
      <c r="B292" s="66"/>
      <c r="C292" s="65"/>
      <c r="D292" s="65"/>
      <c r="E292" s="65"/>
      <c r="F292" s="23"/>
      <c r="G292" s="23"/>
    </row>
    <row r="293" spans="1:7" x14ac:dyDescent="0.15">
      <c r="A293" s="66"/>
      <c r="B293" s="66"/>
      <c r="C293" s="65"/>
      <c r="D293" s="65"/>
      <c r="E293" s="65"/>
      <c r="F293" s="23"/>
      <c r="G293" s="23"/>
    </row>
    <row r="294" spans="1:7" x14ac:dyDescent="0.15">
      <c r="A294" s="66"/>
      <c r="B294" s="66"/>
      <c r="C294" s="65"/>
      <c r="D294" s="65"/>
      <c r="E294" s="65"/>
      <c r="F294" s="23"/>
      <c r="G294" s="23"/>
    </row>
    <row r="295" spans="1:7" x14ac:dyDescent="0.15">
      <c r="A295" s="66"/>
      <c r="B295" s="66"/>
      <c r="C295" s="65"/>
      <c r="D295" s="65"/>
      <c r="E295" s="65"/>
      <c r="F295" s="23"/>
      <c r="G295" s="23"/>
    </row>
    <row r="296" spans="1:7" x14ac:dyDescent="0.15">
      <c r="A296" s="66"/>
      <c r="B296" s="66"/>
      <c r="C296" s="65"/>
      <c r="D296" s="65"/>
      <c r="E296" s="65"/>
      <c r="F296" s="23"/>
      <c r="G296" s="23"/>
    </row>
    <row r="297" spans="1:7" x14ac:dyDescent="0.15">
      <c r="A297" s="66"/>
      <c r="B297" s="66"/>
      <c r="C297" s="65"/>
      <c r="D297" s="65"/>
      <c r="E297" s="65"/>
      <c r="F297" s="23"/>
      <c r="G297" s="23"/>
    </row>
    <row r="298" spans="1:7" x14ac:dyDescent="0.15">
      <c r="A298" s="66"/>
      <c r="B298" s="66"/>
      <c r="C298" s="65"/>
      <c r="D298" s="65"/>
      <c r="E298" s="65"/>
      <c r="F298" s="23"/>
      <c r="G298" s="23"/>
    </row>
    <row r="299" spans="1:7" x14ac:dyDescent="0.15">
      <c r="A299" s="66"/>
      <c r="B299" s="66"/>
      <c r="C299" s="65"/>
      <c r="D299" s="65"/>
      <c r="E299" s="65"/>
      <c r="F299" s="23"/>
      <c r="G299" s="23"/>
    </row>
    <row r="300" spans="1:7" x14ac:dyDescent="0.15">
      <c r="A300" s="66"/>
      <c r="B300" s="66"/>
      <c r="C300" s="65"/>
      <c r="D300" s="65"/>
      <c r="E300" s="65"/>
      <c r="F300" s="23"/>
      <c r="G300" s="23"/>
    </row>
    <row r="301" spans="1:7" x14ac:dyDescent="0.15">
      <c r="A301" s="66"/>
      <c r="B301" s="66"/>
      <c r="C301" s="65"/>
      <c r="D301" s="65"/>
      <c r="E301" s="65"/>
      <c r="F301" s="23"/>
      <c r="G301" s="23"/>
    </row>
    <row r="302" spans="1:7" x14ac:dyDescent="0.15">
      <c r="A302" s="66"/>
      <c r="B302" s="66"/>
      <c r="C302" s="65"/>
      <c r="D302" s="65"/>
      <c r="E302" s="65"/>
      <c r="F302" s="23"/>
      <c r="G302" s="23"/>
    </row>
    <row r="303" spans="1:7" x14ac:dyDescent="0.15">
      <c r="A303" s="66"/>
      <c r="B303" s="66"/>
      <c r="C303" s="65"/>
      <c r="D303" s="65"/>
      <c r="E303" s="65"/>
      <c r="F303" s="23"/>
      <c r="G303" s="23"/>
    </row>
    <row r="304" spans="1:7" x14ac:dyDescent="0.15">
      <c r="A304" s="66"/>
      <c r="B304" s="66"/>
      <c r="C304" s="65"/>
      <c r="D304" s="65"/>
      <c r="E304" s="65"/>
      <c r="F304" s="23"/>
      <c r="G304" s="23"/>
    </row>
    <row r="305" spans="1:7" x14ac:dyDescent="0.15">
      <c r="A305" s="66"/>
      <c r="B305" s="66"/>
      <c r="C305" s="65"/>
      <c r="D305" s="65"/>
      <c r="E305" s="65"/>
      <c r="F305" s="23"/>
      <c r="G305" s="23"/>
    </row>
    <row r="306" spans="1:7" x14ac:dyDescent="0.15">
      <c r="A306" s="66"/>
      <c r="B306" s="66"/>
      <c r="C306" s="65"/>
      <c r="D306" s="65"/>
      <c r="E306" s="65"/>
      <c r="F306" s="23"/>
      <c r="G306" s="23"/>
    </row>
    <row r="307" spans="1:7" x14ac:dyDescent="0.15">
      <c r="A307" s="66"/>
      <c r="B307" s="66"/>
      <c r="C307" s="65"/>
      <c r="D307" s="65"/>
      <c r="E307" s="65"/>
      <c r="F307" s="23"/>
      <c r="G307" s="23"/>
    </row>
    <row r="308" spans="1:7" x14ac:dyDescent="0.15">
      <c r="A308" s="66"/>
      <c r="B308" s="66"/>
      <c r="C308" s="65"/>
      <c r="D308" s="65"/>
      <c r="E308" s="65"/>
      <c r="F308" s="23"/>
      <c r="G308" s="23"/>
    </row>
    <row r="309" spans="1:7" x14ac:dyDescent="0.15">
      <c r="A309" s="66"/>
      <c r="B309" s="66"/>
      <c r="C309" s="65"/>
      <c r="D309" s="65"/>
      <c r="E309" s="65"/>
      <c r="F309" s="23"/>
      <c r="G309" s="23"/>
    </row>
    <row r="310" spans="1:7" x14ac:dyDescent="0.15">
      <c r="A310" s="66"/>
      <c r="B310" s="66"/>
      <c r="C310" s="65"/>
      <c r="D310" s="65"/>
      <c r="E310" s="65"/>
      <c r="F310" s="23"/>
      <c r="G310" s="23"/>
    </row>
    <row r="311" spans="1:7" x14ac:dyDescent="0.15">
      <c r="A311" s="66"/>
      <c r="B311" s="66"/>
      <c r="C311" s="65"/>
      <c r="D311" s="65"/>
      <c r="E311" s="65"/>
      <c r="F311" s="23"/>
      <c r="G311" s="23"/>
    </row>
    <row r="312" spans="1:7" x14ac:dyDescent="0.15">
      <c r="A312" s="66"/>
      <c r="B312" s="66"/>
      <c r="C312" s="65"/>
      <c r="D312" s="65"/>
      <c r="E312" s="65"/>
      <c r="F312" s="23"/>
      <c r="G312" s="23"/>
    </row>
    <row r="313" spans="1:7" x14ac:dyDescent="0.15">
      <c r="A313" s="66"/>
      <c r="B313" s="66"/>
      <c r="C313" s="65"/>
      <c r="D313" s="65"/>
      <c r="E313" s="65"/>
      <c r="F313" s="23"/>
      <c r="G313" s="23"/>
    </row>
    <row r="314" spans="1:7" x14ac:dyDescent="0.15">
      <c r="A314" s="66"/>
      <c r="B314" s="66"/>
      <c r="C314" s="65"/>
      <c r="D314" s="65"/>
      <c r="E314" s="65"/>
      <c r="F314" s="23"/>
      <c r="G314" s="23"/>
    </row>
    <row r="315" spans="1:7" x14ac:dyDescent="0.15">
      <c r="A315" s="66"/>
      <c r="B315" s="66"/>
      <c r="C315" s="65"/>
      <c r="D315" s="65"/>
      <c r="E315" s="65"/>
      <c r="F315" s="23"/>
      <c r="G315" s="23"/>
    </row>
    <row r="316" spans="1:7" x14ac:dyDescent="0.15">
      <c r="A316" s="66"/>
      <c r="B316" s="66"/>
      <c r="C316" s="65"/>
      <c r="D316" s="65"/>
      <c r="E316" s="65"/>
      <c r="F316" s="23"/>
      <c r="G316" s="23"/>
    </row>
    <row r="317" spans="1:7" x14ac:dyDescent="0.15">
      <c r="A317" s="66"/>
      <c r="B317" s="66"/>
      <c r="C317" s="65"/>
      <c r="D317" s="65"/>
      <c r="E317" s="65"/>
      <c r="F317" s="23"/>
      <c r="G317" s="23"/>
    </row>
    <row r="318" spans="1:7" x14ac:dyDescent="0.15">
      <c r="A318" s="66"/>
      <c r="B318" s="66"/>
      <c r="C318" s="65"/>
      <c r="D318" s="65"/>
      <c r="E318" s="65"/>
      <c r="F318" s="23"/>
      <c r="G318" s="23"/>
    </row>
    <row r="319" spans="1:7" x14ac:dyDescent="0.15">
      <c r="A319" s="66"/>
      <c r="B319" s="66"/>
      <c r="C319" s="65"/>
      <c r="D319" s="65"/>
      <c r="E319" s="65"/>
      <c r="F319" s="23"/>
      <c r="G319" s="23"/>
    </row>
    <row r="320" spans="1:7" x14ac:dyDescent="0.15">
      <c r="A320" s="66"/>
      <c r="B320" s="66"/>
      <c r="C320" s="65"/>
      <c r="D320" s="65"/>
      <c r="E320" s="65"/>
      <c r="F320" s="23"/>
      <c r="G320" s="23"/>
    </row>
    <row r="321" spans="1:7" x14ac:dyDescent="0.15">
      <c r="A321" s="66"/>
      <c r="B321" s="66"/>
      <c r="C321" s="65"/>
      <c r="D321" s="65"/>
      <c r="E321" s="65"/>
      <c r="F321" s="23"/>
      <c r="G321" s="23"/>
    </row>
    <row r="322" spans="1:7" x14ac:dyDescent="0.15">
      <c r="A322" s="66"/>
      <c r="B322" s="66"/>
      <c r="C322" s="65"/>
      <c r="D322" s="65"/>
      <c r="E322" s="65"/>
      <c r="F322" s="23"/>
      <c r="G322" s="23"/>
    </row>
    <row r="323" spans="1:7" x14ac:dyDescent="0.15">
      <c r="A323" s="66"/>
      <c r="B323" s="66"/>
      <c r="C323" s="65"/>
      <c r="D323" s="65"/>
      <c r="E323" s="65"/>
      <c r="F323" s="23"/>
      <c r="G323" s="23"/>
    </row>
    <row r="324" spans="1:7" x14ac:dyDescent="0.15">
      <c r="A324" s="66"/>
      <c r="B324" s="66"/>
      <c r="C324" s="65"/>
      <c r="D324" s="65"/>
      <c r="E324" s="65"/>
      <c r="F324" s="23"/>
      <c r="G324" s="23"/>
    </row>
    <row r="325" spans="1:7" x14ac:dyDescent="0.15">
      <c r="A325" s="66"/>
      <c r="B325" s="66"/>
      <c r="C325" s="65"/>
      <c r="D325" s="65"/>
      <c r="E325" s="65"/>
      <c r="F325" s="23"/>
      <c r="G325" s="23"/>
    </row>
    <row r="326" spans="1:7" x14ac:dyDescent="0.15">
      <c r="A326" s="66"/>
      <c r="B326" s="66"/>
      <c r="C326" s="65"/>
      <c r="D326" s="65"/>
      <c r="E326" s="65"/>
      <c r="F326" s="23"/>
      <c r="G326" s="23"/>
    </row>
    <row r="327" spans="1:7" x14ac:dyDescent="0.15">
      <c r="A327" s="66"/>
      <c r="B327" s="66"/>
      <c r="C327" s="65"/>
      <c r="D327" s="65"/>
      <c r="E327" s="65"/>
      <c r="F327" s="23"/>
      <c r="G327" s="23"/>
    </row>
    <row r="328" spans="1:7" x14ac:dyDescent="0.15">
      <c r="A328" s="66"/>
      <c r="B328" s="66"/>
      <c r="C328" s="65"/>
      <c r="D328" s="65"/>
      <c r="E328" s="65"/>
      <c r="F328" s="23"/>
      <c r="G328" s="23"/>
    </row>
    <row r="329" spans="1:7" x14ac:dyDescent="0.15">
      <c r="A329" s="66"/>
      <c r="B329" s="66"/>
      <c r="C329" s="65"/>
      <c r="D329" s="65"/>
      <c r="E329" s="65"/>
      <c r="F329" s="23"/>
      <c r="G329" s="23"/>
    </row>
    <row r="330" spans="1:7" x14ac:dyDescent="0.15">
      <c r="A330" s="66"/>
      <c r="B330" s="66"/>
      <c r="C330" s="65"/>
      <c r="D330" s="65"/>
      <c r="E330" s="65"/>
      <c r="F330" s="23"/>
      <c r="G330" s="23"/>
    </row>
    <row r="331" spans="1:7" x14ac:dyDescent="0.15">
      <c r="A331" s="66"/>
      <c r="B331" s="66"/>
      <c r="C331" s="65"/>
      <c r="D331" s="65"/>
      <c r="E331" s="65"/>
      <c r="F331" s="23"/>
      <c r="G331" s="23"/>
    </row>
    <row r="332" spans="1:7" x14ac:dyDescent="0.15">
      <c r="A332" s="66"/>
      <c r="B332" s="66"/>
      <c r="C332" s="65"/>
      <c r="D332" s="65"/>
      <c r="E332" s="65"/>
      <c r="F332" s="23"/>
      <c r="G332" s="23"/>
    </row>
    <row r="333" spans="1:7" x14ac:dyDescent="0.15">
      <c r="A333" s="66"/>
      <c r="B333" s="66"/>
      <c r="C333" s="65"/>
      <c r="D333" s="65"/>
      <c r="E333" s="65"/>
      <c r="F333" s="23"/>
      <c r="G333" s="23"/>
    </row>
    <row r="334" spans="1:7" x14ac:dyDescent="0.15">
      <c r="A334" s="66"/>
      <c r="B334" s="66"/>
      <c r="C334" s="65"/>
      <c r="D334" s="65"/>
      <c r="E334" s="65"/>
      <c r="F334" s="23"/>
      <c r="G334" s="23"/>
    </row>
    <row r="335" spans="1:7" x14ac:dyDescent="0.15">
      <c r="A335" s="66"/>
      <c r="B335" s="66"/>
      <c r="C335" s="65"/>
      <c r="D335" s="65"/>
      <c r="E335" s="65"/>
      <c r="F335" s="23"/>
      <c r="G335" s="23"/>
    </row>
    <row r="336" spans="1:7" x14ac:dyDescent="0.15">
      <c r="A336" s="66"/>
      <c r="B336" s="66"/>
      <c r="C336" s="65"/>
      <c r="D336" s="65"/>
      <c r="E336" s="65"/>
      <c r="F336" s="23"/>
      <c r="G336" s="23"/>
    </row>
    <row r="337" spans="1:7" x14ac:dyDescent="0.15">
      <c r="A337" s="66"/>
      <c r="B337" s="66"/>
      <c r="C337" s="65"/>
      <c r="D337" s="65"/>
      <c r="E337" s="65"/>
      <c r="F337" s="23"/>
      <c r="G337" s="23"/>
    </row>
    <row r="338" spans="1:7" x14ac:dyDescent="0.15">
      <c r="A338" s="66"/>
      <c r="B338" s="66"/>
      <c r="C338" s="65"/>
      <c r="D338" s="65"/>
      <c r="E338" s="65"/>
      <c r="F338" s="23"/>
      <c r="G338" s="23"/>
    </row>
    <row r="339" spans="1:7" x14ac:dyDescent="0.15">
      <c r="A339" s="66"/>
      <c r="B339" s="66"/>
      <c r="C339" s="65"/>
      <c r="D339" s="65"/>
      <c r="E339" s="65"/>
      <c r="F339" s="23"/>
      <c r="G339" s="23"/>
    </row>
    <row r="340" spans="1:7" x14ac:dyDescent="0.15">
      <c r="A340" s="66"/>
      <c r="B340" s="66"/>
      <c r="C340" s="65"/>
      <c r="D340" s="65"/>
      <c r="E340" s="65"/>
      <c r="F340" s="23"/>
      <c r="G340" s="23"/>
    </row>
    <row r="341" spans="1:7" x14ac:dyDescent="0.15">
      <c r="A341" s="66"/>
      <c r="B341" s="66"/>
      <c r="C341" s="65"/>
      <c r="D341" s="65"/>
      <c r="E341" s="65"/>
      <c r="F341" s="23"/>
      <c r="G341" s="23"/>
    </row>
    <row r="342" spans="1:7" x14ac:dyDescent="0.15">
      <c r="A342" s="66"/>
      <c r="B342" s="66"/>
      <c r="C342" s="65"/>
      <c r="D342" s="65"/>
      <c r="E342" s="65"/>
      <c r="F342" s="23"/>
      <c r="G342" s="23"/>
    </row>
    <row r="343" spans="1:7" x14ac:dyDescent="0.15">
      <c r="A343" s="66"/>
      <c r="B343" s="66"/>
      <c r="C343" s="65"/>
      <c r="D343" s="65"/>
      <c r="E343" s="65"/>
      <c r="F343" s="23"/>
      <c r="G343" s="23"/>
    </row>
    <row r="344" spans="1:7" x14ac:dyDescent="0.15">
      <c r="A344" s="66"/>
      <c r="B344" s="66"/>
      <c r="C344" s="65"/>
      <c r="D344" s="65"/>
      <c r="E344" s="65"/>
      <c r="F344" s="23"/>
      <c r="G344" s="23"/>
    </row>
    <row r="345" spans="1:7" x14ac:dyDescent="0.15">
      <c r="A345" s="66"/>
      <c r="B345" s="66"/>
      <c r="C345" s="65"/>
      <c r="D345" s="65"/>
      <c r="E345" s="65"/>
      <c r="F345" s="23"/>
      <c r="G345" s="23"/>
    </row>
    <row r="346" spans="1:7" x14ac:dyDescent="0.15">
      <c r="A346" s="66"/>
      <c r="B346" s="66"/>
      <c r="C346" s="65"/>
      <c r="D346" s="65"/>
      <c r="E346" s="65"/>
      <c r="F346" s="23"/>
      <c r="G346" s="23"/>
    </row>
    <row r="347" spans="1:7" x14ac:dyDescent="0.15">
      <c r="A347" s="66"/>
      <c r="B347" s="66"/>
      <c r="C347" s="65"/>
      <c r="D347" s="65"/>
      <c r="E347" s="65"/>
      <c r="F347" s="23"/>
      <c r="G347" s="23"/>
    </row>
    <row r="348" spans="1:7" x14ac:dyDescent="0.15">
      <c r="A348" s="66"/>
      <c r="B348" s="66"/>
      <c r="C348" s="65"/>
      <c r="D348" s="65"/>
      <c r="E348" s="65"/>
      <c r="F348" s="23"/>
      <c r="G348" s="23"/>
    </row>
    <row r="349" spans="1:7" x14ac:dyDescent="0.15">
      <c r="A349" s="66"/>
      <c r="B349" s="66"/>
      <c r="C349" s="65"/>
      <c r="D349" s="65"/>
      <c r="E349" s="65"/>
      <c r="F349" s="23"/>
      <c r="G349" s="23"/>
    </row>
    <row r="350" spans="1:7" x14ac:dyDescent="0.15">
      <c r="A350" s="66"/>
      <c r="B350" s="66"/>
      <c r="C350" s="65"/>
      <c r="D350" s="65"/>
      <c r="E350" s="65"/>
      <c r="F350" s="23"/>
      <c r="G350" s="23"/>
    </row>
    <row r="351" spans="1:7" x14ac:dyDescent="0.15">
      <c r="A351" s="66"/>
      <c r="B351" s="66"/>
      <c r="C351" s="65"/>
      <c r="D351" s="65"/>
      <c r="E351" s="65"/>
      <c r="F351" s="23"/>
      <c r="G351" s="23"/>
    </row>
    <row r="352" spans="1:7" x14ac:dyDescent="0.15">
      <c r="A352" s="66"/>
      <c r="B352" s="66"/>
      <c r="C352" s="65"/>
      <c r="D352" s="65"/>
      <c r="E352" s="65"/>
      <c r="F352" s="23"/>
      <c r="G352" s="23"/>
    </row>
    <row r="353" spans="1:7" x14ac:dyDescent="0.15">
      <c r="A353" s="66"/>
      <c r="B353" s="66"/>
      <c r="C353" s="65"/>
      <c r="D353" s="65"/>
      <c r="E353" s="65"/>
      <c r="F353" s="23"/>
      <c r="G353" s="23"/>
    </row>
    <row r="354" spans="1:7" x14ac:dyDescent="0.15">
      <c r="A354" s="66"/>
      <c r="B354" s="66"/>
      <c r="C354" s="65"/>
      <c r="D354" s="65"/>
      <c r="E354" s="65"/>
      <c r="F354" s="23"/>
      <c r="G354" s="23"/>
    </row>
    <row r="355" spans="1:7" x14ac:dyDescent="0.15">
      <c r="A355" s="66"/>
      <c r="B355" s="66"/>
      <c r="C355" s="65"/>
      <c r="D355" s="65"/>
      <c r="E355" s="65"/>
      <c r="F355" s="23"/>
      <c r="G355" s="23"/>
    </row>
    <row r="356" spans="1:7" x14ac:dyDescent="0.15">
      <c r="A356" s="66"/>
      <c r="B356" s="66"/>
      <c r="C356" s="65"/>
      <c r="D356" s="65"/>
      <c r="E356" s="65"/>
      <c r="F356" s="23"/>
      <c r="G356" s="23"/>
    </row>
    <row r="357" spans="1:7" x14ac:dyDescent="0.15">
      <c r="A357" s="66"/>
      <c r="B357" s="66"/>
      <c r="C357" s="65"/>
      <c r="D357" s="65"/>
      <c r="E357" s="65"/>
      <c r="F357" s="23"/>
      <c r="G357" s="23"/>
    </row>
    <row r="358" spans="1:7" x14ac:dyDescent="0.15">
      <c r="A358" s="66"/>
      <c r="B358" s="66"/>
      <c r="C358" s="65"/>
      <c r="D358" s="65"/>
      <c r="E358" s="65"/>
      <c r="F358" s="23"/>
      <c r="G358" s="23"/>
    </row>
    <row r="359" spans="1:7" x14ac:dyDescent="0.15">
      <c r="A359" s="66"/>
      <c r="B359" s="66"/>
      <c r="C359" s="65"/>
      <c r="D359" s="65"/>
      <c r="E359" s="65"/>
      <c r="F359" s="23"/>
      <c r="G359" s="23"/>
    </row>
    <row r="360" spans="1:7" x14ac:dyDescent="0.15">
      <c r="A360" s="66"/>
      <c r="B360" s="66"/>
      <c r="C360" s="65"/>
      <c r="D360" s="65"/>
      <c r="E360" s="65"/>
      <c r="F360" s="23"/>
      <c r="G360" s="23"/>
    </row>
    <row r="361" spans="1:7" x14ac:dyDescent="0.15">
      <c r="A361" s="66"/>
      <c r="B361" s="66"/>
      <c r="C361" s="65"/>
      <c r="D361" s="65"/>
      <c r="E361" s="65"/>
      <c r="F361" s="23"/>
      <c r="G361" s="23"/>
    </row>
    <row r="362" spans="1:7" x14ac:dyDescent="0.15">
      <c r="A362" s="66"/>
      <c r="B362" s="66"/>
      <c r="C362" s="65"/>
      <c r="D362" s="65"/>
      <c r="E362" s="65"/>
      <c r="F362" s="23"/>
      <c r="G362" s="23"/>
    </row>
    <row r="363" spans="1:7" x14ac:dyDescent="0.15">
      <c r="A363" s="66"/>
      <c r="B363" s="66"/>
      <c r="C363" s="65"/>
      <c r="D363" s="65"/>
      <c r="E363" s="65"/>
      <c r="F363" s="23"/>
      <c r="G363" s="23"/>
    </row>
    <row r="364" spans="1:7" x14ac:dyDescent="0.15">
      <c r="A364" s="66"/>
      <c r="B364" s="66"/>
      <c r="C364" s="65"/>
      <c r="D364" s="65"/>
      <c r="E364" s="65"/>
      <c r="F364" s="23"/>
      <c r="G364" s="23"/>
    </row>
    <row r="365" spans="1:7" x14ac:dyDescent="0.15">
      <c r="A365" s="66"/>
      <c r="B365" s="66"/>
      <c r="C365" s="65"/>
      <c r="D365" s="65"/>
      <c r="E365" s="65"/>
      <c r="F365" s="23"/>
      <c r="G365" s="23"/>
    </row>
    <row r="366" spans="1:7" x14ac:dyDescent="0.15">
      <c r="A366" s="66"/>
      <c r="B366" s="66"/>
      <c r="C366" s="65"/>
      <c r="D366" s="65"/>
      <c r="E366" s="65"/>
      <c r="F366" s="23"/>
      <c r="G366" s="23"/>
    </row>
    <row r="367" spans="1:7" x14ac:dyDescent="0.15">
      <c r="A367" s="66"/>
      <c r="B367" s="66"/>
      <c r="C367" s="65"/>
      <c r="D367" s="65"/>
      <c r="E367" s="65"/>
      <c r="F367" s="23"/>
      <c r="G367" s="23"/>
    </row>
    <row r="368" spans="1:7" x14ac:dyDescent="0.15">
      <c r="A368" s="66"/>
      <c r="B368" s="66"/>
      <c r="C368" s="65"/>
      <c r="D368" s="65"/>
      <c r="E368" s="65"/>
      <c r="F368" s="23"/>
      <c r="G368" s="23"/>
    </row>
    <row r="369" spans="1:7" x14ac:dyDescent="0.15">
      <c r="A369" s="66"/>
      <c r="B369" s="66"/>
      <c r="C369" s="65"/>
      <c r="D369" s="65"/>
      <c r="E369" s="65"/>
      <c r="F369" s="23"/>
      <c r="G369" s="23"/>
    </row>
    <row r="370" spans="1:7" x14ac:dyDescent="0.15">
      <c r="A370" s="66"/>
      <c r="B370" s="66"/>
      <c r="C370" s="65"/>
      <c r="D370" s="65"/>
      <c r="E370" s="65"/>
      <c r="F370" s="23"/>
      <c r="G370" s="23"/>
    </row>
    <row r="371" spans="1:7" x14ac:dyDescent="0.15">
      <c r="A371" s="66"/>
      <c r="B371" s="66"/>
      <c r="C371" s="65"/>
      <c r="D371" s="65"/>
      <c r="E371" s="65"/>
      <c r="F371" s="23"/>
      <c r="G371" s="23"/>
    </row>
    <row r="372" spans="1:7" x14ac:dyDescent="0.15">
      <c r="A372" s="66"/>
      <c r="B372" s="66"/>
      <c r="C372" s="65"/>
      <c r="D372" s="65"/>
      <c r="E372" s="65"/>
      <c r="F372" s="23"/>
      <c r="G372" s="23"/>
    </row>
    <row r="373" spans="1:7" x14ac:dyDescent="0.15">
      <c r="A373" s="66"/>
      <c r="B373" s="66"/>
      <c r="C373" s="65"/>
      <c r="D373" s="65"/>
      <c r="E373" s="65"/>
      <c r="F373" s="23"/>
      <c r="G373" s="23"/>
    </row>
    <row r="374" spans="1:7" x14ac:dyDescent="0.15">
      <c r="A374" s="66"/>
      <c r="B374" s="66"/>
      <c r="C374" s="65"/>
      <c r="D374" s="65"/>
      <c r="E374" s="65"/>
      <c r="F374" s="23"/>
      <c r="G374" s="23"/>
    </row>
    <row r="375" spans="1:7" x14ac:dyDescent="0.15">
      <c r="A375" s="66"/>
      <c r="B375" s="66"/>
      <c r="C375" s="65"/>
      <c r="D375" s="65"/>
      <c r="E375" s="65"/>
      <c r="F375" s="23"/>
      <c r="G375" s="23"/>
    </row>
    <row r="376" spans="1:7" x14ac:dyDescent="0.15">
      <c r="A376" s="66"/>
      <c r="B376" s="66"/>
      <c r="C376" s="65"/>
      <c r="D376" s="65"/>
      <c r="E376" s="65"/>
      <c r="F376" s="23"/>
      <c r="G376" s="23"/>
    </row>
    <row r="377" spans="1:7" x14ac:dyDescent="0.15">
      <c r="A377" s="66"/>
      <c r="B377" s="66"/>
      <c r="C377" s="65"/>
      <c r="D377" s="65"/>
      <c r="E377" s="65"/>
      <c r="F377" s="23"/>
      <c r="G377" s="23"/>
    </row>
    <row r="378" spans="1:7" x14ac:dyDescent="0.15">
      <c r="A378" s="66"/>
      <c r="B378" s="66"/>
      <c r="C378" s="65"/>
      <c r="D378" s="65"/>
      <c r="E378" s="65"/>
      <c r="F378" s="23"/>
      <c r="G378" s="23"/>
    </row>
    <row r="379" spans="1:7" x14ac:dyDescent="0.15">
      <c r="A379" s="66"/>
      <c r="B379" s="66"/>
      <c r="C379" s="65"/>
      <c r="D379" s="65"/>
      <c r="E379" s="65"/>
      <c r="F379" s="23"/>
      <c r="G379" s="23"/>
    </row>
    <row r="380" spans="1:7" x14ac:dyDescent="0.15">
      <c r="A380" s="66"/>
      <c r="B380" s="66"/>
      <c r="C380" s="65"/>
      <c r="D380" s="65"/>
      <c r="E380" s="65"/>
      <c r="F380" s="23"/>
      <c r="G380" s="23"/>
    </row>
    <row r="381" spans="1:7" x14ac:dyDescent="0.15">
      <c r="A381" s="66"/>
      <c r="B381" s="66"/>
      <c r="C381" s="65"/>
      <c r="D381" s="65"/>
      <c r="E381" s="65"/>
      <c r="F381" s="23"/>
      <c r="G381" s="23"/>
    </row>
    <row r="382" spans="1:7" x14ac:dyDescent="0.15">
      <c r="A382" s="66"/>
      <c r="B382" s="66"/>
      <c r="C382" s="65"/>
      <c r="D382" s="65"/>
      <c r="E382" s="65"/>
      <c r="F382" s="23"/>
      <c r="G382" s="23"/>
    </row>
    <row r="383" spans="1:7" x14ac:dyDescent="0.15">
      <c r="A383" s="66"/>
      <c r="B383" s="66"/>
      <c r="C383" s="65"/>
      <c r="D383" s="65"/>
      <c r="E383" s="65"/>
      <c r="F383" s="23"/>
      <c r="G383" s="23"/>
    </row>
    <row r="384" spans="1:7" x14ac:dyDescent="0.15">
      <c r="A384" s="66"/>
      <c r="B384" s="66"/>
      <c r="C384" s="65"/>
      <c r="D384" s="65"/>
      <c r="E384" s="65"/>
      <c r="F384" s="23"/>
      <c r="G384" s="23"/>
    </row>
    <row r="385" spans="1:7" x14ac:dyDescent="0.15">
      <c r="A385" s="66"/>
      <c r="B385" s="66"/>
      <c r="C385" s="65"/>
      <c r="D385" s="65"/>
      <c r="E385" s="65"/>
      <c r="F385" s="23"/>
      <c r="G385" s="23"/>
    </row>
    <row r="386" spans="1:7" x14ac:dyDescent="0.15">
      <c r="A386" s="66"/>
      <c r="B386" s="66"/>
      <c r="C386" s="65"/>
      <c r="D386" s="65"/>
      <c r="E386" s="65"/>
      <c r="F386" s="23"/>
      <c r="G386" s="23"/>
    </row>
    <row r="387" spans="1:7" x14ac:dyDescent="0.15">
      <c r="A387" s="66"/>
      <c r="B387" s="66"/>
      <c r="C387" s="65"/>
      <c r="D387" s="65"/>
      <c r="E387" s="65"/>
      <c r="F387" s="23"/>
      <c r="G387" s="23"/>
    </row>
    <row r="388" spans="1:7" x14ac:dyDescent="0.15">
      <c r="A388" s="66"/>
      <c r="B388" s="66"/>
      <c r="C388" s="65"/>
      <c r="D388" s="65"/>
      <c r="E388" s="65"/>
      <c r="F388" s="23"/>
      <c r="G388" s="23"/>
    </row>
    <row r="389" spans="1:7" x14ac:dyDescent="0.15">
      <c r="A389" s="66"/>
      <c r="B389" s="66"/>
      <c r="C389" s="65"/>
      <c r="D389" s="65"/>
      <c r="E389" s="65"/>
      <c r="F389" s="23"/>
      <c r="G389" s="23"/>
    </row>
    <row r="390" spans="1:7" x14ac:dyDescent="0.15">
      <c r="A390" s="66"/>
      <c r="B390" s="66"/>
      <c r="C390" s="65"/>
      <c r="D390" s="65"/>
      <c r="E390" s="65"/>
      <c r="F390" s="23"/>
      <c r="G390" s="23"/>
    </row>
    <row r="391" spans="1:7" x14ac:dyDescent="0.15">
      <c r="A391" s="66"/>
      <c r="B391" s="66"/>
      <c r="C391" s="65"/>
      <c r="D391" s="65"/>
      <c r="E391" s="65"/>
      <c r="F391" s="23"/>
      <c r="G391" s="23"/>
    </row>
    <row r="392" spans="1:7" x14ac:dyDescent="0.15">
      <c r="A392" s="66"/>
      <c r="B392" s="66"/>
      <c r="C392" s="65"/>
      <c r="D392" s="65"/>
      <c r="E392" s="65"/>
      <c r="F392" s="23"/>
      <c r="G392" s="23"/>
    </row>
    <row r="393" spans="1:7" x14ac:dyDescent="0.15">
      <c r="A393" s="66"/>
      <c r="B393" s="66"/>
      <c r="C393" s="65"/>
      <c r="D393" s="65"/>
      <c r="E393" s="65"/>
      <c r="F393" s="23"/>
      <c r="G393" s="23"/>
    </row>
    <row r="394" spans="1:7" x14ac:dyDescent="0.15">
      <c r="A394" s="66"/>
      <c r="B394" s="66"/>
      <c r="C394" s="65"/>
      <c r="D394" s="65"/>
      <c r="E394" s="65"/>
      <c r="F394" s="23"/>
      <c r="G394" s="23"/>
    </row>
    <row r="395" spans="1:7" x14ac:dyDescent="0.15">
      <c r="A395" s="66"/>
      <c r="B395" s="66"/>
      <c r="C395" s="65"/>
      <c r="D395" s="65"/>
      <c r="E395" s="65"/>
      <c r="F395" s="23"/>
      <c r="G395" s="23"/>
    </row>
    <row r="396" spans="1:7" x14ac:dyDescent="0.15">
      <c r="A396" s="66"/>
      <c r="B396" s="66"/>
      <c r="C396" s="65"/>
      <c r="D396" s="65"/>
      <c r="E396" s="65"/>
      <c r="F396" s="23"/>
      <c r="G396" s="23"/>
    </row>
    <row r="397" spans="1:7" x14ac:dyDescent="0.15">
      <c r="A397" s="66"/>
      <c r="B397" s="66"/>
      <c r="C397" s="65"/>
      <c r="D397" s="65"/>
      <c r="E397" s="65"/>
      <c r="F397" s="23"/>
      <c r="G397" s="23"/>
    </row>
    <row r="398" spans="1:7" x14ac:dyDescent="0.15">
      <c r="A398" s="66"/>
      <c r="B398" s="66"/>
      <c r="C398" s="65"/>
      <c r="D398" s="65"/>
      <c r="E398" s="65"/>
      <c r="F398" s="23"/>
      <c r="G398" s="23"/>
    </row>
    <row r="399" spans="1:7" x14ac:dyDescent="0.15">
      <c r="A399" s="66"/>
      <c r="B399" s="66"/>
      <c r="C399" s="65"/>
      <c r="D399" s="65"/>
      <c r="E399" s="65"/>
      <c r="F399" s="23"/>
      <c r="G399" s="23"/>
    </row>
    <row r="400" spans="1:7" x14ac:dyDescent="0.15">
      <c r="A400" s="66"/>
      <c r="B400" s="66"/>
      <c r="C400" s="65"/>
      <c r="D400" s="65"/>
      <c r="E400" s="65"/>
      <c r="F400" s="23"/>
      <c r="G400" s="23"/>
    </row>
    <row r="401" spans="1:7" x14ac:dyDescent="0.15">
      <c r="A401" s="66"/>
      <c r="B401" s="66"/>
      <c r="C401" s="65"/>
      <c r="D401" s="65"/>
      <c r="E401" s="65"/>
      <c r="F401" s="23"/>
      <c r="G401" s="23"/>
    </row>
    <row r="402" spans="1:7" x14ac:dyDescent="0.15">
      <c r="A402" s="66"/>
      <c r="B402" s="66"/>
      <c r="C402" s="65"/>
      <c r="D402" s="65"/>
      <c r="E402" s="65"/>
      <c r="F402" s="23"/>
      <c r="G402" s="23"/>
    </row>
    <row r="403" spans="1:7" x14ac:dyDescent="0.15">
      <c r="A403" s="66"/>
      <c r="B403" s="66"/>
      <c r="C403" s="65"/>
      <c r="D403" s="65"/>
      <c r="E403" s="65"/>
      <c r="F403" s="23"/>
      <c r="G403" s="23"/>
    </row>
    <row r="404" spans="1:7" x14ac:dyDescent="0.15">
      <c r="A404" s="66"/>
      <c r="B404" s="66"/>
      <c r="C404" s="65"/>
      <c r="D404" s="65"/>
      <c r="E404" s="65"/>
      <c r="F404" s="23"/>
      <c r="G404" s="23"/>
    </row>
    <row r="405" spans="1:7" x14ac:dyDescent="0.15">
      <c r="A405" s="66"/>
      <c r="B405" s="66"/>
      <c r="C405" s="65"/>
      <c r="D405" s="65"/>
      <c r="E405" s="65"/>
      <c r="F405" s="23"/>
      <c r="G405" s="23"/>
    </row>
    <row r="406" spans="1:7" x14ac:dyDescent="0.15">
      <c r="A406" s="66"/>
      <c r="B406" s="66"/>
      <c r="C406" s="65"/>
      <c r="D406" s="65"/>
      <c r="E406" s="65"/>
      <c r="F406" s="23"/>
      <c r="G406" s="23"/>
    </row>
    <row r="407" spans="1:7" x14ac:dyDescent="0.15">
      <c r="A407" s="66"/>
      <c r="B407" s="66"/>
      <c r="C407" s="65"/>
      <c r="D407" s="65"/>
      <c r="E407" s="65"/>
      <c r="F407" s="23"/>
      <c r="G407" s="23"/>
    </row>
    <row r="408" spans="1:7" x14ac:dyDescent="0.15">
      <c r="A408" s="66"/>
      <c r="B408" s="66"/>
      <c r="C408" s="65"/>
      <c r="D408" s="65"/>
      <c r="E408" s="65"/>
      <c r="F408" s="23"/>
      <c r="G408" s="23"/>
    </row>
    <row r="409" spans="1:7" x14ac:dyDescent="0.15">
      <c r="A409" s="66"/>
      <c r="B409" s="66"/>
      <c r="C409" s="65"/>
      <c r="D409" s="65"/>
      <c r="E409" s="65"/>
      <c r="F409" s="23"/>
      <c r="G409" s="23"/>
    </row>
    <row r="410" spans="1:7" x14ac:dyDescent="0.15">
      <c r="A410" s="66"/>
      <c r="B410" s="66"/>
      <c r="C410" s="65"/>
      <c r="D410" s="65"/>
      <c r="E410" s="65"/>
      <c r="F410" s="23"/>
      <c r="G410" s="23"/>
    </row>
    <row r="411" spans="1:7" x14ac:dyDescent="0.15">
      <c r="A411" s="66"/>
      <c r="B411" s="66"/>
      <c r="C411" s="65"/>
      <c r="D411" s="65"/>
      <c r="E411" s="65"/>
      <c r="F411" s="23"/>
      <c r="G411" s="23"/>
    </row>
    <row r="412" spans="1:7" x14ac:dyDescent="0.15">
      <c r="A412" s="66"/>
      <c r="B412" s="66"/>
      <c r="C412" s="65"/>
      <c r="D412" s="65"/>
      <c r="E412" s="65"/>
      <c r="F412" s="23"/>
      <c r="G412" s="23"/>
    </row>
    <row r="413" spans="1:7" x14ac:dyDescent="0.15">
      <c r="A413" s="66"/>
      <c r="B413" s="66"/>
      <c r="C413" s="65"/>
      <c r="D413" s="65"/>
      <c r="E413" s="65"/>
      <c r="F413" s="23"/>
      <c r="G413" s="23"/>
    </row>
    <row r="414" spans="1:7" x14ac:dyDescent="0.15">
      <c r="A414" s="66"/>
      <c r="B414" s="66"/>
      <c r="C414" s="65"/>
      <c r="D414" s="65"/>
      <c r="E414" s="65"/>
      <c r="F414" s="23"/>
      <c r="G414" s="23"/>
    </row>
    <row r="415" spans="1:7" x14ac:dyDescent="0.15">
      <c r="A415" s="66"/>
      <c r="B415" s="66"/>
      <c r="C415" s="65"/>
      <c r="D415" s="65"/>
      <c r="E415" s="65"/>
      <c r="F415" s="23"/>
      <c r="G415" s="23"/>
    </row>
    <row r="416" spans="1:7" x14ac:dyDescent="0.15">
      <c r="A416" s="66"/>
      <c r="B416" s="66"/>
      <c r="C416" s="65"/>
      <c r="D416" s="65"/>
      <c r="E416" s="65"/>
      <c r="F416" s="23"/>
      <c r="G416" s="23"/>
    </row>
    <row r="417" spans="1:7" x14ac:dyDescent="0.15">
      <c r="A417" s="66"/>
      <c r="B417" s="66"/>
      <c r="C417" s="65"/>
      <c r="D417" s="65"/>
      <c r="E417" s="65"/>
      <c r="F417" s="23"/>
      <c r="G417" s="23"/>
    </row>
    <row r="418" spans="1:7" x14ac:dyDescent="0.15">
      <c r="A418" s="66"/>
      <c r="B418" s="66"/>
      <c r="C418" s="65"/>
      <c r="D418" s="65"/>
      <c r="E418" s="65"/>
      <c r="F418" s="23"/>
      <c r="G418" s="23"/>
    </row>
    <row r="419" spans="1:7" x14ac:dyDescent="0.15">
      <c r="A419" s="66"/>
      <c r="B419" s="66"/>
      <c r="C419" s="65"/>
      <c r="D419" s="65"/>
      <c r="E419" s="65"/>
      <c r="F419" s="23"/>
      <c r="G419" s="23"/>
    </row>
    <row r="420" spans="1:7" x14ac:dyDescent="0.15">
      <c r="A420" s="66"/>
      <c r="B420" s="66"/>
      <c r="C420" s="65"/>
      <c r="D420" s="65"/>
      <c r="E420" s="65"/>
      <c r="F420" s="23"/>
      <c r="G420" s="23"/>
    </row>
    <row r="421" spans="1:7" x14ac:dyDescent="0.15">
      <c r="A421" s="66"/>
      <c r="B421" s="66"/>
      <c r="C421" s="65"/>
      <c r="D421" s="65"/>
      <c r="E421" s="65"/>
      <c r="F421" s="23"/>
      <c r="G421" s="23"/>
    </row>
    <row r="422" spans="1:7" x14ac:dyDescent="0.15">
      <c r="A422" s="66"/>
      <c r="B422" s="66"/>
      <c r="C422" s="65"/>
      <c r="D422" s="65"/>
      <c r="E422" s="65"/>
      <c r="F422" s="23"/>
      <c r="G422" s="23"/>
    </row>
    <row r="423" spans="1:7" x14ac:dyDescent="0.15">
      <c r="A423" s="66"/>
      <c r="B423" s="66"/>
      <c r="C423" s="65"/>
      <c r="D423" s="65"/>
      <c r="E423" s="65"/>
      <c r="F423" s="23"/>
      <c r="G423" s="23"/>
    </row>
    <row r="424" spans="1:7" x14ac:dyDescent="0.15">
      <c r="A424" s="66"/>
      <c r="B424" s="66"/>
      <c r="C424" s="65"/>
      <c r="D424" s="65"/>
      <c r="E424" s="65"/>
      <c r="F424" s="23"/>
      <c r="G424" s="23"/>
    </row>
    <row r="425" spans="1:7" x14ac:dyDescent="0.15">
      <c r="A425" s="66"/>
      <c r="B425" s="66"/>
      <c r="C425" s="65"/>
      <c r="D425" s="65"/>
      <c r="E425" s="65"/>
      <c r="F425" s="23"/>
      <c r="G425" s="23"/>
    </row>
    <row r="426" spans="1:7" x14ac:dyDescent="0.15">
      <c r="A426" s="66"/>
      <c r="B426" s="66"/>
      <c r="C426" s="65"/>
      <c r="D426" s="65"/>
      <c r="E426" s="65"/>
      <c r="F426" s="23"/>
      <c r="G426" s="23"/>
    </row>
    <row r="427" spans="1:7" x14ac:dyDescent="0.15">
      <c r="A427" s="66"/>
      <c r="B427" s="66"/>
      <c r="C427" s="65"/>
      <c r="D427" s="65"/>
      <c r="E427" s="65"/>
      <c r="F427" s="23"/>
      <c r="G427" s="23"/>
    </row>
    <row r="428" spans="1:7" x14ac:dyDescent="0.15">
      <c r="A428" s="66"/>
      <c r="B428" s="66"/>
      <c r="C428" s="65"/>
      <c r="D428" s="65"/>
      <c r="E428" s="65"/>
      <c r="F428" s="23"/>
      <c r="G428" s="23"/>
    </row>
    <row r="429" spans="1:7" x14ac:dyDescent="0.15">
      <c r="A429" s="66"/>
      <c r="B429" s="66"/>
      <c r="C429" s="65"/>
      <c r="D429" s="65"/>
      <c r="E429" s="65"/>
      <c r="F429" s="23"/>
      <c r="G429" s="23"/>
    </row>
    <row r="430" spans="1:7" x14ac:dyDescent="0.15">
      <c r="A430" s="66"/>
      <c r="B430" s="66"/>
      <c r="C430" s="65"/>
      <c r="D430" s="65"/>
      <c r="E430" s="65"/>
      <c r="F430" s="23"/>
      <c r="G430" s="23"/>
    </row>
    <row r="431" spans="1:7" x14ac:dyDescent="0.15">
      <c r="A431" s="66"/>
      <c r="B431" s="66"/>
      <c r="C431" s="65"/>
      <c r="D431" s="65"/>
      <c r="E431" s="65"/>
      <c r="F431" s="23"/>
      <c r="G431" s="23"/>
    </row>
    <row r="432" spans="1:7" x14ac:dyDescent="0.15">
      <c r="A432" s="66"/>
      <c r="B432" s="66"/>
      <c r="C432" s="65"/>
      <c r="D432" s="65"/>
      <c r="E432" s="65"/>
      <c r="F432" s="23"/>
      <c r="G432" s="23"/>
    </row>
    <row r="433" spans="1:7" x14ac:dyDescent="0.15">
      <c r="A433" s="66"/>
      <c r="B433" s="66"/>
      <c r="C433" s="65"/>
      <c r="D433" s="65"/>
      <c r="E433" s="65"/>
      <c r="F433" s="23"/>
      <c r="G433" s="23"/>
    </row>
    <row r="434" spans="1:7" x14ac:dyDescent="0.15">
      <c r="A434" s="66"/>
      <c r="B434" s="66"/>
      <c r="C434" s="65"/>
      <c r="D434" s="65"/>
      <c r="E434" s="65"/>
      <c r="F434" s="23"/>
      <c r="G434" s="23"/>
    </row>
    <row r="435" spans="1:7" x14ac:dyDescent="0.15">
      <c r="A435" s="66"/>
      <c r="B435" s="66"/>
      <c r="C435" s="65"/>
      <c r="D435" s="65"/>
      <c r="E435" s="65"/>
      <c r="F435" s="23"/>
      <c r="G435" s="23"/>
    </row>
    <row r="436" spans="1:7" x14ac:dyDescent="0.15">
      <c r="A436" s="66"/>
      <c r="B436" s="66"/>
      <c r="C436" s="65"/>
      <c r="D436" s="65"/>
      <c r="E436" s="65"/>
      <c r="F436" s="23"/>
      <c r="G436" s="23"/>
    </row>
    <row r="437" spans="1:7" x14ac:dyDescent="0.15">
      <c r="A437" s="66"/>
      <c r="B437" s="66"/>
      <c r="C437" s="65"/>
      <c r="D437" s="65"/>
      <c r="E437" s="65"/>
      <c r="F437" s="23"/>
      <c r="G437" s="23"/>
    </row>
    <row r="438" spans="1:7" x14ac:dyDescent="0.15">
      <c r="A438" s="66"/>
      <c r="B438" s="66"/>
      <c r="C438" s="65"/>
      <c r="D438" s="65"/>
      <c r="E438" s="65"/>
      <c r="F438" s="23"/>
      <c r="G438" s="23"/>
    </row>
    <row r="439" spans="1:7" x14ac:dyDescent="0.15">
      <c r="A439" s="66"/>
      <c r="B439" s="66"/>
      <c r="C439" s="65"/>
      <c r="D439" s="65"/>
      <c r="E439" s="65"/>
      <c r="F439" s="23"/>
      <c r="G439" s="23"/>
    </row>
    <row r="440" spans="1:7" x14ac:dyDescent="0.15">
      <c r="A440" s="66"/>
      <c r="B440" s="66"/>
      <c r="C440" s="65"/>
      <c r="D440" s="65"/>
      <c r="E440" s="65"/>
      <c r="F440" s="23"/>
      <c r="G440" s="23"/>
    </row>
    <row r="441" spans="1:7" x14ac:dyDescent="0.15">
      <c r="A441" s="66"/>
      <c r="B441" s="66"/>
      <c r="C441" s="65"/>
      <c r="D441" s="65"/>
      <c r="E441" s="65"/>
      <c r="F441" s="23"/>
      <c r="G441" s="23"/>
    </row>
    <row r="442" spans="1:7" x14ac:dyDescent="0.15">
      <c r="A442" s="66"/>
      <c r="B442" s="66"/>
      <c r="C442" s="65"/>
      <c r="D442" s="65"/>
      <c r="E442" s="65"/>
      <c r="F442" s="23"/>
      <c r="G442" s="23"/>
    </row>
    <row r="443" spans="1:7" x14ac:dyDescent="0.15">
      <c r="A443" s="66"/>
      <c r="B443" s="66"/>
      <c r="C443" s="65"/>
      <c r="D443" s="65"/>
      <c r="E443" s="65"/>
      <c r="F443" s="23"/>
      <c r="G443" s="23"/>
    </row>
    <row r="444" spans="1:7" x14ac:dyDescent="0.15">
      <c r="A444" s="66"/>
      <c r="B444" s="66"/>
      <c r="C444" s="65"/>
      <c r="D444" s="65"/>
      <c r="E444" s="65"/>
      <c r="F444" s="23"/>
      <c r="G444" s="23"/>
    </row>
    <row r="445" spans="1:7" x14ac:dyDescent="0.15">
      <c r="A445" s="66"/>
      <c r="B445" s="66"/>
      <c r="C445" s="65"/>
      <c r="D445" s="65"/>
      <c r="E445" s="65"/>
      <c r="F445" s="23"/>
      <c r="G445" s="23"/>
    </row>
    <row r="446" spans="1:7" x14ac:dyDescent="0.15">
      <c r="A446" s="66"/>
      <c r="B446" s="66"/>
      <c r="C446" s="65"/>
      <c r="D446" s="65"/>
      <c r="E446" s="65"/>
      <c r="F446" s="23"/>
      <c r="G446" s="23"/>
    </row>
    <row r="447" spans="1:7" x14ac:dyDescent="0.15">
      <c r="A447" s="66"/>
      <c r="B447" s="66"/>
      <c r="C447" s="65"/>
      <c r="D447" s="65"/>
      <c r="E447" s="65"/>
      <c r="F447" s="23"/>
      <c r="G447" s="23"/>
    </row>
    <row r="448" spans="1:7" x14ac:dyDescent="0.15">
      <c r="A448" s="66"/>
      <c r="B448" s="66"/>
      <c r="C448" s="65"/>
      <c r="D448" s="65"/>
      <c r="E448" s="65"/>
      <c r="F448" s="23"/>
      <c r="G448" s="23"/>
    </row>
    <row r="449" spans="1:7" x14ac:dyDescent="0.15">
      <c r="A449" s="66"/>
      <c r="B449" s="66"/>
      <c r="C449" s="65"/>
      <c r="D449" s="65"/>
      <c r="E449" s="65"/>
      <c r="F449" s="23"/>
      <c r="G449" s="23"/>
    </row>
    <row r="450" spans="1:7" x14ac:dyDescent="0.15">
      <c r="A450" s="66"/>
      <c r="B450" s="66"/>
      <c r="C450" s="65"/>
      <c r="D450" s="65"/>
      <c r="E450" s="65"/>
      <c r="F450" s="23"/>
      <c r="G450" s="23"/>
    </row>
    <row r="451" spans="1:7" x14ac:dyDescent="0.15">
      <c r="A451" s="66"/>
      <c r="B451" s="66"/>
      <c r="C451" s="65"/>
      <c r="D451" s="65"/>
      <c r="E451" s="65"/>
      <c r="F451" s="23"/>
      <c r="G451" s="23"/>
    </row>
    <row r="452" spans="1:7" x14ac:dyDescent="0.15">
      <c r="A452" s="66"/>
      <c r="B452" s="66"/>
      <c r="C452" s="65"/>
      <c r="D452" s="65"/>
      <c r="E452" s="65"/>
      <c r="F452" s="23"/>
      <c r="G452" s="23"/>
    </row>
    <row r="453" spans="1:7" x14ac:dyDescent="0.15">
      <c r="A453" s="66"/>
      <c r="B453" s="66"/>
      <c r="C453" s="65"/>
      <c r="D453" s="65"/>
      <c r="E453" s="65"/>
      <c r="F453" s="23"/>
      <c r="G453" s="23"/>
    </row>
    <row r="454" spans="1:7" x14ac:dyDescent="0.15">
      <c r="A454" s="66"/>
      <c r="B454" s="66"/>
      <c r="C454" s="65"/>
      <c r="D454" s="65"/>
      <c r="E454" s="65"/>
      <c r="F454" s="23"/>
      <c r="G454" s="23"/>
    </row>
    <row r="455" spans="1:7" x14ac:dyDescent="0.15">
      <c r="A455" s="66"/>
      <c r="B455" s="66"/>
      <c r="C455" s="65"/>
      <c r="D455" s="65"/>
      <c r="E455" s="65"/>
      <c r="F455" s="23"/>
      <c r="G455" s="23"/>
    </row>
    <row r="456" spans="1:7" x14ac:dyDescent="0.15">
      <c r="A456" s="66"/>
      <c r="B456" s="66"/>
      <c r="C456" s="65"/>
      <c r="D456" s="65"/>
      <c r="E456" s="65"/>
      <c r="F456" s="23"/>
      <c r="G456" s="23"/>
    </row>
    <row r="457" spans="1:7" x14ac:dyDescent="0.15">
      <c r="A457" s="66"/>
      <c r="B457" s="66"/>
      <c r="C457" s="65"/>
      <c r="D457" s="65"/>
      <c r="E457" s="65"/>
      <c r="F457" s="23"/>
      <c r="G457" s="23"/>
    </row>
    <row r="458" spans="1:7" x14ac:dyDescent="0.15">
      <c r="A458" s="66"/>
      <c r="B458" s="66"/>
      <c r="C458" s="65"/>
      <c r="D458" s="65"/>
      <c r="E458" s="65"/>
      <c r="F458" s="23"/>
      <c r="G458" s="23"/>
    </row>
    <row r="459" spans="1:7" x14ac:dyDescent="0.15">
      <c r="A459" s="66"/>
      <c r="B459" s="66"/>
      <c r="C459" s="65"/>
      <c r="D459" s="65"/>
      <c r="E459" s="65"/>
      <c r="F459" s="23"/>
      <c r="G459" s="23"/>
    </row>
    <row r="460" spans="1:7" x14ac:dyDescent="0.15">
      <c r="A460" s="66"/>
      <c r="B460" s="66"/>
      <c r="C460" s="65"/>
      <c r="D460" s="65"/>
      <c r="E460" s="65"/>
      <c r="F460" s="23"/>
      <c r="G460" s="23"/>
    </row>
    <row r="461" spans="1:7" x14ac:dyDescent="0.15">
      <c r="A461" s="66"/>
      <c r="B461" s="66"/>
      <c r="C461" s="65"/>
      <c r="D461" s="65"/>
      <c r="E461" s="65"/>
      <c r="F461" s="23"/>
      <c r="G461" s="23"/>
    </row>
    <row r="462" spans="1:7" x14ac:dyDescent="0.15">
      <c r="A462" s="66"/>
      <c r="B462" s="66"/>
      <c r="C462" s="65"/>
      <c r="D462" s="65"/>
      <c r="E462" s="65"/>
      <c r="F462" s="23"/>
      <c r="G462" s="23"/>
    </row>
    <row r="463" spans="1:7" x14ac:dyDescent="0.15">
      <c r="A463" s="66"/>
      <c r="B463" s="66"/>
      <c r="C463" s="65"/>
      <c r="D463" s="65"/>
      <c r="E463" s="65"/>
      <c r="F463" s="23"/>
      <c r="G463" s="23"/>
    </row>
    <row r="464" spans="1:7" x14ac:dyDescent="0.15">
      <c r="A464" s="66"/>
      <c r="B464" s="66"/>
      <c r="C464" s="65"/>
      <c r="D464" s="65"/>
      <c r="E464" s="65"/>
      <c r="F464" s="23"/>
      <c r="G464" s="23"/>
    </row>
    <row r="465" spans="1:7" x14ac:dyDescent="0.15">
      <c r="A465" s="66"/>
      <c r="B465" s="66"/>
      <c r="C465" s="65"/>
      <c r="D465" s="65"/>
      <c r="E465" s="65"/>
      <c r="F465" s="23"/>
      <c r="G465" s="23"/>
    </row>
    <row r="466" spans="1:7" x14ac:dyDescent="0.15">
      <c r="A466" s="66"/>
      <c r="B466" s="66"/>
      <c r="C466" s="65"/>
      <c r="D466" s="65"/>
      <c r="E466" s="65"/>
      <c r="F466" s="23"/>
      <c r="G466" s="23"/>
    </row>
    <row r="467" spans="1:7" x14ac:dyDescent="0.15">
      <c r="A467" s="66"/>
      <c r="B467" s="66"/>
      <c r="C467" s="65"/>
      <c r="D467" s="65"/>
      <c r="E467" s="65"/>
      <c r="F467" s="23"/>
      <c r="G467" s="23"/>
    </row>
    <row r="468" spans="1:7" x14ac:dyDescent="0.15">
      <c r="A468" s="66"/>
      <c r="B468" s="66"/>
      <c r="C468" s="65"/>
      <c r="D468" s="65"/>
      <c r="E468" s="65"/>
      <c r="F468" s="23"/>
      <c r="G468" s="23"/>
    </row>
    <row r="469" spans="1:7" x14ac:dyDescent="0.15">
      <c r="A469" s="66"/>
      <c r="B469" s="66"/>
      <c r="C469" s="65"/>
      <c r="D469" s="65"/>
      <c r="E469" s="65"/>
      <c r="F469" s="23"/>
      <c r="G469" s="23"/>
    </row>
    <row r="470" spans="1:7" x14ac:dyDescent="0.15">
      <c r="A470" s="66"/>
      <c r="B470" s="66"/>
      <c r="C470" s="65"/>
      <c r="D470" s="65"/>
      <c r="E470" s="65"/>
      <c r="F470" s="23"/>
      <c r="G470" s="23"/>
    </row>
    <row r="471" spans="1:7" x14ac:dyDescent="0.15">
      <c r="A471" s="66"/>
      <c r="B471" s="66"/>
      <c r="C471" s="65"/>
      <c r="D471" s="65"/>
      <c r="E471" s="65"/>
      <c r="F471" s="23"/>
      <c r="G471" s="23"/>
    </row>
    <row r="472" spans="1:7" x14ac:dyDescent="0.15">
      <c r="A472" s="66"/>
      <c r="B472" s="66"/>
      <c r="C472" s="65"/>
      <c r="D472" s="65"/>
      <c r="E472" s="65"/>
      <c r="F472" s="23"/>
      <c r="G472" s="23"/>
    </row>
    <row r="473" spans="1:7" x14ac:dyDescent="0.15">
      <c r="A473" s="66"/>
      <c r="B473" s="66"/>
      <c r="C473" s="65"/>
      <c r="D473" s="65"/>
      <c r="E473" s="65"/>
      <c r="F473" s="23"/>
      <c r="G473" s="23"/>
    </row>
    <row r="474" spans="1:7" x14ac:dyDescent="0.15">
      <c r="A474" s="66"/>
      <c r="B474" s="66"/>
      <c r="C474" s="65"/>
      <c r="D474" s="65"/>
      <c r="E474" s="65"/>
      <c r="F474" s="23"/>
      <c r="G474" s="23"/>
    </row>
    <row r="475" spans="1:7" x14ac:dyDescent="0.15">
      <c r="A475" s="66"/>
      <c r="B475" s="66"/>
      <c r="C475" s="65"/>
      <c r="D475" s="65"/>
      <c r="E475" s="65"/>
      <c r="F475" s="23"/>
      <c r="G475" s="23"/>
    </row>
    <row r="476" spans="1:7" x14ac:dyDescent="0.15">
      <c r="A476" s="66"/>
      <c r="B476" s="66"/>
      <c r="C476" s="65"/>
      <c r="D476" s="65"/>
      <c r="E476" s="65"/>
      <c r="F476" s="23"/>
      <c r="G476" s="23"/>
    </row>
    <row r="477" spans="1:7" x14ac:dyDescent="0.15">
      <c r="A477" s="66"/>
      <c r="B477" s="66"/>
      <c r="C477" s="65"/>
      <c r="D477" s="65"/>
      <c r="E477" s="65"/>
      <c r="F477" s="23"/>
      <c r="G477" s="23"/>
    </row>
    <row r="478" spans="1:7" x14ac:dyDescent="0.15">
      <c r="A478" s="66"/>
      <c r="B478" s="66"/>
      <c r="C478" s="65"/>
      <c r="D478" s="65"/>
      <c r="E478" s="65"/>
      <c r="F478" s="23"/>
      <c r="G478" s="23"/>
    </row>
    <row r="479" spans="1:7" x14ac:dyDescent="0.15">
      <c r="A479" s="66"/>
      <c r="B479" s="66"/>
      <c r="C479" s="65"/>
      <c r="D479" s="65"/>
      <c r="E479" s="65"/>
      <c r="F479" s="23"/>
      <c r="G479" s="23"/>
    </row>
    <row r="480" spans="1:7" x14ac:dyDescent="0.15">
      <c r="A480" s="66"/>
      <c r="B480" s="66"/>
      <c r="C480" s="65"/>
      <c r="D480" s="65"/>
      <c r="E480" s="65"/>
      <c r="F480" s="23"/>
      <c r="G480" s="23"/>
    </row>
    <row r="481" spans="1:7" x14ac:dyDescent="0.15">
      <c r="A481" s="66"/>
      <c r="B481" s="66"/>
      <c r="C481" s="65"/>
      <c r="D481" s="65"/>
      <c r="E481" s="65"/>
      <c r="F481" s="23"/>
      <c r="G481" s="23"/>
    </row>
    <row r="482" spans="1:7" x14ac:dyDescent="0.15">
      <c r="A482" s="66"/>
      <c r="B482" s="66"/>
      <c r="C482" s="65"/>
      <c r="D482" s="65"/>
      <c r="E482" s="65"/>
      <c r="F482" s="23"/>
      <c r="G482" s="23"/>
    </row>
    <row r="483" spans="1:7" x14ac:dyDescent="0.15">
      <c r="A483" s="66"/>
      <c r="B483" s="66"/>
      <c r="C483" s="65"/>
      <c r="D483" s="65"/>
      <c r="E483" s="65"/>
      <c r="F483" s="23"/>
      <c r="G483" s="23"/>
    </row>
    <row r="484" spans="1:7" x14ac:dyDescent="0.15">
      <c r="A484" s="66"/>
      <c r="B484" s="66"/>
      <c r="C484" s="65"/>
      <c r="D484" s="65"/>
      <c r="E484" s="65"/>
      <c r="F484" s="23"/>
      <c r="G484" s="23"/>
    </row>
    <row r="485" spans="1:7" x14ac:dyDescent="0.15">
      <c r="A485" s="66"/>
      <c r="B485" s="66"/>
      <c r="C485" s="65"/>
      <c r="D485" s="65"/>
      <c r="E485" s="65"/>
      <c r="F485" s="23"/>
      <c r="G485" s="23"/>
    </row>
    <row r="486" spans="1:7" x14ac:dyDescent="0.15">
      <c r="A486" s="66"/>
      <c r="B486" s="66"/>
      <c r="C486" s="65"/>
      <c r="D486" s="65"/>
      <c r="E486" s="65"/>
      <c r="F486" s="23"/>
      <c r="G486" s="23"/>
    </row>
    <row r="487" spans="1:7" x14ac:dyDescent="0.15">
      <c r="A487" s="66"/>
      <c r="B487" s="66"/>
      <c r="C487" s="65"/>
      <c r="D487" s="65"/>
      <c r="E487" s="65"/>
      <c r="F487" s="23"/>
      <c r="G487" s="23"/>
    </row>
    <row r="488" spans="1:7" x14ac:dyDescent="0.15">
      <c r="A488" s="66"/>
      <c r="B488" s="66"/>
      <c r="C488" s="65"/>
      <c r="D488" s="65"/>
      <c r="E488" s="65"/>
      <c r="F488" s="23"/>
      <c r="G488" s="23"/>
    </row>
    <row r="489" spans="1:7" x14ac:dyDescent="0.15">
      <c r="A489" s="66"/>
      <c r="B489" s="66"/>
      <c r="C489" s="65"/>
      <c r="D489" s="65"/>
      <c r="E489" s="65"/>
      <c r="F489" s="23"/>
      <c r="G489" s="23"/>
    </row>
    <row r="490" spans="1:7" x14ac:dyDescent="0.15">
      <c r="A490" s="66"/>
      <c r="B490" s="66"/>
      <c r="C490" s="65"/>
      <c r="D490" s="65"/>
      <c r="E490" s="65"/>
      <c r="F490" s="23"/>
      <c r="G490" s="23"/>
    </row>
    <row r="491" spans="1:7" x14ac:dyDescent="0.15">
      <c r="A491" s="66"/>
      <c r="B491" s="66"/>
      <c r="C491" s="65"/>
      <c r="D491" s="65"/>
      <c r="E491" s="65"/>
      <c r="F491" s="23"/>
      <c r="G491" s="23"/>
    </row>
    <row r="492" spans="1:7" x14ac:dyDescent="0.15">
      <c r="A492" s="66"/>
      <c r="B492" s="66"/>
      <c r="C492" s="65"/>
      <c r="D492" s="65"/>
      <c r="E492" s="65"/>
      <c r="F492" s="23"/>
      <c r="G492" s="23"/>
    </row>
    <row r="493" spans="1:7" x14ac:dyDescent="0.15">
      <c r="A493" s="66"/>
      <c r="B493" s="66"/>
      <c r="C493" s="65"/>
      <c r="D493" s="65"/>
      <c r="E493" s="65"/>
      <c r="F493" s="23"/>
      <c r="G493" s="23"/>
    </row>
    <row r="494" spans="1:7" x14ac:dyDescent="0.15">
      <c r="A494" s="66"/>
      <c r="B494" s="66"/>
      <c r="C494" s="65"/>
      <c r="D494" s="65"/>
      <c r="E494" s="65"/>
      <c r="F494" s="23"/>
      <c r="G494" s="23"/>
    </row>
    <row r="495" spans="1:7" x14ac:dyDescent="0.15">
      <c r="A495" s="66"/>
      <c r="B495" s="66"/>
      <c r="C495" s="65"/>
      <c r="D495" s="65"/>
      <c r="E495" s="65"/>
      <c r="F495" s="23"/>
      <c r="G495" s="23"/>
    </row>
    <row r="496" spans="1:7" x14ac:dyDescent="0.15">
      <c r="A496" s="66"/>
      <c r="B496" s="66"/>
      <c r="C496" s="65"/>
      <c r="D496" s="65"/>
      <c r="E496" s="65"/>
      <c r="F496" s="23"/>
      <c r="G496" s="23"/>
    </row>
    <row r="497" spans="1:7" x14ac:dyDescent="0.15">
      <c r="A497" s="66"/>
      <c r="B497" s="66"/>
      <c r="C497" s="65"/>
      <c r="D497" s="65"/>
      <c r="E497" s="65"/>
      <c r="F497" s="23"/>
      <c r="G497" s="23"/>
    </row>
    <row r="498" spans="1:7" x14ac:dyDescent="0.15">
      <c r="A498" s="66"/>
      <c r="B498" s="66"/>
      <c r="C498" s="65"/>
      <c r="D498" s="65"/>
      <c r="E498" s="65"/>
      <c r="F498" s="23"/>
      <c r="G498" s="23"/>
    </row>
    <row r="499" spans="1:7" x14ac:dyDescent="0.15">
      <c r="A499" s="66"/>
      <c r="B499" s="66"/>
      <c r="C499" s="65"/>
      <c r="D499" s="65"/>
      <c r="E499" s="65"/>
      <c r="F499" s="23"/>
      <c r="G499" s="23"/>
    </row>
    <row r="500" spans="1:7" x14ac:dyDescent="0.15">
      <c r="A500" s="66"/>
      <c r="B500" s="66"/>
      <c r="C500" s="65"/>
      <c r="D500" s="65"/>
      <c r="E500" s="65"/>
      <c r="F500" s="23"/>
      <c r="G500" s="23"/>
    </row>
    <row r="501" spans="1:7" x14ac:dyDescent="0.15">
      <c r="A501" s="66"/>
      <c r="B501" s="66"/>
      <c r="C501" s="65"/>
      <c r="D501" s="65"/>
      <c r="E501" s="65"/>
      <c r="F501" s="23"/>
      <c r="G501" s="23"/>
    </row>
    <row r="502" spans="1:7" x14ac:dyDescent="0.15">
      <c r="A502" s="66"/>
      <c r="B502" s="66"/>
      <c r="C502" s="65"/>
      <c r="D502" s="65"/>
      <c r="E502" s="65"/>
      <c r="F502" s="23"/>
      <c r="G502" s="23"/>
    </row>
    <row r="503" spans="1:7" x14ac:dyDescent="0.15">
      <c r="A503" s="66"/>
      <c r="B503" s="66"/>
      <c r="C503" s="65"/>
      <c r="D503" s="65"/>
      <c r="E503" s="65"/>
      <c r="F503" s="23"/>
      <c r="G503" s="23"/>
    </row>
    <row r="504" spans="1:7" x14ac:dyDescent="0.15">
      <c r="A504" s="66"/>
      <c r="B504" s="66"/>
      <c r="C504" s="65"/>
      <c r="D504" s="65"/>
      <c r="E504" s="65"/>
      <c r="F504" s="23"/>
      <c r="G504" s="23"/>
    </row>
    <row r="505" spans="1:7" x14ac:dyDescent="0.15">
      <c r="A505" s="66"/>
      <c r="B505" s="66"/>
      <c r="C505" s="65"/>
      <c r="D505" s="65"/>
      <c r="E505" s="65"/>
      <c r="F505" s="23"/>
      <c r="G505" s="23"/>
    </row>
    <row r="506" spans="1:7" x14ac:dyDescent="0.15">
      <c r="A506" s="66"/>
      <c r="B506" s="66"/>
      <c r="C506" s="65"/>
      <c r="D506" s="65"/>
      <c r="E506" s="65"/>
      <c r="F506" s="23"/>
      <c r="G506" s="23"/>
    </row>
    <row r="507" spans="1:7" x14ac:dyDescent="0.15">
      <c r="A507" s="66"/>
      <c r="B507" s="66"/>
      <c r="C507" s="65"/>
      <c r="D507" s="65"/>
      <c r="E507" s="65"/>
      <c r="F507" s="23"/>
      <c r="G507" s="23"/>
    </row>
    <row r="508" spans="1:7" x14ac:dyDescent="0.15">
      <c r="A508" s="66"/>
      <c r="B508" s="66"/>
      <c r="C508" s="65"/>
      <c r="D508" s="65"/>
      <c r="E508" s="65"/>
      <c r="F508" s="23"/>
      <c r="G508" s="23"/>
    </row>
    <row r="509" spans="1:7" x14ac:dyDescent="0.15">
      <c r="A509" s="66"/>
      <c r="B509" s="66"/>
      <c r="C509" s="65"/>
      <c r="D509" s="65"/>
      <c r="E509" s="65"/>
      <c r="F509" s="23"/>
      <c r="G509" s="23"/>
    </row>
    <row r="510" spans="1:7" x14ac:dyDescent="0.15">
      <c r="A510" s="66"/>
      <c r="B510" s="66"/>
      <c r="C510" s="65"/>
      <c r="D510" s="65"/>
      <c r="E510" s="65"/>
      <c r="F510" s="23"/>
      <c r="G510" s="23"/>
    </row>
    <row r="511" spans="1:7" x14ac:dyDescent="0.15">
      <c r="A511" s="66"/>
      <c r="B511" s="66"/>
      <c r="C511" s="65"/>
      <c r="D511" s="65"/>
      <c r="E511" s="65"/>
      <c r="F511" s="23"/>
      <c r="G511" s="23"/>
    </row>
    <row r="512" spans="1:7" x14ac:dyDescent="0.15">
      <c r="A512" s="66"/>
      <c r="B512" s="66"/>
      <c r="C512" s="65"/>
      <c r="D512" s="65"/>
      <c r="E512" s="65"/>
      <c r="F512" s="23"/>
      <c r="G512" s="23"/>
    </row>
    <row r="513" spans="1:7" x14ac:dyDescent="0.15">
      <c r="A513" s="66"/>
      <c r="B513" s="66"/>
      <c r="C513" s="65"/>
      <c r="D513" s="65"/>
      <c r="E513" s="65"/>
      <c r="F513" s="23"/>
      <c r="G513" s="23"/>
    </row>
    <row r="514" spans="1:7" x14ac:dyDescent="0.15">
      <c r="A514" s="66"/>
      <c r="B514" s="66"/>
      <c r="C514" s="65"/>
      <c r="D514" s="65"/>
      <c r="E514" s="65"/>
      <c r="F514" s="23"/>
      <c r="G514" s="23"/>
    </row>
    <row r="515" spans="1:7" x14ac:dyDescent="0.15">
      <c r="A515" s="66"/>
      <c r="B515" s="66"/>
      <c r="C515" s="65"/>
      <c r="D515" s="65"/>
      <c r="E515" s="65"/>
      <c r="F515" s="23"/>
      <c r="G515" s="23"/>
    </row>
    <row r="516" spans="1:7" x14ac:dyDescent="0.15">
      <c r="A516" s="66"/>
      <c r="B516" s="66"/>
      <c r="C516" s="65"/>
      <c r="D516" s="65"/>
      <c r="E516" s="65"/>
      <c r="F516" s="23"/>
      <c r="G516" s="23"/>
    </row>
    <row r="517" spans="1:7" x14ac:dyDescent="0.15">
      <c r="A517" s="66"/>
      <c r="B517" s="66"/>
      <c r="C517" s="65"/>
      <c r="D517" s="65"/>
      <c r="E517" s="65"/>
      <c r="F517" s="23"/>
      <c r="G517" s="23"/>
    </row>
    <row r="518" spans="1:7" x14ac:dyDescent="0.15">
      <c r="A518" s="66"/>
      <c r="B518" s="66"/>
      <c r="C518" s="65"/>
      <c r="D518" s="65"/>
      <c r="E518" s="65"/>
      <c r="F518" s="23"/>
      <c r="G518" s="23"/>
    </row>
    <row r="519" spans="1:7" x14ac:dyDescent="0.15">
      <c r="A519" s="66"/>
      <c r="B519" s="66"/>
      <c r="C519" s="65"/>
      <c r="D519" s="65"/>
      <c r="E519" s="65"/>
      <c r="F519" s="23"/>
      <c r="G519" s="23"/>
    </row>
    <row r="520" spans="1:7" x14ac:dyDescent="0.15">
      <c r="A520" s="66"/>
      <c r="B520" s="66"/>
      <c r="C520" s="65"/>
      <c r="D520" s="65"/>
      <c r="E520" s="65"/>
      <c r="F520" s="23"/>
      <c r="G520" s="23"/>
    </row>
    <row r="521" spans="1:7" x14ac:dyDescent="0.15">
      <c r="A521" s="66"/>
      <c r="B521" s="66"/>
      <c r="C521" s="65"/>
      <c r="D521" s="65"/>
      <c r="E521" s="65"/>
      <c r="F521" s="23"/>
      <c r="G521" s="23"/>
    </row>
    <row r="522" spans="1:7" x14ac:dyDescent="0.15">
      <c r="A522" s="66"/>
      <c r="B522" s="66"/>
      <c r="C522" s="65"/>
      <c r="D522" s="65"/>
      <c r="E522" s="65"/>
      <c r="F522" s="23"/>
      <c r="G522" s="23"/>
    </row>
    <row r="523" spans="1:7" x14ac:dyDescent="0.15">
      <c r="A523" s="66"/>
      <c r="B523" s="66"/>
      <c r="C523" s="65"/>
      <c r="D523" s="65"/>
      <c r="E523" s="65"/>
      <c r="F523" s="23"/>
      <c r="G523" s="23"/>
    </row>
    <row r="524" spans="1:7" x14ac:dyDescent="0.15">
      <c r="A524" s="66"/>
      <c r="B524" s="66"/>
      <c r="C524" s="65"/>
      <c r="D524" s="65"/>
      <c r="E524" s="65"/>
      <c r="F524" s="23"/>
      <c r="G524" s="23"/>
    </row>
    <row r="525" spans="1:7" x14ac:dyDescent="0.15">
      <c r="A525" s="66"/>
      <c r="B525" s="66"/>
      <c r="C525" s="65"/>
      <c r="D525" s="65"/>
      <c r="E525" s="65"/>
      <c r="F525" s="23"/>
      <c r="G525" s="23"/>
    </row>
    <row r="526" spans="1:7" x14ac:dyDescent="0.15">
      <c r="A526" s="66"/>
      <c r="B526" s="66"/>
      <c r="C526" s="65"/>
      <c r="D526" s="65"/>
      <c r="E526" s="65"/>
      <c r="F526" s="23"/>
      <c r="G526" s="23"/>
    </row>
    <row r="527" spans="1:7" x14ac:dyDescent="0.15">
      <c r="A527" s="66"/>
      <c r="B527" s="66"/>
      <c r="C527" s="65"/>
      <c r="D527" s="65"/>
      <c r="E527" s="65"/>
      <c r="F527" s="23"/>
      <c r="G527" s="23"/>
    </row>
    <row r="528" spans="1:7" x14ac:dyDescent="0.15">
      <c r="A528" s="66"/>
      <c r="B528" s="66"/>
      <c r="C528" s="65"/>
      <c r="D528" s="65"/>
      <c r="E528" s="65"/>
      <c r="F528" s="23"/>
      <c r="G528" s="23"/>
    </row>
    <row r="529" spans="1:7" x14ac:dyDescent="0.15">
      <c r="A529" s="66"/>
      <c r="B529" s="66"/>
      <c r="C529" s="65"/>
      <c r="D529" s="65"/>
      <c r="E529" s="65"/>
      <c r="F529" s="23"/>
      <c r="G529" s="23"/>
    </row>
    <row r="530" spans="1:7" x14ac:dyDescent="0.15">
      <c r="A530" s="66"/>
      <c r="B530" s="66"/>
      <c r="C530" s="65"/>
      <c r="D530" s="65"/>
      <c r="E530" s="65"/>
      <c r="F530" s="23"/>
      <c r="G530" s="23"/>
    </row>
    <row r="531" spans="1:7" x14ac:dyDescent="0.15">
      <c r="A531" s="66"/>
      <c r="B531" s="66"/>
      <c r="C531" s="65"/>
      <c r="D531" s="65"/>
      <c r="E531" s="65"/>
      <c r="F531" s="23"/>
      <c r="G531" s="23"/>
    </row>
    <row r="532" spans="1:7" x14ac:dyDescent="0.15">
      <c r="A532" s="66"/>
      <c r="B532" s="66"/>
      <c r="C532" s="65"/>
      <c r="D532" s="65"/>
      <c r="E532" s="65"/>
      <c r="F532" s="23"/>
      <c r="G532" s="23"/>
    </row>
    <row r="533" spans="1:7" x14ac:dyDescent="0.15">
      <c r="A533" s="66"/>
      <c r="B533" s="66"/>
      <c r="C533" s="65"/>
      <c r="D533" s="65"/>
      <c r="E533" s="65"/>
      <c r="F533" s="23"/>
      <c r="G533" s="23"/>
    </row>
    <row r="534" spans="1:7" x14ac:dyDescent="0.15">
      <c r="A534" s="66"/>
      <c r="B534" s="66"/>
      <c r="C534" s="65"/>
      <c r="D534" s="65"/>
      <c r="E534" s="65"/>
      <c r="F534" s="23"/>
      <c r="G534" s="23"/>
    </row>
    <row r="535" spans="1:7" x14ac:dyDescent="0.15">
      <c r="A535" s="66"/>
      <c r="B535" s="66"/>
      <c r="C535" s="65"/>
      <c r="D535" s="65"/>
      <c r="E535" s="65"/>
      <c r="F535" s="23"/>
      <c r="G535" s="23"/>
    </row>
    <row r="536" spans="1:7" x14ac:dyDescent="0.15">
      <c r="A536" s="66"/>
      <c r="B536" s="66"/>
      <c r="C536" s="65"/>
      <c r="D536" s="65"/>
      <c r="E536" s="65"/>
      <c r="F536" s="23"/>
      <c r="G536" s="23"/>
    </row>
    <row r="537" spans="1:7" x14ac:dyDescent="0.15">
      <c r="A537" s="66"/>
      <c r="B537" s="66"/>
      <c r="C537" s="65"/>
      <c r="D537" s="65"/>
      <c r="E537" s="65"/>
      <c r="F537" s="23"/>
      <c r="G537" s="23"/>
    </row>
    <row r="538" spans="1:7" x14ac:dyDescent="0.15">
      <c r="A538" s="66"/>
      <c r="B538" s="66"/>
      <c r="C538" s="65"/>
      <c r="D538" s="65"/>
      <c r="E538" s="65"/>
      <c r="F538" s="23"/>
      <c r="G538" s="23"/>
    </row>
    <row r="539" spans="1:7" x14ac:dyDescent="0.15">
      <c r="A539" s="66"/>
      <c r="B539" s="66"/>
      <c r="C539" s="65"/>
      <c r="D539" s="65"/>
      <c r="E539" s="65"/>
      <c r="F539" s="23"/>
      <c r="G539" s="23"/>
    </row>
    <row r="540" spans="1:7" x14ac:dyDescent="0.15">
      <c r="A540" s="66"/>
      <c r="B540" s="66"/>
      <c r="C540" s="65"/>
      <c r="D540" s="65"/>
      <c r="E540" s="65"/>
      <c r="F540" s="23"/>
      <c r="G540" s="23"/>
    </row>
    <row r="541" spans="1:7" x14ac:dyDescent="0.15">
      <c r="A541" s="66"/>
      <c r="B541" s="66"/>
      <c r="C541" s="65"/>
      <c r="D541" s="65"/>
      <c r="E541" s="65"/>
      <c r="F541" s="23"/>
      <c r="G541" s="23"/>
    </row>
    <row r="542" spans="1:7" x14ac:dyDescent="0.15">
      <c r="A542" s="66"/>
      <c r="B542" s="66"/>
      <c r="C542" s="65"/>
      <c r="D542" s="65"/>
      <c r="E542" s="65"/>
      <c r="F542" s="23"/>
      <c r="G542" s="23"/>
    </row>
    <row r="543" spans="1:7" x14ac:dyDescent="0.15">
      <c r="A543" s="66"/>
      <c r="B543" s="66"/>
      <c r="C543" s="65"/>
      <c r="D543" s="65"/>
      <c r="E543" s="65"/>
      <c r="F543" s="23"/>
      <c r="G543" s="23"/>
    </row>
    <row r="544" spans="1:7" x14ac:dyDescent="0.15">
      <c r="A544" s="66"/>
      <c r="B544" s="66"/>
      <c r="C544" s="65"/>
      <c r="D544" s="65"/>
      <c r="E544" s="65"/>
      <c r="F544" s="23"/>
      <c r="G544" s="23"/>
    </row>
    <row r="545" spans="1:7" x14ac:dyDescent="0.15">
      <c r="A545" s="66"/>
      <c r="B545" s="66"/>
      <c r="C545" s="65"/>
      <c r="D545" s="65"/>
      <c r="E545" s="65"/>
      <c r="F545" s="23"/>
      <c r="G545" s="23"/>
    </row>
    <row r="546" spans="1:7" x14ac:dyDescent="0.15">
      <c r="A546" s="66"/>
      <c r="B546" s="66"/>
      <c r="C546" s="65"/>
      <c r="D546" s="65"/>
      <c r="E546" s="65"/>
      <c r="F546" s="23"/>
      <c r="G546" s="23"/>
    </row>
    <row r="547" spans="1:7" x14ac:dyDescent="0.15">
      <c r="A547" s="66"/>
      <c r="B547" s="66"/>
      <c r="C547" s="65"/>
      <c r="D547" s="65"/>
      <c r="E547" s="65"/>
      <c r="F547" s="23"/>
      <c r="G547" s="23"/>
    </row>
    <row r="548" spans="1:7" x14ac:dyDescent="0.15">
      <c r="A548" s="66"/>
      <c r="B548" s="66"/>
      <c r="C548" s="65"/>
      <c r="D548" s="65"/>
      <c r="E548" s="65"/>
      <c r="F548" s="23"/>
      <c r="G548" s="23"/>
    </row>
    <row r="549" spans="1:7" x14ac:dyDescent="0.15">
      <c r="A549" s="66"/>
      <c r="B549" s="66"/>
      <c r="C549" s="65"/>
      <c r="D549" s="65"/>
      <c r="E549" s="65"/>
      <c r="F549" s="23"/>
      <c r="G549" s="23"/>
    </row>
    <row r="550" spans="1:7" x14ac:dyDescent="0.15">
      <c r="A550" s="66"/>
      <c r="B550" s="66"/>
      <c r="C550" s="65"/>
      <c r="D550" s="65"/>
      <c r="E550" s="65"/>
      <c r="F550" s="23"/>
      <c r="G550" s="23"/>
    </row>
    <row r="551" spans="1:7" x14ac:dyDescent="0.15">
      <c r="A551" s="66"/>
      <c r="B551" s="66"/>
      <c r="C551" s="65"/>
      <c r="D551" s="65"/>
      <c r="E551" s="65"/>
      <c r="F551" s="23"/>
      <c r="G551" s="23"/>
    </row>
    <row r="552" spans="1:7" x14ac:dyDescent="0.15">
      <c r="A552" s="66"/>
      <c r="B552" s="66"/>
      <c r="C552" s="65"/>
      <c r="D552" s="65"/>
      <c r="E552" s="65"/>
      <c r="F552" s="23"/>
      <c r="G552" s="23"/>
    </row>
    <row r="553" spans="1:7" x14ac:dyDescent="0.15">
      <c r="A553" s="66"/>
      <c r="B553" s="66"/>
      <c r="C553" s="65"/>
      <c r="D553" s="65"/>
      <c r="E553" s="65"/>
      <c r="F553" s="23"/>
      <c r="G553" s="23"/>
    </row>
    <row r="554" spans="1:7" x14ac:dyDescent="0.15">
      <c r="A554" s="66"/>
      <c r="B554" s="66"/>
      <c r="C554" s="65"/>
      <c r="D554" s="65"/>
      <c r="E554" s="65"/>
      <c r="F554" s="23"/>
      <c r="G554" s="23"/>
    </row>
    <row r="555" spans="1:7" x14ac:dyDescent="0.15">
      <c r="A555" s="66"/>
      <c r="B555" s="66"/>
      <c r="C555" s="65"/>
      <c r="D555" s="65"/>
      <c r="E555" s="65"/>
      <c r="F555" s="23"/>
      <c r="G555" s="23"/>
    </row>
    <row r="556" spans="1:7" x14ac:dyDescent="0.15">
      <c r="A556" s="66"/>
      <c r="B556" s="66"/>
      <c r="C556" s="65"/>
      <c r="D556" s="65"/>
      <c r="E556" s="65"/>
      <c r="F556" s="23"/>
      <c r="G556" s="23"/>
    </row>
    <row r="557" spans="1:7" x14ac:dyDescent="0.15">
      <c r="A557" s="66"/>
      <c r="B557" s="66"/>
      <c r="C557" s="65"/>
      <c r="D557" s="65"/>
      <c r="E557" s="65"/>
      <c r="F557" s="23"/>
      <c r="G557" s="23"/>
    </row>
    <row r="558" spans="1:7" x14ac:dyDescent="0.15">
      <c r="A558" s="66"/>
      <c r="B558" s="66"/>
      <c r="C558" s="65"/>
      <c r="D558" s="65"/>
      <c r="E558" s="65"/>
      <c r="F558" s="23"/>
      <c r="G558" s="23"/>
    </row>
    <row r="559" spans="1:7" x14ac:dyDescent="0.15">
      <c r="A559" s="66"/>
      <c r="B559" s="66"/>
      <c r="C559" s="65"/>
      <c r="D559" s="65"/>
      <c r="E559" s="65"/>
      <c r="F559" s="23"/>
      <c r="G559" s="23"/>
    </row>
    <row r="560" spans="1:7" x14ac:dyDescent="0.15">
      <c r="A560" s="66"/>
      <c r="B560" s="66"/>
      <c r="C560" s="65"/>
      <c r="D560" s="65"/>
      <c r="E560" s="65"/>
      <c r="F560" s="23"/>
      <c r="G560" s="23"/>
    </row>
    <row r="561" spans="1:7" x14ac:dyDescent="0.15">
      <c r="A561" s="66"/>
      <c r="B561" s="66"/>
      <c r="C561" s="65"/>
      <c r="D561" s="65"/>
      <c r="E561" s="65"/>
      <c r="F561" s="23"/>
      <c r="G561" s="23"/>
    </row>
    <row r="562" spans="1:7" x14ac:dyDescent="0.15">
      <c r="A562" s="66"/>
      <c r="B562" s="66"/>
      <c r="C562" s="65"/>
      <c r="D562" s="65"/>
      <c r="E562" s="65"/>
      <c r="F562" s="23"/>
      <c r="G562" s="23"/>
    </row>
    <row r="563" spans="1:7" x14ac:dyDescent="0.15">
      <c r="A563" s="66"/>
      <c r="B563" s="66"/>
      <c r="C563" s="65"/>
      <c r="D563" s="65"/>
      <c r="E563" s="65"/>
      <c r="F563" s="23"/>
      <c r="G563" s="23"/>
    </row>
    <row r="564" spans="1:7" x14ac:dyDescent="0.15">
      <c r="A564" s="66"/>
      <c r="B564" s="66"/>
      <c r="C564" s="65"/>
      <c r="D564" s="65"/>
      <c r="E564" s="65"/>
      <c r="F564" s="23"/>
      <c r="G564" s="23"/>
    </row>
    <row r="565" spans="1:7" x14ac:dyDescent="0.15">
      <c r="A565" s="66"/>
      <c r="B565" s="66"/>
      <c r="C565" s="65"/>
      <c r="D565" s="65"/>
      <c r="E565" s="65"/>
      <c r="F565" s="23"/>
      <c r="G565" s="23"/>
    </row>
    <row r="566" spans="1:7" x14ac:dyDescent="0.15">
      <c r="A566" s="66"/>
      <c r="B566" s="66"/>
      <c r="C566" s="65"/>
      <c r="D566" s="65"/>
      <c r="E566" s="65"/>
      <c r="F566" s="23"/>
      <c r="G566" s="23"/>
    </row>
    <row r="567" spans="1:7" x14ac:dyDescent="0.15">
      <c r="A567" s="66"/>
      <c r="B567" s="66"/>
      <c r="C567" s="65"/>
      <c r="D567" s="65"/>
      <c r="E567" s="65"/>
      <c r="F567" s="23"/>
      <c r="G567" s="23"/>
    </row>
    <row r="568" spans="1:7" x14ac:dyDescent="0.15">
      <c r="A568" s="66"/>
      <c r="B568" s="66"/>
      <c r="C568" s="65"/>
      <c r="D568" s="65"/>
      <c r="E568" s="65"/>
      <c r="F568" s="23"/>
      <c r="G568" s="23"/>
    </row>
    <row r="569" spans="1:7" x14ac:dyDescent="0.15">
      <c r="A569" s="66"/>
      <c r="B569" s="66"/>
      <c r="C569" s="65"/>
      <c r="D569" s="65"/>
      <c r="E569" s="65"/>
      <c r="F569" s="23"/>
      <c r="G569" s="23"/>
    </row>
    <row r="570" spans="1:7" x14ac:dyDescent="0.15">
      <c r="A570" s="66"/>
      <c r="B570" s="66"/>
      <c r="C570" s="65"/>
      <c r="D570" s="65"/>
      <c r="E570" s="65"/>
      <c r="F570" s="23"/>
      <c r="G570" s="23"/>
    </row>
    <row r="571" spans="1:7" x14ac:dyDescent="0.15">
      <c r="A571" s="66"/>
      <c r="B571" s="66"/>
      <c r="C571" s="65"/>
      <c r="D571" s="65"/>
      <c r="E571" s="65"/>
      <c r="F571" s="23"/>
      <c r="G571" s="23"/>
    </row>
    <row r="572" spans="1:7" x14ac:dyDescent="0.15">
      <c r="A572" s="66"/>
      <c r="B572" s="66"/>
      <c r="C572" s="65"/>
      <c r="D572" s="65"/>
      <c r="E572" s="65"/>
      <c r="F572" s="23"/>
      <c r="G572" s="23"/>
    </row>
    <row r="573" spans="1:7" x14ac:dyDescent="0.15">
      <c r="A573" s="66"/>
      <c r="B573" s="66"/>
      <c r="C573" s="65"/>
      <c r="D573" s="65"/>
      <c r="E573" s="65"/>
      <c r="F573" s="23"/>
      <c r="G573" s="23"/>
    </row>
    <row r="574" spans="1:7" x14ac:dyDescent="0.15">
      <c r="A574" s="66"/>
      <c r="B574" s="66"/>
      <c r="C574" s="65"/>
      <c r="D574" s="65"/>
      <c r="E574" s="65"/>
      <c r="F574" s="23"/>
      <c r="G574" s="23"/>
    </row>
    <row r="575" spans="1:7" x14ac:dyDescent="0.15">
      <c r="A575" s="66"/>
      <c r="B575" s="66"/>
      <c r="C575" s="65"/>
      <c r="D575" s="65"/>
      <c r="E575" s="65"/>
      <c r="F575" s="23"/>
      <c r="G575" s="23"/>
    </row>
    <row r="576" spans="1:7" x14ac:dyDescent="0.15">
      <c r="A576" s="66"/>
      <c r="B576" s="66"/>
      <c r="C576" s="65"/>
      <c r="D576" s="65"/>
      <c r="E576" s="65"/>
      <c r="F576" s="23"/>
      <c r="G576" s="23"/>
    </row>
    <row r="577" spans="1:7" x14ac:dyDescent="0.15">
      <c r="A577" s="66"/>
      <c r="B577" s="66"/>
      <c r="C577" s="65"/>
      <c r="D577" s="65"/>
      <c r="E577" s="65"/>
      <c r="F577" s="23"/>
      <c r="G577" s="23"/>
    </row>
    <row r="578" spans="1:7" x14ac:dyDescent="0.15">
      <c r="A578" s="66"/>
      <c r="B578" s="66"/>
      <c r="C578" s="65"/>
      <c r="D578" s="65"/>
      <c r="E578" s="65"/>
      <c r="F578" s="23"/>
      <c r="G578" s="23"/>
    </row>
    <row r="579" spans="1:7" x14ac:dyDescent="0.15">
      <c r="A579" s="66"/>
      <c r="B579" s="66"/>
      <c r="C579" s="65"/>
      <c r="D579" s="65"/>
      <c r="E579" s="65"/>
      <c r="F579" s="23"/>
      <c r="G579" s="23"/>
    </row>
    <row r="580" spans="1:7" x14ac:dyDescent="0.15">
      <c r="A580" s="66"/>
      <c r="B580" s="66"/>
      <c r="C580" s="65"/>
      <c r="D580" s="65"/>
      <c r="E580" s="65"/>
      <c r="F580" s="23"/>
      <c r="G580" s="23"/>
    </row>
    <row r="581" spans="1:7" x14ac:dyDescent="0.15">
      <c r="A581" s="66"/>
      <c r="B581" s="66"/>
      <c r="C581" s="65"/>
      <c r="D581" s="65"/>
      <c r="E581" s="65"/>
      <c r="F581" s="23"/>
      <c r="G581" s="23"/>
    </row>
    <row r="582" spans="1:7" x14ac:dyDescent="0.15">
      <c r="A582" s="66"/>
      <c r="B582" s="66"/>
      <c r="C582" s="65"/>
      <c r="D582" s="65"/>
      <c r="E582" s="65"/>
      <c r="F582" s="23"/>
      <c r="G582" s="23"/>
    </row>
    <row r="583" spans="1:7" x14ac:dyDescent="0.15">
      <c r="A583" s="66"/>
      <c r="B583" s="66"/>
      <c r="C583" s="65"/>
      <c r="D583" s="65"/>
      <c r="E583" s="65"/>
      <c r="F583" s="23"/>
      <c r="G583" s="23"/>
    </row>
    <row r="584" spans="1:7" x14ac:dyDescent="0.15">
      <c r="A584" s="66"/>
      <c r="B584" s="66"/>
      <c r="C584" s="65"/>
      <c r="D584" s="65"/>
      <c r="E584" s="65"/>
      <c r="F584" s="23"/>
      <c r="G584" s="23"/>
    </row>
    <row r="585" spans="1:7" x14ac:dyDescent="0.15">
      <c r="A585" s="66"/>
      <c r="B585" s="66"/>
      <c r="C585" s="65"/>
      <c r="D585" s="65"/>
      <c r="E585" s="65"/>
      <c r="F585" s="23"/>
      <c r="G585" s="23"/>
    </row>
    <row r="586" spans="1:7" x14ac:dyDescent="0.15">
      <c r="A586" s="66"/>
      <c r="B586" s="66"/>
      <c r="C586" s="65"/>
      <c r="D586" s="65"/>
      <c r="E586" s="65"/>
      <c r="F586" s="23"/>
      <c r="G586" s="23"/>
    </row>
    <row r="587" spans="1:7" x14ac:dyDescent="0.15">
      <c r="A587" s="66"/>
      <c r="B587" s="66"/>
      <c r="C587" s="65"/>
      <c r="D587" s="65"/>
      <c r="E587" s="65"/>
      <c r="F587" s="23"/>
      <c r="G587" s="23"/>
    </row>
    <row r="588" spans="1:7" x14ac:dyDescent="0.15">
      <c r="A588" s="66"/>
      <c r="B588" s="66"/>
      <c r="C588" s="65"/>
      <c r="D588" s="65"/>
      <c r="E588" s="65"/>
      <c r="F588" s="23"/>
      <c r="G588" s="23"/>
    </row>
    <row r="589" spans="1:7" x14ac:dyDescent="0.15">
      <c r="A589" s="66"/>
      <c r="B589" s="66"/>
      <c r="C589" s="65"/>
      <c r="D589" s="65"/>
      <c r="E589" s="65"/>
      <c r="F589" s="23"/>
      <c r="G589" s="23"/>
    </row>
    <row r="590" spans="1:7" x14ac:dyDescent="0.15">
      <c r="A590" s="66"/>
      <c r="B590" s="66"/>
      <c r="C590" s="65"/>
      <c r="D590" s="65"/>
      <c r="E590" s="65"/>
      <c r="F590" s="23"/>
      <c r="G590" s="23"/>
    </row>
    <row r="591" spans="1:7" x14ac:dyDescent="0.15">
      <c r="A591" s="66"/>
      <c r="B591" s="66"/>
      <c r="C591" s="65"/>
      <c r="D591" s="65"/>
      <c r="E591" s="65"/>
      <c r="F591" s="23"/>
      <c r="G591" s="23"/>
    </row>
    <row r="592" spans="1:7" x14ac:dyDescent="0.15">
      <c r="A592" s="66"/>
      <c r="B592" s="66"/>
      <c r="C592" s="65"/>
      <c r="D592" s="65"/>
      <c r="E592" s="65"/>
      <c r="F592" s="23"/>
      <c r="G592" s="23"/>
    </row>
    <row r="593" spans="1:7" x14ac:dyDescent="0.15">
      <c r="A593" s="66"/>
      <c r="B593" s="66"/>
      <c r="C593" s="65"/>
      <c r="D593" s="65"/>
      <c r="E593" s="65"/>
      <c r="F593" s="23"/>
      <c r="G593" s="23"/>
    </row>
    <row r="594" spans="1:7" x14ac:dyDescent="0.15">
      <c r="A594" s="66"/>
      <c r="B594" s="66"/>
      <c r="C594" s="65"/>
      <c r="D594" s="65"/>
      <c r="E594" s="65"/>
      <c r="F594" s="23"/>
      <c r="G594" s="23"/>
    </row>
    <row r="595" spans="1:7" x14ac:dyDescent="0.15">
      <c r="A595" s="66"/>
      <c r="B595" s="66"/>
      <c r="C595" s="65"/>
      <c r="D595" s="65"/>
      <c r="E595" s="65"/>
      <c r="F595" s="23"/>
      <c r="G595" s="23"/>
    </row>
    <row r="596" spans="1:7" x14ac:dyDescent="0.15">
      <c r="A596" s="66"/>
      <c r="B596" s="66"/>
      <c r="C596" s="65"/>
      <c r="D596" s="65"/>
      <c r="E596" s="65"/>
      <c r="F596" s="23"/>
      <c r="G596" s="23"/>
    </row>
    <row r="597" spans="1:7" x14ac:dyDescent="0.15">
      <c r="A597" s="66"/>
      <c r="B597" s="66"/>
      <c r="C597" s="65"/>
      <c r="D597" s="65"/>
      <c r="E597" s="65"/>
      <c r="F597" s="23"/>
      <c r="G597" s="23"/>
    </row>
    <row r="598" spans="1:7" x14ac:dyDescent="0.15">
      <c r="A598" s="66"/>
      <c r="B598" s="66"/>
      <c r="C598" s="65"/>
      <c r="D598" s="65"/>
      <c r="E598" s="65"/>
      <c r="F598" s="23"/>
      <c r="G598" s="23"/>
    </row>
    <row r="599" spans="1:7" x14ac:dyDescent="0.15">
      <c r="A599" s="66"/>
      <c r="B599" s="66"/>
      <c r="C599" s="65"/>
      <c r="D599" s="65"/>
      <c r="E599" s="65"/>
      <c r="F599" s="23"/>
      <c r="G599" s="23"/>
    </row>
    <row r="600" spans="1:7" x14ac:dyDescent="0.15">
      <c r="A600" s="66"/>
      <c r="B600" s="66"/>
      <c r="C600" s="65"/>
      <c r="D600" s="65"/>
      <c r="E600" s="65"/>
      <c r="F600" s="23"/>
      <c r="G600" s="23"/>
    </row>
    <row r="601" spans="1:7" x14ac:dyDescent="0.15">
      <c r="A601" s="66"/>
      <c r="B601" s="66"/>
      <c r="C601" s="65"/>
      <c r="D601" s="65"/>
      <c r="E601" s="65"/>
      <c r="F601" s="23"/>
      <c r="G601" s="23"/>
    </row>
    <row r="602" spans="1:7" x14ac:dyDescent="0.15">
      <c r="A602" s="66"/>
      <c r="B602" s="66"/>
      <c r="C602" s="65"/>
      <c r="D602" s="65"/>
      <c r="E602" s="65"/>
      <c r="F602" s="23"/>
      <c r="G602" s="23"/>
    </row>
    <row r="603" spans="1:7" x14ac:dyDescent="0.15">
      <c r="A603" s="66"/>
      <c r="B603" s="66"/>
      <c r="C603" s="65"/>
      <c r="D603" s="65"/>
      <c r="E603" s="65"/>
      <c r="F603" s="23"/>
      <c r="G603" s="23"/>
    </row>
    <row r="604" spans="1:7" x14ac:dyDescent="0.15">
      <c r="A604" s="66"/>
      <c r="B604" s="66"/>
      <c r="C604" s="65"/>
      <c r="D604" s="65"/>
      <c r="E604" s="65"/>
      <c r="F604" s="23"/>
      <c r="G604" s="23"/>
    </row>
    <row r="605" spans="1:7" x14ac:dyDescent="0.15">
      <c r="A605" s="66"/>
      <c r="B605" s="66"/>
      <c r="C605" s="65"/>
      <c r="D605" s="65"/>
      <c r="E605" s="65"/>
      <c r="F605" s="23"/>
      <c r="G605" s="23"/>
    </row>
    <row r="606" spans="1:7" x14ac:dyDescent="0.15">
      <c r="A606" s="66"/>
      <c r="B606" s="66"/>
      <c r="C606" s="65"/>
      <c r="D606" s="65"/>
      <c r="E606" s="65"/>
      <c r="F606" s="23"/>
      <c r="G606" s="23"/>
    </row>
    <row r="607" spans="1:7" x14ac:dyDescent="0.15">
      <c r="A607" s="66"/>
      <c r="B607" s="66"/>
      <c r="C607" s="65"/>
      <c r="D607" s="65"/>
      <c r="E607" s="65"/>
      <c r="F607" s="23"/>
      <c r="G607" s="23"/>
    </row>
    <row r="608" spans="1:7" x14ac:dyDescent="0.15">
      <c r="A608" s="66"/>
      <c r="B608" s="66"/>
      <c r="C608" s="65"/>
      <c r="D608" s="65"/>
      <c r="E608" s="65"/>
      <c r="F608" s="23"/>
      <c r="G608" s="23"/>
    </row>
    <row r="609" spans="1:7" x14ac:dyDescent="0.15">
      <c r="A609" s="66"/>
      <c r="B609" s="66"/>
      <c r="C609" s="65"/>
      <c r="D609" s="65"/>
      <c r="E609" s="65"/>
      <c r="F609" s="23"/>
      <c r="G609" s="23"/>
    </row>
    <row r="610" spans="1:7" x14ac:dyDescent="0.15">
      <c r="A610" s="66"/>
      <c r="B610" s="66"/>
      <c r="C610" s="65"/>
      <c r="D610" s="65"/>
      <c r="E610" s="65"/>
      <c r="F610" s="23"/>
      <c r="G610" s="23"/>
    </row>
    <row r="611" spans="1:7" x14ac:dyDescent="0.15">
      <c r="A611" s="66"/>
      <c r="B611" s="66"/>
      <c r="C611" s="65"/>
      <c r="D611" s="65"/>
      <c r="E611" s="65"/>
      <c r="F611" s="23"/>
      <c r="G611" s="23"/>
    </row>
    <row r="612" spans="1:7" x14ac:dyDescent="0.15">
      <c r="A612" s="66"/>
      <c r="B612" s="66"/>
      <c r="C612" s="65"/>
      <c r="D612" s="65"/>
      <c r="E612" s="65"/>
      <c r="F612" s="23"/>
      <c r="G612" s="23"/>
    </row>
    <row r="613" spans="1:7" x14ac:dyDescent="0.15">
      <c r="A613" s="66"/>
      <c r="B613" s="66"/>
      <c r="C613" s="65"/>
      <c r="D613" s="65"/>
      <c r="E613" s="65"/>
      <c r="F613" s="23"/>
      <c r="G613" s="23"/>
    </row>
    <row r="614" spans="1:7" x14ac:dyDescent="0.15">
      <c r="A614" s="66"/>
      <c r="B614" s="66"/>
      <c r="C614" s="65"/>
      <c r="D614" s="65"/>
      <c r="E614" s="65"/>
      <c r="F614" s="23"/>
      <c r="G614" s="23"/>
    </row>
    <row r="615" spans="1:7" x14ac:dyDescent="0.15">
      <c r="A615" s="66"/>
      <c r="B615" s="66"/>
      <c r="C615" s="65"/>
      <c r="D615" s="65"/>
      <c r="E615" s="65"/>
      <c r="F615" s="23"/>
      <c r="G615" s="23"/>
    </row>
    <row r="616" spans="1:7" x14ac:dyDescent="0.15">
      <c r="A616" s="66"/>
      <c r="B616" s="66"/>
      <c r="C616" s="65"/>
      <c r="D616" s="65"/>
      <c r="E616" s="65"/>
      <c r="F616" s="23"/>
      <c r="G616" s="23"/>
    </row>
    <row r="617" spans="1:7" x14ac:dyDescent="0.15">
      <c r="A617" s="66"/>
      <c r="B617" s="66"/>
      <c r="C617" s="65"/>
      <c r="D617" s="65"/>
      <c r="E617" s="65"/>
      <c r="F617" s="23"/>
      <c r="G617" s="23"/>
    </row>
    <row r="618" spans="1:7" x14ac:dyDescent="0.15">
      <c r="A618" s="66"/>
      <c r="B618" s="66"/>
      <c r="C618" s="65"/>
      <c r="D618" s="65"/>
      <c r="E618" s="65"/>
      <c r="F618" s="23"/>
      <c r="G618" s="23"/>
    </row>
    <row r="619" spans="1:7" x14ac:dyDescent="0.15">
      <c r="A619" s="66"/>
      <c r="B619" s="66"/>
      <c r="C619" s="65"/>
      <c r="D619" s="65"/>
      <c r="E619" s="65"/>
      <c r="F619" s="23"/>
      <c r="G619" s="23"/>
    </row>
    <row r="620" spans="1:7" x14ac:dyDescent="0.15">
      <c r="A620" s="66"/>
      <c r="B620" s="66"/>
      <c r="C620" s="65"/>
      <c r="D620" s="65"/>
      <c r="E620" s="65"/>
      <c r="F620" s="23"/>
      <c r="G620" s="23"/>
    </row>
    <row r="621" spans="1:7" x14ac:dyDescent="0.15">
      <c r="A621" s="66"/>
      <c r="B621" s="66"/>
      <c r="C621" s="65"/>
      <c r="D621" s="65"/>
      <c r="E621" s="65"/>
      <c r="F621" s="23"/>
      <c r="G621" s="23"/>
    </row>
    <row r="622" spans="1:7" x14ac:dyDescent="0.15">
      <c r="A622" s="66"/>
      <c r="B622" s="66"/>
      <c r="C622" s="65"/>
      <c r="D622" s="65"/>
      <c r="E622" s="65"/>
      <c r="F622" s="23"/>
      <c r="G622" s="23"/>
    </row>
    <row r="623" spans="1:7" x14ac:dyDescent="0.15">
      <c r="A623" s="66"/>
      <c r="B623" s="66"/>
      <c r="C623" s="65"/>
      <c r="D623" s="65"/>
      <c r="E623" s="65"/>
      <c r="F623" s="23"/>
      <c r="G623" s="23"/>
    </row>
    <row r="624" spans="1:7" x14ac:dyDescent="0.15">
      <c r="A624" s="66"/>
      <c r="B624" s="66"/>
      <c r="C624" s="65"/>
      <c r="D624" s="65"/>
      <c r="E624" s="65"/>
      <c r="F624" s="23"/>
      <c r="G624" s="23"/>
    </row>
    <row r="625" spans="1:7" x14ac:dyDescent="0.15">
      <c r="A625" s="66"/>
      <c r="B625" s="66"/>
      <c r="C625" s="65"/>
      <c r="D625" s="65"/>
      <c r="E625" s="65"/>
      <c r="F625" s="23"/>
      <c r="G625" s="23"/>
    </row>
    <row r="626" spans="1:7" x14ac:dyDescent="0.15">
      <c r="A626" s="66"/>
      <c r="B626" s="66"/>
      <c r="C626" s="65"/>
      <c r="D626" s="65"/>
      <c r="E626" s="65"/>
      <c r="F626" s="23"/>
      <c r="G626" s="23"/>
    </row>
    <row r="627" spans="1:7" x14ac:dyDescent="0.15">
      <c r="A627" s="66"/>
      <c r="B627" s="66"/>
      <c r="C627" s="65"/>
      <c r="D627" s="65"/>
      <c r="E627" s="65"/>
      <c r="F627" s="23"/>
      <c r="G627" s="23"/>
    </row>
    <row r="628" spans="1:7" x14ac:dyDescent="0.15">
      <c r="A628" s="66"/>
      <c r="B628" s="66"/>
      <c r="C628" s="65"/>
      <c r="D628" s="65"/>
      <c r="E628" s="65"/>
      <c r="F628" s="23"/>
      <c r="G628" s="23"/>
    </row>
    <row r="629" spans="1:7" x14ac:dyDescent="0.15">
      <c r="A629" s="66"/>
      <c r="B629" s="66"/>
      <c r="C629" s="65"/>
      <c r="D629" s="65"/>
      <c r="E629" s="65"/>
      <c r="F629" s="23"/>
      <c r="G629" s="23"/>
    </row>
    <row r="630" spans="1:7" x14ac:dyDescent="0.15">
      <c r="A630" s="66"/>
      <c r="B630" s="66"/>
      <c r="C630" s="65"/>
      <c r="D630" s="65"/>
      <c r="E630" s="65"/>
      <c r="F630" s="23"/>
      <c r="G630" s="23"/>
    </row>
    <row r="631" spans="1:7" x14ac:dyDescent="0.15">
      <c r="A631" s="66"/>
      <c r="B631" s="66"/>
      <c r="C631" s="65"/>
      <c r="D631" s="65"/>
      <c r="E631" s="65"/>
      <c r="F631" s="23"/>
      <c r="G631" s="23"/>
    </row>
    <row r="632" spans="1:7" x14ac:dyDescent="0.15">
      <c r="A632" s="66"/>
      <c r="B632" s="66"/>
      <c r="C632" s="65"/>
      <c r="D632" s="65"/>
      <c r="E632" s="65"/>
      <c r="F632" s="23"/>
      <c r="G632" s="23"/>
    </row>
    <row r="633" spans="1:7" x14ac:dyDescent="0.15">
      <c r="A633" s="66"/>
      <c r="B633" s="66"/>
      <c r="C633" s="65"/>
      <c r="D633" s="65"/>
      <c r="E633" s="65"/>
      <c r="F633" s="23"/>
      <c r="G633" s="23"/>
    </row>
    <row r="634" spans="1:7" x14ac:dyDescent="0.15">
      <c r="A634" s="66"/>
      <c r="B634" s="66"/>
      <c r="C634" s="65"/>
      <c r="D634" s="65"/>
      <c r="E634" s="65"/>
      <c r="F634" s="23"/>
      <c r="G634" s="23"/>
    </row>
    <row r="635" spans="1:7" x14ac:dyDescent="0.15">
      <c r="A635" s="66"/>
      <c r="B635" s="66"/>
      <c r="C635" s="65"/>
      <c r="D635" s="65"/>
      <c r="E635" s="65"/>
      <c r="F635" s="23"/>
      <c r="G635" s="23"/>
    </row>
    <row r="636" spans="1:7" x14ac:dyDescent="0.15">
      <c r="A636" s="66"/>
      <c r="B636" s="66"/>
      <c r="C636" s="65"/>
      <c r="D636" s="65"/>
      <c r="E636" s="65"/>
      <c r="F636" s="23"/>
      <c r="G636" s="23"/>
    </row>
    <row r="637" spans="1:7" x14ac:dyDescent="0.15">
      <c r="A637" s="66"/>
      <c r="B637" s="66"/>
      <c r="C637" s="65"/>
      <c r="D637" s="65"/>
      <c r="E637" s="65"/>
      <c r="F637" s="23"/>
      <c r="G637" s="23"/>
    </row>
    <row r="638" spans="1:7" x14ac:dyDescent="0.15">
      <c r="A638" s="66"/>
      <c r="B638" s="66"/>
      <c r="C638" s="65"/>
      <c r="D638" s="65"/>
      <c r="E638" s="65"/>
      <c r="F638" s="23"/>
      <c r="G638" s="23"/>
    </row>
    <row r="639" spans="1:7" x14ac:dyDescent="0.15">
      <c r="A639" s="66"/>
      <c r="B639" s="66"/>
      <c r="C639" s="65"/>
      <c r="D639" s="65"/>
      <c r="E639" s="65"/>
      <c r="F639" s="23"/>
      <c r="G639" s="23"/>
    </row>
    <row r="640" spans="1:7" x14ac:dyDescent="0.15">
      <c r="A640" s="66"/>
      <c r="B640" s="66"/>
      <c r="C640" s="65"/>
      <c r="D640" s="65"/>
      <c r="E640" s="65"/>
      <c r="F640" s="23"/>
      <c r="G640" s="23"/>
    </row>
    <row r="641" spans="1:7" x14ac:dyDescent="0.15">
      <c r="A641" s="66"/>
      <c r="B641" s="66"/>
      <c r="C641" s="65"/>
      <c r="D641" s="65"/>
      <c r="E641" s="65"/>
      <c r="F641" s="23"/>
      <c r="G641" s="23"/>
    </row>
    <row r="642" spans="1:7" x14ac:dyDescent="0.15">
      <c r="A642" s="66"/>
      <c r="B642" s="66"/>
      <c r="C642" s="65"/>
      <c r="D642" s="65"/>
      <c r="E642" s="65"/>
      <c r="F642" s="23"/>
      <c r="G642" s="23"/>
    </row>
    <row r="643" spans="1:7" x14ac:dyDescent="0.15">
      <c r="A643" s="66"/>
      <c r="B643" s="66"/>
      <c r="C643" s="65"/>
      <c r="D643" s="65"/>
      <c r="E643" s="65"/>
      <c r="F643" s="23"/>
      <c r="G643" s="23"/>
    </row>
    <row r="644" spans="1:7" x14ac:dyDescent="0.15">
      <c r="A644" s="66"/>
      <c r="B644" s="66"/>
      <c r="C644" s="65"/>
      <c r="D644" s="65"/>
      <c r="E644" s="65"/>
      <c r="F644" s="23"/>
      <c r="G644" s="23"/>
    </row>
    <row r="645" spans="1:7" x14ac:dyDescent="0.15">
      <c r="A645" s="66"/>
      <c r="B645" s="66"/>
      <c r="C645" s="65"/>
      <c r="D645" s="65"/>
      <c r="E645" s="65"/>
      <c r="F645" s="23"/>
      <c r="G645" s="23"/>
    </row>
    <row r="646" spans="1:7" x14ac:dyDescent="0.15">
      <c r="A646" s="66"/>
      <c r="B646" s="66"/>
      <c r="C646" s="65"/>
      <c r="D646" s="65"/>
      <c r="E646" s="65"/>
      <c r="F646" s="23"/>
      <c r="G646" s="23"/>
    </row>
    <row r="647" spans="1:7" x14ac:dyDescent="0.15">
      <c r="A647" s="66"/>
      <c r="B647" s="66"/>
      <c r="C647" s="65"/>
      <c r="D647" s="65"/>
      <c r="E647" s="65"/>
      <c r="F647" s="23"/>
      <c r="G647" s="23"/>
    </row>
    <row r="648" spans="1:7" x14ac:dyDescent="0.15">
      <c r="A648" s="66"/>
      <c r="B648" s="66"/>
      <c r="C648" s="65"/>
      <c r="D648" s="65"/>
      <c r="E648" s="65"/>
      <c r="F648" s="23"/>
      <c r="G648" s="23"/>
    </row>
    <row r="649" spans="1:7" x14ac:dyDescent="0.15">
      <c r="A649" s="66"/>
      <c r="B649" s="66"/>
      <c r="C649" s="65"/>
      <c r="D649" s="65"/>
      <c r="E649" s="65"/>
      <c r="F649" s="23"/>
      <c r="G649" s="23"/>
    </row>
    <row r="650" spans="1:7" x14ac:dyDescent="0.15">
      <c r="A650" s="66"/>
      <c r="B650" s="66"/>
      <c r="C650" s="65"/>
      <c r="D650" s="65"/>
      <c r="E650" s="65"/>
      <c r="F650" s="23"/>
      <c r="G650" s="23"/>
    </row>
    <row r="651" spans="1:7" x14ac:dyDescent="0.15">
      <c r="A651" s="66"/>
      <c r="B651" s="66"/>
      <c r="C651" s="65"/>
      <c r="D651" s="65"/>
      <c r="E651" s="65"/>
      <c r="F651" s="23"/>
      <c r="G651" s="23"/>
    </row>
    <row r="652" spans="1:7" x14ac:dyDescent="0.15">
      <c r="A652" s="66"/>
      <c r="B652" s="66"/>
      <c r="C652" s="65"/>
      <c r="D652" s="65"/>
      <c r="E652" s="65"/>
      <c r="F652" s="23"/>
      <c r="G652" s="23"/>
    </row>
    <row r="653" spans="1:7" x14ac:dyDescent="0.15">
      <c r="A653" s="66"/>
      <c r="B653" s="66"/>
      <c r="C653" s="65"/>
      <c r="D653" s="65"/>
      <c r="E653" s="65"/>
      <c r="F653" s="23"/>
      <c r="G653" s="23"/>
    </row>
    <row r="654" spans="1:7" x14ac:dyDescent="0.15">
      <c r="A654" s="66"/>
      <c r="B654" s="66"/>
      <c r="C654" s="65"/>
      <c r="D654" s="65"/>
      <c r="E654" s="65"/>
      <c r="F654" s="23"/>
      <c r="G654" s="23"/>
    </row>
    <row r="655" spans="1:7" x14ac:dyDescent="0.15">
      <c r="A655" s="66"/>
      <c r="B655" s="66"/>
      <c r="C655" s="65"/>
      <c r="D655" s="65"/>
      <c r="E655" s="65"/>
      <c r="F655" s="23"/>
      <c r="G655" s="23"/>
    </row>
    <row r="656" spans="1:7" x14ac:dyDescent="0.15">
      <c r="A656" s="66"/>
      <c r="B656" s="66"/>
      <c r="C656" s="65"/>
      <c r="D656" s="65"/>
      <c r="E656" s="65"/>
      <c r="F656" s="23"/>
      <c r="G656" s="23"/>
    </row>
    <row r="657" spans="1:7" x14ac:dyDescent="0.15">
      <c r="A657" s="66"/>
      <c r="B657" s="66"/>
      <c r="C657" s="65"/>
      <c r="D657" s="65"/>
      <c r="E657" s="65"/>
      <c r="F657" s="23"/>
      <c r="G657" s="23"/>
    </row>
    <row r="658" spans="1:7" x14ac:dyDescent="0.15">
      <c r="A658" s="66"/>
      <c r="B658" s="66"/>
      <c r="C658" s="65"/>
      <c r="D658" s="65"/>
      <c r="E658" s="65"/>
      <c r="F658" s="23"/>
      <c r="G658" s="23"/>
    </row>
    <row r="659" spans="1:7" x14ac:dyDescent="0.15">
      <c r="A659" s="66"/>
      <c r="B659" s="66"/>
      <c r="C659" s="65"/>
      <c r="D659" s="65"/>
      <c r="E659" s="65"/>
      <c r="F659" s="23"/>
      <c r="G659" s="23"/>
    </row>
    <row r="660" spans="1:7" x14ac:dyDescent="0.15">
      <c r="A660" s="66"/>
      <c r="B660" s="66"/>
      <c r="C660" s="65"/>
      <c r="D660" s="65"/>
      <c r="E660" s="65"/>
      <c r="F660" s="23"/>
      <c r="G660" s="23"/>
    </row>
    <row r="661" spans="1:7" x14ac:dyDescent="0.15">
      <c r="A661" s="66"/>
      <c r="B661" s="66"/>
      <c r="C661" s="65"/>
      <c r="D661" s="65"/>
      <c r="E661" s="65"/>
      <c r="F661" s="23"/>
      <c r="G661" s="23"/>
    </row>
    <row r="662" spans="1:7" x14ac:dyDescent="0.15">
      <c r="A662" s="66"/>
      <c r="B662" s="66"/>
      <c r="C662" s="65"/>
      <c r="D662" s="65"/>
      <c r="E662" s="65"/>
      <c r="F662" s="23"/>
      <c r="G662" s="23"/>
    </row>
    <row r="663" spans="1:7" x14ac:dyDescent="0.15">
      <c r="A663" s="66"/>
      <c r="B663" s="66"/>
      <c r="C663" s="65"/>
      <c r="D663" s="65"/>
      <c r="E663" s="65"/>
      <c r="F663" s="23"/>
      <c r="G663" s="23"/>
    </row>
    <row r="664" spans="1:7" x14ac:dyDescent="0.15">
      <c r="A664" s="66"/>
      <c r="B664" s="66"/>
      <c r="C664" s="65"/>
      <c r="D664" s="65"/>
      <c r="E664" s="65"/>
      <c r="F664" s="23"/>
      <c r="G664" s="23"/>
    </row>
    <row r="665" spans="1:7" x14ac:dyDescent="0.15">
      <c r="A665" s="66"/>
      <c r="B665" s="66"/>
      <c r="C665" s="65"/>
      <c r="D665" s="65"/>
      <c r="E665" s="65"/>
      <c r="F665" s="23"/>
      <c r="G665" s="23"/>
    </row>
    <row r="666" spans="1:7" x14ac:dyDescent="0.15">
      <c r="A666" s="66"/>
      <c r="B666" s="66"/>
      <c r="C666" s="65"/>
      <c r="D666" s="65"/>
      <c r="E666" s="65"/>
      <c r="F666" s="23"/>
      <c r="G666" s="23"/>
    </row>
    <row r="667" spans="1:7" x14ac:dyDescent="0.15">
      <c r="A667" s="66"/>
      <c r="B667" s="66"/>
      <c r="C667" s="65"/>
      <c r="D667" s="65"/>
      <c r="E667" s="65"/>
      <c r="F667" s="23"/>
      <c r="G667" s="23"/>
    </row>
    <row r="668" spans="1:7" x14ac:dyDescent="0.15">
      <c r="A668" s="66"/>
      <c r="B668" s="66"/>
      <c r="C668" s="65"/>
      <c r="D668" s="65"/>
      <c r="E668" s="65"/>
      <c r="F668" s="23"/>
      <c r="G668" s="23"/>
    </row>
    <row r="669" spans="1:7" x14ac:dyDescent="0.15">
      <c r="A669" s="66"/>
      <c r="B669" s="66"/>
      <c r="C669" s="65"/>
      <c r="D669" s="65"/>
      <c r="E669" s="65"/>
      <c r="F669" s="23"/>
      <c r="G669" s="23"/>
    </row>
    <row r="670" spans="1:7" x14ac:dyDescent="0.15">
      <c r="A670" s="66"/>
      <c r="B670" s="66"/>
      <c r="C670" s="65"/>
      <c r="D670" s="65"/>
      <c r="E670" s="65"/>
      <c r="F670" s="23"/>
      <c r="G670" s="23"/>
    </row>
    <row r="671" spans="1:7" x14ac:dyDescent="0.15">
      <c r="A671" s="66"/>
      <c r="B671" s="66"/>
      <c r="C671" s="65"/>
      <c r="D671" s="65"/>
      <c r="E671" s="65"/>
      <c r="F671" s="23"/>
      <c r="G671" s="23"/>
    </row>
    <row r="672" spans="1:7" x14ac:dyDescent="0.15">
      <c r="A672" s="66"/>
      <c r="B672" s="66"/>
      <c r="C672" s="65"/>
      <c r="D672" s="65"/>
      <c r="E672" s="65"/>
      <c r="F672" s="23"/>
      <c r="G672" s="23"/>
    </row>
    <row r="673" spans="1:7" x14ac:dyDescent="0.15">
      <c r="A673" s="66"/>
      <c r="B673" s="66"/>
      <c r="C673" s="65"/>
      <c r="D673" s="65"/>
      <c r="E673" s="65"/>
      <c r="F673" s="23"/>
      <c r="G673" s="23"/>
    </row>
    <row r="674" spans="1:7" x14ac:dyDescent="0.15">
      <c r="A674" s="66"/>
      <c r="B674" s="66"/>
      <c r="C674" s="65"/>
      <c r="D674" s="65"/>
      <c r="E674" s="65"/>
      <c r="F674" s="23"/>
      <c r="G674" s="23"/>
    </row>
    <row r="675" spans="1:7" x14ac:dyDescent="0.15">
      <c r="A675" s="66"/>
      <c r="B675" s="66"/>
      <c r="C675" s="65"/>
      <c r="D675" s="65"/>
      <c r="E675" s="65"/>
      <c r="F675" s="23"/>
      <c r="G675" s="23"/>
    </row>
    <row r="676" spans="1:7" x14ac:dyDescent="0.15">
      <c r="A676" s="66"/>
      <c r="B676" s="66"/>
      <c r="C676" s="65"/>
      <c r="D676" s="65"/>
      <c r="E676" s="65"/>
      <c r="F676" s="23"/>
      <c r="G676" s="23"/>
    </row>
    <row r="677" spans="1:7" x14ac:dyDescent="0.15">
      <c r="A677" s="66"/>
      <c r="B677" s="66"/>
      <c r="C677" s="65"/>
      <c r="D677" s="65"/>
      <c r="E677" s="65"/>
      <c r="F677" s="23"/>
      <c r="G677" s="23"/>
    </row>
    <row r="678" spans="1:7" x14ac:dyDescent="0.15">
      <c r="A678" s="66"/>
      <c r="B678" s="66"/>
      <c r="C678" s="65"/>
      <c r="D678" s="65"/>
      <c r="E678" s="65"/>
      <c r="F678" s="23"/>
      <c r="G678" s="23"/>
    </row>
    <row r="679" spans="1:7" x14ac:dyDescent="0.15">
      <c r="A679" s="66"/>
      <c r="B679" s="66"/>
      <c r="C679" s="65"/>
      <c r="D679" s="65"/>
      <c r="E679" s="65"/>
      <c r="F679" s="23"/>
      <c r="G679" s="23"/>
    </row>
    <row r="680" spans="1:7" x14ac:dyDescent="0.15">
      <c r="A680" s="66"/>
      <c r="B680" s="66"/>
      <c r="C680" s="65"/>
      <c r="D680" s="65"/>
      <c r="E680" s="65"/>
      <c r="F680" s="23"/>
      <c r="G680" s="23"/>
    </row>
    <row r="681" spans="1:7" x14ac:dyDescent="0.15">
      <c r="A681" s="66"/>
      <c r="B681" s="66"/>
      <c r="C681" s="65"/>
      <c r="D681" s="65"/>
      <c r="E681" s="65"/>
      <c r="F681" s="23"/>
      <c r="G681" s="23"/>
    </row>
    <row r="682" spans="1:7" x14ac:dyDescent="0.15">
      <c r="A682" s="66"/>
      <c r="B682" s="66"/>
      <c r="C682" s="65"/>
      <c r="D682" s="65"/>
      <c r="E682" s="65"/>
      <c r="F682" s="23"/>
      <c r="G682" s="23"/>
    </row>
    <row r="683" spans="1:7" x14ac:dyDescent="0.15">
      <c r="A683" s="66"/>
      <c r="B683" s="66"/>
      <c r="C683" s="65"/>
      <c r="D683" s="65"/>
      <c r="E683" s="65"/>
      <c r="F683" s="23"/>
      <c r="G683" s="23"/>
    </row>
    <row r="684" spans="1:7" x14ac:dyDescent="0.15">
      <c r="A684" s="66"/>
      <c r="B684" s="66"/>
      <c r="C684" s="65"/>
      <c r="D684" s="65"/>
      <c r="E684" s="65"/>
      <c r="F684" s="23"/>
      <c r="G684" s="23"/>
    </row>
    <row r="685" spans="1:7" x14ac:dyDescent="0.15">
      <c r="A685" s="66"/>
      <c r="B685" s="66"/>
      <c r="C685" s="65"/>
      <c r="D685" s="65"/>
      <c r="E685" s="65"/>
      <c r="F685" s="23"/>
      <c r="G685" s="23"/>
    </row>
    <row r="686" spans="1:7" x14ac:dyDescent="0.15">
      <c r="A686" s="66"/>
      <c r="B686" s="66"/>
      <c r="C686" s="65"/>
      <c r="D686" s="65"/>
      <c r="E686" s="65"/>
      <c r="F686" s="23"/>
      <c r="G686" s="23"/>
    </row>
    <row r="687" spans="1:7" x14ac:dyDescent="0.15">
      <c r="A687" s="66"/>
      <c r="B687" s="66"/>
      <c r="C687" s="65"/>
      <c r="D687" s="65"/>
      <c r="E687" s="65"/>
      <c r="F687" s="23"/>
      <c r="G687" s="23"/>
    </row>
    <row r="688" spans="1:7" x14ac:dyDescent="0.15">
      <c r="A688" s="66"/>
      <c r="B688" s="66"/>
      <c r="C688" s="65"/>
      <c r="D688" s="65"/>
      <c r="E688" s="65"/>
      <c r="F688" s="23"/>
      <c r="G688" s="23"/>
    </row>
    <row r="689" spans="1:7" x14ac:dyDescent="0.15">
      <c r="A689" s="66"/>
      <c r="B689" s="66"/>
      <c r="C689" s="65"/>
      <c r="D689" s="65"/>
      <c r="E689" s="65"/>
      <c r="F689" s="23"/>
      <c r="G689" s="23"/>
    </row>
    <row r="690" spans="1:7" x14ac:dyDescent="0.15">
      <c r="A690" s="66"/>
      <c r="B690" s="66"/>
      <c r="C690" s="65"/>
      <c r="D690" s="65"/>
      <c r="E690" s="65"/>
      <c r="F690" s="23"/>
      <c r="G690" s="23"/>
    </row>
    <row r="691" spans="1:7" x14ac:dyDescent="0.15">
      <c r="A691" s="66"/>
      <c r="B691" s="66"/>
      <c r="C691" s="65"/>
      <c r="D691" s="65"/>
      <c r="E691" s="65"/>
      <c r="F691" s="23"/>
      <c r="G691" s="23"/>
    </row>
    <row r="692" spans="1:7" x14ac:dyDescent="0.15">
      <c r="A692" s="66"/>
      <c r="B692" s="66"/>
      <c r="C692" s="65"/>
      <c r="D692" s="65"/>
      <c r="E692" s="65"/>
      <c r="F692" s="23"/>
      <c r="G692" s="23"/>
    </row>
    <row r="693" spans="1:7" x14ac:dyDescent="0.15">
      <c r="A693" s="66"/>
      <c r="B693" s="66"/>
      <c r="C693" s="65"/>
      <c r="D693" s="65"/>
      <c r="E693" s="65"/>
      <c r="F693" s="23"/>
      <c r="G693" s="23"/>
    </row>
    <row r="694" spans="1:7" x14ac:dyDescent="0.15">
      <c r="A694" s="66"/>
      <c r="B694" s="66"/>
      <c r="C694" s="65"/>
      <c r="D694" s="65"/>
      <c r="E694" s="65"/>
      <c r="F694" s="23"/>
      <c r="G694" s="23"/>
    </row>
    <row r="695" spans="1:7" x14ac:dyDescent="0.15">
      <c r="A695" s="66"/>
      <c r="B695" s="66"/>
      <c r="C695" s="65"/>
      <c r="D695" s="65"/>
      <c r="E695" s="65"/>
      <c r="F695" s="23"/>
      <c r="G695" s="23"/>
    </row>
    <row r="696" spans="1:7" x14ac:dyDescent="0.15">
      <c r="A696" s="66"/>
      <c r="B696" s="66"/>
      <c r="C696" s="65"/>
      <c r="D696" s="65"/>
      <c r="E696" s="65"/>
      <c r="F696" s="23"/>
      <c r="G696" s="23"/>
    </row>
    <row r="697" spans="1:7" x14ac:dyDescent="0.15">
      <c r="A697" s="66"/>
      <c r="B697" s="66"/>
      <c r="C697" s="65"/>
      <c r="D697" s="65"/>
      <c r="E697" s="65"/>
      <c r="F697" s="23"/>
      <c r="G697" s="23"/>
    </row>
    <row r="698" spans="1:7" x14ac:dyDescent="0.15">
      <c r="A698" s="66"/>
      <c r="B698" s="66"/>
      <c r="C698" s="65"/>
      <c r="D698" s="65"/>
      <c r="E698" s="65"/>
      <c r="F698" s="23"/>
      <c r="G698" s="23"/>
    </row>
    <row r="699" spans="1:7" x14ac:dyDescent="0.15">
      <c r="A699" s="66"/>
      <c r="B699" s="66"/>
      <c r="C699" s="65"/>
      <c r="D699" s="65"/>
      <c r="E699" s="65"/>
      <c r="F699" s="23"/>
      <c r="G699" s="23"/>
    </row>
    <row r="700" spans="1:7" x14ac:dyDescent="0.15">
      <c r="A700" s="66"/>
      <c r="B700" s="66"/>
      <c r="C700" s="65"/>
      <c r="D700" s="65"/>
      <c r="E700" s="65"/>
      <c r="F700" s="23"/>
      <c r="G700" s="23"/>
    </row>
    <row r="701" spans="1:7" x14ac:dyDescent="0.15">
      <c r="A701" s="66"/>
      <c r="B701" s="66"/>
      <c r="C701" s="65"/>
      <c r="D701" s="65"/>
      <c r="E701" s="65"/>
      <c r="F701" s="23"/>
      <c r="G701" s="23"/>
    </row>
    <row r="702" spans="1:7" x14ac:dyDescent="0.15">
      <c r="A702" s="66"/>
      <c r="B702" s="66"/>
      <c r="C702" s="65"/>
      <c r="D702" s="65"/>
      <c r="E702" s="65"/>
      <c r="F702" s="23"/>
      <c r="G702" s="23"/>
    </row>
    <row r="703" spans="1:7" x14ac:dyDescent="0.15">
      <c r="A703" s="66"/>
      <c r="B703" s="66"/>
      <c r="C703" s="65"/>
      <c r="D703" s="65"/>
      <c r="E703" s="65"/>
      <c r="F703" s="23"/>
      <c r="G703" s="23"/>
    </row>
    <row r="704" spans="1:7" x14ac:dyDescent="0.15">
      <c r="A704" s="66"/>
      <c r="B704" s="66"/>
      <c r="C704" s="65"/>
      <c r="D704" s="65"/>
      <c r="E704" s="65"/>
      <c r="F704" s="23"/>
      <c r="G704" s="23"/>
    </row>
    <row r="705" spans="1:7" x14ac:dyDescent="0.15">
      <c r="A705" s="66"/>
      <c r="B705" s="66"/>
      <c r="C705" s="65"/>
      <c r="D705" s="65"/>
      <c r="E705" s="65"/>
      <c r="F705" s="23"/>
      <c r="G705" s="23"/>
    </row>
    <row r="706" spans="1:7" x14ac:dyDescent="0.15">
      <c r="A706" s="66"/>
      <c r="B706" s="66"/>
      <c r="C706" s="65"/>
      <c r="D706" s="65"/>
      <c r="E706" s="65"/>
      <c r="F706" s="23"/>
      <c r="G706" s="23"/>
    </row>
    <row r="707" spans="1:7" x14ac:dyDescent="0.15">
      <c r="A707" s="66"/>
      <c r="B707" s="66"/>
      <c r="C707" s="65"/>
      <c r="D707" s="65"/>
      <c r="E707" s="65"/>
      <c r="F707" s="23"/>
      <c r="G707" s="23"/>
    </row>
    <row r="708" spans="1:7" x14ac:dyDescent="0.15">
      <c r="A708" s="66"/>
      <c r="B708" s="66"/>
      <c r="C708" s="65"/>
      <c r="D708" s="65"/>
      <c r="E708" s="65"/>
      <c r="F708" s="23"/>
      <c r="G708" s="23"/>
    </row>
    <row r="709" spans="1:7" x14ac:dyDescent="0.15">
      <c r="A709" s="66"/>
      <c r="B709" s="66"/>
      <c r="C709" s="65"/>
      <c r="D709" s="65"/>
      <c r="E709" s="65"/>
      <c r="F709" s="23"/>
      <c r="G709" s="23"/>
    </row>
    <row r="710" spans="1:7" x14ac:dyDescent="0.15">
      <c r="A710" s="66"/>
      <c r="B710" s="66"/>
      <c r="C710" s="65"/>
      <c r="D710" s="65"/>
      <c r="E710" s="65"/>
      <c r="F710" s="23"/>
      <c r="G710" s="23"/>
    </row>
    <row r="711" spans="1:7" x14ac:dyDescent="0.15">
      <c r="A711" s="66"/>
      <c r="B711" s="66"/>
      <c r="C711" s="65"/>
      <c r="D711" s="65"/>
      <c r="E711" s="65"/>
      <c r="F711" s="23"/>
      <c r="G711" s="23"/>
    </row>
    <row r="712" spans="1:7" x14ac:dyDescent="0.15">
      <c r="A712" s="66"/>
      <c r="B712" s="66"/>
      <c r="C712" s="65"/>
      <c r="D712" s="65"/>
      <c r="E712" s="65"/>
      <c r="F712" s="23"/>
      <c r="G712" s="23"/>
    </row>
    <row r="713" spans="1:7" x14ac:dyDescent="0.15">
      <c r="A713" s="66"/>
      <c r="B713" s="66"/>
      <c r="C713" s="65"/>
      <c r="D713" s="65"/>
      <c r="E713" s="65"/>
      <c r="F713" s="23"/>
      <c r="G713" s="23"/>
    </row>
    <row r="714" spans="1:7" x14ac:dyDescent="0.15">
      <c r="A714" s="66"/>
      <c r="B714" s="66"/>
      <c r="C714" s="65"/>
      <c r="D714" s="65"/>
      <c r="E714" s="65"/>
      <c r="F714" s="23"/>
      <c r="G714" s="23"/>
    </row>
    <row r="715" spans="1:7" x14ac:dyDescent="0.15">
      <c r="A715" s="66"/>
      <c r="B715" s="66"/>
      <c r="C715" s="65"/>
      <c r="D715" s="65"/>
      <c r="E715" s="65"/>
      <c r="F715" s="23"/>
      <c r="G715" s="23"/>
    </row>
    <row r="716" spans="1:7" x14ac:dyDescent="0.15">
      <c r="A716" s="66"/>
      <c r="B716" s="66"/>
      <c r="C716" s="65"/>
      <c r="D716" s="65"/>
      <c r="E716" s="65"/>
      <c r="F716" s="23"/>
      <c r="G716" s="23"/>
    </row>
    <row r="717" spans="1:7" x14ac:dyDescent="0.15">
      <c r="A717" s="66"/>
      <c r="B717" s="66"/>
      <c r="C717" s="65"/>
      <c r="D717" s="65"/>
      <c r="E717" s="65"/>
      <c r="F717" s="23"/>
      <c r="G717" s="23"/>
    </row>
    <row r="718" spans="1:7" x14ac:dyDescent="0.15">
      <c r="A718" s="66"/>
      <c r="B718" s="66"/>
      <c r="C718" s="65"/>
      <c r="D718" s="65"/>
      <c r="E718" s="65"/>
      <c r="F718" s="23"/>
      <c r="G718" s="23"/>
    </row>
    <row r="719" spans="1:7" x14ac:dyDescent="0.15">
      <c r="A719" s="66"/>
      <c r="B719" s="66"/>
      <c r="C719" s="65"/>
      <c r="D719" s="65"/>
      <c r="E719" s="65"/>
      <c r="F719" s="23"/>
      <c r="G719" s="23"/>
    </row>
    <row r="720" spans="1:7" x14ac:dyDescent="0.15">
      <c r="A720" s="66"/>
      <c r="B720" s="66"/>
      <c r="C720" s="65"/>
      <c r="D720" s="65"/>
      <c r="E720" s="65"/>
      <c r="F720" s="23"/>
      <c r="G720" s="23"/>
    </row>
    <row r="721" spans="1:7" x14ac:dyDescent="0.15">
      <c r="A721" s="66"/>
      <c r="B721" s="66"/>
      <c r="C721" s="65"/>
      <c r="D721" s="65"/>
      <c r="E721" s="65"/>
      <c r="F721" s="23"/>
      <c r="G721" s="23"/>
    </row>
    <row r="722" spans="1:7" x14ac:dyDescent="0.15">
      <c r="A722" s="66"/>
      <c r="B722" s="66"/>
      <c r="C722" s="65"/>
      <c r="D722" s="65"/>
      <c r="E722" s="65"/>
      <c r="F722" s="23"/>
      <c r="G722" s="23"/>
    </row>
    <row r="723" spans="1:7" x14ac:dyDescent="0.15">
      <c r="A723" s="66"/>
      <c r="B723" s="66"/>
      <c r="C723" s="65"/>
      <c r="D723" s="65"/>
      <c r="E723" s="65"/>
      <c r="F723" s="23"/>
      <c r="G723" s="23"/>
    </row>
    <row r="724" spans="1:7" x14ac:dyDescent="0.15">
      <c r="A724" s="66"/>
      <c r="B724" s="66"/>
      <c r="C724" s="65"/>
      <c r="D724" s="65"/>
      <c r="E724" s="65"/>
      <c r="F724" s="23"/>
      <c r="G724" s="23"/>
    </row>
    <row r="725" spans="1:7" x14ac:dyDescent="0.15">
      <c r="A725" s="66"/>
      <c r="B725" s="66"/>
      <c r="C725" s="65"/>
      <c r="D725" s="65"/>
      <c r="E725" s="65"/>
      <c r="F725" s="23"/>
      <c r="G725" s="23"/>
    </row>
    <row r="726" spans="1:7" x14ac:dyDescent="0.15">
      <c r="A726" s="66"/>
      <c r="B726" s="66"/>
      <c r="C726" s="65"/>
      <c r="D726" s="65"/>
      <c r="E726" s="65"/>
      <c r="F726" s="23"/>
      <c r="G726" s="23"/>
    </row>
    <row r="727" spans="1:7" x14ac:dyDescent="0.15">
      <c r="A727" s="66"/>
      <c r="B727" s="66"/>
      <c r="C727" s="65"/>
      <c r="D727" s="65"/>
      <c r="E727" s="65"/>
      <c r="F727" s="23"/>
      <c r="G727" s="23"/>
    </row>
    <row r="728" spans="1:7" x14ac:dyDescent="0.15">
      <c r="A728" s="66"/>
      <c r="B728" s="66"/>
      <c r="C728" s="65"/>
      <c r="D728" s="65"/>
      <c r="E728" s="65"/>
      <c r="F728" s="23"/>
      <c r="G728" s="23"/>
    </row>
    <row r="729" spans="1:7" x14ac:dyDescent="0.15">
      <c r="A729" s="66"/>
      <c r="B729" s="66"/>
      <c r="C729" s="65"/>
      <c r="D729" s="65"/>
      <c r="E729" s="65"/>
      <c r="F729" s="23"/>
      <c r="G729" s="23"/>
    </row>
    <row r="730" spans="1:7" x14ac:dyDescent="0.15">
      <c r="A730" s="66"/>
      <c r="B730" s="66"/>
      <c r="C730" s="65"/>
      <c r="D730" s="65"/>
      <c r="E730" s="65"/>
      <c r="F730" s="23"/>
      <c r="G730" s="23"/>
    </row>
    <row r="731" spans="1:7" x14ac:dyDescent="0.15">
      <c r="A731" s="66"/>
      <c r="B731" s="66"/>
      <c r="C731" s="65"/>
      <c r="D731" s="65"/>
      <c r="E731" s="65"/>
      <c r="F731" s="23"/>
      <c r="G731" s="23"/>
    </row>
    <row r="732" spans="1:7" x14ac:dyDescent="0.15">
      <c r="A732" s="66"/>
      <c r="B732" s="66"/>
      <c r="C732" s="65"/>
      <c r="D732" s="65"/>
      <c r="E732" s="65"/>
      <c r="F732" s="23"/>
      <c r="G732" s="23"/>
    </row>
    <row r="733" spans="1:7" x14ac:dyDescent="0.15">
      <c r="A733" s="66"/>
      <c r="B733" s="66"/>
      <c r="C733" s="65"/>
      <c r="D733" s="65"/>
      <c r="E733" s="65"/>
      <c r="F733" s="23"/>
      <c r="G733" s="23"/>
    </row>
    <row r="734" spans="1:7" x14ac:dyDescent="0.15">
      <c r="A734" s="66"/>
      <c r="B734" s="66"/>
      <c r="C734" s="65"/>
      <c r="D734" s="65"/>
      <c r="E734" s="65"/>
      <c r="F734" s="23"/>
      <c r="G734" s="23"/>
    </row>
    <row r="735" spans="1:7" x14ac:dyDescent="0.15">
      <c r="A735" s="66"/>
      <c r="B735" s="66"/>
      <c r="C735" s="65"/>
      <c r="D735" s="65"/>
      <c r="E735" s="65"/>
      <c r="F735" s="23"/>
      <c r="G735" s="23"/>
    </row>
    <row r="736" spans="1:7" x14ac:dyDescent="0.15">
      <c r="A736" s="66"/>
      <c r="B736" s="66"/>
      <c r="C736" s="65"/>
      <c r="D736" s="65"/>
      <c r="E736" s="65"/>
      <c r="F736" s="23"/>
      <c r="G736" s="23"/>
    </row>
    <row r="737" spans="1:7" x14ac:dyDescent="0.15">
      <c r="A737" s="66"/>
      <c r="B737" s="66"/>
      <c r="C737" s="65"/>
      <c r="D737" s="65"/>
      <c r="E737" s="65"/>
      <c r="F737" s="23"/>
      <c r="G737" s="23"/>
    </row>
    <row r="738" spans="1:7" x14ac:dyDescent="0.15">
      <c r="A738" s="66"/>
      <c r="B738" s="66"/>
      <c r="C738" s="65"/>
      <c r="D738" s="65"/>
      <c r="E738" s="65"/>
      <c r="F738" s="23"/>
      <c r="G738" s="23"/>
    </row>
    <row r="739" spans="1:7" x14ac:dyDescent="0.15">
      <c r="A739" s="66"/>
      <c r="B739" s="66"/>
      <c r="C739" s="65"/>
      <c r="D739" s="65"/>
      <c r="E739" s="65"/>
      <c r="F739" s="23"/>
      <c r="G739" s="23"/>
    </row>
    <row r="740" spans="1:7" x14ac:dyDescent="0.15">
      <c r="A740" s="66"/>
      <c r="B740" s="66"/>
      <c r="C740" s="65"/>
      <c r="D740" s="65"/>
      <c r="E740" s="65"/>
      <c r="F740" s="23"/>
      <c r="G740" s="23"/>
    </row>
    <row r="741" spans="1:7" x14ac:dyDescent="0.15">
      <c r="A741" s="66"/>
      <c r="B741" s="66"/>
      <c r="C741" s="65"/>
      <c r="D741" s="65"/>
      <c r="E741" s="65"/>
      <c r="F741" s="23"/>
      <c r="G741" s="23"/>
    </row>
    <row r="742" spans="1:7" x14ac:dyDescent="0.15">
      <c r="A742" s="66"/>
      <c r="B742" s="66"/>
      <c r="C742" s="65"/>
      <c r="D742" s="65"/>
      <c r="E742" s="65"/>
      <c r="F742" s="23"/>
      <c r="G742" s="23"/>
    </row>
    <row r="743" spans="1:7" x14ac:dyDescent="0.15">
      <c r="A743" s="66"/>
      <c r="B743" s="66"/>
      <c r="C743" s="65"/>
      <c r="D743" s="65"/>
      <c r="E743" s="65"/>
      <c r="F743" s="23"/>
      <c r="G743" s="23"/>
    </row>
    <row r="744" spans="1:7" x14ac:dyDescent="0.15">
      <c r="A744" s="66"/>
      <c r="B744" s="66"/>
      <c r="C744" s="65"/>
      <c r="D744" s="65"/>
      <c r="E744" s="65"/>
      <c r="F744" s="23"/>
      <c r="G744" s="23"/>
    </row>
    <row r="745" spans="1:7" x14ac:dyDescent="0.15">
      <c r="A745" s="66"/>
      <c r="B745" s="66"/>
      <c r="C745" s="65"/>
      <c r="D745" s="65"/>
      <c r="E745" s="65"/>
      <c r="F745" s="23"/>
      <c r="G745" s="23"/>
    </row>
    <row r="746" spans="1:7" x14ac:dyDescent="0.15">
      <c r="A746" s="66"/>
      <c r="B746" s="66"/>
      <c r="C746" s="65"/>
      <c r="D746" s="65"/>
      <c r="E746" s="65"/>
      <c r="F746" s="23"/>
      <c r="G746" s="23"/>
    </row>
    <row r="747" spans="1:7" x14ac:dyDescent="0.15">
      <c r="A747" s="66"/>
      <c r="B747" s="66"/>
      <c r="C747" s="65"/>
      <c r="D747" s="65"/>
      <c r="E747" s="65"/>
      <c r="F747" s="23"/>
      <c r="G747" s="23"/>
    </row>
    <row r="748" spans="1:7" x14ac:dyDescent="0.15">
      <c r="A748" s="66"/>
      <c r="B748" s="66"/>
      <c r="C748" s="65"/>
      <c r="D748" s="65"/>
      <c r="E748" s="65"/>
      <c r="F748" s="23"/>
      <c r="G748" s="23"/>
    </row>
    <row r="749" spans="1:7" x14ac:dyDescent="0.15">
      <c r="A749" s="66"/>
      <c r="B749" s="66"/>
      <c r="C749" s="65"/>
      <c r="D749" s="65"/>
      <c r="E749" s="65"/>
      <c r="F749" s="23"/>
      <c r="G749" s="23"/>
    </row>
    <row r="750" spans="1:7" x14ac:dyDescent="0.15">
      <c r="A750" s="66"/>
      <c r="B750" s="66"/>
      <c r="C750" s="65"/>
      <c r="D750" s="65"/>
      <c r="E750" s="65"/>
      <c r="F750" s="23"/>
      <c r="G750" s="23"/>
    </row>
    <row r="751" spans="1:7" x14ac:dyDescent="0.15">
      <c r="A751" s="66"/>
      <c r="B751" s="66"/>
      <c r="C751" s="65"/>
      <c r="D751" s="65"/>
      <c r="E751" s="65"/>
      <c r="F751" s="23"/>
      <c r="G751" s="23"/>
    </row>
    <row r="752" spans="1:7" x14ac:dyDescent="0.15">
      <c r="A752" s="66"/>
      <c r="B752" s="66"/>
      <c r="C752" s="65"/>
      <c r="D752" s="65"/>
      <c r="E752" s="65"/>
      <c r="F752" s="23"/>
      <c r="G752" s="23"/>
    </row>
    <row r="753" spans="1:7" x14ac:dyDescent="0.15">
      <c r="A753" s="66"/>
      <c r="B753" s="66"/>
      <c r="C753" s="65"/>
      <c r="D753" s="65"/>
      <c r="E753" s="65"/>
      <c r="F753" s="23"/>
      <c r="G753" s="23"/>
    </row>
    <row r="754" spans="1:7" x14ac:dyDescent="0.15">
      <c r="A754" s="66"/>
      <c r="B754" s="66"/>
      <c r="C754" s="65"/>
      <c r="D754" s="65"/>
      <c r="E754" s="65"/>
      <c r="F754" s="23"/>
      <c r="G754" s="23"/>
    </row>
    <row r="755" spans="1:7" x14ac:dyDescent="0.15">
      <c r="A755" s="66"/>
      <c r="B755" s="66"/>
      <c r="C755" s="65"/>
      <c r="D755" s="65"/>
      <c r="E755" s="65"/>
      <c r="F755" s="23"/>
      <c r="G755" s="23"/>
    </row>
    <row r="756" spans="1:7" x14ac:dyDescent="0.15">
      <c r="A756" s="66"/>
      <c r="B756" s="66"/>
      <c r="C756" s="65"/>
      <c r="D756" s="65"/>
      <c r="E756" s="65"/>
      <c r="F756" s="23"/>
      <c r="G756" s="23"/>
    </row>
    <row r="757" spans="1:7" x14ac:dyDescent="0.15">
      <c r="A757" s="66"/>
      <c r="B757" s="66"/>
      <c r="C757" s="65"/>
      <c r="D757" s="65"/>
      <c r="E757" s="65"/>
      <c r="F757" s="23"/>
      <c r="G757" s="23"/>
    </row>
    <row r="758" spans="1:7" x14ac:dyDescent="0.15">
      <c r="A758" s="66"/>
      <c r="B758" s="66"/>
      <c r="C758" s="65"/>
      <c r="D758" s="65"/>
      <c r="E758" s="65"/>
      <c r="F758" s="23"/>
      <c r="G758" s="23"/>
    </row>
    <row r="759" spans="1:7" x14ac:dyDescent="0.15">
      <c r="A759" s="66"/>
      <c r="B759" s="66"/>
      <c r="C759" s="65"/>
      <c r="D759" s="65"/>
      <c r="E759" s="65"/>
      <c r="F759" s="23"/>
      <c r="G759" s="23"/>
    </row>
    <row r="760" spans="1:7" x14ac:dyDescent="0.15">
      <c r="A760" s="66"/>
      <c r="B760" s="66"/>
      <c r="C760" s="65"/>
      <c r="D760" s="65"/>
      <c r="E760" s="65"/>
      <c r="F760" s="23"/>
      <c r="G760" s="23"/>
    </row>
    <row r="761" spans="1:7" x14ac:dyDescent="0.15">
      <c r="A761" s="66"/>
      <c r="B761" s="66"/>
      <c r="C761" s="65"/>
      <c r="D761" s="65"/>
      <c r="E761" s="65"/>
      <c r="F761" s="23"/>
      <c r="G761" s="23"/>
    </row>
    <row r="762" spans="1:7" x14ac:dyDescent="0.15">
      <c r="A762" s="66"/>
      <c r="B762" s="66"/>
      <c r="C762" s="65"/>
      <c r="D762" s="65"/>
      <c r="E762" s="65"/>
      <c r="F762" s="23"/>
      <c r="G762" s="23"/>
    </row>
    <row r="763" spans="1:7" x14ac:dyDescent="0.15">
      <c r="A763" s="66"/>
      <c r="B763" s="66"/>
      <c r="C763" s="65"/>
      <c r="D763" s="65"/>
      <c r="E763" s="65"/>
      <c r="F763" s="23"/>
      <c r="G763" s="23"/>
    </row>
    <row r="764" spans="1:7" x14ac:dyDescent="0.15">
      <c r="A764" s="66"/>
      <c r="B764" s="66"/>
      <c r="C764" s="65"/>
      <c r="D764" s="65"/>
      <c r="E764" s="65"/>
      <c r="F764" s="23"/>
      <c r="G764" s="23"/>
    </row>
    <row r="765" spans="1:7" x14ac:dyDescent="0.15">
      <c r="A765" s="66"/>
      <c r="B765" s="66"/>
      <c r="C765" s="65"/>
      <c r="D765" s="65"/>
      <c r="E765" s="65"/>
      <c r="F765" s="23"/>
      <c r="G765" s="23"/>
    </row>
    <row r="766" spans="1:7" x14ac:dyDescent="0.15">
      <c r="A766" s="66"/>
      <c r="B766" s="66"/>
      <c r="C766" s="65"/>
      <c r="D766" s="65"/>
      <c r="E766" s="65"/>
      <c r="F766" s="23"/>
      <c r="G766" s="23"/>
    </row>
    <row r="767" spans="1:7" x14ac:dyDescent="0.15">
      <c r="A767" s="66"/>
      <c r="B767" s="66"/>
      <c r="C767" s="65"/>
      <c r="D767" s="65"/>
      <c r="E767" s="65"/>
      <c r="F767" s="23"/>
      <c r="G767" s="23"/>
    </row>
    <row r="768" spans="1:7" x14ac:dyDescent="0.15">
      <c r="A768" s="66"/>
      <c r="B768" s="66"/>
      <c r="C768" s="65"/>
      <c r="D768" s="65"/>
      <c r="E768" s="65"/>
      <c r="F768" s="23"/>
      <c r="G768" s="23"/>
    </row>
    <row r="769" spans="1:7" x14ac:dyDescent="0.15">
      <c r="A769" s="66"/>
      <c r="B769" s="66"/>
      <c r="C769" s="65"/>
      <c r="D769" s="65"/>
      <c r="E769" s="65"/>
      <c r="F769" s="23"/>
      <c r="G769" s="23"/>
    </row>
    <row r="770" spans="1:7" x14ac:dyDescent="0.15">
      <c r="A770" s="66"/>
      <c r="B770" s="66"/>
      <c r="C770" s="65"/>
      <c r="D770" s="65"/>
      <c r="E770" s="65"/>
      <c r="F770" s="23"/>
      <c r="G770" s="23"/>
    </row>
    <row r="771" spans="1:7" x14ac:dyDescent="0.15">
      <c r="A771" s="66"/>
      <c r="B771" s="66"/>
      <c r="C771" s="65"/>
      <c r="D771" s="65"/>
      <c r="E771" s="65"/>
      <c r="F771" s="23"/>
      <c r="G771" s="23"/>
    </row>
    <row r="772" spans="1:7" x14ac:dyDescent="0.15">
      <c r="A772" s="66"/>
      <c r="B772" s="66"/>
      <c r="C772" s="65"/>
      <c r="D772" s="65"/>
      <c r="E772" s="65"/>
      <c r="F772" s="23"/>
      <c r="G772" s="23"/>
    </row>
    <row r="773" spans="1:7" x14ac:dyDescent="0.15">
      <c r="A773" s="66"/>
      <c r="B773" s="66"/>
      <c r="C773" s="65"/>
      <c r="D773" s="65"/>
      <c r="E773" s="65"/>
      <c r="F773" s="23"/>
      <c r="G773" s="23"/>
    </row>
    <row r="774" spans="1:7" x14ac:dyDescent="0.15">
      <c r="A774" s="66"/>
      <c r="B774" s="66"/>
      <c r="C774" s="65"/>
      <c r="D774" s="65"/>
      <c r="E774" s="65"/>
      <c r="F774" s="23"/>
      <c r="G774" s="23"/>
    </row>
    <row r="775" spans="1:7" x14ac:dyDescent="0.15">
      <c r="A775" s="66"/>
      <c r="B775" s="66"/>
      <c r="C775" s="65"/>
      <c r="D775" s="65"/>
      <c r="E775" s="65"/>
      <c r="F775" s="23"/>
      <c r="G775" s="23"/>
    </row>
    <row r="776" spans="1:7" x14ac:dyDescent="0.15">
      <c r="A776" s="66"/>
      <c r="B776" s="66"/>
      <c r="C776" s="65"/>
      <c r="D776" s="65"/>
      <c r="E776" s="65"/>
      <c r="F776" s="23"/>
      <c r="G776" s="23"/>
    </row>
    <row r="777" spans="1:7" x14ac:dyDescent="0.15">
      <c r="A777" s="66"/>
      <c r="B777" s="66"/>
      <c r="C777" s="65"/>
      <c r="D777" s="65"/>
      <c r="E777" s="65"/>
      <c r="F777" s="23"/>
      <c r="G777" s="23"/>
    </row>
    <row r="778" spans="1:7" x14ac:dyDescent="0.15">
      <c r="A778" s="66"/>
      <c r="B778" s="66"/>
      <c r="C778" s="65"/>
      <c r="D778" s="65"/>
      <c r="E778" s="65"/>
      <c r="F778" s="23"/>
      <c r="G778" s="23"/>
    </row>
    <row r="779" spans="1:7" x14ac:dyDescent="0.15">
      <c r="A779" s="66"/>
      <c r="B779" s="66"/>
      <c r="C779" s="65"/>
      <c r="D779" s="65"/>
      <c r="E779" s="65"/>
      <c r="F779" s="23"/>
      <c r="G779" s="23"/>
    </row>
    <row r="780" spans="1:7" x14ac:dyDescent="0.15">
      <c r="A780" s="66"/>
      <c r="B780" s="66"/>
      <c r="C780" s="65"/>
      <c r="D780" s="65"/>
      <c r="E780" s="65"/>
      <c r="F780" s="23"/>
      <c r="G780" s="23"/>
    </row>
    <row r="781" spans="1:7" x14ac:dyDescent="0.15">
      <c r="A781" s="66"/>
      <c r="B781" s="66"/>
      <c r="C781" s="65"/>
      <c r="D781" s="65"/>
      <c r="E781" s="65"/>
      <c r="F781" s="23"/>
      <c r="G781" s="23"/>
    </row>
    <row r="782" spans="1:7" x14ac:dyDescent="0.15">
      <c r="A782" s="66"/>
      <c r="B782" s="66"/>
      <c r="C782" s="65"/>
      <c r="D782" s="65"/>
      <c r="E782" s="65"/>
      <c r="F782" s="23"/>
      <c r="G782" s="23"/>
    </row>
    <row r="783" spans="1:7" x14ac:dyDescent="0.15">
      <c r="A783" s="66"/>
      <c r="B783" s="66"/>
      <c r="C783" s="65"/>
      <c r="D783" s="65"/>
      <c r="E783" s="65"/>
      <c r="F783" s="23"/>
      <c r="G783" s="23"/>
    </row>
    <row r="784" spans="1:7" x14ac:dyDescent="0.15">
      <c r="A784" s="66"/>
      <c r="B784" s="66"/>
      <c r="C784" s="65"/>
      <c r="D784" s="65"/>
      <c r="E784" s="65"/>
      <c r="F784" s="23"/>
      <c r="G784" s="23"/>
    </row>
    <row r="785" spans="1:7" x14ac:dyDescent="0.15">
      <c r="A785" s="66"/>
      <c r="B785" s="66"/>
      <c r="C785" s="65"/>
      <c r="D785" s="65"/>
      <c r="E785" s="65"/>
      <c r="F785" s="23"/>
      <c r="G785" s="23"/>
    </row>
    <row r="786" spans="1:7" x14ac:dyDescent="0.15">
      <c r="A786" s="66"/>
      <c r="B786" s="66"/>
      <c r="C786" s="65"/>
      <c r="D786" s="65"/>
      <c r="E786" s="65"/>
      <c r="F786" s="23"/>
      <c r="G786" s="23"/>
    </row>
    <row r="787" spans="1:7" x14ac:dyDescent="0.15">
      <c r="A787" s="66"/>
      <c r="B787" s="66"/>
      <c r="C787" s="65"/>
      <c r="D787" s="65"/>
      <c r="E787" s="65"/>
      <c r="F787" s="23"/>
      <c r="G787" s="23"/>
    </row>
    <row r="788" spans="1:7" x14ac:dyDescent="0.15">
      <c r="A788" s="66"/>
      <c r="B788" s="66"/>
      <c r="C788" s="65"/>
      <c r="D788" s="65"/>
      <c r="E788" s="65"/>
      <c r="F788" s="23"/>
      <c r="G788" s="23"/>
    </row>
    <row r="789" spans="1:7" x14ac:dyDescent="0.15">
      <c r="A789" s="66"/>
      <c r="B789" s="66"/>
      <c r="C789" s="65"/>
      <c r="D789" s="65"/>
      <c r="E789" s="65"/>
      <c r="F789" s="23"/>
      <c r="G789" s="23"/>
    </row>
    <row r="790" spans="1:7" x14ac:dyDescent="0.15">
      <c r="A790" s="66"/>
      <c r="B790" s="66"/>
      <c r="C790" s="65"/>
      <c r="D790" s="65"/>
      <c r="E790" s="65"/>
      <c r="F790" s="23"/>
      <c r="G790" s="23"/>
    </row>
    <row r="791" spans="1:7" x14ac:dyDescent="0.15">
      <c r="A791" s="66"/>
      <c r="B791" s="66"/>
      <c r="C791" s="65"/>
      <c r="D791" s="65"/>
      <c r="E791" s="65"/>
      <c r="F791" s="23"/>
      <c r="G791" s="23"/>
    </row>
    <row r="792" spans="1:7" x14ac:dyDescent="0.15">
      <c r="A792" s="66"/>
      <c r="B792" s="66"/>
      <c r="C792" s="65"/>
      <c r="D792" s="65"/>
      <c r="E792" s="65"/>
      <c r="F792" s="23"/>
      <c r="G792" s="23"/>
    </row>
    <row r="793" spans="1:7" x14ac:dyDescent="0.15">
      <c r="A793" s="66"/>
      <c r="B793" s="66"/>
      <c r="C793" s="65"/>
      <c r="D793" s="65"/>
      <c r="E793" s="65"/>
      <c r="F793" s="23"/>
      <c r="G793" s="23"/>
    </row>
    <row r="794" spans="1:7" x14ac:dyDescent="0.15">
      <c r="A794" s="66"/>
      <c r="B794" s="66"/>
      <c r="C794" s="65"/>
      <c r="D794" s="65"/>
      <c r="E794" s="65"/>
      <c r="F794" s="23"/>
      <c r="G794" s="23"/>
    </row>
    <row r="795" spans="1:7" x14ac:dyDescent="0.15">
      <c r="A795" s="66"/>
      <c r="B795" s="66"/>
      <c r="C795" s="65"/>
      <c r="D795" s="65"/>
      <c r="E795" s="65"/>
      <c r="F795" s="23"/>
      <c r="G795" s="23"/>
    </row>
    <row r="796" spans="1:7" x14ac:dyDescent="0.15">
      <c r="A796" s="66"/>
      <c r="B796" s="66"/>
      <c r="C796" s="65"/>
      <c r="D796" s="65"/>
      <c r="E796" s="65"/>
      <c r="F796" s="23"/>
      <c r="G796" s="23"/>
    </row>
    <row r="797" spans="1:7" x14ac:dyDescent="0.15">
      <c r="A797" s="66"/>
      <c r="B797" s="66"/>
      <c r="C797" s="65"/>
      <c r="D797" s="65"/>
      <c r="E797" s="65"/>
      <c r="F797" s="23"/>
      <c r="G797" s="23"/>
    </row>
    <row r="798" spans="1:7" x14ac:dyDescent="0.15">
      <c r="A798" s="66"/>
      <c r="B798" s="66"/>
      <c r="C798" s="65"/>
      <c r="D798" s="65"/>
      <c r="E798" s="65"/>
      <c r="F798" s="23"/>
      <c r="G798" s="23"/>
    </row>
    <row r="799" spans="1:7" x14ac:dyDescent="0.15">
      <c r="A799" s="66"/>
      <c r="B799" s="66"/>
      <c r="C799" s="65"/>
      <c r="D799" s="65"/>
      <c r="E799" s="65"/>
      <c r="F799" s="23"/>
      <c r="G799" s="23"/>
    </row>
    <row r="800" spans="1:7" x14ac:dyDescent="0.15">
      <c r="A800" s="66"/>
      <c r="B800" s="66"/>
      <c r="C800" s="65"/>
      <c r="D800" s="65"/>
      <c r="E800" s="65"/>
      <c r="F800" s="23"/>
      <c r="G800" s="23"/>
    </row>
    <row r="801" spans="1:7" x14ac:dyDescent="0.15">
      <c r="A801" s="66"/>
      <c r="B801" s="66"/>
      <c r="C801" s="65"/>
      <c r="D801" s="65"/>
      <c r="E801" s="65"/>
      <c r="F801" s="23"/>
      <c r="G801" s="23"/>
    </row>
    <row r="802" spans="1:7" x14ac:dyDescent="0.15">
      <c r="A802" s="66"/>
      <c r="B802" s="66"/>
      <c r="C802" s="65"/>
      <c r="D802" s="65"/>
      <c r="E802" s="65"/>
      <c r="F802" s="23"/>
      <c r="G802" s="23"/>
    </row>
    <row r="803" spans="1:7" x14ac:dyDescent="0.15">
      <c r="A803" s="66"/>
      <c r="B803" s="66"/>
      <c r="C803" s="65"/>
      <c r="D803" s="65"/>
      <c r="E803" s="65"/>
      <c r="F803" s="23"/>
      <c r="G803" s="23"/>
    </row>
    <row r="804" spans="1:7" x14ac:dyDescent="0.15">
      <c r="A804" s="66"/>
      <c r="B804" s="66"/>
      <c r="C804" s="65"/>
      <c r="D804" s="65"/>
      <c r="E804" s="65"/>
      <c r="F804" s="23"/>
      <c r="G804" s="23"/>
    </row>
    <row r="805" spans="1:7" x14ac:dyDescent="0.15">
      <c r="A805" s="66"/>
      <c r="B805" s="66"/>
      <c r="C805" s="65"/>
      <c r="D805" s="65"/>
      <c r="E805" s="65"/>
      <c r="F805" s="23"/>
      <c r="G805" s="23"/>
    </row>
    <row r="806" spans="1:7" x14ac:dyDescent="0.15">
      <c r="A806" s="66"/>
      <c r="B806" s="66"/>
      <c r="C806" s="65"/>
      <c r="D806" s="65"/>
      <c r="E806" s="65"/>
      <c r="F806" s="23"/>
      <c r="G806" s="23"/>
    </row>
    <row r="807" spans="1:7" x14ac:dyDescent="0.15">
      <c r="A807" s="66"/>
      <c r="B807" s="66"/>
      <c r="C807" s="65"/>
      <c r="D807" s="65"/>
      <c r="E807" s="65"/>
      <c r="F807" s="23"/>
      <c r="G807" s="23"/>
    </row>
    <row r="808" spans="1:7" x14ac:dyDescent="0.15">
      <c r="A808" s="66"/>
      <c r="B808" s="66"/>
      <c r="C808" s="65"/>
      <c r="D808" s="65"/>
      <c r="E808" s="65"/>
      <c r="F808" s="23"/>
      <c r="G808" s="23"/>
    </row>
    <row r="809" spans="1:7" x14ac:dyDescent="0.15">
      <c r="A809" s="66"/>
      <c r="B809" s="66"/>
      <c r="C809" s="65"/>
      <c r="D809" s="65"/>
      <c r="E809" s="65"/>
      <c r="F809" s="23"/>
      <c r="G809" s="23"/>
    </row>
    <row r="810" spans="1:7" x14ac:dyDescent="0.15">
      <c r="A810" s="66"/>
      <c r="B810" s="66"/>
      <c r="C810" s="65"/>
      <c r="D810" s="65"/>
      <c r="E810" s="65"/>
      <c r="F810" s="23"/>
      <c r="G810" s="23"/>
    </row>
    <row r="811" spans="1:7" x14ac:dyDescent="0.15">
      <c r="A811" s="66"/>
      <c r="B811" s="66"/>
      <c r="C811" s="65"/>
      <c r="D811" s="65"/>
      <c r="E811" s="65"/>
      <c r="F811" s="23"/>
      <c r="G811" s="23"/>
    </row>
    <row r="812" spans="1:7" x14ac:dyDescent="0.15">
      <c r="A812" s="66"/>
      <c r="B812" s="66"/>
      <c r="C812" s="65"/>
      <c r="D812" s="65"/>
      <c r="E812" s="65"/>
      <c r="F812" s="23"/>
      <c r="G812" s="23"/>
    </row>
    <row r="813" spans="1:7" x14ac:dyDescent="0.15">
      <c r="A813" s="66"/>
      <c r="B813" s="66"/>
      <c r="C813" s="65"/>
      <c r="D813" s="65"/>
      <c r="E813" s="65"/>
      <c r="F813" s="23"/>
      <c r="G813" s="23"/>
    </row>
    <row r="814" spans="1:7" x14ac:dyDescent="0.15">
      <c r="A814" s="66"/>
      <c r="B814" s="66"/>
      <c r="C814" s="65"/>
      <c r="D814" s="65"/>
      <c r="E814" s="65"/>
      <c r="F814" s="23"/>
      <c r="G814" s="23"/>
    </row>
    <row r="815" spans="1:7" x14ac:dyDescent="0.15">
      <c r="A815" s="66"/>
      <c r="B815" s="66"/>
      <c r="C815" s="65"/>
      <c r="D815" s="65"/>
      <c r="E815" s="65"/>
      <c r="F815" s="23"/>
      <c r="G815" s="23"/>
    </row>
    <row r="816" spans="1:7" x14ac:dyDescent="0.15">
      <c r="A816" s="66"/>
      <c r="B816" s="66"/>
      <c r="C816" s="65"/>
      <c r="D816" s="65"/>
      <c r="E816" s="65"/>
      <c r="F816" s="23"/>
      <c r="G816" s="23"/>
    </row>
    <row r="817" spans="1:7" x14ac:dyDescent="0.15">
      <c r="A817" s="66"/>
      <c r="B817" s="66"/>
      <c r="C817" s="65"/>
      <c r="D817" s="65"/>
      <c r="E817" s="65"/>
      <c r="F817" s="23"/>
      <c r="G817" s="23"/>
    </row>
    <row r="818" spans="1:7" x14ac:dyDescent="0.15">
      <c r="A818" s="66"/>
      <c r="B818" s="66"/>
      <c r="C818" s="65"/>
      <c r="D818" s="65"/>
      <c r="E818" s="65"/>
      <c r="F818" s="23"/>
      <c r="G818" s="23"/>
    </row>
    <row r="819" spans="1:7" x14ac:dyDescent="0.15">
      <c r="A819" s="66"/>
      <c r="B819" s="66"/>
      <c r="C819" s="65"/>
      <c r="D819" s="65"/>
      <c r="E819" s="65"/>
      <c r="F819" s="23"/>
      <c r="G819" s="23"/>
    </row>
    <row r="820" spans="1:7" x14ac:dyDescent="0.15">
      <c r="A820" s="66"/>
      <c r="B820" s="66"/>
      <c r="C820" s="65"/>
      <c r="D820" s="65"/>
      <c r="E820" s="65"/>
      <c r="F820" s="23"/>
      <c r="G820" s="23"/>
    </row>
    <row r="821" spans="1:7" x14ac:dyDescent="0.15">
      <c r="A821" s="66"/>
      <c r="B821" s="66"/>
      <c r="C821" s="65"/>
      <c r="D821" s="65"/>
      <c r="E821" s="65"/>
      <c r="F821" s="23"/>
      <c r="G821" s="23"/>
    </row>
    <row r="822" spans="1:7" x14ac:dyDescent="0.15">
      <c r="A822" s="66"/>
      <c r="B822" s="66"/>
      <c r="C822" s="65"/>
      <c r="D822" s="65"/>
      <c r="E822" s="65"/>
      <c r="F822" s="23"/>
      <c r="G822" s="23"/>
    </row>
    <row r="823" spans="1:7" x14ac:dyDescent="0.15">
      <c r="A823" s="66"/>
      <c r="B823" s="66"/>
      <c r="C823" s="65"/>
      <c r="D823" s="65"/>
      <c r="E823" s="65"/>
      <c r="F823" s="23"/>
      <c r="G823" s="23"/>
    </row>
    <row r="824" spans="1:7" x14ac:dyDescent="0.15">
      <c r="A824" s="66"/>
      <c r="B824" s="66"/>
      <c r="C824" s="65"/>
      <c r="D824" s="65"/>
      <c r="E824" s="65"/>
      <c r="F824" s="23"/>
      <c r="G824" s="23"/>
    </row>
    <row r="825" spans="1:7" x14ac:dyDescent="0.15">
      <c r="A825" s="66"/>
      <c r="B825" s="66"/>
      <c r="C825" s="65"/>
      <c r="D825" s="65"/>
      <c r="E825" s="65"/>
      <c r="F825" s="23"/>
      <c r="G825" s="23"/>
    </row>
    <row r="826" spans="1:7" x14ac:dyDescent="0.15">
      <c r="A826" s="66"/>
      <c r="B826" s="66"/>
      <c r="C826" s="65"/>
      <c r="D826" s="65"/>
      <c r="E826" s="65"/>
      <c r="F826" s="23"/>
      <c r="G826" s="23"/>
    </row>
    <row r="827" spans="1:7" x14ac:dyDescent="0.15">
      <c r="A827" s="66"/>
      <c r="B827" s="66"/>
      <c r="C827" s="65"/>
      <c r="D827" s="65"/>
      <c r="E827" s="65"/>
      <c r="F827" s="23"/>
      <c r="G827" s="23"/>
    </row>
    <row r="828" spans="1:7" x14ac:dyDescent="0.15">
      <c r="A828" s="66"/>
      <c r="B828" s="66"/>
      <c r="C828" s="65"/>
      <c r="D828" s="65"/>
      <c r="E828" s="65"/>
      <c r="F828" s="23"/>
      <c r="G828" s="23"/>
    </row>
    <row r="829" spans="1:7" x14ac:dyDescent="0.15">
      <c r="A829" s="66"/>
      <c r="B829" s="66"/>
      <c r="C829" s="65"/>
      <c r="D829" s="65"/>
      <c r="E829" s="65"/>
      <c r="F829" s="23"/>
      <c r="G829" s="23"/>
    </row>
    <row r="830" spans="1:7" x14ac:dyDescent="0.15">
      <c r="A830" s="66"/>
      <c r="B830" s="66"/>
      <c r="C830" s="65"/>
      <c r="D830" s="65"/>
      <c r="E830" s="65"/>
      <c r="F830" s="23"/>
      <c r="G830" s="23"/>
    </row>
    <row r="831" spans="1:7" x14ac:dyDescent="0.15">
      <c r="A831" s="66"/>
      <c r="B831" s="66"/>
      <c r="C831" s="65"/>
      <c r="D831" s="65"/>
      <c r="E831" s="65"/>
      <c r="F831" s="23"/>
      <c r="G831" s="23"/>
    </row>
    <row r="832" spans="1:7" x14ac:dyDescent="0.15">
      <c r="A832" s="66"/>
      <c r="B832" s="66"/>
      <c r="C832" s="65"/>
      <c r="D832" s="65"/>
      <c r="E832" s="65"/>
      <c r="F832" s="23"/>
      <c r="G832" s="23"/>
    </row>
    <row r="833" spans="1:7" x14ac:dyDescent="0.15">
      <c r="A833" s="66"/>
      <c r="B833" s="66"/>
      <c r="C833" s="65"/>
      <c r="D833" s="65"/>
      <c r="E833" s="65"/>
      <c r="F833" s="23"/>
      <c r="G833" s="23"/>
    </row>
    <row r="834" spans="1:7" x14ac:dyDescent="0.15">
      <c r="A834" s="66"/>
      <c r="B834" s="66"/>
      <c r="C834" s="65"/>
      <c r="D834" s="65"/>
      <c r="E834" s="65"/>
      <c r="F834" s="23"/>
      <c r="G834" s="23"/>
    </row>
    <row r="835" spans="1:7" x14ac:dyDescent="0.15">
      <c r="A835" s="66"/>
      <c r="B835" s="66"/>
      <c r="C835" s="65"/>
      <c r="D835" s="65"/>
      <c r="E835" s="65"/>
      <c r="F835" s="23"/>
      <c r="G835" s="23"/>
    </row>
    <row r="836" spans="1:7" x14ac:dyDescent="0.15">
      <c r="A836" s="66"/>
      <c r="B836" s="66"/>
      <c r="C836" s="65"/>
      <c r="D836" s="65"/>
      <c r="E836" s="65"/>
      <c r="F836" s="23"/>
      <c r="G836" s="23"/>
    </row>
    <row r="837" spans="1:7" x14ac:dyDescent="0.15">
      <c r="A837" s="66"/>
      <c r="B837" s="66"/>
      <c r="C837" s="65"/>
      <c r="D837" s="65"/>
      <c r="E837" s="65"/>
      <c r="F837" s="23"/>
      <c r="G837" s="23"/>
    </row>
    <row r="838" spans="1:7" x14ac:dyDescent="0.15">
      <c r="A838" s="66"/>
      <c r="B838" s="66"/>
      <c r="C838" s="65"/>
      <c r="D838" s="65"/>
      <c r="E838" s="65"/>
      <c r="F838" s="23"/>
      <c r="G838" s="23"/>
    </row>
    <row r="839" spans="1:7" x14ac:dyDescent="0.15">
      <c r="A839" s="66"/>
      <c r="B839" s="66"/>
      <c r="C839" s="65"/>
      <c r="D839" s="65"/>
      <c r="E839" s="65"/>
      <c r="F839" s="23"/>
      <c r="G839" s="23"/>
    </row>
    <row r="840" spans="1:7" x14ac:dyDescent="0.15">
      <c r="A840" s="66"/>
      <c r="B840" s="66"/>
      <c r="C840" s="65"/>
      <c r="D840" s="65"/>
      <c r="E840" s="65"/>
      <c r="F840" s="23"/>
      <c r="G840" s="23"/>
    </row>
    <row r="841" spans="1:7" x14ac:dyDescent="0.15">
      <c r="A841" s="66"/>
      <c r="B841" s="66"/>
      <c r="C841" s="65"/>
      <c r="D841" s="65"/>
      <c r="E841" s="65"/>
      <c r="F841" s="23"/>
      <c r="G841" s="23"/>
    </row>
    <row r="842" spans="1:7" x14ac:dyDescent="0.15">
      <c r="A842" s="66"/>
      <c r="B842" s="66"/>
      <c r="C842" s="65"/>
      <c r="D842" s="65"/>
      <c r="E842" s="65"/>
      <c r="F842" s="23"/>
      <c r="G842" s="23"/>
    </row>
    <row r="843" spans="1:7" x14ac:dyDescent="0.15">
      <c r="A843" s="66"/>
      <c r="B843" s="66"/>
      <c r="C843" s="65"/>
      <c r="D843" s="65"/>
      <c r="E843" s="65"/>
      <c r="F843" s="23"/>
      <c r="G843" s="23"/>
    </row>
    <row r="844" spans="1:7" x14ac:dyDescent="0.15">
      <c r="A844" s="66"/>
      <c r="B844" s="66"/>
      <c r="C844" s="65"/>
      <c r="D844" s="65"/>
      <c r="E844" s="65"/>
      <c r="F844" s="23"/>
      <c r="G844" s="23"/>
    </row>
    <row r="845" spans="1:7" x14ac:dyDescent="0.15">
      <c r="A845" s="66"/>
      <c r="B845" s="66"/>
      <c r="C845" s="65"/>
      <c r="D845" s="65"/>
      <c r="E845" s="65"/>
      <c r="F845" s="23"/>
      <c r="G845" s="23"/>
    </row>
    <row r="846" spans="1:7" x14ac:dyDescent="0.15">
      <c r="A846" s="66"/>
      <c r="B846" s="66"/>
      <c r="C846" s="65"/>
      <c r="D846" s="65"/>
      <c r="E846" s="65"/>
      <c r="F846" s="23"/>
      <c r="G846" s="23"/>
    </row>
    <row r="847" spans="1:7" x14ac:dyDescent="0.15">
      <c r="A847" s="66"/>
      <c r="B847" s="66"/>
      <c r="C847" s="65"/>
      <c r="D847" s="65"/>
      <c r="E847" s="65"/>
      <c r="F847" s="23"/>
      <c r="G847" s="23"/>
    </row>
    <row r="848" spans="1:7" x14ac:dyDescent="0.15">
      <c r="A848" s="66"/>
      <c r="B848" s="66"/>
      <c r="C848" s="65"/>
      <c r="D848" s="65"/>
      <c r="E848" s="65"/>
      <c r="F848" s="23"/>
      <c r="G848" s="23"/>
    </row>
    <row r="849" spans="1:7" x14ac:dyDescent="0.15">
      <c r="A849" s="66"/>
      <c r="B849" s="66"/>
      <c r="C849" s="65"/>
      <c r="D849" s="65"/>
      <c r="E849" s="65"/>
      <c r="F849" s="23"/>
      <c r="G849" s="23"/>
    </row>
    <row r="850" spans="1:7" x14ac:dyDescent="0.15">
      <c r="A850" s="66"/>
      <c r="B850" s="66"/>
      <c r="C850" s="65"/>
      <c r="D850" s="65"/>
      <c r="E850" s="65"/>
      <c r="F850" s="23"/>
      <c r="G850" s="23"/>
    </row>
    <row r="851" spans="1:7" x14ac:dyDescent="0.15">
      <c r="A851" s="66"/>
      <c r="B851" s="66"/>
      <c r="C851" s="65"/>
      <c r="D851" s="65"/>
      <c r="E851" s="65"/>
      <c r="F851" s="23"/>
      <c r="G851" s="23"/>
    </row>
    <row r="852" spans="1:7" x14ac:dyDescent="0.15">
      <c r="A852" s="66"/>
      <c r="B852" s="66"/>
      <c r="C852" s="65"/>
      <c r="D852" s="65"/>
      <c r="E852" s="65"/>
      <c r="F852" s="23"/>
      <c r="G852" s="23"/>
    </row>
    <row r="853" spans="1:7" x14ac:dyDescent="0.15">
      <c r="A853" s="66"/>
      <c r="B853" s="66"/>
      <c r="C853" s="65"/>
      <c r="D853" s="65"/>
      <c r="E853" s="65"/>
      <c r="F853" s="23"/>
      <c r="G853" s="23"/>
    </row>
    <row r="854" spans="1:7" x14ac:dyDescent="0.15">
      <c r="A854" s="66"/>
      <c r="B854" s="66"/>
      <c r="C854" s="65"/>
      <c r="D854" s="65"/>
      <c r="E854" s="65"/>
      <c r="F854" s="23"/>
      <c r="G854" s="23"/>
    </row>
    <row r="855" spans="1:7" x14ac:dyDescent="0.15">
      <c r="A855" s="66"/>
      <c r="B855" s="66"/>
      <c r="C855" s="65"/>
      <c r="D855" s="65"/>
      <c r="E855" s="65"/>
      <c r="F855" s="23"/>
      <c r="G855" s="23"/>
    </row>
    <row r="856" spans="1:7" x14ac:dyDescent="0.15">
      <c r="A856" s="66"/>
      <c r="B856" s="66"/>
      <c r="C856" s="65"/>
      <c r="D856" s="65"/>
      <c r="E856" s="65"/>
      <c r="F856" s="23"/>
      <c r="G856" s="23"/>
    </row>
    <row r="857" spans="1:7" x14ac:dyDescent="0.15">
      <c r="A857" s="66"/>
      <c r="B857" s="66"/>
      <c r="C857" s="65"/>
      <c r="D857" s="65"/>
      <c r="E857" s="65"/>
      <c r="F857" s="23"/>
      <c r="G857" s="23"/>
    </row>
    <row r="858" spans="1:7" x14ac:dyDescent="0.15">
      <c r="A858" s="66"/>
      <c r="B858" s="66"/>
      <c r="C858" s="65"/>
      <c r="D858" s="65"/>
      <c r="E858" s="65"/>
      <c r="F858" s="23"/>
      <c r="G858" s="23"/>
    </row>
    <row r="859" spans="1:7" x14ac:dyDescent="0.15">
      <c r="A859" s="66"/>
      <c r="B859" s="66"/>
      <c r="C859" s="65"/>
      <c r="D859" s="65"/>
      <c r="E859" s="65"/>
      <c r="F859" s="23"/>
      <c r="G859" s="23"/>
    </row>
    <row r="860" spans="1:7" x14ac:dyDescent="0.15">
      <c r="A860" s="66"/>
      <c r="B860" s="66"/>
      <c r="C860" s="65"/>
      <c r="D860" s="65"/>
      <c r="E860" s="65"/>
      <c r="F860" s="23"/>
      <c r="G860" s="23"/>
    </row>
    <row r="861" spans="1:7" x14ac:dyDescent="0.15">
      <c r="A861" s="66"/>
      <c r="B861" s="66"/>
      <c r="C861" s="65"/>
      <c r="D861" s="65"/>
      <c r="E861" s="65"/>
      <c r="F861" s="23"/>
      <c r="G861" s="23"/>
    </row>
    <row r="862" spans="1:7" x14ac:dyDescent="0.15">
      <c r="A862" s="66"/>
      <c r="B862" s="66"/>
      <c r="C862" s="65"/>
      <c r="D862" s="65"/>
      <c r="E862" s="65"/>
      <c r="F862" s="23"/>
      <c r="G862" s="23"/>
    </row>
    <row r="863" spans="1:7" x14ac:dyDescent="0.15">
      <c r="A863" s="66"/>
      <c r="B863" s="66"/>
      <c r="C863" s="65"/>
      <c r="D863" s="65"/>
      <c r="E863" s="65"/>
      <c r="F863" s="23"/>
      <c r="G863" s="23"/>
    </row>
    <row r="864" spans="1:7" x14ac:dyDescent="0.15">
      <c r="A864" s="66"/>
      <c r="B864" s="66"/>
      <c r="C864" s="65"/>
      <c r="D864" s="65"/>
      <c r="E864" s="65"/>
      <c r="F864" s="23"/>
      <c r="G864" s="23"/>
    </row>
    <row r="865" spans="1:7" x14ac:dyDescent="0.15">
      <c r="A865" s="66"/>
      <c r="B865" s="66"/>
      <c r="C865" s="65"/>
      <c r="D865" s="65"/>
      <c r="E865" s="65"/>
      <c r="F865" s="23"/>
      <c r="G865" s="23"/>
    </row>
    <row r="866" spans="1:7" x14ac:dyDescent="0.15">
      <c r="A866" s="66"/>
      <c r="B866" s="66"/>
      <c r="C866" s="65"/>
      <c r="D866" s="65"/>
      <c r="E866" s="65"/>
      <c r="F866" s="23"/>
      <c r="G866" s="23"/>
    </row>
    <row r="867" spans="1:7" x14ac:dyDescent="0.15">
      <c r="A867" s="66"/>
      <c r="B867" s="66"/>
      <c r="C867" s="65"/>
      <c r="D867" s="65"/>
      <c r="E867" s="65"/>
      <c r="F867" s="23"/>
      <c r="G867" s="23"/>
    </row>
    <row r="868" spans="1:7" x14ac:dyDescent="0.15">
      <c r="A868" s="66"/>
      <c r="B868" s="66"/>
      <c r="C868" s="65"/>
      <c r="D868" s="65"/>
      <c r="E868" s="65"/>
      <c r="F868" s="23"/>
      <c r="G868" s="23"/>
    </row>
    <row r="869" spans="1:7" x14ac:dyDescent="0.15">
      <c r="A869" s="66"/>
      <c r="B869" s="66"/>
      <c r="C869" s="65"/>
      <c r="D869" s="65"/>
      <c r="E869" s="65"/>
      <c r="F869" s="23"/>
      <c r="G869" s="23"/>
    </row>
    <row r="870" spans="1:7" x14ac:dyDescent="0.15">
      <c r="A870" s="66"/>
      <c r="B870" s="66"/>
      <c r="C870" s="65"/>
      <c r="D870" s="65"/>
      <c r="E870" s="65"/>
      <c r="F870" s="23"/>
      <c r="G870" s="23"/>
    </row>
    <row r="871" spans="1:7" x14ac:dyDescent="0.15">
      <c r="A871" s="66"/>
      <c r="B871" s="66"/>
      <c r="C871" s="65"/>
      <c r="D871" s="65"/>
      <c r="E871" s="65"/>
      <c r="F871" s="23"/>
      <c r="G871" s="23"/>
    </row>
    <row r="872" spans="1:7" x14ac:dyDescent="0.15">
      <c r="A872" s="66"/>
      <c r="B872" s="66"/>
      <c r="C872" s="65"/>
      <c r="D872" s="65"/>
      <c r="E872" s="65"/>
      <c r="F872" s="23"/>
      <c r="G872" s="23"/>
    </row>
    <row r="873" spans="1:7" x14ac:dyDescent="0.15">
      <c r="A873" s="66"/>
      <c r="B873" s="66"/>
      <c r="C873" s="65"/>
      <c r="D873" s="65"/>
      <c r="E873" s="65"/>
      <c r="F873" s="23"/>
      <c r="G873" s="23"/>
    </row>
    <row r="874" spans="1:7" x14ac:dyDescent="0.15">
      <c r="A874" s="66"/>
      <c r="B874" s="66"/>
      <c r="C874" s="65"/>
      <c r="D874" s="65"/>
      <c r="E874" s="65"/>
      <c r="F874" s="23"/>
      <c r="G874" s="23"/>
    </row>
    <row r="875" spans="1:7" x14ac:dyDescent="0.15">
      <c r="A875" s="66"/>
      <c r="B875" s="66"/>
      <c r="C875" s="65"/>
      <c r="D875" s="65"/>
      <c r="E875" s="65"/>
      <c r="F875" s="23"/>
      <c r="G875" s="23"/>
    </row>
    <row r="876" spans="1:7" x14ac:dyDescent="0.15">
      <c r="A876" s="66"/>
      <c r="B876" s="66"/>
      <c r="C876" s="65"/>
      <c r="D876" s="65"/>
      <c r="E876" s="65"/>
      <c r="F876" s="23"/>
      <c r="G876" s="23"/>
    </row>
    <row r="877" spans="1:7" x14ac:dyDescent="0.15">
      <c r="A877" s="66"/>
      <c r="B877" s="66"/>
      <c r="C877" s="65"/>
      <c r="D877" s="65"/>
      <c r="E877" s="65"/>
      <c r="F877" s="23"/>
      <c r="G877" s="23"/>
    </row>
    <row r="878" spans="1:7" x14ac:dyDescent="0.15">
      <c r="A878" s="66"/>
      <c r="B878" s="66"/>
      <c r="C878" s="65"/>
      <c r="D878" s="65"/>
      <c r="E878" s="65"/>
      <c r="F878" s="23"/>
      <c r="G878" s="23"/>
    </row>
    <row r="879" spans="1:7" x14ac:dyDescent="0.15">
      <c r="A879" s="66"/>
      <c r="B879" s="66"/>
      <c r="C879" s="65"/>
      <c r="D879" s="65"/>
      <c r="E879" s="65"/>
      <c r="F879" s="23"/>
      <c r="G879" s="23"/>
    </row>
    <row r="880" spans="1:7" x14ac:dyDescent="0.15">
      <c r="A880" s="66"/>
      <c r="B880" s="66"/>
      <c r="C880" s="65"/>
      <c r="D880" s="65"/>
      <c r="E880" s="65"/>
      <c r="F880" s="23"/>
      <c r="G880" s="23"/>
    </row>
    <row r="881" spans="1:7" x14ac:dyDescent="0.15">
      <c r="A881" s="66"/>
      <c r="B881" s="66"/>
      <c r="C881" s="65"/>
      <c r="D881" s="65"/>
      <c r="E881" s="65"/>
      <c r="F881" s="23"/>
      <c r="G881" s="23"/>
    </row>
    <row r="882" spans="1:7" x14ac:dyDescent="0.15">
      <c r="A882" s="66"/>
      <c r="B882" s="66"/>
      <c r="C882" s="65"/>
      <c r="D882" s="65"/>
      <c r="E882" s="65"/>
      <c r="F882" s="23"/>
      <c r="G882" s="23"/>
    </row>
    <row r="883" spans="1:7" x14ac:dyDescent="0.15">
      <c r="A883" s="66"/>
      <c r="B883" s="66"/>
      <c r="C883" s="65"/>
      <c r="D883" s="65"/>
      <c r="E883" s="65"/>
      <c r="F883" s="23"/>
      <c r="G883" s="23"/>
    </row>
    <row r="884" spans="1:7" x14ac:dyDescent="0.15">
      <c r="A884" s="66"/>
      <c r="B884" s="66"/>
      <c r="C884" s="65"/>
      <c r="D884" s="65"/>
      <c r="E884" s="65"/>
      <c r="F884" s="23"/>
      <c r="G884" s="23"/>
    </row>
    <row r="885" spans="1:7" x14ac:dyDescent="0.15">
      <c r="A885" s="66"/>
      <c r="B885" s="66"/>
      <c r="C885" s="65"/>
      <c r="D885" s="65"/>
      <c r="E885" s="65"/>
      <c r="F885" s="23"/>
      <c r="G885" s="23"/>
    </row>
    <row r="886" spans="1:7" x14ac:dyDescent="0.15">
      <c r="A886" s="66"/>
      <c r="B886" s="66"/>
      <c r="C886" s="65"/>
      <c r="D886" s="65"/>
      <c r="E886" s="65"/>
      <c r="F886" s="23"/>
      <c r="G886" s="23"/>
    </row>
    <row r="887" spans="1:7" x14ac:dyDescent="0.15">
      <c r="A887" s="66"/>
      <c r="B887" s="66"/>
      <c r="C887" s="65"/>
      <c r="D887" s="65"/>
      <c r="E887" s="65"/>
      <c r="F887" s="23"/>
      <c r="G887" s="23"/>
    </row>
    <row r="888" spans="1:7" x14ac:dyDescent="0.15">
      <c r="A888" s="66"/>
      <c r="B888" s="66"/>
      <c r="C888" s="65"/>
      <c r="D888" s="65"/>
      <c r="E888" s="65"/>
      <c r="F888" s="23"/>
      <c r="G888" s="23"/>
    </row>
    <row r="889" spans="1:7" x14ac:dyDescent="0.15">
      <c r="A889" s="66"/>
      <c r="B889" s="66"/>
      <c r="C889" s="65"/>
      <c r="D889" s="65"/>
      <c r="E889" s="65"/>
      <c r="F889" s="23"/>
      <c r="G889" s="23"/>
    </row>
    <row r="890" spans="1:7" x14ac:dyDescent="0.15">
      <c r="A890" s="66"/>
      <c r="B890" s="66"/>
      <c r="C890" s="65"/>
      <c r="D890" s="65"/>
      <c r="E890" s="65"/>
      <c r="F890" s="23"/>
      <c r="G890" s="23"/>
    </row>
    <row r="891" spans="1:7" x14ac:dyDescent="0.15">
      <c r="A891" s="66"/>
      <c r="B891" s="66"/>
      <c r="C891" s="65"/>
      <c r="D891" s="65"/>
      <c r="E891" s="65"/>
      <c r="F891" s="23"/>
      <c r="G891" s="23"/>
    </row>
    <row r="892" spans="1:7" x14ac:dyDescent="0.15">
      <c r="A892" s="66"/>
      <c r="B892" s="66"/>
      <c r="C892" s="65"/>
      <c r="D892" s="65"/>
      <c r="E892" s="65"/>
      <c r="F892" s="23"/>
      <c r="G892" s="23"/>
    </row>
    <row r="893" spans="1:7" x14ac:dyDescent="0.15">
      <c r="A893" s="66"/>
      <c r="B893" s="66"/>
      <c r="C893" s="65"/>
      <c r="D893" s="65"/>
      <c r="E893" s="65"/>
      <c r="F893" s="23"/>
      <c r="G893" s="23"/>
    </row>
    <row r="894" spans="1:7" x14ac:dyDescent="0.15">
      <c r="A894" s="66"/>
      <c r="B894" s="66"/>
      <c r="C894" s="65"/>
      <c r="D894" s="65"/>
      <c r="E894" s="65"/>
      <c r="F894" s="23"/>
      <c r="G894" s="23"/>
    </row>
    <row r="895" spans="1:7" x14ac:dyDescent="0.15">
      <c r="A895" s="66"/>
      <c r="B895" s="66"/>
      <c r="C895" s="65"/>
      <c r="D895" s="65"/>
      <c r="E895" s="65"/>
      <c r="F895" s="23"/>
      <c r="G895" s="23"/>
    </row>
    <row r="896" spans="1:7" x14ac:dyDescent="0.15">
      <c r="A896" s="66"/>
      <c r="B896" s="66"/>
      <c r="C896" s="65"/>
      <c r="D896" s="65"/>
      <c r="E896" s="65"/>
      <c r="F896" s="23"/>
      <c r="G896" s="23"/>
    </row>
    <row r="897" spans="1:7" x14ac:dyDescent="0.15">
      <c r="A897" s="66"/>
      <c r="B897" s="66"/>
      <c r="C897" s="65"/>
      <c r="D897" s="65"/>
      <c r="E897" s="65"/>
      <c r="F897" s="23"/>
      <c r="G897" s="23"/>
    </row>
    <row r="898" spans="1:7" x14ac:dyDescent="0.15">
      <c r="A898" s="66"/>
      <c r="B898" s="66"/>
      <c r="C898" s="65"/>
      <c r="D898" s="65"/>
      <c r="E898" s="65"/>
      <c r="F898" s="23"/>
      <c r="G898" s="23"/>
    </row>
    <row r="899" spans="1:7" x14ac:dyDescent="0.15">
      <c r="A899" s="66"/>
      <c r="B899" s="66"/>
      <c r="C899" s="65"/>
      <c r="D899" s="65"/>
      <c r="E899" s="65"/>
      <c r="F899" s="23"/>
      <c r="G899" s="23"/>
    </row>
    <row r="900" spans="1:7" x14ac:dyDescent="0.15">
      <c r="A900" s="66"/>
      <c r="B900" s="66"/>
      <c r="C900" s="65"/>
      <c r="D900" s="65"/>
      <c r="E900" s="65"/>
      <c r="F900" s="23"/>
      <c r="G900" s="23"/>
    </row>
    <row r="901" spans="1:7" x14ac:dyDescent="0.15">
      <c r="A901" s="66"/>
      <c r="B901" s="66"/>
      <c r="C901" s="65"/>
      <c r="D901" s="65"/>
      <c r="E901" s="65"/>
      <c r="F901" s="23"/>
      <c r="G901" s="23"/>
    </row>
    <row r="902" spans="1:7" x14ac:dyDescent="0.15">
      <c r="A902" s="66"/>
      <c r="B902" s="66"/>
      <c r="C902" s="65"/>
      <c r="D902" s="65"/>
      <c r="E902" s="65"/>
      <c r="F902" s="23"/>
      <c r="G902" s="23"/>
    </row>
    <row r="903" spans="1:7" x14ac:dyDescent="0.15">
      <c r="A903" s="66"/>
      <c r="B903" s="66"/>
      <c r="C903" s="65"/>
      <c r="D903" s="65"/>
      <c r="E903" s="65"/>
      <c r="F903" s="23"/>
      <c r="G903" s="23"/>
    </row>
    <row r="904" spans="1:7" x14ac:dyDescent="0.15">
      <c r="A904" s="66"/>
      <c r="B904" s="66"/>
      <c r="C904" s="65"/>
      <c r="D904" s="65"/>
      <c r="E904" s="65"/>
      <c r="F904" s="23"/>
      <c r="G904" s="23"/>
    </row>
    <row r="905" spans="1:7" x14ac:dyDescent="0.15">
      <c r="A905" s="66"/>
      <c r="B905" s="66"/>
      <c r="C905" s="65"/>
      <c r="D905" s="65"/>
      <c r="E905" s="65"/>
      <c r="F905" s="23"/>
      <c r="G905" s="23"/>
    </row>
    <row r="906" spans="1:7" x14ac:dyDescent="0.15">
      <c r="A906" s="66"/>
      <c r="B906" s="66"/>
      <c r="C906" s="65"/>
      <c r="D906" s="65"/>
      <c r="E906" s="65"/>
      <c r="F906" s="23"/>
      <c r="G906" s="23"/>
    </row>
    <row r="907" spans="1:7" x14ac:dyDescent="0.15">
      <c r="A907" s="66"/>
      <c r="B907" s="66"/>
      <c r="C907" s="65"/>
      <c r="D907" s="65"/>
      <c r="E907" s="65"/>
      <c r="F907" s="23"/>
      <c r="G907" s="23"/>
    </row>
    <row r="908" spans="1:7" x14ac:dyDescent="0.15">
      <c r="A908" s="66"/>
      <c r="B908" s="66"/>
      <c r="C908" s="65"/>
      <c r="D908" s="65"/>
      <c r="E908" s="65"/>
      <c r="F908" s="23"/>
      <c r="G908" s="23"/>
    </row>
    <row r="909" spans="1:7" x14ac:dyDescent="0.15">
      <c r="A909" s="66"/>
      <c r="B909" s="66"/>
      <c r="C909" s="65"/>
      <c r="D909" s="65"/>
      <c r="E909" s="65"/>
      <c r="F909" s="23"/>
      <c r="G909" s="23"/>
    </row>
    <row r="910" spans="1:7" x14ac:dyDescent="0.15">
      <c r="A910" s="66"/>
      <c r="B910" s="66"/>
      <c r="C910" s="65"/>
      <c r="D910" s="65"/>
      <c r="E910" s="65"/>
      <c r="F910" s="23"/>
      <c r="G910" s="23"/>
    </row>
    <row r="911" spans="1:7" x14ac:dyDescent="0.15">
      <c r="A911" s="66"/>
      <c r="B911" s="66"/>
      <c r="C911" s="65"/>
      <c r="D911" s="65"/>
      <c r="E911" s="65"/>
      <c r="F911" s="23"/>
      <c r="G911" s="23"/>
    </row>
    <row r="912" spans="1:7" x14ac:dyDescent="0.15">
      <c r="A912" s="66"/>
      <c r="B912" s="66"/>
      <c r="C912" s="65"/>
      <c r="D912" s="65"/>
      <c r="E912" s="65"/>
      <c r="F912" s="23"/>
      <c r="G912" s="23"/>
    </row>
    <row r="913" spans="1:7" x14ac:dyDescent="0.15">
      <c r="A913" s="66"/>
      <c r="B913" s="66"/>
      <c r="C913" s="65"/>
      <c r="D913" s="65"/>
      <c r="E913" s="65"/>
      <c r="F913" s="23"/>
      <c r="G913" s="23"/>
    </row>
    <row r="914" spans="1:7" x14ac:dyDescent="0.15">
      <c r="A914" s="66"/>
      <c r="B914" s="66"/>
      <c r="C914" s="65"/>
      <c r="D914" s="65"/>
      <c r="E914" s="65"/>
      <c r="F914" s="23"/>
      <c r="G914" s="23"/>
    </row>
    <row r="915" spans="1:7" x14ac:dyDescent="0.15">
      <c r="A915" s="66"/>
      <c r="B915" s="66"/>
      <c r="C915" s="65"/>
      <c r="D915" s="65"/>
      <c r="E915" s="65"/>
      <c r="F915" s="23"/>
      <c r="G915" s="23"/>
    </row>
    <row r="916" spans="1:7" x14ac:dyDescent="0.15">
      <c r="A916" s="66"/>
      <c r="B916" s="66"/>
      <c r="C916" s="65"/>
      <c r="D916" s="65"/>
      <c r="E916" s="65"/>
      <c r="F916" s="23"/>
      <c r="G916" s="23"/>
    </row>
    <row r="917" spans="1:7" x14ac:dyDescent="0.15">
      <c r="A917" s="66"/>
      <c r="B917" s="66"/>
      <c r="C917" s="65"/>
      <c r="D917" s="65"/>
      <c r="E917" s="65"/>
      <c r="F917" s="23"/>
      <c r="G917" s="23"/>
    </row>
    <row r="918" spans="1:7" x14ac:dyDescent="0.15">
      <c r="A918" s="66"/>
      <c r="B918" s="66"/>
      <c r="C918" s="65"/>
      <c r="D918" s="65"/>
      <c r="E918" s="65"/>
      <c r="F918" s="23"/>
      <c r="G918" s="23"/>
    </row>
    <row r="919" spans="1:7" x14ac:dyDescent="0.15">
      <c r="A919" s="66"/>
      <c r="B919" s="66"/>
      <c r="C919" s="65"/>
      <c r="D919" s="65"/>
      <c r="E919" s="65"/>
      <c r="F919" s="23"/>
      <c r="G919" s="23"/>
    </row>
    <row r="920" spans="1:7" x14ac:dyDescent="0.15">
      <c r="A920" s="66"/>
      <c r="B920" s="66"/>
      <c r="C920" s="65"/>
      <c r="D920" s="65"/>
      <c r="E920" s="65"/>
      <c r="F920" s="23"/>
      <c r="G920" s="23"/>
    </row>
    <row r="921" spans="1:7" x14ac:dyDescent="0.15">
      <c r="A921" s="66"/>
      <c r="B921" s="66"/>
      <c r="C921" s="65"/>
      <c r="D921" s="65"/>
      <c r="E921" s="65"/>
      <c r="F921" s="23"/>
      <c r="G921" s="23"/>
    </row>
    <row r="922" spans="1:7" x14ac:dyDescent="0.15">
      <c r="A922" s="66"/>
      <c r="B922" s="66"/>
      <c r="C922" s="65"/>
      <c r="D922" s="65"/>
      <c r="E922" s="65"/>
      <c r="F922" s="23"/>
      <c r="G922" s="23"/>
    </row>
    <row r="923" spans="1:7" x14ac:dyDescent="0.15">
      <c r="A923" s="66"/>
      <c r="B923" s="66"/>
      <c r="C923" s="65"/>
      <c r="D923" s="65"/>
      <c r="E923" s="65"/>
      <c r="F923" s="23"/>
      <c r="G923" s="23"/>
    </row>
    <row r="924" spans="1:7" x14ac:dyDescent="0.15">
      <c r="A924" s="66"/>
      <c r="B924" s="66"/>
      <c r="C924" s="65"/>
      <c r="D924" s="65"/>
      <c r="E924" s="65"/>
      <c r="F924" s="23"/>
      <c r="G924" s="23"/>
    </row>
    <row r="925" spans="1:7" x14ac:dyDescent="0.15">
      <c r="A925" s="66"/>
      <c r="B925" s="66"/>
      <c r="C925" s="65"/>
      <c r="D925" s="65"/>
      <c r="E925" s="65"/>
      <c r="F925" s="23"/>
      <c r="G925" s="23"/>
    </row>
    <row r="926" spans="1:7" x14ac:dyDescent="0.15">
      <c r="A926" s="66"/>
      <c r="B926" s="66"/>
      <c r="C926" s="65"/>
      <c r="D926" s="65"/>
      <c r="E926" s="65"/>
      <c r="F926" s="23"/>
      <c r="G926" s="23"/>
    </row>
    <row r="927" spans="1:7" x14ac:dyDescent="0.15">
      <c r="A927" s="66"/>
      <c r="B927" s="66"/>
      <c r="C927" s="65"/>
      <c r="D927" s="65"/>
      <c r="E927" s="65"/>
      <c r="F927" s="23"/>
      <c r="G927" s="23"/>
    </row>
    <row r="928" spans="1:7" x14ac:dyDescent="0.15">
      <c r="A928" s="66"/>
      <c r="B928" s="66"/>
      <c r="C928" s="65"/>
      <c r="D928" s="65"/>
      <c r="E928" s="65"/>
      <c r="F928" s="23"/>
      <c r="G928" s="23"/>
    </row>
    <row r="929" spans="1:7" x14ac:dyDescent="0.15">
      <c r="A929" s="66"/>
      <c r="B929" s="66"/>
      <c r="C929" s="65"/>
      <c r="D929" s="65"/>
      <c r="E929" s="65"/>
      <c r="F929" s="23"/>
      <c r="G929" s="23"/>
    </row>
    <row r="930" spans="1:7" x14ac:dyDescent="0.15">
      <c r="A930" s="66"/>
      <c r="B930" s="66"/>
      <c r="C930" s="65"/>
      <c r="D930" s="65"/>
      <c r="E930" s="65"/>
      <c r="F930" s="23"/>
      <c r="G930" s="23"/>
    </row>
    <row r="931" spans="1:7" x14ac:dyDescent="0.15">
      <c r="A931" s="66"/>
      <c r="B931" s="66"/>
      <c r="C931" s="65"/>
      <c r="D931" s="65"/>
      <c r="E931" s="65"/>
      <c r="F931" s="23"/>
      <c r="G931" s="23"/>
    </row>
    <row r="932" spans="1:7" x14ac:dyDescent="0.15">
      <c r="A932" s="66"/>
      <c r="B932" s="66"/>
      <c r="C932" s="65"/>
      <c r="D932" s="65"/>
      <c r="E932" s="65"/>
      <c r="F932" s="23"/>
      <c r="G932" s="23"/>
    </row>
    <row r="933" spans="1:7" x14ac:dyDescent="0.15">
      <c r="A933" s="66"/>
      <c r="B933" s="66"/>
      <c r="C933" s="65"/>
      <c r="D933" s="65"/>
      <c r="E933" s="65"/>
      <c r="F933" s="23"/>
      <c r="G933" s="23"/>
    </row>
    <row r="934" spans="1:7" x14ac:dyDescent="0.15">
      <c r="A934" s="66"/>
      <c r="B934" s="66"/>
      <c r="C934" s="65"/>
      <c r="D934" s="65"/>
      <c r="E934" s="65"/>
      <c r="F934" s="23"/>
      <c r="G934" s="23"/>
    </row>
    <row r="935" spans="1:7" x14ac:dyDescent="0.15">
      <c r="A935" s="66"/>
      <c r="B935" s="66"/>
      <c r="C935" s="65"/>
      <c r="D935" s="65"/>
      <c r="E935" s="65"/>
      <c r="F935" s="23"/>
      <c r="G935" s="23"/>
    </row>
    <row r="936" spans="1:7" x14ac:dyDescent="0.15">
      <c r="A936" s="66"/>
      <c r="B936" s="66"/>
      <c r="C936" s="65"/>
      <c r="D936" s="65"/>
      <c r="E936" s="65"/>
      <c r="F936" s="23"/>
      <c r="G936" s="23"/>
    </row>
    <row r="937" spans="1:7" x14ac:dyDescent="0.15">
      <c r="A937" s="66"/>
      <c r="B937" s="66"/>
      <c r="C937" s="65"/>
      <c r="D937" s="65"/>
      <c r="E937" s="65"/>
      <c r="F937" s="23"/>
      <c r="G937" s="23"/>
    </row>
    <row r="938" spans="1:7" x14ac:dyDescent="0.15">
      <c r="A938" s="66"/>
      <c r="B938" s="66"/>
      <c r="C938" s="65"/>
      <c r="D938" s="65"/>
      <c r="E938" s="65"/>
      <c r="F938" s="23"/>
      <c r="G938" s="23"/>
    </row>
    <row r="939" spans="1:7" x14ac:dyDescent="0.15">
      <c r="A939" s="66"/>
      <c r="B939" s="66"/>
      <c r="C939" s="65"/>
      <c r="D939" s="65"/>
      <c r="E939" s="65"/>
      <c r="F939" s="23"/>
      <c r="G939" s="23"/>
    </row>
    <row r="940" spans="1:7" x14ac:dyDescent="0.15">
      <c r="A940" s="66"/>
      <c r="B940" s="66"/>
      <c r="C940" s="65"/>
      <c r="D940" s="65"/>
      <c r="E940" s="65"/>
      <c r="F940" s="23"/>
      <c r="G940" s="23"/>
    </row>
    <row r="941" spans="1:7" x14ac:dyDescent="0.15">
      <c r="A941" s="66"/>
      <c r="B941" s="66"/>
      <c r="C941" s="65"/>
      <c r="D941" s="65"/>
      <c r="E941" s="65"/>
      <c r="F941" s="23"/>
      <c r="G941" s="23"/>
    </row>
    <row r="942" spans="1:7" x14ac:dyDescent="0.15">
      <c r="A942" s="66"/>
      <c r="B942" s="66"/>
      <c r="C942" s="65"/>
      <c r="D942" s="65"/>
      <c r="E942" s="65"/>
      <c r="F942" s="23"/>
      <c r="G942" s="23"/>
    </row>
    <row r="943" spans="1:7" x14ac:dyDescent="0.15">
      <c r="A943" s="66"/>
      <c r="B943" s="66"/>
      <c r="C943" s="65"/>
      <c r="D943" s="65"/>
      <c r="E943" s="65"/>
      <c r="F943" s="23"/>
      <c r="G943" s="23"/>
    </row>
    <row r="944" spans="1:7" x14ac:dyDescent="0.15">
      <c r="A944" s="66"/>
      <c r="B944" s="66"/>
      <c r="C944" s="65"/>
      <c r="D944" s="65"/>
      <c r="E944" s="65"/>
      <c r="F944" s="23"/>
      <c r="G944" s="23"/>
    </row>
    <row r="945" spans="1:7" x14ac:dyDescent="0.15">
      <c r="A945" s="66"/>
      <c r="B945" s="66"/>
      <c r="C945" s="65"/>
      <c r="D945" s="65"/>
      <c r="E945" s="65"/>
      <c r="F945" s="23"/>
      <c r="G945" s="23"/>
    </row>
    <row r="946" spans="1:7" x14ac:dyDescent="0.15">
      <c r="A946" s="66"/>
      <c r="B946" s="66"/>
      <c r="C946" s="65"/>
      <c r="D946" s="65"/>
      <c r="E946" s="65"/>
      <c r="F946" s="23"/>
      <c r="G946" s="23"/>
    </row>
    <row r="947" spans="1:7" x14ac:dyDescent="0.15">
      <c r="A947" s="66"/>
      <c r="B947" s="66"/>
      <c r="C947" s="65"/>
      <c r="D947" s="65"/>
      <c r="E947" s="65"/>
      <c r="F947" s="23"/>
      <c r="G947" s="23"/>
    </row>
    <row r="948" spans="1:7" x14ac:dyDescent="0.15">
      <c r="A948" s="66"/>
      <c r="B948" s="66"/>
      <c r="C948" s="65"/>
      <c r="D948" s="65"/>
      <c r="E948" s="65"/>
      <c r="F948" s="23"/>
      <c r="G948" s="23"/>
    </row>
    <row r="949" spans="1:7" x14ac:dyDescent="0.15">
      <c r="A949" s="66"/>
      <c r="B949" s="66"/>
      <c r="C949" s="65"/>
      <c r="D949" s="65"/>
      <c r="E949" s="65"/>
      <c r="F949" s="23"/>
      <c r="G949" s="23"/>
    </row>
    <row r="950" spans="1:7" x14ac:dyDescent="0.15">
      <c r="A950" s="66"/>
      <c r="B950" s="66"/>
      <c r="C950" s="65"/>
      <c r="D950" s="65"/>
      <c r="E950" s="65"/>
      <c r="F950" s="23"/>
      <c r="G950" s="23"/>
    </row>
    <row r="951" spans="1:7" x14ac:dyDescent="0.15">
      <c r="A951" s="66"/>
      <c r="B951" s="66"/>
      <c r="C951" s="65"/>
      <c r="D951" s="65"/>
      <c r="E951" s="65"/>
      <c r="F951" s="23"/>
      <c r="G951" s="23"/>
    </row>
    <row r="952" spans="1:7" x14ac:dyDescent="0.15">
      <c r="A952" s="66"/>
      <c r="B952" s="66"/>
      <c r="C952" s="65"/>
      <c r="D952" s="65"/>
      <c r="E952" s="65"/>
      <c r="F952" s="23"/>
      <c r="G952" s="23"/>
    </row>
    <row r="953" spans="1:7" x14ac:dyDescent="0.15">
      <c r="A953" s="66"/>
      <c r="B953" s="66"/>
      <c r="C953" s="65"/>
      <c r="D953" s="65"/>
      <c r="E953" s="65"/>
      <c r="F953" s="23"/>
      <c r="G953" s="23"/>
    </row>
    <row r="954" spans="1:7" x14ac:dyDescent="0.15">
      <c r="A954" s="66"/>
      <c r="B954" s="66"/>
      <c r="C954" s="65"/>
      <c r="D954" s="65"/>
      <c r="E954" s="65"/>
      <c r="F954" s="23"/>
      <c r="G954" s="23"/>
    </row>
    <row r="955" spans="1:7" x14ac:dyDescent="0.15">
      <c r="A955" s="66"/>
      <c r="B955" s="66"/>
      <c r="C955" s="65"/>
      <c r="D955" s="65"/>
      <c r="E955" s="65"/>
      <c r="F955" s="23"/>
      <c r="G955" s="23"/>
    </row>
    <row r="956" spans="1:7" x14ac:dyDescent="0.15">
      <c r="A956" s="66"/>
      <c r="B956" s="66"/>
      <c r="C956" s="65"/>
      <c r="D956" s="65"/>
      <c r="E956" s="65"/>
      <c r="F956" s="23"/>
      <c r="G956" s="23"/>
    </row>
    <row r="957" spans="1:7" x14ac:dyDescent="0.15">
      <c r="A957" s="66"/>
      <c r="B957" s="66"/>
      <c r="C957" s="65"/>
      <c r="D957" s="65"/>
      <c r="E957" s="65"/>
      <c r="F957" s="23"/>
      <c r="G957" s="23"/>
    </row>
    <row r="958" spans="1:7" x14ac:dyDescent="0.15">
      <c r="A958" s="66"/>
      <c r="B958" s="66"/>
      <c r="C958" s="65"/>
      <c r="D958" s="65"/>
      <c r="E958" s="65"/>
      <c r="F958" s="23"/>
      <c r="G958" s="23"/>
    </row>
    <row r="959" spans="1:7" x14ac:dyDescent="0.15">
      <c r="A959" s="66"/>
      <c r="B959" s="66"/>
      <c r="C959" s="65"/>
      <c r="D959" s="65"/>
      <c r="E959" s="65"/>
      <c r="F959" s="23"/>
      <c r="G959" s="23"/>
    </row>
    <row r="960" spans="1:7" x14ac:dyDescent="0.15">
      <c r="A960" s="66"/>
      <c r="B960" s="66"/>
      <c r="C960" s="65"/>
      <c r="D960" s="65"/>
      <c r="E960" s="65"/>
      <c r="F960" s="23"/>
      <c r="G960" s="23"/>
    </row>
    <row r="961" spans="1:7" x14ac:dyDescent="0.15">
      <c r="A961" s="66"/>
      <c r="B961" s="66"/>
      <c r="C961" s="65"/>
      <c r="D961" s="65"/>
      <c r="E961" s="65"/>
      <c r="F961" s="23"/>
      <c r="G961" s="23"/>
    </row>
    <row r="962" spans="1:7" x14ac:dyDescent="0.15">
      <c r="A962" s="66"/>
      <c r="B962" s="66"/>
      <c r="C962" s="65"/>
      <c r="D962" s="65"/>
      <c r="E962" s="65"/>
      <c r="F962" s="23"/>
      <c r="G962" s="23"/>
    </row>
    <row r="963" spans="1:7" x14ac:dyDescent="0.15">
      <c r="A963" s="66"/>
      <c r="B963" s="66"/>
      <c r="C963" s="65"/>
      <c r="D963" s="65"/>
      <c r="E963" s="65"/>
      <c r="F963" s="23"/>
      <c r="G963" s="23"/>
    </row>
    <row r="964" spans="1:7" x14ac:dyDescent="0.15">
      <c r="A964" s="66"/>
      <c r="B964" s="66"/>
      <c r="C964" s="65"/>
      <c r="D964" s="65"/>
      <c r="E964" s="65"/>
      <c r="F964" s="23"/>
      <c r="G964" s="23"/>
    </row>
    <row r="965" spans="1:7" x14ac:dyDescent="0.15">
      <c r="A965" s="66"/>
      <c r="B965" s="66"/>
      <c r="C965" s="65"/>
      <c r="D965" s="65"/>
      <c r="E965" s="65"/>
      <c r="F965" s="23"/>
      <c r="G965" s="23"/>
    </row>
    <row r="966" spans="1:7" x14ac:dyDescent="0.15">
      <c r="A966" s="66"/>
      <c r="B966" s="66"/>
      <c r="C966" s="65"/>
      <c r="D966" s="65"/>
      <c r="E966" s="65"/>
      <c r="F966" s="23"/>
      <c r="G966" s="23"/>
    </row>
    <row r="967" spans="1:7" x14ac:dyDescent="0.15">
      <c r="A967" s="66"/>
      <c r="B967" s="66"/>
      <c r="C967" s="65"/>
      <c r="D967" s="65"/>
      <c r="E967" s="65"/>
      <c r="F967" s="23"/>
      <c r="G967" s="23"/>
    </row>
    <row r="968" spans="1:7" x14ac:dyDescent="0.15">
      <c r="A968" s="66"/>
      <c r="B968" s="66"/>
      <c r="C968" s="65"/>
      <c r="D968" s="65"/>
      <c r="E968" s="65"/>
      <c r="F968" s="23"/>
      <c r="G968" s="23"/>
    </row>
    <row r="969" spans="1:7" x14ac:dyDescent="0.15">
      <c r="A969" s="66"/>
      <c r="B969" s="66"/>
      <c r="C969" s="65"/>
      <c r="D969" s="65"/>
      <c r="E969" s="65"/>
      <c r="F969" s="23"/>
      <c r="G969" s="23"/>
    </row>
    <row r="970" spans="1:7" x14ac:dyDescent="0.15">
      <c r="A970" s="66"/>
      <c r="B970" s="66"/>
      <c r="C970" s="65"/>
      <c r="D970" s="65"/>
      <c r="E970" s="65"/>
      <c r="F970" s="23"/>
      <c r="G970" s="23"/>
    </row>
    <row r="971" spans="1:7" x14ac:dyDescent="0.15">
      <c r="A971" s="66"/>
      <c r="B971" s="66"/>
      <c r="C971" s="65"/>
      <c r="D971" s="65"/>
      <c r="E971" s="65"/>
      <c r="F971" s="23"/>
      <c r="G971" s="23"/>
    </row>
    <row r="972" spans="1:7" x14ac:dyDescent="0.15">
      <c r="A972" s="66"/>
      <c r="B972" s="66"/>
      <c r="C972" s="65"/>
      <c r="D972" s="65"/>
      <c r="E972" s="65"/>
      <c r="F972" s="23"/>
      <c r="G972" s="23"/>
    </row>
    <row r="973" spans="1:7" x14ac:dyDescent="0.15">
      <c r="A973" s="66"/>
      <c r="B973" s="66"/>
      <c r="C973" s="65"/>
      <c r="D973" s="65"/>
      <c r="E973" s="65"/>
      <c r="F973" s="23"/>
      <c r="G973" s="23"/>
    </row>
    <row r="974" spans="1:7" x14ac:dyDescent="0.15">
      <c r="A974" s="66"/>
      <c r="B974" s="66"/>
      <c r="C974" s="65"/>
      <c r="D974" s="65"/>
      <c r="E974" s="65"/>
      <c r="F974" s="23"/>
      <c r="G974" s="23"/>
    </row>
    <row r="975" spans="1:7" x14ac:dyDescent="0.15">
      <c r="A975" s="66"/>
      <c r="B975" s="66"/>
      <c r="C975" s="65"/>
      <c r="D975" s="65"/>
      <c r="E975" s="65"/>
      <c r="F975" s="23"/>
      <c r="G975" s="23"/>
    </row>
    <row r="976" spans="1:7" x14ac:dyDescent="0.15">
      <c r="A976" s="66"/>
      <c r="B976" s="66"/>
      <c r="C976" s="65"/>
      <c r="D976" s="65"/>
      <c r="E976" s="65"/>
      <c r="F976" s="23"/>
      <c r="G976" s="23"/>
    </row>
    <row r="977" spans="1:7" x14ac:dyDescent="0.15">
      <c r="A977" s="66"/>
      <c r="B977" s="66"/>
      <c r="C977" s="65"/>
      <c r="D977" s="65"/>
      <c r="E977" s="65"/>
      <c r="F977" s="23"/>
      <c r="G977" s="23"/>
    </row>
    <row r="978" spans="1:7" x14ac:dyDescent="0.15">
      <c r="A978" s="66"/>
      <c r="B978" s="66"/>
      <c r="C978" s="65"/>
      <c r="D978" s="65"/>
      <c r="E978" s="65"/>
      <c r="F978" s="23"/>
      <c r="G978" s="23"/>
    </row>
    <row r="979" spans="1:7" x14ac:dyDescent="0.15">
      <c r="A979" s="66"/>
      <c r="B979" s="66"/>
      <c r="C979" s="65"/>
      <c r="D979" s="65"/>
      <c r="E979" s="65"/>
      <c r="F979" s="23"/>
      <c r="G979" s="23"/>
    </row>
    <row r="980" spans="1:7" x14ac:dyDescent="0.15">
      <c r="A980" s="66"/>
      <c r="B980" s="66"/>
      <c r="C980" s="65"/>
      <c r="D980" s="65"/>
      <c r="E980" s="65"/>
      <c r="F980" s="23"/>
      <c r="G980" s="23"/>
    </row>
    <row r="981" spans="1:7" x14ac:dyDescent="0.15">
      <c r="A981" s="66"/>
      <c r="B981" s="66"/>
      <c r="C981" s="65"/>
      <c r="D981" s="65"/>
      <c r="E981" s="65"/>
      <c r="F981" s="23"/>
      <c r="G981" s="23"/>
    </row>
    <row r="982" spans="1:7" x14ac:dyDescent="0.15">
      <c r="A982" s="66"/>
      <c r="B982" s="66"/>
      <c r="C982" s="65"/>
      <c r="D982" s="65"/>
      <c r="E982" s="65"/>
      <c r="F982" s="23"/>
      <c r="G982" s="23"/>
    </row>
    <row r="983" spans="1:7" x14ac:dyDescent="0.15">
      <c r="A983" s="66"/>
      <c r="B983" s="66"/>
      <c r="C983" s="65"/>
      <c r="D983" s="65"/>
      <c r="E983" s="65"/>
      <c r="F983" s="23"/>
      <c r="G983" s="23"/>
    </row>
    <row r="984" spans="1:7" x14ac:dyDescent="0.15">
      <c r="A984" s="66"/>
      <c r="B984" s="66"/>
      <c r="C984" s="65"/>
      <c r="D984" s="65"/>
      <c r="E984" s="65"/>
      <c r="F984" s="23"/>
      <c r="G984" s="23"/>
    </row>
    <row r="985" spans="1:7" x14ac:dyDescent="0.15">
      <c r="A985" s="66"/>
      <c r="B985" s="66"/>
      <c r="C985" s="65"/>
      <c r="D985" s="65"/>
      <c r="E985" s="65"/>
      <c r="F985" s="23"/>
      <c r="G985" s="23"/>
    </row>
    <row r="986" spans="1:7" x14ac:dyDescent="0.15">
      <c r="A986" s="66"/>
      <c r="B986" s="66"/>
      <c r="C986" s="65"/>
      <c r="D986" s="65"/>
      <c r="E986" s="65"/>
      <c r="F986" s="23"/>
      <c r="G986" s="23"/>
    </row>
    <row r="987" spans="1:7" x14ac:dyDescent="0.15">
      <c r="A987" s="66"/>
      <c r="B987" s="66"/>
      <c r="C987" s="65"/>
      <c r="D987" s="65"/>
      <c r="E987" s="65"/>
      <c r="F987" s="23"/>
      <c r="G987" s="23"/>
    </row>
    <row r="988" spans="1:7" x14ac:dyDescent="0.15">
      <c r="A988" s="66"/>
      <c r="B988" s="66"/>
      <c r="C988" s="65"/>
      <c r="D988" s="65"/>
      <c r="E988" s="65"/>
      <c r="F988" s="23"/>
      <c r="G988" s="23"/>
    </row>
    <row r="989" spans="1:7" x14ac:dyDescent="0.15">
      <c r="A989" s="66"/>
      <c r="B989" s="66"/>
      <c r="C989" s="65"/>
      <c r="D989" s="65"/>
      <c r="E989" s="65"/>
      <c r="F989" s="23"/>
      <c r="G989" s="23"/>
    </row>
    <row r="990" spans="1:7" x14ac:dyDescent="0.15">
      <c r="A990" s="66"/>
      <c r="B990" s="66"/>
      <c r="C990" s="65"/>
      <c r="D990" s="65"/>
      <c r="E990" s="65"/>
      <c r="F990" s="23"/>
      <c r="G990" s="23"/>
    </row>
    <row r="991" spans="1:7" x14ac:dyDescent="0.15">
      <c r="A991" s="66"/>
      <c r="B991" s="66"/>
      <c r="C991" s="65"/>
      <c r="D991" s="65"/>
      <c r="E991" s="65"/>
      <c r="F991" s="23"/>
      <c r="G991" s="23"/>
    </row>
    <row r="992" spans="1:7" x14ac:dyDescent="0.15">
      <c r="A992" s="66"/>
      <c r="B992" s="66"/>
      <c r="C992" s="65"/>
      <c r="D992" s="65"/>
      <c r="E992" s="65"/>
      <c r="F992" s="23"/>
      <c r="G992" s="23"/>
    </row>
    <row r="993" spans="1:7" x14ac:dyDescent="0.15">
      <c r="A993" s="66"/>
      <c r="B993" s="66"/>
      <c r="C993" s="65"/>
      <c r="D993" s="65"/>
      <c r="E993" s="65"/>
      <c r="F993" s="23"/>
      <c r="G993" s="23"/>
    </row>
    <row r="994" spans="1:7" x14ac:dyDescent="0.15">
      <c r="A994" s="66"/>
      <c r="B994" s="66"/>
      <c r="C994" s="65"/>
      <c r="D994" s="65"/>
      <c r="E994" s="65"/>
      <c r="F994" s="23"/>
      <c r="G994" s="23"/>
    </row>
    <row r="995" spans="1:7" x14ac:dyDescent="0.15">
      <c r="A995" s="66"/>
      <c r="B995" s="66"/>
      <c r="C995" s="65"/>
      <c r="D995" s="65"/>
      <c r="E995" s="65"/>
      <c r="F995" s="23"/>
      <c r="G995" s="23"/>
    </row>
    <row r="996" spans="1:7" x14ac:dyDescent="0.15">
      <c r="A996" s="66"/>
      <c r="B996" s="66"/>
      <c r="C996" s="65"/>
      <c r="D996" s="65"/>
      <c r="E996" s="65"/>
      <c r="F996" s="23"/>
      <c r="G996" s="23"/>
    </row>
    <row r="997" spans="1:7" x14ac:dyDescent="0.15">
      <c r="A997" s="66"/>
      <c r="B997" s="66"/>
      <c r="C997" s="65"/>
      <c r="D997" s="65"/>
      <c r="E997" s="65"/>
      <c r="F997" s="23"/>
      <c r="G997" s="23"/>
    </row>
    <row r="998" spans="1:7" x14ac:dyDescent="0.15">
      <c r="A998" s="66"/>
      <c r="B998" s="66"/>
      <c r="C998" s="65"/>
      <c r="D998" s="65"/>
      <c r="E998" s="65"/>
      <c r="F998" s="23"/>
      <c r="G998" s="23"/>
    </row>
    <row r="999" spans="1:7" x14ac:dyDescent="0.15">
      <c r="A999" s="66"/>
      <c r="B999" s="66"/>
      <c r="C999" s="65"/>
      <c r="D999" s="65"/>
      <c r="E999" s="65"/>
      <c r="F999" s="23"/>
      <c r="G999" s="23"/>
    </row>
    <row r="1000" spans="1:7" x14ac:dyDescent="0.15">
      <c r="A1000" s="66"/>
      <c r="B1000" s="66"/>
      <c r="C1000" s="65"/>
      <c r="D1000" s="65"/>
      <c r="E1000" s="65"/>
      <c r="F1000" s="23"/>
      <c r="G1000" s="23"/>
    </row>
    <row r="1001" spans="1:7" x14ac:dyDescent="0.15">
      <c r="A1001" s="66"/>
      <c r="B1001" s="66"/>
      <c r="C1001" s="65"/>
      <c r="D1001" s="65"/>
      <c r="E1001" s="65"/>
      <c r="F1001" s="23"/>
      <c r="G1001" s="23"/>
    </row>
    <row r="1002" spans="1:7" x14ac:dyDescent="0.15">
      <c r="A1002" s="66"/>
      <c r="B1002" s="66"/>
      <c r="C1002" s="65"/>
      <c r="D1002" s="65"/>
      <c r="E1002" s="65"/>
      <c r="F1002" s="23"/>
      <c r="G1002" s="23"/>
    </row>
    <row r="1003" spans="1:7" x14ac:dyDescent="0.15">
      <c r="A1003" s="66"/>
      <c r="B1003" s="66"/>
      <c r="C1003" s="65"/>
      <c r="D1003" s="65"/>
      <c r="E1003" s="65"/>
      <c r="F1003" s="23"/>
      <c r="G1003" s="23"/>
    </row>
    <row r="1004" spans="1:7" x14ac:dyDescent="0.15">
      <c r="A1004" s="66"/>
      <c r="B1004" s="66"/>
      <c r="C1004" s="65"/>
      <c r="D1004" s="65"/>
      <c r="E1004" s="65"/>
      <c r="F1004" s="23"/>
      <c r="G1004" s="23"/>
    </row>
    <row r="1005" spans="1:7" x14ac:dyDescent="0.15">
      <c r="A1005" s="66"/>
      <c r="B1005" s="66"/>
      <c r="C1005" s="65"/>
      <c r="D1005" s="65"/>
      <c r="E1005" s="65"/>
      <c r="F1005" s="23"/>
      <c r="G1005" s="23"/>
    </row>
    <row r="1006" spans="1:7" x14ac:dyDescent="0.15">
      <c r="A1006" s="66"/>
      <c r="B1006" s="66"/>
      <c r="C1006" s="65"/>
      <c r="D1006" s="65"/>
      <c r="E1006" s="65"/>
      <c r="F1006" s="23"/>
      <c r="G1006" s="23"/>
    </row>
    <row r="1007" spans="1:7" x14ac:dyDescent="0.15">
      <c r="A1007" s="66"/>
      <c r="B1007" s="66"/>
      <c r="C1007" s="65"/>
      <c r="D1007" s="65"/>
      <c r="E1007" s="65"/>
      <c r="F1007" s="23"/>
      <c r="G1007" s="23"/>
    </row>
    <row r="1008" spans="1:7" x14ac:dyDescent="0.15">
      <c r="A1008" s="66"/>
      <c r="B1008" s="66"/>
      <c r="C1008" s="65"/>
      <c r="D1008" s="65"/>
      <c r="E1008" s="65"/>
      <c r="F1008" s="23"/>
      <c r="G1008" s="23"/>
    </row>
    <row r="1009" spans="1:7" x14ac:dyDescent="0.15">
      <c r="A1009" s="66"/>
      <c r="B1009" s="66"/>
      <c r="C1009" s="65"/>
      <c r="D1009" s="65"/>
      <c r="E1009" s="65"/>
      <c r="F1009" s="23"/>
      <c r="G1009" s="23"/>
    </row>
    <row r="1010" spans="1:7" x14ac:dyDescent="0.15">
      <c r="A1010" s="66"/>
      <c r="B1010" s="66"/>
      <c r="C1010" s="65"/>
      <c r="D1010" s="65"/>
      <c r="E1010" s="65"/>
      <c r="F1010" s="23"/>
      <c r="G1010" s="23"/>
    </row>
    <row r="1011" spans="1:7" x14ac:dyDescent="0.15">
      <c r="A1011" s="66"/>
      <c r="B1011" s="66"/>
      <c r="C1011" s="65"/>
      <c r="D1011" s="65"/>
      <c r="E1011" s="65"/>
      <c r="F1011" s="23"/>
      <c r="G1011" s="23"/>
    </row>
    <row r="1012" spans="1:7" x14ac:dyDescent="0.15">
      <c r="A1012" s="66"/>
      <c r="B1012" s="66"/>
      <c r="C1012" s="65"/>
      <c r="D1012" s="65"/>
      <c r="E1012" s="65"/>
      <c r="F1012" s="23"/>
      <c r="G1012" s="23"/>
    </row>
    <row r="1013" spans="1:7" x14ac:dyDescent="0.15">
      <c r="A1013" s="66"/>
      <c r="B1013" s="66"/>
      <c r="C1013" s="65"/>
      <c r="D1013" s="65"/>
      <c r="E1013" s="65"/>
      <c r="F1013" s="23"/>
      <c r="G1013" s="23"/>
    </row>
    <row r="1014" spans="1:7" x14ac:dyDescent="0.15">
      <c r="A1014" s="66"/>
      <c r="B1014" s="66"/>
      <c r="C1014" s="65"/>
      <c r="D1014" s="65"/>
      <c r="E1014" s="65"/>
      <c r="F1014" s="23"/>
      <c r="G1014" s="23"/>
    </row>
    <row r="1015" spans="1:7" x14ac:dyDescent="0.15">
      <c r="A1015" s="66"/>
      <c r="B1015" s="66"/>
      <c r="C1015" s="65"/>
      <c r="D1015" s="65"/>
      <c r="E1015" s="65"/>
      <c r="F1015" s="23"/>
      <c r="G1015" s="23"/>
    </row>
    <row r="1016" spans="1:7" x14ac:dyDescent="0.15">
      <c r="A1016" s="66"/>
      <c r="B1016" s="66"/>
      <c r="C1016" s="65"/>
      <c r="D1016" s="65"/>
      <c r="E1016" s="65"/>
      <c r="F1016" s="23"/>
      <c r="G1016" s="23"/>
    </row>
    <row r="1017" spans="1:7" x14ac:dyDescent="0.15">
      <c r="A1017" s="66"/>
      <c r="B1017" s="66"/>
      <c r="C1017" s="65"/>
      <c r="D1017" s="65"/>
      <c r="E1017" s="65"/>
      <c r="F1017" s="23"/>
      <c r="G1017" s="23"/>
    </row>
    <row r="1018" spans="1:7" x14ac:dyDescent="0.15">
      <c r="A1018" s="66"/>
      <c r="B1018" s="66"/>
      <c r="C1018" s="65"/>
      <c r="D1018" s="65"/>
      <c r="E1018" s="65"/>
      <c r="F1018" s="23"/>
      <c r="G1018" s="23"/>
    </row>
    <row r="1019" spans="1:7" x14ac:dyDescent="0.15">
      <c r="A1019" s="66"/>
      <c r="B1019" s="66"/>
      <c r="C1019" s="65"/>
      <c r="D1019" s="65"/>
      <c r="E1019" s="65"/>
      <c r="F1019" s="23"/>
      <c r="G1019" s="23"/>
    </row>
    <row r="1020" spans="1:7" x14ac:dyDescent="0.15">
      <c r="A1020" s="66"/>
      <c r="B1020" s="66"/>
      <c r="C1020" s="65"/>
      <c r="D1020" s="65"/>
      <c r="E1020" s="65"/>
      <c r="F1020" s="23"/>
      <c r="G1020" s="23"/>
    </row>
    <row r="1021" spans="1:7" x14ac:dyDescent="0.15">
      <c r="A1021" s="66"/>
      <c r="B1021" s="66"/>
      <c r="C1021" s="65"/>
      <c r="D1021" s="65"/>
      <c r="E1021" s="65"/>
      <c r="F1021" s="23"/>
      <c r="G1021" s="23"/>
    </row>
    <row r="1022" spans="1:7" x14ac:dyDescent="0.15">
      <c r="A1022" s="66"/>
      <c r="B1022" s="66"/>
      <c r="C1022" s="65"/>
      <c r="D1022" s="65"/>
      <c r="E1022" s="65"/>
      <c r="F1022" s="23"/>
      <c r="G1022" s="23"/>
    </row>
    <row r="1023" spans="1:7" x14ac:dyDescent="0.15">
      <c r="A1023" s="66"/>
      <c r="B1023" s="66"/>
      <c r="C1023" s="65"/>
      <c r="D1023" s="65"/>
      <c r="E1023" s="65"/>
      <c r="F1023" s="23"/>
      <c r="G1023" s="23"/>
    </row>
    <row r="1024" spans="1:7" x14ac:dyDescent="0.15">
      <c r="A1024" s="66"/>
      <c r="B1024" s="66"/>
      <c r="C1024" s="65"/>
      <c r="D1024" s="65"/>
      <c r="E1024" s="65"/>
      <c r="F1024" s="23"/>
      <c r="G1024" s="23"/>
    </row>
    <row r="1025" spans="1:7" x14ac:dyDescent="0.15">
      <c r="A1025" s="66"/>
      <c r="B1025" s="66"/>
      <c r="C1025" s="65"/>
      <c r="D1025" s="65"/>
      <c r="E1025" s="65"/>
      <c r="F1025" s="23"/>
      <c r="G1025" s="23"/>
    </row>
    <row r="1026" spans="1:7" x14ac:dyDescent="0.15">
      <c r="A1026" s="66"/>
      <c r="B1026" s="66"/>
      <c r="C1026" s="65"/>
      <c r="D1026" s="65"/>
      <c r="E1026" s="65"/>
      <c r="F1026" s="23"/>
      <c r="G1026" s="23"/>
    </row>
    <row r="1027" spans="1:7" x14ac:dyDescent="0.15">
      <c r="A1027" s="66"/>
      <c r="B1027" s="66"/>
      <c r="C1027" s="65"/>
      <c r="D1027" s="65"/>
      <c r="E1027" s="65"/>
      <c r="F1027" s="23"/>
      <c r="G1027" s="23"/>
    </row>
    <row r="1028" spans="1:7" x14ac:dyDescent="0.15">
      <c r="A1028" s="66"/>
      <c r="B1028" s="66"/>
      <c r="C1028" s="65"/>
      <c r="D1028" s="65"/>
      <c r="E1028" s="65"/>
      <c r="F1028" s="23"/>
      <c r="G1028" s="23"/>
    </row>
    <row r="1029" spans="1:7" x14ac:dyDescent="0.15">
      <c r="A1029" s="66"/>
      <c r="B1029" s="66"/>
      <c r="C1029" s="65"/>
      <c r="D1029" s="65"/>
      <c r="E1029" s="65"/>
      <c r="F1029" s="23"/>
      <c r="G1029" s="23"/>
    </row>
    <row r="1030" spans="1:7" x14ac:dyDescent="0.15">
      <c r="A1030" s="66"/>
      <c r="B1030" s="66"/>
      <c r="C1030" s="65"/>
      <c r="D1030" s="65"/>
      <c r="E1030" s="65"/>
      <c r="F1030" s="23"/>
      <c r="G1030" s="23"/>
    </row>
    <row r="1031" spans="1:7" x14ac:dyDescent="0.15">
      <c r="A1031" s="66"/>
      <c r="B1031" s="66"/>
      <c r="C1031" s="65"/>
      <c r="D1031" s="65"/>
      <c r="E1031" s="65"/>
      <c r="F1031" s="23"/>
      <c r="G1031" s="23"/>
    </row>
    <row r="1032" spans="1:7" x14ac:dyDescent="0.15">
      <c r="A1032" s="66"/>
      <c r="B1032" s="66"/>
      <c r="C1032" s="65"/>
      <c r="D1032" s="65"/>
      <c r="E1032" s="65"/>
      <c r="F1032" s="23"/>
      <c r="G1032" s="23"/>
    </row>
    <row r="1033" spans="1:7" x14ac:dyDescent="0.15">
      <c r="A1033" s="66"/>
      <c r="B1033" s="66"/>
      <c r="C1033" s="65"/>
      <c r="D1033" s="65"/>
      <c r="E1033" s="65"/>
      <c r="F1033" s="23"/>
      <c r="G1033" s="23"/>
    </row>
    <row r="1034" spans="1:7" x14ac:dyDescent="0.15">
      <c r="A1034" s="66"/>
      <c r="B1034" s="66"/>
      <c r="C1034" s="65"/>
      <c r="D1034" s="65"/>
      <c r="E1034" s="65"/>
      <c r="F1034" s="23"/>
      <c r="G1034" s="23"/>
    </row>
    <row r="1035" spans="1:7" x14ac:dyDescent="0.15">
      <c r="A1035" s="66"/>
      <c r="B1035" s="66"/>
      <c r="C1035" s="65"/>
      <c r="D1035" s="65"/>
      <c r="E1035" s="65"/>
      <c r="F1035" s="23"/>
      <c r="G1035" s="23"/>
    </row>
    <row r="1036" spans="1:7" x14ac:dyDescent="0.15">
      <c r="A1036" s="66"/>
      <c r="B1036" s="66"/>
      <c r="C1036" s="65"/>
      <c r="D1036" s="65"/>
      <c r="E1036" s="65"/>
      <c r="F1036" s="23"/>
      <c r="G1036" s="23"/>
    </row>
    <row r="1037" spans="1:7" x14ac:dyDescent="0.15">
      <c r="A1037" s="66"/>
      <c r="B1037" s="66"/>
      <c r="C1037" s="65"/>
      <c r="D1037" s="65"/>
      <c r="E1037" s="65"/>
      <c r="F1037" s="23"/>
      <c r="G1037" s="23"/>
    </row>
    <row r="1038" spans="1:7" x14ac:dyDescent="0.15">
      <c r="A1038" s="66"/>
      <c r="B1038" s="66"/>
      <c r="C1038" s="65"/>
      <c r="D1038" s="65"/>
      <c r="E1038" s="65"/>
      <c r="F1038" s="23"/>
      <c r="G1038" s="23"/>
    </row>
    <row r="1039" spans="1:7" x14ac:dyDescent="0.15">
      <c r="A1039" s="66"/>
      <c r="B1039" s="66"/>
      <c r="C1039" s="65"/>
      <c r="D1039" s="65"/>
      <c r="E1039" s="65"/>
      <c r="F1039" s="23"/>
      <c r="G1039" s="23"/>
    </row>
    <row r="1040" spans="1:7" x14ac:dyDescent="0.15">
      <c r="A1040" s="66"/>
      <c r="B1040" s="66"/>
      <c r="C1040" s="65"/>
      <c r="D1040" s="65"/>
      <c r="E1040" s="65"/>
      <c r="F1040" s="23"/>
      <c r="G1040" s="23"/>
    </row>
    <row r="1041" spans="1:7" x14ac:dyDescent="0.15">
      <c r="A1041" s="66"/>
      <c r="B1041" s="66"/>
      <c r="C1041" s="65"/>
      <c r="D1041" s="65"/>
      <c r="E1041" s="65"/>
      <c r="F1041" s="23"/>
      <c r="G1041" s="23"/>
    </row>
    <row r="1042" spans="1:7" x14ac:dyDescent="0.15">
      <c r="A1042" s="66"/>
      <c r="B1042" s="66"/>
      <c r="C1042" s="65"/>
      <c r="D1042" s="65"/>
      <c r="E1042" s="65"/>
      <c r="F1042" s="23"/>
      <c r="G1042" s="23"/>
    </row>
    <row r="1043" spans="1:7" x14ac:dyDescent="0.15">
      <c r="A1043" s="66"/>
      <c r="B1043" s="66"/>
      <c r="C1043" s="65"/>
      <c r="D1043" s="65"/>
      <c r="E1043" s="65"/>
      <c r="F1043" s="23"/>
      <c r="G1043" s="23"/>
    </row>
    <row r="1044" spans="1:7" x14ac:dyDescent="0.15">
      <c r="A1044" s="66"/>
      <c r="B1044" s="66"/>
      <c r="C1044" s="65"/>
      <c r="D1044" s="65"/>
      <c r="E1044" s="65"/>
      <c r="F1044" s="23"/>
      <c r="G1044" s="23"/>
    </row>
    <row r="1045" spans="1:7" x14ac:dyDescent="0.15">
      <c r="A1045" s="66"/>
      <c r="B1045" s="66"/>
      <c r="C1045" s="65"/>
      <c r="D1045" s="65"/>
      <c r="E1045" s="65"/>
      <c r="F1045" s="23"/>
      <c r="G1045" s="23"/>
    </row>
    <row r="1046" spans="1:7" x14ac:dyDescent="0.15">
      <c r="A1046" s="66"/>
      <c r="B1046" s="66"/>
      <c r="C1046" s="65"/>
      <c r="D1046" s="65"/>
      <c r="E1046" s="65"/>
      <c r="F1046" s="23"/>
      <c r="G1046" s="23"/>
    </row>
    <row r="1047" spans="1:7" x14ac:dyDescent="0.15">
      <c r="A1047" s="66"/>
      <c r="B1047" s="66"/>
      <c r="C1047" s="65"/>
      <c r="D1047" s="65"/>
      <c r="E1047" s="65"/>
      <c r="F1047" s="23"/>
      <c r="G1047" s="23"/>
    </row>
    <row r="1048" spans="1:7" x14ac:dyDescent="0.15">
      <c r="A1048" s="66"/>
      <c r="B1048" s="66"/>
      <c r="C1048" s="65"/>
      <c r="D1048" s="65"/>
      <c r="E1048" s="65"/>
      <c r="F1048" s="23"/>
      <c r="G1048" s="23"/>
    </row>
    <row r="1049" spans="1:7" x14ac:dyDescent="0.15">
      <c r="A1049" s="66"/>
      <c r="B1049" s="66"/>
      <c r="C1049" s="65"/>
      <c r="D1049" s="65"/>
      <c r="E1049" s="65"/>
      <c r="F1049" s="23"/>
      <c r="G1049" s="23"/>
    </row>
    <row r="1050" spans="1:7" x14ac:dyDescent="0.15">
      <c r="A1050" s="66"/>
      <c r="B1050" s="66"/>
      <c r="C1050" s="65"/>
      <c r="D1050" s="65"/>
      <c r="E1050" s="65"/>
      <c r="F1050" s="23"/>
      <c r="G1050" s="23"/>
    </row>
    <row r="1051" spans="1:7" x14ac:dyDescent="0.15">
      <c r="A1051" s="66"/>
      <c r="B1051" s="66"/>
      <c r="C1051" s="65"/>
      <c r="D1051" s="65"/>
      <c r="E1051" s="65"/>
      <c r="F1051" s="23"/>
      <c r="G1051" s="23"/>
    </row>
    <row r="1052" spans="1:7" x14ac:dyDescent="0.15">
      <c r="A1052" s="66"/>
      <c r="B1052" s="66"/>
      <c r="C1052" s="65"/>
      <c r="D1052" s="65"/>
      <c r="E1052" s="65"/>
      <c r="F1052" s="23"/>
      <c r="G1052" s="23"/>
    </row>
    <row r="1053" spans="1:7" x14ac:dyDescent="0.15">
      <c r="A1053" s="66"/>
      <c r="B1053" s="66"/>
      <c r="C1053" s="65"/>
      <c r="D1053" s="65"/>
      <c r="E1053" s="65"/>
      <c r="F1053" s="23"/>
      <c r="G1053" s="23"/>
    </row>
    <row r="1054" spans="1:7" x14ac:dyDescent="0.15">
      <c r="A1054" s="66"/>
      <c r="B1054" s="66"/>
      <c r="C1054" s="65"/>
      <c r="D1054" s="65"/>
      <c r="E1054" s="65"/>
      <c r="F1054" s="23"/>
      <c r="G1054" s="23"/>
    </row>
    <row r="1055" spans="1:7" x14ac:dyDescent="0.15">
      <c r="A1055" s="66"/>
      <c r="B1055" s="66"/>
      <c r="C1055" s="65"/>
      <c r="D1055" s="65"/>
      <c r="E1055" s="65"/>
      <c r="F1055" s="23"/>
      <c r="G1055" s="23"/>
    </row>
    <row r="1056" spans="1:7" x14ac:dyDescent="0.15">
      <c r="A1056" s="66"/>
      <c r="B1056" s="66"/>
      <c r="C1056" s="65"/>
      <c r="D1056" s="65"/>
      <c r="E1056" s="65"/>
      <c r="F1056" s="23"/>
      <c r="G1056" s="23"/>
    </row>
    <row r="1057" spans="1:7" x14ac:dyDescent="0.15">
      <c r="A1057" s="66"/>
      <c r="B1057" s="66"/>
      <c r="C1057" s="65"/>
      <c r="D1057" s="65"/>
      <c r="E1057" s="65"/>
      <c r="F1057" s="23"/>
      <c r="G1057" s="23"/>
    </row>
    <row r="1058" spans="1:7" x14ac:dyDescent="0.15">
      <c r="A1058" s="66"/>
      <c r="B1058" s="66"/>
      <c r="C1058" s="65"/>
      <c r="D1058" s="65"/>
      <c r="E1058" s="65"/>
      <c r="F1058" s="23"/>
      <c r="G1058" s="23"/>
    </row>
    <row r="1059" spans="1:7" x14ac:dyDescent="0.15">
      <c r="A1059" s="66"/>
      <c r="B1059" s="66"/>
      <c r="C1059" s="65"/>
      <c r="D1059" s="65"/>
      <c r="E1059" s="65"/>
      <c r="F1059" s="23"/>
      <c r="G1059" s="23"/>
    </row>
    <row r="1060" spans="1:7" x14ac:dyDescent="0.15">
      <c r="A1060" s="66"/>
      <c r="B1060" s="66"/>
      <c r="C1060" s="65"/>
      <c r="D1060" s="65"/>
      <c r="E1060" s="65"/>
      <c r="F1060" s="23"/>
      <c r="G1060" s="23"/>
    </row>
    <row r="1061" spans="1:7" x14ac:dyDescent="0.15">
      <c r="A1061" s="66"/>
      <c r="B1061" s="66"/>
      <c r="C1061" s="65"/>
      <c r="D1061" s="65"/>
      <c r="E1061" s="65"/>
      <c r="F1061" s="23"/>
      <c r="G1061" s="23"/>
    </row>
    <row r="1062" spans="1:7" x14ac:dyDescent="0.15">
      <c r="A1062" s="66"/>
      <c r="B1062" s="66"/>
      <c r="C1062" s="65"/>
      <c r="D1062" s="65"/>
      <c r="E1062" s="65"/>
      <c r="F1062" s="23"/>
      <c r="G1062" s="23"/>
    </row>
    <row r="1063" spans="1:7" x14ac:dyDescent="0.15">
      <c r="A1063" s="66"/>
      <c r="B1063" s="66"/>
      <c r="C1063" s="65"/>
      <c r="D1063" s="65"/>
      <c r="E1063" s="65"/>
      <c r="F1063" s="23"/>
      <c r="G1063" s="23"/>
    </row>
    <row r="1064" spans="1:7" x14ac:dyDescent="0.15">
      <c r="A1064" s="66"/>
      <c r="B1064" s="66"/>
      <c r="C1064" s="65"/>
      <c r="D1064" s="65"/>
      <c r="E1064" s="65"/>
      <c r="F1064" s="23"/>
      <c r="G1064" s="23"/>
    </row>
    <row r="1065" spans="1:7" x14ac:dyDescent="0.15">
      <c r="A1065" s="66"/>
      <c r="B1065" s="66"/>
      <c r="C1065" s="65"/>
      <c r="D1065" s="65"/>
      <c r="E1065" s="65"/>
      <c r="F1065" s="23"/>
      <c r="G1065" s="23"/>
    </row>
    <row r="1066" spans="1:7" x14ac:dyDescent="0.15">
      <c r="A1066" s="66"/>
      <c r="B1066" s="66"/>
      <c r="C1066" s="65"/>
      <c r="D1066" s="65"/>
      <c r="E1066" s="65"/>
      <c r="F1066" s="23"/>
      <c r="G1066" s="23"/>
    </row>
    <row r="1067" spans="1:7" x14ac:dyDescent="0.15">
      <c r="A1067" s="66"/>
      <c r="B1067" s="66"/>
      <c r="C1067" s="65"/>
      <c r="D1067" s="65"/>
      <c r="E1067" s="65"/>
      <c r="F1067" s="23"/>
      <c r="G1067" s="23"/>
    </row>
    <row r="1068" spans="1:7" x14ac:dyDescent="0.15">
      <c r="A1068" s="66"/>
      <c r="B1068" s="66"/>
      <c r="C1068" s="65"/>
      <c r="D1068" s="65"/>
      <c r="E1068" s="65"/>
      <c r="F1068" s="23"/>
      <c r="G1068" s="23"/>
    </row>
    <row r="1069" spans="1:7" x14ac:dyDescent="0.15">
      <c r="A1069" s="66"/>
      <c r="B1069" s="66"/>
      <c r="C1069" s="65"/>
      <c r="D1069" s="65"/>
      <c r="E1069" s="65"/>
      <c r="F1069" s="23"/>
      <c r="G1069" s="23"/>
    </row>
    <row r="1070" spans="1:7" x14ac:dyDescent="0.15">
      <c r="A1070" s="66"/>
      <c r="B1070" s="66"/>
      <c r="C1070" s="65"/>
      <c r="D1070" s="65"/>
      <c r="E1070" s="65"/>
      <c r="F1070" s="23"/>
      <c r="G1070" s="23"/>
    </row>
    <row r="1071" spans="1:7" x14ac:dyDescent="0.15">
      <c r="A1071" s="66"/>
      <c r="B1071" s="66"/>
      <c r="C1071" s="65"/>
      <c r="D1071" s="65"/>
      <c r="E1071" s="65"/>
      <c r="F1071" s="23"/>
      <c r="G1071" s="23"/>
    </row>
    <row r="1072" spans="1:7" x14ac:dyDescent="0.15">
      <c r="A1072" s="66"/>
      <c r="B1072" s="66"/>
      <c r="C1072" s="65"/>
      <c r="D1072" s="65"/>
      <c r="E1072" s="65"/>
      <c r="F1072" s="23"/>
      <c r="G1072" s="23"/>
    </row>
    <row r="1073" spans="1:7" x14ac:dyDescent="0.15">
      <c r="A1073" s="66"/>
      <c r="B1073" s="66"/>
      <c r="C1073" s="65"/>
      <c r="D1073" s="65"/>
      <c r="E1073" s="65"/>
      <c r="F1073" s="23"/>
      <c r="G1073" s="23"/>
    </row>
    <row r="1074" spans="1:7" x14ac:dyDescent="0.15">
      <c r="A1074" s="66"/>
      <c r="B1074" s="66"/>
      <c r="C1074" s="65"/>
      <c r="D1074" s="65"/>
      <c r="E1074" s="65"/>
      <c r="F1074" s="23"/>
      <c r="G1074" s="23"/>
    </row>
    <row r="1075" spans="1:7" x14ac:dyDescent="0.15">
      <c r="A1075" s="66"/>
      <c r="B1075" s="66"/>
      <c r="C1075" s="65"/>
      <c r="D1075" s="65"/>
      <c r="E1075" s="65"/>
      <c r="F1075" s="23"/>
      <c r="G1075" s="23"/>
    </row>
    <row r="1076" spans="1:7" x14ac:dyDescent="0.15">
      <c r="A1076" s="66"/>
      <c r="B1076" s="66"/>
      <c r="C1076" s="65"/>
      <c r="D1076" s="65"/>
      <c r="E1076" s="65"/>
      <c r="F1076" s="23"/>
      <c r="G1076" s="23"/>
    </row>
    <row r="1077" spans="1:7" x14ac:dyDescent="0.15">
      <c r="A1077" s="66"/>
      <c r="B1077" s="66"/>
      <c r="C1077" s="65"/>
      <c r="D1077" s="65"/>
      <c r="E1077" s="65"/>
      <c r="F1077" s="23"/>
      <c r="G1077" s="23"/>
    </row>
    <row r="1078" spans="1:7" x14ac:dyDescent="0.15">
      <c r="A1078" s="66"/>
      <c r="B1078" s="66"/>
      <c r="C1078" s="65"/>
      <c r="D1078" s="65"/>
      <c r="E1078" s="65"/>
      <c r="F1078" s="23"/>
      <c r="G1078" s="23"/>
    </row>
    <row r="1079" spans="1:7" x14ac:dyDescent="0.15">
      <c r="A1079" s="66"/>
      <c r="B1079" s="66"/>
      <c r="C1079" s="65"/>
      <c r="D1079" s="65"/>
      <c r="E1079" s="65"/>
      <c r="F1079" s="23"/>
      <c r="G1079" s="23"/>
    </row>
    <row r="1080" spans="1:7" x14ac:dyDescent="0.15">
      <c r="A1080" s="66"/>
      <c r="B1080" s="66"/>
      <c r="C1080" s="65"/>
      <c r="D1080" s="65"/>
      <c r="E1080" s="65"/>
      <c r="F1080" s="23"/>
      <c r="G1080" s="23"/>
    </row>
    <row r="1081" spans="1:7" x14ac:dyDescent="0.15">
      <c r="A1081" s="66"/>
      <c r="B1081" s="66"/>
      <c r="C1081" s="65"/>
      <c r="D1081" s="65"/>
      <c r="E1081" s="65"/>
      <c r="F1081" s="23"/>
      <c r="G1081" s="23"/>
    </row>
    <row r="1082" spans="1:7" x14ac:dyDescent="0.15">
      <c r="A1082" s="66"/>
      <c r="B1082" s="66"/>
      <c r="C1082" s="65"/>
      <c r="D1082" s="65"/>
      <c r="E1082" s="65"/>
      <c r="F1082" s="23"/>
      <c r="G1082" s="23"/>
    </row>
    <row r="1083" spans="1:7" x14ac:dyDescent="0.15">
      <c r="A1083" s="66"/>
      <c r="B1083" s="66"/>
      <c r="C1083" s="65"/>
      <c r="D1083" s="65"/>
      <c r="E1083" s="65"/>
      <c r="F1083" s="23"/>
      <c r="G1083" s="23"/>
    </row>
    <row r="1084" spans="1:7" x14ac:dyDescent="0.15">
      <c r="A1084" s="66"/>
      <c r="B1084" s="66"/>
      <c r="C1084" s="65"/>
      <c r="D1084" s="65"/>
      <c r="E1084" s="65"/>
      <c r="F1084" s="23"/>
      <c r="G1084" s="23"/>
    </row>
    <row r="1085" spans="1:7" x14ac:dyDescent="0.15">
      <c r="A1085" s="66"/>
      <c r="B1085" s="66"/>
      <c r="C1085" s="65"/>
      <c r="D1085" s="65"/>
      <c r="E1085" s="65"/>
      <c r="F1085" s="23"/>
      <c r="G1085" s="23"/>
    </row>
    <row r="1086" spans="1:7" x14ac:dyDescent="0.15">
      <c r="A1086" s="66"/>
      <c r="B1086" s="66"/>
      <c r="C1086" s="65"/>
      <c r="D1086" s="65"/>
      <c r="E1086" s="65"/>
      <c r="F1086" s="23"/>
      <c r="G1086" s="23"/>
    </row>
    <row r="1087" spans="1:7" x14ac:dyDescent="0.15">
      <c r="A1087" s="66"/>
      <c r="B1087" s="66"/>
      <c r="C1087" s="65"/>
      <c r="D1087" s="65"/>
      <c r="E1087" s="65"/>
      <c r="F1087" s="23"/>
      <c r="G1087" s="23"/>
    </row>
    <row r="1088" spans="1:7" x14ac:dyDescent="0.15">
      <c r="A1088" s="66"/>
      <c r="B1088" s="66"/>
      <c r="C1088" s="65"/>
      <c r="D1088" s="65"/>
      <c r="E1088" s="65"/>
      <c r="F1088" s="23"/>
      <c r="G1088" s="23"/>
    </row>
    <row r="1089" spans="1:7" x14ac:dyDescent="0.15">
      <c r="A1089" s="66"/>
      <c r="B1089" s="66"/>
      <c r="C1089" s="65"/>
      <c r="D1089" s="65"/>
      <c r="E1089" s="65"/>
      <c r="F1089" s="23"/>
      <c r="G1089" s="23"/>
    </row>
    <row r="1090" spans="1:7" x14ac:dyDescent="0.15">
      <c r="A1090" s="66"/>
      <c r="B1090" s="66"/>
      <c r="C1090" s="65"/>
      <c r="D1090" s="65"/>
      <c r="E1090" s="65"/>
      <c r="F1090" s="23"/>
      <c r="G1090" s="23"/>
    </row>
    <row r="1091" spans="1:7" x14ac:dyDescent="0.15">
      <c r="A1091" s="66"/>
      <c r="B1091" s="66"/>
      <c r="C1091" s="65"/>
      <c r="D1091" s="65"/>
      <c r="E1091" s="65"/>
      <c r="F1091" s="23"/>
      <c r="G1091" s="23"/>
    </row>
    <row r="1092" spans="1:7" x14ac:dyDescent="0.15">
      <c r="A1092" s="66"/>
      <c r="B1092" s="66"/>
      <c r="C1092" s="65"/>
      <c r="D1092" s="65"/>
      <c r="E1092" s="65"/>
      <c r="F1092" s="23"/>
      <c r="G1092" s="23"/>
    </row>
    <row r="1093" spans="1:7" x14ac:dyDescent="0.15">
      <c r="A1093" s="66"/>
      <c r="B1093" s="66"/>
      <c r="C1093" s="65"/>
      <c r="D1093" s="65"/>
      <c r="E1093" s="65"/>
      <c r="F1093" s="23"/>
      <c r="G1093" s="23"/>
    </row>
    <row r="1094" spans="1:7" x14ac:dyDescent="0.15">
      <c r="A1094" s="66"/>
      <c r="B1094" s="66"/>
      <c r="C1094" s="65"/>
      <c r="D1094" s="65"/>
      <c r="E1094" s="65"/>
      <c r="F1094" s="23"/>
      <c r="G1094" s="23"/>
    </row>
    <row r="1095" spans="1:7" x14ac:dyDescent="0.15">
      <c r="A1095" s="66"/>
      <c r="B1095" s="66"/>
      <c r="C1095" s="65"/>
      <c r="D1095" s="65"/>
      <c r="E1095" s="65"/>
      <c r="F1095" s="23"/>
      <c r="G1095" s="23"/>
    </row>
    <row r="1096" spans="1:7" x14ac:dyDescent="0.15">
      <c r="A1096" s="66"/>
      <c r="B1096" s="66"/>
      <c r="C1096" s="65"/>
      <c r="D1096" s="65"/>
      <c r="E1096" s="65"/>
      <c r="F1096" s="23"/>
      <c r="G1096" s="23"/>
    </row>
    <row r="1097" spans="1:7" x14ac:dyDescent="0.15">
      <c r="A1097" s="66"/>
      <c r="B1097" s="66"/>
      <c r="C1097" s="65"/>
      <c r="D1097" s="65"/>
      <c r="E1097" s="65"/>
      <c r="F1097" s="23"/>
      <c r="G1097" s="23"/>
    </row>
    <row r="1098" spans="1:7" x14ac:dyDescent="0.15">
      <c r="A1098" s="66"/>
      <c r="B1098" s="66"/>
      <c r="C1098" s="65"/>
      <c r="D1098" s="65"/>
      <c r="E1098" s="65"/>
      <c r="F1098" s="23"/>
      <c r="G1098" s="23"/>
    </row>
    <row r="1099" spans="1:7" x14ac:dyDescent="0.15">
      <c r="A1099" s="66"/>
      <c r="B1099" s="66"/>
      <c r="C1099" s="65"/>
      <c r="D1099" s="65"/>
      <c r="E1099" s="65"/>
      <c r="F1099" s="23"/>
      <c r="G1099" s="23"/>
    </row>
    <row r="1100" spans="1:7" x14ac:dyDescent="0.15">
      <c r="A1100" s="66"/>
      <c r="B1100" s="66"/>
      <c r="C1100" s="65"/>
      <c r="D1100" s="65"/>
      <c r="E1100" s="65"/>
      <c r="F1100" s="23"/>
      <c r="G1100" s="23"/>
    </row>
    <row r="1101" spans="1:7" x14ac:dyDescent="0.15">
      <c r="A1101" s="66"/>
      <c r="B1101" s="66"/>
      <c r="C1101" s="65"/>
      <c r="D1101" s="65"/>
      <c r="E1101" s="65"/>
      <c r="F1101" s="23"/>
      <c r="G1101" s="23"/>
    </row>
    <row r="1102" spans="1:7" x14ac:dyDescent="0.15">
      <c r="A1102" s="66"/>
      <c r="B1102" s="66"/>
      <c r="C1102" s="65"/>
      <c r="D1102" s="65"/>
      <c r="E1102" s="65"/>
      <c r="F1102" s="23"/>
      <c r="G1102" s="23"/>
    </row>
    <row r="1103" spans="1:7" x14ac:dyDescent="0.15">
      <c r="A1103" s="66"/>
      <c r="B1103" s="66"/>
      <c r="C1103" s="65"/>
      <c r="D1103" s="65"/>
      <c r="E1103" s="65"/>
      <c r="F1103" s="23"/>
      <c r="G1103" s="23"/>
    </row>
    <row r="1104" spans="1:7" x14ac:dyDescent="0.15">
      <c r="A1104" s="66"/>
      <c r="B1104" s="66"/>
      <c r="C1104" s="65"/>
      <c r="D1104" s="65"/>
      <c r="E1104" s="65"/>
      <c r="F1104" s="23"/>
      <c r="G1104" s="23"/>
    </row>
    <row r="1105" spans="1:7" x14ac:dyDescent="0.15">
      <c r="A1105" s="66"/>
      <c r="B1105" s="66"/>
      <c r="C1105" s="65"/>
      <c r="D1105" s="65"/>
      <c r="E1105" s="65"/>
      <c r="F1105" s="23"/>
      <c r="G1105" s="23"/>
    </row>
    <row r="1106" spans="1:7" x14ac:dyDescent="0.15">
      <c r="A1106" s="66"/>
      <c r="B1106" s="66"/>
      <c r="C1106" s="65"/>
      <c r="D1106" s="65"/>
      <c r="E1106" s="65"/>
      <c r="F1106" s="23"/>
      <c r="G1106" s="23"/>
    </row>
    <row r="1107" spans="1:7" x14ac:dyDescent="0.15">
      <c r="A1107" s="66"/>
      <c r="B1107" s="66"/>
      <c r="C1107" s="65"/>
      <c r="D1107" s="65"/>
      <c r="E1107" s="65"/>
      <c r="F1107" s="23"/>
      <c r="G1107" s="23"/>
    </row>
    <row r="1108" spans="1:7" x14ac:dyDescent="0.15">
      <c r="A1108" s="66"/>
      <c r="B1108" s="66"/>
      <c r="C1108" s="65"/>
      <c r="D1108" s="65"/>
      <c r="E1108" s="65"/>
      <c r="F1108" s="23"/>
      <c r="G1108" s="23"/>
    </row>
    <row r="1109" spans="1:7" x14ac:dyDescent="0.15">
      <c r="A1109" s="66"/>
      <c r="B1109" s="66"/>
      <c r="C1109" s="65"/>
      <c r="D1109" s="65"/>
      <c r="E1109" s="65"/>
      <c r="F1109" s="23"/>
      <c r="G1109" s="23"/>
    </row>
    <row r="1110" spans="1:7" x14ac:dyDescent="0.15">
      <c r="A1110" s="66"/>
      <c r="B1110" s="66"/>
      <c r="C1110" s="65"/>
      <c r="D1110" s="65"/>
      <c r="E1110" s="65"/>
      <c r="F1110" s="23"/>
      <c r="G1110" s="23"/>
    </row>
    <row r="1111" spans="1:7" x14ac:dyDescent="0.15">
      <c r="A1111" s="66"/>
      <c r="B1111" s="66"/>
      <c r="C1111" s="65"/>
      <c r="D1111" s="65"/>
      <c r="E1111" s="65"/>
      <c r="F1111" s="23"/>
      <c r="G1111" s="23"/>
    </row>
    <row r="1112" spans="1:7" x14ac:dyDescent="0.15">
      <c r="A1112" s="66"/>
      <c r="B1112" s="66"/>
      <c r="C1112" s="65"/>
      <c r="D1112" s="65"/>
      <c r="E1112" s="65"/>
      <c r="F1112" s="23"/>
      <c r="G1112" s="23"/>
    </row>
    <row r="1113" spans="1:7" x14ac:dyDescent="0.15">
      <c r="A1113" s="66"/>
      <c r="B1113" s="66"/>
      <c r="C1113" s="65"/>
      <c r="D1113" s="65"/>
      <c r="E1113" s="65"/>
      <c r="F1113" s="23"/>
      <c r="G1113" s="23"/>
    </row>
    <row r="1114" spans="1:7" x14ac:dyDescent="0.15">
      <c r="A1114" s="66"/>
      <c r="B1114" s="66"/>
      <c r="C1114" s="65"/>
      <c r="D1114" s="65"/>
      <c r="E1114" s="65"/>
      <c r="F1114" s="23"/>
      <c r="G1114" s="23"/>
    </row>
    <row r="1115" spans="1:7" x14ac:dyDescent="0.15">
      <c r="A1115" s="66"/>
      <c r="B1115" s="66"/>
      <c r="C1115" s="65"/>
      <c r="D1115" s="65"/>
      <c r="E1115" s="65"/>
      <c r="F1115" s="23"/>
      <c r="G1115" s="23"/>
    </row>
    <row r="1116" spans="1:7" x14ac:dyDescent="0.15">
      <c r="A1116" s="66"/>
      <c r="B1116" s="66"/>
      <c r="C1116" s="65"/>
      <c r="D1116" s="65"/>
      <c r="E1116" s="65"/>
      <c r="F1116" s="23"/>
      <c r="G1116" s="23"/>
    </row>
    <row r="1117" spans="1:7" x14ac:dyDescent="0.15">
      <c r="A1117" s="66"/>
      <c r="B1117" s="66"/>
      <c r="C1117" s="65"/>
      <c r="D1117" s="65"/>
      <c r="E1117" s="65"/>
      <c r="F1117" s="23"/>
      <c r="G1117" s="23"/>
    </row>
    <row r="1118" spans="1:7" x14ac:dyDescent="0.15">
      <c r="A1118" s="66"/>
      <c r="B1118" s="66"/>
      <c r="C1118" s="65"/>
      <c r="D1118" s="65"/>
      <c r="E1118" s="65"/>
      <c r="F1118" s="23"/>
      <c r="G1118" s="23"/>
    </row>
    <row r="1119" spans="1:7" x14ac:dyDescent="0.15">
      <c r="A1119" s="66"/>
      <c r="B1119" s="66"/>
      <c r="C1119" s="65"/>
      <c r="D1119" s="65"/>
      <c r="E1119" s="65"/>
      <c r="F1119" s="23"/>
      <c r="G1119" s="23"/>
    </row>
    <row r="1120" spans="1:7" x14ac:dyDescent="0.15">
      <c r="A1120" s="66"/>
      <c r="B1120" s="66"/>
      <c r="C1120" s="65"/>
      <c r="D1120" s="65"/>
      <c r="E1120" s="65"/>
      <c r="F1120" s="23"/>
      <c r="G1120" s="23"/>
    </row>
    <row r="1121" spans="1:7" x14ac:dyDescent="0.15">
      <c r="A1121" s="66"/>
      <c r="B1121" s="66"/>
      <c r="C1121" s="65"/>
      <c r="D1121" s="65"/>
      <c r="E1121" s="65"/>
      <c r="F1121" s="23"/>
      <c r="G1121" s="23"/>
    </row>
    <row r="1122" spans="1:7" x14ac:dyDescent="0.15">
      <c r="A1122" s="66"/>
      <c r="B1122" s="66"/>
      <c r="C1122" s="65"/>
      <c r="D1122" s="65"/>
      <c r="E1122" s="65"/>
      <c r="F1122" s="23"/>
      <c r="G1122" s="23"/>
    </row>
    <row r="1123" spans="1:7" x14ac:dyDescent="0.15">
      <c r="A1123" s="66"/>
      <c r="B1123" s="66"/>
      <c r="C1123" s="65"/>
      <c r="D1123" s="65"/>
      <c r="E1123" s="65"/>
      <c r="F1123" s="23"/>
      <c r="G1123" s="23"/>
    </row>
    <row r="1124" spans="1:7" x14ac:dyDescent="0.15">
      <c r="A1124" s="66"/>
      <c r="B1124" s="66"/>
      <c r="C1124" s="65"/>
      <c r="D1124" s="65"/>
      <c r="E1124" s="65"/>
      <c r="F1124" s="23"/>
      <c r="G1124" s="23"/>
    </row>
    <row r="1125" spans="1:7" x14ac:dyDescent="0.15">
      <c r="A1125" s="66"/>
      <c r="B1125" s="66"/>
      <c r="C1125" s="65"/>
      <c r="D1125" s="65"/>
      <c r="E1125" s="65"/>
      <c r="F1125" s="23"/>
      <c r="G1125" s="23"/>
    </row>
    <row r="1126" spans="1:7" x14ac:dyDescent="0.15">
      <c r="A1126" s="66"/>
      <c r="B1126" s="66"/>
      <c r="C1126" s="65"/>
      <c r="D1126" s="65"/>
      <c r="E1126" s="65"/>
      <c r="F1126" s="23"/>
      <c r="G1126" s="23"/>
    </row>
    <row r="1127" spans="1:7" x14ac:dyDescent="0.15">
      <c r="A1127" s="66"/>
      <c r="B1127" s="66"/>
      <c r="C1127" s="65"/>
      <c r="D1127" s="65"/>
      <c r="E1127" s="65"/>
      <c r="F1127" s="23"/>
      <c r="G1127" s="23"/>
    </row>
    <row r="1128" spans="1:7" x14ac:dyDescent="0.15">
      <c r="A1128" s="66"/>
      <c r="B1128" s="66"/>
      <c r="C1128" s="65"/>
      <c r="D1128" s="65"/>
      <c r="E1128" s="65"/>
      <c r="F1128" s="23"/>
      <c r="G1128" s="23"/>
    </row>
    <row r="1129" spans="1:7" x14ac:dyDescent="0.15">
      <c r="A1129" s="66"/>
      <c r="B1129" s="66"/>
      <c r="C1129" s="65"/>
      <c r="D1129" s="65"/>
      <c r="E1129" s="65"/>
      <c r="F1129" s="23"/>
      <c r="G1129" s="23"/>
    </row>
    <row r="1130" spans="1:7" x14ac:dyDescent="0.15">
      <c r="A1130" s="66"/>
      <c r="B1130" s="66"/>
      <c r="C1130" s="65"/>
      <c r="D1130" s="65"/>
      <c r="E1130" s="65"/>
      <c r="F1130" s="23"/>
      <c r="G1130" s="23"/>
    </row>
    <row r="1131" spans="1:7" x14ac:dyDescent="0.15">
      <c r="A1131" s="66"/>
      <c r="B1131" s="66"/>
      <c r="C1131" s="65"/>
      <c r="D1131" s="65"/>
      <c r="E1131" s="65"/>
      <c r="F1131" s="23"/>
      <c r="G1131" s="23"/>
    </row>
    <row r="1132" spans="1:7" x14ac:dyDescent="0.15">
      <c r="A1132" s="66"/>
      <c r="B1132" s="66"/>
      <c r="C1132" s="65"/>
      <c r="D1132" s="65"/>
      <c r="E1132" s="65"/>
      <c r="F1132" s="23"/>
      <c r="G1132" s="23"/>
    </row>
    <row r="1133" spans="1:7" x14ac:dyDescent="0.15">
      <c r="A1133" s="66"/>
      <c r="B1133" s="66"/>
      <c r="C1133" s="65"/>
      <c r="D1133" s="65"/>
      <c r="E1133" s="65"/>
      <c r="F1133" s="23"/>
      <c r="G1133" s="23"/>
    </row>
    <row r="1134" spans="1:7" x14ac:dyDescent="0.15">
      <c r="A1134" s="66"/>
      <c r="B1134" s="66"/>
      <c r="C1134" s="65"/>
      <c r="D1134" s="65"/>
      <c r="E1134" s="65"/>
      <c r="F1134" s="23"/>
      <c r="G1134" s="23"/>
    </row>
    <row r="1135" spans="1:7" x14ac:dyDescent="0.15">
      <c r="A1135" s="66"/>
      <c r="B1135" s="66"/>
      <c r="C1135" s="65"/>
      <c r="D1135" s="65"/>
      <c r="E1135" s="65"/>
      <c r="F1135" s="23"/>
      <c r="G1135" s="23"/>
    </row>
    <row r="1136" spans="1:7" x14ac:dyDescent="0.15">
      <c r="A1136" s="66"/>
      <c r="B1136" s="66"/>
      <c r="C1136" s="65"/>
      <c r="D1136" s="65"/>
      <c r="E1136" s="65"/>
      <c r="F1136" s="23"/>
      <c r="G1136" s="23"/>
    </row>
    <row r="1137" spans="1:7" x14ac:dyDescent="0.15">
      <c r="A1137" s="66"/>
      <c r="B1137" s="66"/>
      <c r="C1137" s="65"/>
      <c r="D1137" s="65"/>
      <c r="E1137" s="65"/>
      <c r="F1137" s="23"/>
      <c r="G1137" s="23"/>
    </row>
    <row r="1138" spans="1:7" x14ac:dyDescent="0.15">
      <c r="A1138" s="66"/>
      <c r="B1138" s="66"/>
      <c r="C1138" s="65"/>
      <c r="D1138" s="65"/>
      <c r="E1138" s="65"/>
      <c r="F1138" s="23"/>
      <c r="G1138" s="23"/>
    </row>
    <row r="1139" spans="1:7" x14ac:dyDescent="0.15">
      <c r="A1139" s="66"/>
      <c r="B1139" s="66"/>
      <c r="C1139" s="65"/>
      <c r="D1139" s="65"/>
      <c r="E1139" s="65"/>
      <c r="F1139" s="23"/>
      <c r="G1139" s="23"/>
    </row>
    <row r="1140" spans="1:7" x14ac:dyDescent="0.15">
      <c r="A1140" s="66"/>
      <c r="B1140" s="66"/>
      <c r="C1140" s="65"/>
      <c r="D1140" s="65"/>
      <c r="E1140" s="65"/>
      <c r="F1140" s="23"/>
      <c r="G1140" s="23"/>
    </row>
    <row r="1141" spans="1:7" x14ac:dyDescent="0.15">
      <c r="A1141" s="66"/>
      <c r="B1141" s="66"/>
      <c r="C1141" s="65"/>
      <c r="D1141" s="65"/>
      <c r="E1141" s="65"/>
      <c r="F1141" s="23"/>
      <c r="G1141" s="23"/>
    </row>
    <row r="1142" spans="1:7" x14ac:dyDescent="0.15">
      <c r="A1142" s="66"/>
      <c r="B1142" s="66"/>
      <c r="C1142" s="65"/>
      <c r="D1142" s="65"/>
      <c r="E1142" s="65"/>
      <c r="F1142" s="23"/>
      <c r="G1142" s="23"/>
    </row>
    <row r="1143" spans="1:7" x14ac:dyDescent="0.15">
      <c r="A1143" s="66"/>
      <c r="B1143" s="66"/>
      <c r="C1143" s="65"/>
      <c r="D1143" s="65"/>
      <c r="E1143" s="65"/>
      <c r="F1143" s="23"/>
      <c r="G1143" s="23"/>
    </row>
    <row r="1144" spans="1:7" x14ac:dyDescent="0.15">
      <c r="A1144" s="66"/>
      <c r="B1144" s="66"/>
      <c r="C1144" s="65"/>
      <c r="D1144" s="65"/>
      <c r="E1144" s="65"/>
      <c r="F1144" s="23"/>
      <c r="G1144" s="23"/>
    </row>
    <row r="1145" spans="1:7" x14ac:dyDescent="0.15">
      <c r="A1145" s="66"/>
      <c r="B1145" s="66"/>
      <c r="C1145" s="65"/>
      <c r="D1145" s="65"/>
      <c r="E1145" s="65"/>
      <c r="F1145" s="23"/>
      <c r="G1145" s="23"/>
    </row>
    <row r="1146" spans="1:7" x14ac:dyDescent="0.15">
      <c r="A1146" s="66"/>
      <c r="B1146" s="66"/>
      <c r="C1146" s="65"/>
      <c r="D1146" s="65"/>
      <c r="E1146" s="65"/>
      <c r="F1146" s="23"/>
      <c r="G1146" s="23"/>
    </row>
    <row r="1147" spans="1:7" x14ac:dyDescent="0.15">
      <c r="A1147" s="66"/>
      <c r="B1147" s="66"/>
      <c r="C1147" s="65"/>
      <c r="D1147" s="65"/>
      <c r="E1147" s="65"/>
      <c r="F1147" s="23"/>
      <c r="G1147" s="23"/>
    </row>
    <row r="1148" spans="1:7" x14ac:dyDescent="0.15">
      <c r="A1148" s="66"/>
      <c r="B1148" s="66"/>
      <c r="C1148" s="65"/>
      <c r="D1148" s="65"/>
      <c r="E1148" s="65"/>
      <c r="F1148" s="23"/>
      <c r="G1148" s="23"/>
    </row>
    <row r="1149" spans="1:7" x14ac:dyDescent="0.15">
      <c r="A1149" s="66"/>
      <c r="B1149" s="66"/>
      <c r="C1149" s="65"/>
      <c r="D1149" s="65"/>
      <c r="E1149" s="65"/>
      <c r="F1149" s="23"/>
      <c r="G1149" s="23"/>
    </row>
    <row r="1150" spans="1:7" x14ac:dyDescent="0.15">
      <c r="A1150" s="66"/>
      <c r="B1150" s="66"/>
      <c r="C1150" s="65"/>
      <c r="D1150" s="65"/>
      <c r="E1150" s="65"/>
      <c r="F1150" s="23"/>
      <c r="G1150" s="23"/>
    </row>
    <row r="1151" spans="1:7" x14ac:dyDescent="0.15">
      <c r="A1151" s="66"/>
      <c r="B1151" s="66"/>
      <c r="C1151" s="65"/>
      <c r="D1151" s="65"/>
      <c r="E1151" s="65"/>
      <c r="F1151" s="23"/>
      <c r="G1151" s="23"/>
    </row>
    <row r="1152" spans="1:7" x14ac:dyDescent="0.15">
      <c r="A1152" s="66"/>
      <c r="B1152" s="66"/>
      <c r="C1152" s="65"/>
      <c r="D1152" s="65"/>
      <c r="E1152" s="65"/>
      <c r="F1152" s="23"/>
      <c r="G1152" s="23"/>
    </row>
    <row r="1153" spans="1:7" x14ac:dyDescent="0.15">
      <c r="A1153" s="66"/>
      <c r="B1153" s="66"/>
      <c r="C1153" s="65"/>
      <c r="D1153" s="65"/>
      <c r="E1153" s="65"/>
      <c r="F1153" s="23"/>
      <c r="G1153" s="23"/>
    </row>
    <row r="1154" spans="1:7" x14ac:dyDescent="0.15">
      <c r="A1154" s="66"/>
      <c r="B1154" s="66"/>
      <c r="C1154" s="65"/>
      <c r="D1154" s="65"/>
      <c r="E1154" s="65"/>
      <c r="F1154" s="23"/>
      <c r="G1154" s="23"/>
    </row>
    <row r="1155" spans="1:7" x14ac:dyDescent="0.15">
      <c r="A1155" s="66"/>
      <c r="B1155" s="66"/>
      <c r="C1155" s="65"/>
      <c r="D1155" s="65"/>
      <c r="E1155" s="65"/>
      <c r="F1155" s="23"/>
      <c r="G1155" s="23"/>
    </row>
    <row r="1156" spans="1:7" x14ac:dyDescent="0.15">
      <c r="A1156" s="66"/>
      <c r="B1156" s="66"/>
      <c r="C1156" s="65"/>
      <c r="D1156" s="65"/>
      <c r="E1156" s="65"/>
      <c r="F1156" s="23"/>
      <c r="G1156" s="23"/>
    </row>
    <row r="1157" spans="1:7" x14ac:dyDescent="0.15">
      <c r="A1157" s="66"/>
      <c r="B1157" s="66"/>
      <c r="C1157" s="65"/>
      <c r="D1157" s="65"/>
      <c r="E1157" s="65"/>
      <c r="F1157" s="23"/>
      <c r="G1157" s="23"/>
    </row>
    <row r="1158" spans="1:7" x14ac:dyDescent="0.15">
      <c r="A1158" s="66"/>
      <c r="B1158" s="66"/>
      <c r="C1158" s="65"/>
      <c r="D1158" s="65"/>
      <c r="E1158" s="65"/>
      <c r="F1158" s="23"/>
      <c r="G1158" s="23"/>
    </row>
    <row r="1159" spans="1:7" x14ac:dyDescent="0.15">
      <c r="A1159" s="66"/>
      <c r="B1159" s="66"/>
      <c r="C1159" s="65"/>
      <c r="D1159" s="65"/>
      <c r="E1159" s="65"/>
      <c r="F1159" s="23"/>
      <c r="G1159" s="23"/>
    </row>
    <row r="1160" spans="1:7" x14ac:dyDescent="0.15">
      <c r="A1160" s="66"/>
      <c r="B1160" s="66"/>
      <c r="C1160" s="65"/>
      <c r="D1160" s="65"/>
      <c r="E1160" s="65"/>
      <c r="F1160" s="23"/>
      <c r="G1160" s="23"/>
    </row>
    <row r="1161" spans="1:7" x14ac:dyDescent="0.15">
      <c r="A1161" s="66"/>
      <c r="B1161" s="66"/>
      <c r="C1161" s="65"/>
      <c r="D1161" s="65"/>
      <c r="E1161" s="65"/>
      <c r="F1161" s="23"/>
      <c r="G1161" s="23"/>
    </row>
    <row r="1162" spans="1:7" x14ac:dyDescent="0.15">
      <c r="A1162" s="66"/>
      <c r="B1162" s="66"/>
      <c r="C1162" s="65"/>
      <c r="D1162" s="65"/>
      <c r="E1162" s="65"/>
      <c r="F1162" s="23"/>
      <c r="G1162" s="23"/>
    </row>
    <row r="1163" spans="1:7" x14ac:dyDescent="0.15">
      <c r="A1163" s="66"/>
      <c r="B1163" s="66"/>
      <c r="C1163" s="65"/>
      <c r="D1163" s="65"/>
      <c r="E1163" s="65"/>
      <c r="F1163" s="23"/>
      <c r="G1163" s="23"/>
    </row>
    <row r="1164" spans="1:7" x14ac:dyDescent="0.15">
      <c r="A1164" s="66"/>
      <c r="B1164" s="66"/>
      <c r="C1164" s="65"/>
      <c r="D1164" s="65"/>
      <c r="E1164" s="65"/>
      <c r="F1164" s="23"/>
      <c r="G1164" s="23"/>
    </row>
    <row r="1165" spans="1:7" x14ac:dyDescent="0.15">
      <c r="A1165" s="66"/>
      <c r="B1165" s="66"/>
      <c r="C1165" s="65"/>
      <c r="D1165" s="65"/>
      <c r="E1165" s="65"/>
      <c r="F1165" s="23"/>
      <c r="G1165" s="23"/>
    </row>
    <row r="1166" spans="1:7" x14ac:dyDescent="0.15">
      <c r="A1166" s="66"/>
      <c r="B1166" s="66"/>
      <c r="C1166" s="65"/>
      <c r="D1166" s="65"/>
      <c r="E1166" s="65"/>
      <c r="F1166" s="23"/>
      <c r="G1166" s="23"/>
    </row>
    <row r="1167" spans="1:7" x14ac:dyDescent="0.15">
      <c r="A1167" s="66"/>
      <c r="B1167" s="66"/>
      <c r="C1167" s="65"/>
      <c r="D1167" s="65"/>
      <c r="E1167" s="65"/>
      <c r="F1167" s="23"/>
      <c r="G1167" s="23"/>
    </row>
    <row r="1168" spans="1:7" x14ac:dyDescent="0.15">
      <c r="A1168" s="66"/>
      <c r="B1168" s="66"/>
      <c r="C1168" s="65"/>
      <c r="D1168" s="65"/>
      <c r="E1168" s="65"/>
      <c r="F1168" s="23"/>
      <c r="G1168" s="23"/>
    </row>
    <row r="1169" spans="1:7" x14ac:dyDescent="0.15">
      <c r="A1169" s="66"/>
      <c r="B1169" s="66"/>
      <c r="C1169" s="65"/>
      <c r="D1169" s="65"/>
      <c r="E1169" s="65"/>
      <c r="F1169" s="23"/>
      <c r="G1169" s="23"/>
    </row>
    <row r="1170" spans="1:7" x14ac:dyDescent="0.15">
      <c r="A1170" s="66"/>
      <c r="B1170" s="66"/>
      <c r="C1170" s="65"/>
      <c r="D1170" s="65"/>
      <c r="E1170" s="65"/>
      <c r="F1170" s="23"/>
      <c r="G1170" s="23"/>
    </row>
    <row r="1171" spans="1:7" x14ac:dyDescent="0.15">
      <c r="A1171" s="66"/>
      <c r="B1171" s="66"/>
      <c r="C1171" s="65"/>
      <c r="D1171" s="65"/>
      <c r="E1171" s="65"/>
      <c r="F1171" s="23"/>
      <c r="G1171" s="23"/>
    </row>
    <row r="1172" spans="1:7" x14ac:dyDescent="0.15">
      <c r="A1172" s="66"/>
      <c r="B1172" s="66"/>
      <c r="C1172" s="65"/>
      <c r="D1172" s="65"/>
      <c r="E1172" s="65"/>
      <c r="F1172" s="23"/>
      <c r="G1172" s="23"/>
    </row>
    <row r="1173" spans="1:7" x14ac:dyDescent="0.15">
      <c r="A1173" s="66"/>
      <c r="B1173" s="66"/>
      <c r="C1173" s="65"/>
      <c r="D1173" s="65"/>
      <c r="E1173" s="65"/>
      <c r="F1173" s="23"/>
      <c r="G1173" s="23"/>
    </row>
    <row r="1174" spans="1:7" x14ac:dyDescent="0.15">
      <c r="A1174" s="66"/>
      <c r="B1174" s="66"/>
      <c r="C1174" s="65"/>
      <c r="D1174" s="65"/>
      <c r="E1174" s="65"/>
      <c r="F1174" s="23"/>
      <c r="G1174" s="23"/>
    </row>
    <row r="1175" spans="1:7" x14ac:dyDescent="0.15">
      <c r="A1175" s="66"/>
      <c r="B1175" s="66"/>
      <c r="C1175" s="65"/>
      <c r="D1175" s="65"/>
      <c r="E1175" s="65"/>
      <c r="F1175" s="23"/>
      <c r="G1175" s="23"/>
    </row>
    <row r="1176" spans="1:7" x14ac:dyDescent="0.15">
      <c r="A1176" s="66"/>
      <c r="B1176" s="66"/>
      <c r="C1176" s="65"/>
      <c r="D1176" s="65"/>
      <c r="E1176" s="65"/>
      <c r="F1176" s="23"/>
      <c r="G1176" s="23"/>
    </row>
    <row r="1177" spans="1:7" x14ac:dyDescent="0.15">
      <c r="A1177" s="66"/>
      <c r="B1177" s="66"/>
      <c r="C1177" s="65"/>
      <c r="D1177" s="65"/>
      <c r="E1177" s="65"/>
      <c r="F1177" s="23"/>
      <c r="G1177" s="23"/>
    </row>
    <row r="1178" spans="1:7" x14ac:dyDescent="0.15">
      <c r="A1178" s="66"/>
      <c r="B1178" s="66"/>
      <c r="C1178" s="65"/>
      <c r="D1178" s="65"/>
      <c r="E1178" s="65"/>
      <c r="F1178" s="23"/>
      <c r="G1178" s="23"/>
    </row>
    <row r="1179" spans="1:7" x14ac:dyDescent="0.15">
      <c r="A1179" s="66"/>
      <c r="B1179" s="66"/>
      <c r="C1179" s="65"/>
      <c r="D1179" s="65"/>
      <c r="E1179" s="65"/>
      <c r="F1179" s="23"/>
      <c r="G1179" s="23"/>
    </row>
    <row r="1180" spans="1:7" x14ac:dyDescent="0.15">
      <c r="A1180" s="66"/>
      <c r="B1180" s="66"/>
      <c r="C1180" s="65"/>
      <c r="D1180" s="65"/>
      <c r="E1180" s="65"/>
      <c r="F1180" s="23"/>
      <c r="G1180" s="23"/>
    </row>
    <row r="1181" spans="1:7" x14ac:dyDescent="0.15">
      <c r="A1181" s="66"/>
      <c r="B1181" s="66"/>
      <c r="C1181" s="65"/>
      <c r="D1181" s="65"/>
      <c r="E1181" s="65"/>
      <c r="F1181" s="23"/>
      <c r="G1181" s="23"/>
    </row>
    <row r="1182" spans="1:7" x14ac:dyDescent="0.15">
      <c r="A1182" s="66"/>
      <c r="B1182" s="66"/>
      <c r="C1182" s="65"/>
      <c r="D1182" s="65"/>
      <c r="E1182" s="65"/>
      <c r="F1182" s="23"/>
      <c r="G1182" s="23"/>
    </row>
    <row r="1183" spans="1:7" x14ac:dyDescent="0.15">
      <c r="A1183" s="66"/>
      <c r="B1183" s="66"/>
      <c r="C1183" s="65"/>
      <c r="D1183" s="65"/>
      <c r="E1183" s="65"/>
      <c r="F1183" s="23"/>
      <c r="G1183" s="23"/>
    </row>
    <row r="1184" spans="1:7" x14ac:dyDescent="0.15">
      <c r="A1184" s="66"/>
      <c r="B1184" s="66"/>
      <c r="C1184" s="65"/>
      <c r="D1184" s="65"/>
      <c r="E1184" s="65"/>
      <c r="F1184" s="23"/>
      <c r="G1184" s="23"/>
    </row>
    <row r="1185" spans="1:7" x14ac:dyDescent="0.15">
      <c r="A1185" s="66"/>
      <c r="B1185" s="66"/>
      <c r="C1185" s="65"/>
      <c r="D1185" s="65"/>
      <c r="E1185" s="65"/>
      <c r="F1185" s="23"/>
      <c r="G1185" s="23"/>
    </row>
    <row r="1186" spans="1:7" x14ac:dyDescent="0.15">
      <c r="A1186" s="66"/>
      <c r="B1186" s="66"/>
      <c r="C1186" s="65"/>
      <c r="D1186" s="65"/>
      <c r="E1186" s="65"/>
      <c r="F1186" s="23"/>
      <c r="G1186" s="23"/>
    </row>
    <row r="1187" spans="1:7" x14ac:dyDescent="0.15">
      <c r="A1187" s="66"/>
      <c r="B1187" s="66"/>
      <c r="C1187" s="65"/>
      <c r="D1187" s="65"/>
      <c r="E1187" s="65"/>
      <c r="F1187" s="23"/>
      <c r="G1187" s="23"/>
    </row>
    <row r="1188" spans="1:7" x14ac:dyDescent="0.15">
      <c r="A1188" s="66"/>
      <c r="B1188" s="66"/>
      <c r="C1188" s="65"/>
      <c r="D1188" s="65"/>
      <c r="E1188" s="65"/>
      <c r="F1188" s="23"/>
      <c r="G1188" s="23"/>
    </row>
    <row r="1189" spans="1:7" x14ac:dyDescent="0.15">
      <c r="A1189" s="66"/>
      <c r="B1189" s="66"/>
      <c r="C1189" s="65"/>
      <c r="D1189" s="65"/>
      <c r="E1189" s="65"/>
      <c r="F1189" s="23"/>
      <c r="G1189" s="23"/>
    </row>
    <row r="1190" spans="1:7" x14ac:dyDescent="0.15">
      <c r="A1190" s="66"/>
      <c r="B1190" s="66"/>
      <c r="C1190" s="65"/>
      <c r="D1190" s="65"/>
      <c r="E1190" s="65"/>
      <c r="F1190" s="23"/>
      <c r="G1190" s="23"/>
    </row>
    <row r="1191" spans="1:7" x14ac:dyDescent="0.15">
      <c r="A1191" s="66"/>
      <c r="B1191" s="66"/>
      <c r="C1191" s="65"/>
      <c r="D1191" s="65"/>
      <c r="E1191" s="65"/>
      <c r="F1191" s="23"/>
      <c r="G1191" s="23"/>
    </row>
    <row r="1192" spans="1:7" x14ac:dyDescent="0.15">
      <c r="A1192" s="66"/>
      <c r="B1192" s="66"/>
      <c r="C1192" s="65"/>
      <c r="D1192" s="65"/>
      <c r="E1192" s="65"/>
      <c r="F1192" s="23"/>
      <c r="G1192" s="23"/>
    </row>
    <row r="1193" spans="1:7" x14ac:dyDescent="0.15">
      <c r="A1193" s="66"/>
      <c r="B1193" s="66"/>
      <c r="C1193" s="65"/>
      <c r="D1193" s="65"/>
      <c r="E1193" s="65"/>
      <c r="F1193" s="23"/>
      <c r="G1193" s="23"/>
    </row>
    <row r="1194" spans="1:7" x14ac:dyDescent="0.15">
      <c r="A1194" s="66"/>
      <c r="B1194" s="66"/>
      <c r="C1194" s="65"/>
      <c r="D1194" s="65"/>
      <c r="E1194" s="65"/>
      <c r="F1194" s="23"/>
      <c r="G1194" s="23"/>
    </row>
    <row r="1195" spans="1:7" x14ac:dyDescent="0.15">
      <c r="A1195" s="66"/>
      <c r="B1195" s="66"/>
      <c r="C1195" s="65"/>
      <c r="D1195" s="65"/>
      <c r="E1195" s="65"/>
      <c r="F1195" s="23"/>
      <c r="G1195" s="23"/>
    </row>
    <row r="1196" spans="1:7" x14ac:dyDescent="0.15">
      <c r="A1196" s="66"/>
      <c r="B1196" s="66"/>
      <c r="C1196" s="65"/>
      <c r="D1196" s="65"/>
      <c r="E1196" s="65"/>
      <c r="F1196" s="23"/>
      <c r="G1196" s="23"/>
    </row>
    <row r="1197" spans="1:7" x14ac:dyDescent="0.15">
      <c r="A1197" s="66"/>
      <c r="B1197" s="66"/>
      <c r="C1197" s="65"/>
      <c r="D1197" s="65"/>
      <c r="E1197" s="65"/>
      <c r="F1197" s="23"/>
      <c r="G1197" s="23"/>
    </row>
    <row r="1198" spans="1:7" x14ac:dyDescent="0.15">
      <c r="A1198" s="66"/>
      <c r="B1198" s="66"/>
      <c r="C1198" s="65"/>
      <c r="D1198" s="65"/>
      <c r="E1198" s="65"/>
      <c r="F1198" s="23"/>
      <c r="G1198" s="23"/>
    </row>
    <row r="1199" spans="1:7" x14ac:dyDescent="0.15">
      <c r="A1199" s="66"/>
      <c r="B1199" s="66"/>
      <c r="C1199" s="65"/>
      <c r="D1199" s="65"/>
      <c r="E1199" s="65"/>
      <c r="F1199" s="23"/>
      <c r="G1199" s="23"/>
    </row>
    <row r="1200" spans="1:7" x14ac:dyDescent="0.15">
      <c r="A1200" s="66"/>
      <c r="B1200" s="66"/>
      <c r="C1200" s="65"/>
      <c r="D1200" s="65"/>
      <c r="E1200" s="65"/>
      <c r="F1200" s="23"/>
      <c r="G1200" s="23"/>
    </row>
    <row r="1201" spans="1:7" x14ac:dyDescent="0.15">
      <c r="A1201" s="66"/>
      <c r="B1201" s="66"/>
      <c r="C1201" s="65"/>
      <c r="D1201" s="65"/>
      <c r="E1201" s="65"/>
      <c r="F1201" s="23"/>
      <c r="G1201" s="23"/>
    </row>
    <row r="1202" spans="1:7" x14ac:dyDescent="0.15">
      <c r="A1202" s="66"/>
      <c r="B1202" s="66"/>
      <c r="C1202" s="65"/>
      <c r="D1202" s="65"/>
      <c r="E1202" s="65"/>
      <c r="F1202" s="23"/>
      <c r="G1202" s="23"/>
    </row>
    <row r="1203" spans="1:7" x14ac:dyDescent="0.15">
      <c r="A1203" s="66"/>
      <c r="B1203" s="66"/>
      <c r="C1203" s="65"/>
      <c r="D1203" s="65"/>
      <c r="E1203" s="65"/>
      <c r="F1203" s="23"/>
      <c r="G1203" s="23"/>
    </row>
    <row r="1204" spans="1:7" x14ac:dyDescent="0.15">
      <c r="A1204" s="66"/>
      <c r="B1204" s="66"/>
      <c r="C1204" s="65"/>
      <c r="D1204" s="65"/>
      <c r="E1204" s="65"/>
      <c r="F1204" s="23"/>
      <c r="G1204" s="23"/>
    </row>
    <row r="1205" spans="1:7" x14ac:dyDescent="0.15">
      <c r="A1205" s="66"/>
      <c r="B1205" s="66"/>
      <c r="C1205" s="65"/>
      <c r="D1205" s="65"/>
      <c r="E1205" s="65"/>
      <c r="F1205" s="23"/>
      <c r="G1205" s="23"/>
    </row>
    <row r="1206" spans="1:7" x14ac:dyDescent="0.15">
      <c r="A1206" s="66"/>
      <c r="B1206" s="66"/>
      <c r="C1206" s="65"/>
      <c r="D1206" s="65"/>
      <c r="E1206" s="65"/>
      <c r="F1206" s="23"/>
      <c r="G1206" s="23"/>
    </row>
    <row r="1207" spans="1:7" x14ac:dyDescent="0.15">
      <c r="A1207" s="66"/>
      <c r="B1207" s="66"/>
      <c r="C1207" s="65"/>
      <c r="D1207" s="65"/>
      <c r="E1207" s="65"/>
      <c r="F1207" s="23"/>
      <c r="G1207" s="23"/>
    </row>
    <row r="1208" spans="1:7" x14ac:dyDescent="0.15">
      <c r="A1208" s="66"/>
      <c r="B1208" s="66"/>
      <c r="C1208" s="65"/>
      <c r="D1208" s="65"/>
      <c r="E1208" s="65"/>
      <c r="F1208" s="23"/>
      <c r="G1208" s="23"/>
    </row>
    <row r="1209" spans="1:7" x14ac:dyDescent="0.15">
      <c r="A1209" s="66"/>
      <c r="B1209" s="66"/>
      <c r="C1209" s="65"/>
      <c r="D1209" s="65"/>
      <c r="E1209" s="65"/>
      <c r="F1209" s="23"/>
      <c r="G1209" s="23"/>
    </row>
    <row r="1210" spans="1:7" x14ac:dyDescent="0.15">
      <c r="A1210" s="66"/>
      <c r="B1210" s="66"/>
      <c r="C1210" s="65"/>
      <c r="D1210" s="65"/>
      <c r="E1210" s="65"/>
      <c r="F1210" s="23"/>
      <c r="G1210" s="23"/>
    </row>
    <row r="1211" spans="1:7" x14ac:dyDescent="0.15">
      <c r="A1211" s="66"/>
      <c r="B1211" s="66"/>
      <c r="C1211" s="65"/>
      <c r="D1211" s="65"/>
      <c r="E1211" s="65"/>
      <c r="F1211" s="23"/>
      <c r="G1211" s="23"/>
    </row>
    <row r="1212" spans="1:7" x14ac:dyDescent="0.15">
      <c r="A1212" s="66"/>
      <c r="B1212" s="66"/>
      <c r="C1212" s="65"/>
      <c r="D1212" s="65"/>
      <c r="E1212" s="65"/>
      <c r="F1212" s="23"/>
      <c r="G1212" s="23"/>
    </row>
    <row r="1213" spans="1:7" x14ac:dyDescent="0.15">
      <c r="A1213" s="66"/>
      <c r="B1213" s="66"/>
      <c r="C1213" s="65"/>
      <c r="D1213" s="65"/>
      <c r="E1213" s="65"/>
      <c r="F1213" s="23"/>
      <c r="G1213" s="23"/>
    </row>
    <row r="1214" spans="1:7" x14ac:dyDescent="0.15">
      <c r="A1214" s="66"/>
      <c r="B1214" s="66"/>
      <c r="C1214" s="65"/>
      <c r="D1214" s="65"/>
      <c r="E1214" s="65"/>
      <c r="F1214" s="23"/>
      <c r="G1214" s="23"/>
    </row>
    <row r="1215" spans="1:7" x14ac:dyDescent="0.15">
      <c r="A1215" s="66"/>
      <c r="B1215" s="66"/>
      <c r="C1215" s="65"/>
      <c r="D1215" s="65"/>
      <c r="E1215" s="65"/>
      <c r="F1215" s="23"/>
      <c r="G1215" s="23"/>
    </row>
    <row r="1216" spans="1:7" x14ac:dyDescent="0.15">
      <c r="A1216" s="66"/>
      <c r="B1216" s="66"/>
      <c r="C1216" s="65"/>
      <c r="D1216" s="65"/>
      <c r="E1216" s="65"/>
      <c r="F1216" s="23"/>
      <c r="G1216" s="23"/>
    </row>
    <row r="1217" spans="1:7" x14ac:dyDescent="0.15">
      <c r="A1217" s="66"/>
      <c r="B1217" s="66"/>
      <c r="C1217" s="65"/>
      <c r="D1217" s="65"/>
      <c r="E1217" s="65"/>
      <c r="F1217" s="23"/>
      <c r="G1217" s="23"/>
    </row>
    <row r="1218" spans="1:7" x14ac:dyDescent="0.15">
      <c r="A1218" s="66"/>
      <c r="B1218" s="66"/>
      <c r="C1218" s="65"/>
      <c r="D1218" s="65"/>
      <c r="E1218" s="65"/>
      <c r="F1218" s="23"/>
      <c r="G1218" s="23"/>
    </row>
    <row r="1219" spans="1:7" x14ac:dyDescent="0.15">
      <c r="A1219" s="66"/>
      <c r="B1219" s="66"/>
      <c r="C1219" s="65"/>
      <c r="D1219" s="65"/>
      <c r="E1219" s="65"/>
      <c r="F1219" s="23"/>
      <c r="G1219" s="23"/>
    </row>
    <row r="1220" spans="1:7" x14ac:dyDescent="0.15">
      <c r="A1220" s="66"/>
      <c r="B1220" s="66"/>
      <c r="C1220" s="65"/>
      <c r="D1220" s="65"/>
      <c r="E1220" s="65"/>
      <c r="F1220" s="23"/>
      <c r="G1220" s="23"/>
    </row>
    <row r="1221" spans="1:7" x14ac:dyDescent="0.15">
      <c r="A1221" s="66"/>
      <c r="B1221" s="66"/>
      <c r="C1221" s="65"/>
      <c r="D1221" s="65"/>
      <c r="E1221" s="65"/>
      <c r="F1221" s="23"/>
      <c r="G1221" s="23"/>
    </row>
    <row r="1222" spans="1:7" x14ac:dyDescent="0.15">
      <c r="A1222" s="66"/>
      <c r="B1222" s="66"/>
      <c r="C1222" s="65"/>
      <c r="D1222" s="65"/>
      <c r="E1222" s="65"/>
      <c r="F1222" s="23"/>
      <c r="G1222" s="23"/>
    </row>
    <row r="1223" spans="1:7" x14ac:dyDescent="0.15">
      <c r="A1223" s="66"/>
      <c r="B1223" s="66"/>
      <c r="C1223" s="65"/>
      <c r="D1223" s="65"/>
      <c r="E1223" s="65"/>
      <c r="F1223" s="23"/>
      <c r="G1223" s="23"/>
    </row>
    <row r="1224" spans="1:7" x14ac:dyDescent="0.15">
      <c r="A1224" s="66"/>
      <c r="B1224" s="66"/>
      <c r="C1224" s="65"/>
      <c r="D1224" s="65"/>
      <c r="E1224" s="65"/>
      <c r="F1224" s="23"/>
      <c r="G1224" s="23"/>
    </row>
    <row r="1225" spans="1:7" x14ac:dyDescent="0.15">
      <c r="A1225" s="66"/>
      <c r="B1225" s="66"/>
      <c r="C1225" s="65"/>
      <c r="D1225" s="65"/>
      <c r="E1225" s="65"/>
      <c r="F1225" s="23"/>
      <c r="G1225" s="23"/>
    </row>
    <row r="1226" spans="1:7" x14ac:dyDescent="0.15">
      <c r="A1226" s="66"/>
      <c r="B1226" s="66"/>
      <c r="C1226" s="65"/>
      <c r="D1226" s="65"/>
      <c r="E1226" s="65"/>
      <c r="F1226" s="23"/>
      <c r="G1226" s="23"/>
    </row>
    <row r="1227" spans="1:7" x14ac:dyDescent="0.15">
      <c r="A1227" s="66"/>
      <c r="B1227" s="66"/>
      <c r="C1227" s="65"/>
      <c r="D1227" s="65"/>
      <c r="E1227" s="65"/>
      <c r="F1227" s="23"/>
      <c r="G1227" s="23"/>
    </row>
    <row r="1228" spans="1:7" x14ac:dyDescent="0.15">
      <c r="A1228" s="66"/>
      <c r="B1228" s="66"/>
      <c r="C1228" s="65"/>
      <c r="D1228" s="65"/>
      <c r="E1228" s="65"/>
      <c r="F1228" s="23"/>
      <c r="G1228" s="23"/>
    </row>
    <row r="1229" spans="1:7" x14ac:dyDescent="0.15">
      <c r="A1229" s="66"/>
      <c r="B1229" s="66"/>
      <c r="C1229" s="65"/>
      <c r="D1229" s="65"/>
      <c r="E1229" s="65"/>
      <c r="F1229" s="23"/>
      <c r="G1229" s="23"/>
    </row>
    <row r="1230" spans="1:7" x14ac:dyDescent="0.15">
      <c r="A1230" s="66"/>
      <c r="B1230" s="66"/>
      <c r="C1230" s="65"/>
      <c r="D1230" s="65"/>
      <c r="E1230" s="65"/>
      <c r="F1230" s="23"/>
      <c r="G1230" s="23"/>
    </row>
    <row r="1231" spans="1:7" x14ac:dyDescent="0.15">
      <c r="A1231" s="66"/>
      <c r="B1231" s="66"/>
      <c r="C1231" s="65"/>
      <c r="D1231" s="65"/>
      <c r="E1231" s="65"/>
      <c r="F1231" s="23"/>
      <c r="G1231" s="23"/>
    </row>
    <row r="1232" spans="1:7" x14ac:dyDescent="0.15">
      <c r="A1232" s="66"/>
      <c r="B1232" s="66"/>
      <c r="C1232" s="65"/>
      <c r="D1232" s="65"/>
      <c r="E1232" s="65"/>
      <c r="F1232" s="23"/>
      <c r="G1232" s="23"/>
    </row>
    <row r="1233" spans="1:7" x14ac:dyDescent="0.15">
      <c r="A1233" s="66"/>
      <c r="B1233" s="66"/>
      <c r="C1233" s="65"/>
      <c r="D1233" s="65"/>
      <c r="E1233" s="65"/>
      <c r="F1233" s="23"/>
      <c r="G1233" s="23"/>
    </row>
    <row r="1234" spans="1:7" x14ac:dyDescent="0.15">
      <c r="A1234" s="66"/>
      <c r="B1234" s="66"/>
      <c r="C1234" s="65"/>
      <c r="D1234" s="65"/>
      <c r="E1234" s="65"/>
      <c r="F1234" s="23"/>
      <c r="G1234" s="23"/>
    </row>
    <row r="1235" spans="1:7" x14ac:dyDescent="0.15">
      <c r="A1235" s="66"/>
      <c r="B1235" s="66"/>
      <c r="C1235" s="65"/>
      <c r="D1235" s="65"/>
      <c r="E1235" s="65"/>
      <c r="F1235" s="23"/>
      <c r="G1235" s="23"/>
    </row>
    <row r="1236" spans="1:7" x14ac:dyDescent="0.15">
      <c r="A1236" s="66"/>
      <c r="B1236" s="66"/>
      <c r="C1236" s="65"/>
      <c r="D1236" s="65"/>
      <c r="E1236" s="65"/>
      <c r="F1236" s="23"/>
      <c r="G1236" s="23"/>
    </row>
    <row r="1237" spans="1:7" x14ac:dyDescent="0.15">
      <c r="A1237" s="66"/>
      <c r="B1237" s="66"/>
      <c r="C1237" s="65"/>
      <c r="D1237" s="65"/>
      <c r="E1237" s="65"/>
      <c r="F1237" s="23"/>
      <c r="G1237" s="23"/>
    </row>
    <row r="1238" spans="1:7" x14ac:dyDescent="0.15">
      <c r="A1238" s="66"/>
      <c r="B1238" s="66"/>
      <c r="C1238" s="65"/>
      <c r="D1238" s="65"/>
      <c r="E1238" s="65"/>
      <c r="F1238" s="23"/>
      <c r="G1238" s="23"/>
    </row>
    <row r="1239" spans="1:7" x14ac:dyDescent="0.15">
      <c r="A1239" s="66"/>
      <c r="B1239" s="66"/>
      <c r="C1239" s="65"/>
      <c r="D1239" s="65"/>
      <c r="E1239" s="65"/>
      <c r="F1239" s="23"/>
      <c r="G1239" s="23"/>
    </row>
    <row r="1240" spans="1:7" x14ac:dyDescent="0.15">
      <c r="A1240" s="66"/>
      <c r="B1240" s="66"/>
      <c r="C1240" s="65"/>
      <c r="D1240" s="65"/>
      <c r="E1240" s="65"/>
      <c r="F1240" s="23"/>
      <c r="G1240" s="23"/>
    </row>
    <row r="1241" spans="1:7" x14ac:dyDescent="0.15">
      <c r="A1241" s="66"/>
      <c r="B1241" s="66"/>
      <c r="C1241" s="65"/>
      <c r="D1241" s="65"/>
      <c r="E1241" s="65"/>
      <c r="F1241" s="23"/>
      <c r="G1241" s="23"/>
    </row>
    <row r="1242" spans="1:7" x14ac:dyDescent="0.15">
      <c r="A1242" s="66"/>
      <c r="B1242" s="66"/>
      <c r="C1242" s="65"/>
      <c r="D1242" s="65"/>
      <c r="E1242" s="65"/>
      <c r="F1242" s="23"/>
      <c r="G1242" s="23"/>
    </row>
    <row r="1243" spans="1:7" x14ac:dyDescent="0.15">
      <c r="A1243" s="66"/>
      <c r="B1243" s="66"/>
      <c r="C1243" s="65"/>
      <c r="D1243" s="65"/>
      <c r="E1243" s="65"/>
      <c r="F1243" s="23"/>
      <c r="G1243" s="23"/>
    </row>
    <row r="1244" spans="1:7" x14ac:dyDescent="0.15">
      <c r="A1244" s="66"/>
      <c r="B1244" s="66"/>
      <c r="C1244" s="65"/>
      <c r="D1244" s="65"/>
      <c r="E1244" s="65"/>
      <c r="F1244" s="23"/>
      <c r="G1244" s="23"/>
    </row>
    <row r="1245" spans="1:7" x14ac:dyDescent="0.15">
      <c r="A1245" s="66"/>
      <c r="B1245" s="66"/>
      <c r="C1245" s="65"/>
      <c r="D1245" s="65"/>
      <c r="E1245" s="65"/>
      <c r="F1245" s="23"/>
      <c r="G1245" s="23"/>
    </row>
    <row r="1246" spans="1:7" x14ac:dyDescent="0.15">
      <c r="A1246" s="66"/>
      <c r="B1246" s="66"/>
      <c r="C1246" s="65"/>
      <c r="D1246" s="65"/>
      <c r="E1246" s="65"/>
      <c r="F1246" s="23"/>
      <c r="G1246" s="23"/>
    </row>
    <row r="1247" spans="1:7" x14ac:dyDescent="0.15">
      <c r="A1247" s="66"/>
      <c r="B1247" s="66"/>
      <c r="C1247" s="65"/>
      <c r="D1247" s="65"/>
      <c r="E1247" s="65"/>
      <c r="F1247" s="23"/>
      <c r="G1247" s="23"/>
    </row>
    <row r="1248" spans="1:7" x14ac:dyDescent="0.15">
      <c r="A1248" s="66"/>
      <c r="B1248" s="66"/>
      <c r="C1248" s="65"/>
      <c r="D1248" s="65"/>
      <c r="E1248" s="65"/>
      <c r="F1248" s="23"/>
      <c r="G1248" s="23"/>
    </row>
    <row r="1249" spans="1:7" x14ac:dyDescent="0.15">
      <c r="A1249" s="66"/>
      <c r="B1249" s="66"/>
      <c r="C1249" s="65"/>
      <c r="D1249" s="65"/>
      <c r="E1249" s="65"/>
      <c r="F1249" s="23"/>
      <c r="G1249" s="23"/>
    </row>
    <row r="1250" spans="1:7" x14ac:dyDescent="0.15">
      <c r="A1250" s="66"/>
      <c r="B1250" s="66"/>
      <c r="C1250" s="65"/>
      <c r="D1250" s="65"/>
      <c r="E1250" s="65"/>
      <c r="F1250" s="23"/>
      <c r="G1250" s="23"/>
    </row>
    <row r="1251" spans="1:7" x14ac:dyDescent="0.15">
      <c r="A1251" s="66"/>
      <c r="B1251" s="66"/>
      <c r="C1251" s="65"/>
      <c r="D1251" s="65"/>
      <c r="E1251" s="65"/>
      <c r="F1251" s="23"/>
      <c r="G1251" s="23"/>
    </row>
    <row r="1252" spans="1:7" x14ac:dyDescent="0.15">
      <c r="A1252" s="66"/>
      <c r="B1252" s="66"/>
      <c r="C1252" s="65"/>
      <c r="D1252" s="65"/>
      <c r="E1252" s="65"/>
      <c r="F1252" s="23"/>
      <c r="G1252" s="23"/>
    </row>
    <row r="1253" spans="1:7" x14ac:dyDescent="0.15">
      <c r="A1253" s="66"/>
      <c r="B1253" s="66"/>
      <c r="C1253" s="65"/>
      <c r="D1253" s="65"/>
      <c r="E1253" s="65"/>
      <c r="F1253" s="23"/>
      <c r="G1253" s="23"/>
    </row>
    <row r="1254" spans="1:7" x14ac:dyDescent="0.15">
      <c r="A1254" s="66"/>
      <c r="B1254" s="66"/>
      <c r="C1254" s="65"/>
      <c r="D1254" s="65"/>
      <c r="E1254" s="65"/>
      <c r="F1254" s="23"/>
      <c r="G1254" s="23"/>
    </row>
    <row r="1255" spans="1:7" x14ac:dyDescent="0.15">
      <c r="A1255" s="66"/>
      <c r="B1255" s="66"/>
      <c r="C1255" s="65"/>
      <c r="D1255" s="65"/>
      <c r="E1255" s="65"/>
      <c r="F1255" s="23"/>
      <c r="G1255" s="23"/>
    </row>
    <row r="1256" spans="1:7" x14ac:dyDescent="0.15">
      <c r="A1256" s="66"/>
      <c r="B1256" s="66"/>
      <c r="C1256" s="65"/>
      <c r="D1256" s="65"/>
      <c r="E1256" s="65"/>
      <c r="F1256" s="23"/>
      <c r="G1256" s="23"/>
    </row>
    <row r="1257" spans="1:7" x14ac:dyDescent="0.15">
      <c r="A1257" s="66"/>
      <c r="B1257" s="66"/>
      <c r="C1257" s="65"/>
      <c r="D1257" s="65"/>
      <c r="E1257" s="65"/>
      <c r="F1257" s="23"/>
      <c r="G1257" s="23"/>
    </row>
    <row r="1258" spans="1:7" x14ac:dyDescent="0.15">
      <c r="A1258" s="66"/>
      <c r="B1258" s="66"/>
      <c r="C1258" s="65"/>
      <c r="D1258" s="65"/>
      <c r="E1258" s="65"/>
      <c r="F1258" s="23"/>
      <c r="G1258" s="23"/>
    </row>
    <row r="1259" spans="1:7" x14ac:dyDescent="0.15">
      <c r="A1259" s="66"/>
      <c r="B1259" s="66"/>
      <c r="C1259" s="65"/>
      <c r="D1259" s="65"/>
      <c r="E1259" s="65"/>
      <c r="F1259" s="23"/>
      <c r="G1259" s="23"/>
    </row>
    <row r="1260" spans="1:7" x14ac:dyDescent="0.15">
      <c r="A1260" s="66"/>
      <c r="B1260" s="66"/>
      <c r="C1260" s="65"/>
      <c r="D1260" s="65"/>
      <c r="E1260" s="65"/>
      <c r="F1260" s="23"/>
      <c r="G1260" s="23"/>
    </row>
    <row r="1261" spans="1:7" x14ac:dyDescent="0.15">
      <c r="A1261" s="66"/>
      <c r="B1261" s="66"/>
      <c r="C1261" s="65"/>
      <c r="D1261" s="65"/>
      <c r="E1261" s="65"/>
      <c r="F1261" s="23"/>
      <c r="G1261" s="23"/>
    </row>
    <row r="1262" spans="1:7" x14ac:dyDescent="0.15">
      <c r="A1262" s="66"/>
      <c r="B1262" s="66"/>
      <c r="C1262" s="65"/>
      <c r="D1262" s="65"/>
      <c r="E1262" s="65"/>
      <c r="F1262" s="23"/>
      <c r="G1262" s="23"/>
    </row>
    <row r="1263" spans="1:7" x14ac:dyDescent="0.15">
      <c r="A1263" s="66"/>
      <c r="B1263" s="66"/>
      <c r="C1263" s="65"/>
      <c r="D1263" s="65"/>
      <c r="E1263" s="65"/>
      <c r="F1263" s="23"/>
      <c r="G1263" s="23"/>
    </row>
    <row r="1264" spans="1:7" x14ac:dyDescent="0.15">
      <c r="A1264" s="66"/>
      <c r="B1264" s="66"/>
      <c r="C1264" s="65"/>
      <c r="D1264" s="65"/>
      <c r="E1264" s="65"/>
      <c r="F1264" s="23"/>
      <c r="G1264" s="23"/>
    </row>
    <row r="1265" spans="1:7" x14ac:dyDescent="0.15">
      <c r="A1265" s="66"/>
      <c r="B1265" s="66"/>
      <c r="C1265" s="65"/>
      <c r="D1265" s="65"/>
      <c r="E1265" s="65"/>
      <c r="F1265" s="23"/>
      <c r="G1265" s="23"/>
    </row>
    <row r="1266" spans="1:7" x14ac:dyDescent="0.15">
      <c r="A1266" s="66"/>
      <c r="B1266" s="66"/>
      <c r="C1266" s="65"/>
      <c r="D1266" s="65"/>
      <c r="E1266" s="65"/>
      <c r="F1266" s="23"/>
      <c r="G1266" s="23"/>
    </row>
    <row r="1267" spans="1:7" x14ac:dyDescent="0.15">
      <c r="A1267" s="66"/>
      <c r="B1267" s="66"/>
      <c r="C1267" s="65"/>
      <c r="D1267" s="65"/>
      <c r="E1267" s="65"/>
      <c r="F1267" s="23"/>
      <c r="G1267" s="23"/>
    </row>
    <row r="1268" spans="1:7" x14ac:dyDescent="0.15">
      <c r="A1268" s="66"/>
      <c r="B1268" s="66"/>
      <c r="C1268" s="65"/>
      <c r="D1268" s="65"/>
      <c r="E1268" s="65"/>
      <c r="F1268" s="23"/>
      <c r="G1268" s="23"/>
    </row>
    <row r="1269" spans="1:7" x14ac:dyDescent="0.15">
      <c r="A1269" s="66"/>
      <c r="B1269" s="66"/>
      <c r="C1269" s="65"/>
      <c r="D1269" s="65"/>
      <c r="E1269" s="65"/>
      <c r="F1269" s="23"/>
      <c r="G1269" s="23"/>
    </row>
    <row r="1270" spans="1:7" x14ac:dyDescent="0.15">
      <c r="A1270" s="66"/>
      <c r="B1270" s="66"/>
      <c r="C1270" s="65"/>
      <c r="D1270" s="65"/>
      <c r="E1270" s="65"/>
      <c r="F1270" s="23"/>
      <c r="G1270" s="23"/>
    </row>
    <row r="1271" spans="1:7" x14ac:dyDescent="0.15">
      <c r="A1271" s="66"/>
      <c r="B1271" s="66"/>
      <c r="C1271" s="65"/>
      <c r="D1271" s="65"/>
      <c r="E1271" s="65"/>
      <c r="F1271" s="23"/>
      <c r="G1271" s="23"/>
    </row>
    <row r="1272" spans="1:7" x14ac:dyDescent="0.15">
      <c r="A1272" s="66"/>
      <c r="B1272" s="66"/>
      <c r="C1272" s="65"/>
      <c r="D1272" s="65"/>
      <c r="E1272" s="65"/>
      <c r="F1272" s="23"/>
      <c r="G1272" s="23"/>
    </row>
    <row r="1273" spans="1:7" x14ac:dyDescent="0.15">
      <c r="A1273" s="66"/>
      <c r="B1273" s="66"/>
      <c r="C1273" s="65"/>
      <c r="D1273" s="65"/>
      <c r="E1273" s="65"/>
      <c r="F1273" s="23"/>
      <c r="G1273" s="23"/>
    </row>
    <row r="1274" spans="1:7" x14ac:dyDescent="0.15">
      <c r="A1274" s="66"/>
      <c r="B1274" s="66"/>
      <c r="C1274" s="65"/>
      <c r="D1274" s="65"/>
      <c r="E1274" s="65"/>
      <c r="F1274" s="23"/>
      <c r="G1274" s="23"/>
    </row>
    <row r="1275" spans="1:7" x14ac:dyDescent="0.15">
      <c r="A1275" s="66"/>
      <c r="B1275" s="66"/>
      <c r="C1275" s="65"/>
      <c r="D1275" s="65"/>
      <c r="E1275" s="65"/>
      <c r="F1275" s="23"/>
      <c r="G1275" s="23"/>
    </row>
    <row r="1276" spans="1:7" x14ac:dyDescent="0.15">
      <c r="A1276" s="66"/>
      <c r="B1276" s="66"/>
      <c r="C1276" s="65"/>
      <c r="D1276" s="65"/>
      <c r="E1276" s="65"/>
      <c r="F1276" s="23"/>
      <c r="G1276" s="23"/>
    </row>
    <row r="1277" spans="1:7" x14ac:dyDescent="0.15">
      <c r="A1277" s="66"/>
      <c r="B1277" s="66"/>
      <c r="C1277" s="65"/>
      <c r="D1277" s="65"/>
      <c r="E1277" s="65"/>
      <c r="F1277" s="23"/>
      <c r="G1277" s="23"/>
    </row>
    <row r="1278" spans="1:7" x14ac:dyDescent="0.15">
      <c r="A1278" s="66"/>
      <c r="B1278" s="66"/>
      <c r="C1278" s="65"/>
      <c r="D1278" s="65"/>
      <c r="E1278" s="65"/>
      <c r="F1278" s="23"/>
      <c r="G1278" s="23"/>
    </row>
    <row r="1279" spans="1:7" x14ac:dyDescent="0.15">
      <c r="A1279" s="66"/>
      <c r="B1279" s="66"/>
      <c r="C1279" s="65"/>
      <c r="D1279" s="65"/>
      <c r="E1279" s="65"/>
      <c r="F1279" s="23"/>
      <c r="G1279" s="23"/>
    </row>
    <row r="1280" spans="1:7" x14ac:dyDescent="0.15">
      <c r="A1280" s="66"/>
      <c r="B1280" s="66"/>
      <c r="C1280" s="65"/>
      <c r="D1280" s="65"/>
      <c r="E1280" s="65"/>
      <c r="F1280" s="23"/>
      <c r="G1280" s="23"/>
    </row>
    <row r="1281" spans="1:7" x14ac:dyDescent="0.15">
      <c r="A1281" s="66"/>
      <c r="B1281" s="66"/>
      <c r="C1281" s="65"/>
      <c r="D1281" s="65"/>
      <c r="E1281" s="65"/>
      <c r="F1281" s="23"/>
      <c r="G1281" s="23"/>
    </row>
    <row r="1282" spans="1:7" x14ac:dyDescent="0.15">
      <c r="A1282" s="66"/>
      <c r="B1282" s="66"/>
      <c r="C1282" s="65"/>
      <c r="D1282" s="65"/>
      <c r="E1282" s="65"/>
      <c r="F1282" s="23"/>
      <c r="G1282" s="23"/>
    </row>
    <row r="1283" spans="1:7" x14ac:dyDescent="0.15">
      <c r="A1283" s="66"/>
      <c r="B1283" s="66"/>
      <c r="C1283" s="65"/>
      <c r="D1283" s="65"/>
      <c r="E1283" s="65"/>
      <c r="F1283" s="23"/>
      <c r="G1283" s="23"/>
    </row>
    <row r="1284" spans="1:7" x14ac:dyDescent="0.15">
      <c r="A1284" s="66"/>
      <c r="B1284" s="66"/>
      <c r="C1284" s="65"/>
      <c r="D1284" s="65"/>
      <c r="E1284" s="65"/>
      <c r="F1284" s="23"/>
      <c r="G1284" s="23"/>
    </row>
    <row r="1285" spans="1:7" x14ac:dyDescent="0.15">
      <c r="A1285" s="66"/>
      <c r="B1285" s="66"/>
      <c r="C1285" s="65"/>
      <c r="D1285" s="65"/>
      <c r="E1285" s="65"/>
      <c r="F1285" s="23"/>
      <c r="G1285" s="23"/>
    </row>
    <row r="1286" spans="1:7" x14ac:dyDescent="0.15">
      <c r="A1286" s="66"/>
      <c r="B1286" s="66"/>
      <c r="C1286" s="65"/>
      <c r="D1286" s="65"/>
      <c r="E1286" s="65"/>
      <c r="F1286" s="23"/>
      <c r="G1286" s="23"/>
    </row>
    <row r="1287" spans="1:7" x14ac:dyDescent="0.15">
      <c r="A1287" s="66"/>
      <c r="B1287" s="66"/>
      <c r="C1287" s="65"/>
      <c r="D1287" s="65"/>
      <c r="E1287" s="65"/>
      <c r="F1287" s="23"/>
      <c r="G1287" s="23"/>
    </row>
    <row r="1288" spans="1:7" x14ac:dyDescent="0.15">
      <c r="A1288" s="66"/>
      <c r="B1288" s="66"/>
      <c r="C1288" s="65"/>
      <c r="D1288" s="65"/>
      <c r="E1288" s="65"/>
      <c r="F1288" s="23"/>
      <c r="G1288" s="23"/>
    </row>
    <row r="1289" spans="1:7" x14ac:dyDescent="0.15">
      <c r="A1289" s="66"/>
      <c r="B1289" s="66"/>
      <c r="C1289" s="65"/>
      <c r="D1289" s="65"/>
      <c r="E1289" s="65"/>
      <c r="F1289" s="23"/>
      <c r="G1289" s="23"/>
    </row>
    <row r="1290" spans="1:7" x14ac:dyDescent="0.15">
      <c r="A1290" s="66"/>
      <c r="B1290" s="66"/>
      <c r="C1290" s="65"/>
      <c r="D1290" s="65"/>
      <c r="E1290" s="65"/>
      <c r="F1290" s="23"/>
      <c r="G1290" s="23"/>
    </row>
    <row r="1291" spans="1:7" x14ac:dyDescent="0.15">
      <c r="A1291" s="66"/>
      <c r="B1291" s="66"/>
      <c r="C1291" s="65"/>
      <c r="D1291" s="65"/>
      <c r="E1291" s="65"/>
      <c r="F1291" s="23"/>
      <c r="G1291" s="23"/>
    </row>
    <row r="1292" spans="1:7" x14ac:dyDescent="0.15">
      <c r="A1292" s="66"/>
      <c r="B1292" s="66"/>
      <c r="C1292" s="65"/>
      <c r="D1292" s="65"/>
      <c r="E1292" s="65"/>
      <c r="F1292" s="23"/>
      <c r="G1292" s="23"/>
    </row>
    <row r="1293" spans="1:7" x14ac:dyDescent="0.15">
      <c r="A1293" s="66"/>
      <c r="B1293" s="66"/>
      <c r="C1293" s="65"/>
      <c r="D1293" s="65"/>
      <c r="E1293" s="65"/>
      <c r="F1293" s="23"/>
      <c r="G1293" s="23"/>
    </row>
    <row r="1294" spans="1:7" x14ac:dyDescent="0.15">
      <c r="A1294" s="66"/>
      <c r="B1294" s="66"/>
      <c r="C1294" s="65"/>
      <c r="D1294" s="65"/>
      <c r="E1294" s="65"/>
      <c r="F1294" s="23"/>
      <c r="G1294" s="23"/>
    </row>
    <row r="1295" spans="1:7" x14ac:dyDescent="0.15">
      <c r="A1295" s="66"/>
      <c r="B1295" s="66"/>
      <c r="C1295" s="65"/>
      <c r="D1295" s="65"/>
      <c r="E1295" s="65"/>
      <c r="F1295" s="23"/>
      <c r="G1295" s="23"/>
    </row>
    <row r="1296" spans="1:7" x14ac:dyDescent="0.15">
      <c r="A1296" s="66"/>
      <c r="B1296" s="66"/>
      <c r="C1296" s="65"/>
      <c r="D1296" s="65"/>
      <c r="E1296" s="65"/>
      <c r="F1296" s="23"/>
      <c r="G1296" s="23"/>
    </row>
    <row r="1297" spans="1:7" x14ac:dyDescent="0.15">
      <c r="A1297" s="66"/>
      <c r="B1297" s="66"/>
      <c r="C1297" s="65"/>
      <c r="D1297" s="65"/>
      <c r="E1297" s="65"/>
      <c r="F1297" s="23"/>
      <c r="G1297" s="23"/>
    </row>
    <row r="1298" spans="1:7" x14ac:dyDescent="0.15">
      <c r="A1298" s="66"/>
      <c r="B1298" s="66"/>
      <c r="C1298" s="65"/>
      <c r="D1298" s="65"/>
      <c r="E1298" s="65"/>
      <c r="F1298" s="23"/>
      <c r="G1298" s="23"/>
    </row>
    <row r="1299" spans="1:7" x14ac:dyDescent="0.15">
      <c r="A1299" s="66"/>
      <c r="B1299" s="66"/>
      <c r="C1299" s="65"/>
      <c r="D1299" s="65"/>
      <c r="E1299" s="65"/>
      <c r="F1299" s="23"/>
      <c r="G1299" s="23"/>
    </row>
    <row r="1300" spans="1:7" x14ac:dyDescent="0.15">
      <c r="A1300" s="66"/>
      <c r="B1300" s="66"/>
      <c r="C1300" s="65"/>
      <c r="D1300" s="65"/>
      <c r="E1300" s="65"/>
      <c r="F1300" s="23"/>
      <c r="G1300" s="23"/>
    </row>
    <row r="1301" spans="1:7" x14ac:dyDescent="0.15">
      <c r="A1301" s="66"/>
      <c r="B1301" s="66"/>
      <c r="C1301" s="65"/>
      <c r="D1301" s="65"/>
      <c r="E1301" s="65"/>
      <c r="F1301" s="23"/>
      <c r="G1301" s="23"/>
    </row>
    <row r="1302" spans="1:7" x14ac:dyDescent="0.15">
      <c r="A1302" s="66"/>
      <c r="B1302" s="66"/>
      <c r="C1302" s="65"/>
      <c r="D1302" s="65"/>
      <c r="E1302" s="65"/>
      <c r="F1302" s="23"/>
      <c r="G1302" s="23"/>
    </row>
    <row r="1303" spans="1:7" x14ac:dyDescent="0.15">
      <c r="A1303" s="66"/>
      <c r="B1303" s="66"/>
      <c r="C1303" s="65"/>
      <c r="D1303" s="65"/>
      <c r="E1303" s="65"/>
      <c r="F1303" s="23"/>
      <c r="G1303" s="23"/>
    </row>
    <row r="1304" spans="1:7" x14ac:dyDescent="0.15">
      <c r="A1304" s="66"/>
      <c r="B1304" s="66"/>
      <c r="C1304" s="65"/>
      <c r="D1304" s="65"/>
      <c r="E1304" s="65"/>
      <c r="F1304" s="23"/>
      <c r="G1304" s="23"/>
    </row>
    <row r="1305" spans="1:7" x14ac:dyDescent="0.15">
      <c r="A1305" s="66"/>
      <c r="B1305" s="66"/>
      <c r="C1305" s="65"/>
      <c r="D1305" s="65"/>
      <c r="E1305" s="65"/>
      <c r="F1305" s="23"/>
      <c r="G1305" s="23"/>
    </row>
    <row r="1306" spans="1:7" x14ac:dyDescent="0.15">
      <c r="A1306" s="66"/>
      <c r="B1306" s="66"/>
      <c r="C1306" s="65"/>
      <c r="D1306" s="65"/>
      <c r="E1306" s="65"/>
      <c r="F1306" s="23"/>
      <c r="G1306" s="23"/>
    </row>
    <row r="1307" spans="1:7" x14ac:dyDescent="0.15">
      <c r="A1307" s="66"/>
      <c r="B1307" s="66"/>
      <c r="C1307" s="65"/>
      <c r="D1307" s="65"/>
      <c r="E1307" s="65"/>
      <c r="F1307" s="23"/>
      <c r="G1307" s="23"/>
    </row>
    <row r="1308" spans="1:7" x14ac:dyDescent="0.15">
      <c r="A1308" s="66"/>
      <c r="B1308" s="66"/>
      <c r="C1308" s="65"/>
      <c r="D1308" s="65"/>
      <c r="E1308" s="65"/>
      <c r="F1308" s="23"/>
      <c r="G1308" s="23"/>
    </row>
    <row r="1309" spans="1:7" x14ac:dyDescent="0.15">
      <c r="A1309" s="66"/>
      <c r="B1309" s="66"/>
      <c r="C1309" s="65"/>
      <c r="D1309" s="65"/>
      <c r="E1309" s="65"/>
      <c r="F1309" s="23"/>
      <c r="G1309" s="23"/>
    </row>
    <row r="1310" spans="1:7" x14ac:dyDescent="0.15">
      <c r="A1310" s="66"/>
      <c r="B1310" s="66"/>
      <c r="C1310" s="65"/>
      <c r="D1310" s="65"/>
      <c r="E1310" s="65"/>
      <c r="F1310" s="23"/>
      <c r="G1310" s="23"/>
    </row>
    <row r="1311" spans="1:7" x14ac:dyDescent="0.15">
      <c r="A1311" s="66"/>
      <c r="B1311" s="66"/>
      <c r="C1311" s="65"/>
      <c r="D1311" s="65"/>
      <c r="E1311" s="65"/>
      <c r="F1311" s="23"/>
      <c r="G1311" s="23"/>
    </row>
    <row r="1312" spans="1:7" x14ac:dyDescent="0.15">
      <c r="A1312" s="66"/>
      <c r="B1312" s="66"/>
      <c r="C1312" s="65"/>
      <c r="D1312" s="65"/>
      <c r="E1312" s="65"/>
      <c r="F1312" s="23"/>
      <c r="G1312" s="23"/>
    </row>
    <row r="1313" spans="1:7" x14ac:dyDescent="0.15">
      <c r="A1313" s="66"/>
      <c r="B1313" s="66"/>
      <c r="C1313" s="65"/>
      <c r="D1313" s="65"/>
      <c r="E1313" s="65"/>
      <c r="F1313" s="23"/>
      <c r="G1313" s="23"/>
    </row>
    <row r="1314" spans="1:7" x14ac:dyDescent="0.15">
      <c r="A1314" s="66"/>
      <c r="B1314" s="66"/>
      <c r="C1314" s="65"/>
      <c r="D1314" s="65"/>
      <c r="E1314" s="65"/>
      <c r="F1314" s="23"/>
      <c r="G1314" s="23"/>
    </row>
    <row r="1315" spans="1:7" x14ac:dyDescent="0.15">
      <c r="A1315" s="66"/>
      <c r="B1315" s="66"/>
      <c r="C1315" s="65"/>
      <c r="D1315" s="65"/>
      <c r="E1315" s="65"/>
      <c r="F1315" s="23"/>
      <c r="G1315" s="23"/>
    </row>
    <row r="1316" spans="1:7" x14ac:dyDescent="0.15">
      <c r="A1316" s="66"/>
      <c r="B1316" s="66"/>
      <c r="C1316" s="65"/>
      <c r="D1316" s="65"/>
      <c r="E1316" s="65"/>
      <c r="F1316" s="23"/>
      <c r="G1316" s="23"/>
    </row>
    <row r="1317" spans="1:7" x14ac:dyDescent="0.15">
      <c r="A1317" s="66"/>
      <c r="B1317" s="66"/>
      <c r="C1317" s="65"/>
      <c r="D1317" s="65"/>
      <c r="E1317" s="65"/>
      <c r="F1317" s="23"/>
      <c r="G1317" s="23"/>
    </row>
    <row r="1318" spans="1:7" x14ac:dyDescent="0.15">
      <c r="A1318" s="66"/>
      <c r="B1318" s="66"/>
      <c r="C1318" s="65"/>
      <c r="D1318" s="65"/>
      <c r="E1318" s="65"/>
      <c r="F1318" s="23"/>
      <c r="G1318" s="23"/>
    </row>
    <row r="1319" spans="1:7" x14ac:dyDescent="0.15">
      <c r="A1319" s="66"/>
      <c r="B1319" s="66"/>
      <c r="C1319" s="65"/>
      <c r="D1319" s="65"/>
      <c r="E1319" s="65"/>
      <c r="F1319" s="23"/>
      <c r="G1319" s="23"/>
    </row>
    <row r="1320" spans="1:7" x14ac:dyDescent="0.15">
      <c r="A1320" s="66"/>
      <c r="B1320" s="66"/>
      <c r="C1320" s="65"/>
      <c r="D1320" s="65"/>
      <c r="E1320" s="65"/>
      <c r="F1320" s="23"/>
      <c r="G1320" s="23"/>
    </row>
    <row r="1321" spans="1:7" x14ac:dyDescent="0.15">
      <c r="A1321" s="66"/>
      <c r="B1321" s="66"/>
      <c r="C1321" s="65"/>
      <c r="D1321" s="65"/>
      <c r="E1321" s="65"/>
      <c r="F1321" s="23"/>
      <c r="G1321" s="23"/>
    </row>
    <row r="1322" spans="1:7" x14ac:dyDescent="0.15">
      <c r="A1322" s="66"/>
      <c r="B1322" s="66"/>
      <c r="C1322" s="65"/>
      <c r="D1322" s="65"/>
      <c r="E1322" s="65"/>
      <c r="F1322" s="23"/>
      <c r="G1322" s="23"/>
    </row>
    <row r="1323" spans="1:7" x14ac:dyDescent="0.15">
      <c r="A1323" s="66"/>
      <c r="B1323" s="66"/>
      <c r="C1323" s="65"/>
      <c r="D1323" s="65"/>
      <c r="E1323" s="65"/>
      <c r="F1323" s="23"/>
      <c r="G1323" s="23"/>
    </row>
    <row r="1324" spans="1:7" x14ac:dyDescent="0.15">
      <c r="A1324" s="66"/>
      <c r="B1324" s="66"/>
      <c r="C1324" s="65"/>
      <c r="D1324" s="65"/>
      <c r="E1324" s="65"/>
      <c r="F1324" s="23"/>
      <c r="G1324" s="23"/>
    </row>
    <row r="1325" spans="1:7" x14ac:dyDescent="0.15">
      <c r="A1325" s="66"/>
      <c r="B1325" s="66"/>
      <c r="C1325" s="65"/>
      <c r="D1325" s="65"/>
      <c r="E1325" s="65"/>
      <c r="F1325" s="23"/>
      <c r="G1325" s="23"/>
    </row>
    <row r="1326" spans="1:7" x14ac:dyDescent="0.15">
      <c r="A1326" s="66"/>
      <c r="B1326" s="66"/>
      <c r="C1326" s="65"/>
      <c r="D1326" s="65"/>
      <c r="E1326" s="65"/>
      <c r="F1326" s="23"/>
      <c r="G1326" s="23"/>
    </row>
    <row r="1327" spans="1:7" x14ac:dyDescent="0.15">
      <c r="A1327" s="66"/>
      <c r="B1327" s="66"/>
      <c r="C1327" s="65"/>
      <c r="D1327" s="65"/>
      <c r="E1327" s="65"/>
      <c r="F1327" s="23"/>
      <c r="G1327" s="23"/>
    </row>
    <row r="1328" spans="1:7" x14ac:dyDescent="0.15">
      <c r="A1328" s="66"/>
      <c r="B1328" s="66"/>
      <c r="C1328" s="65"/>
      <c r="D1328" s="65"/>
      <c r="E1328" s="65"/>
      <c r="F1328" s="23"/>
      <c r="G1328" s="23"/>
    </row>
    <row r="1329" spans="1:7" x14ac:dyDescent="0.15">
      <c r="A1329" s="66"/>
      <c r="B1329" s="66"/>
      <c r="C1329" s="65"/>
      <c r="D1329" s="65"/>
      <c r="E1329" s="65"/>
      <c r="F1329" s="23"/>
      <c r="G1329" s="23"/>
    </row>
    <row r="1330" spans="1:7" x14ac:dyDescent="0.15">
      <c r="A1330" s="66"/>
      <c r="B1330" s="66"/>
      <c r="C1330" s="65"/>
      <c r="D1330" s="65"/>
      <c r="E1330" s="65"/>
      <c r="F1330" s="23"/>
      <c r="G1330" s="23"/>
    </row>
    <row r="1331" spans="1:7" x14ac:dyDescent="0.15">
      <c r="A1331" s="66"/>
      <c r="B1331" s="66"/>
      <c r="C1331" s="65"/>
      <c r="D1331" s="65"/>
      <c r="E1331" s="65"/>
      <c r="F1331" s="23"/>
      <c r="G1331" s="23"/>
    </row>
    <row r="1332" spans="1:7" x14ac:dyDescent="0.15">
      <c r="A1332" s="66"/>
      <c r="B1332" s="66"/>
      <c r="C1332" s="65"/>
      <c r="D1332" s="65"/>
      <c r="E1332" s="65"/>
      <c r="F1332" s="23"/>
      <c r="G1332" s="23"/>
    </row>
    <row r="1333" spans="1:7" x14ac:dyDescent="0.15">
      <c r="A1333" s="66"/>
      <c r="B1333" s="66"/>
      <c r="C1333" s="65"/>
      <c r="D1333" s="65"/>
      <c r="E1333" s="65"/>
      <c r="F1333" s="23"/>
      <c r="G1333" s="23"/>
    </row>
    <row r="1334" spans="1:7" x14ac:dyDescent="0.15">
      <c r="A1334" s="66"/>
      <c r="B1334" s="66"/>
      <c r="C1334" s="65"/>
      <c r="D1334" s="65"/>
      <c r="E1334" s="65"/>
      <c r="F1334" s="23"/>
      <c r="G1334" s="23"/>
    </row>
    <row r="1335" spans="1:7" x14ac:dyDescent="0.15">
      <c r="A1335" s="66"/>
      <c r="B1335" s="66"/>
      <c r="C1335" s="65"/>
      <c r="D1335" s="65"/>
      <c r="E1335" s="65"/>
      <c r="F1335" s="23"/>
      <c r="G1335" s="23"/>
    </row>
    <row r="1336" spans="1:7" x14ac:dyDescent="0.15">
      <c r="A1336" s="66"/>
      <c r="B1336" s="66"/>
      <c r="C1336" s="65"/>
      <c r="D1336" s="65"/>
      <c r="E1336" s="65"/>
      <c r="F1336" s="23"/>
      <c r="G1336" s="23"/>
    </row>
    <row r="1337" spans="1:7" x14ac:dyDescent="0.15">
      <c r="A1337" s="66"/>
      <c r="B1337" s="66"/>
      <c r="C1337" s="65"/>
      <c r="D1337" s="65"/>
      <c r="E1337" s="65"/>
      <c r="F1337" s="23"/>
      <c r="G1337" s="23"/>
    </row>
    <row r="1338" spans="1:7" x14ac:dyDescent="0.15">
      <c r="A1338" s="66"/>
      <c r="B1338" s="66"/>
      <c r="C1338" s="65"/>
      <c r="D1338" s="65"/>
      <c r="E1338" s="65"/>
      <c r="F1338" s="23"/>
      <c r="G1338" s="23"/>
    </row>
    <row r="1339" spans="1:7" x14ac:dyDescent="0.15">
      <c r="A1339" s="66"/>
      <c r="B1339" s="66"/>
      <c r="C1339" s="65"/>
      <c r="D1339" s="65"/>
      <c r="E1339" s="65"/>
      <c r="F1339" s="23"/>
      <c r="G1339" s="23"/>
    </row>
    <row r="1340" spans="1:7" x14ac:dyDescent="0.15">
      <c r="A1340" s="66"/>
      <c r="B1340" s="66"/>
      <c r="C1340" s="65"/>
      <c r="D1340" s="65"/>
      <c r="E1340" s="65"/>
      <c r="F1340" s="23"/>
      <c r="G1340" s="23"/>
    </row>
    <row r="1341" spans="1:7" x14ac:dyDescent="0.15">
      <c r="A1341" s="66"/>
      <c r="B1341" s="66"/>
      <c r="C1341" s="65"/>
      <c r="D1341" s="65"/>
      <c r="E1341" s="65"/>
      <c r="F1341" s="23"/>
      <c r="G1341" s="23"/>
    </row>
    <row r="1342" spans="1:7" x14ac:dyDescent="0.15">
      <c r="A1342" s="66"/>
      <c r="B1342" s="66"/>
      <c r="C1342" s="65"/>
      <c r="D1342" s="65"/>
      <c r="E1342" s="65"/>
      <c r="F1342" s="23"/>
      <c r="G1342" s="23"/>
    </row>
    <row r="1343" spans="1:7" x14ac:dyDescent="0.15">
      <c r="A1343" s="66"/>
      <c r="B1343" s="66"/>
      <c r="C1343" s="65"/>
      <c r="D1343" s="65"/>
      <c r="E1343" s="65"/>
      <c r="F1343" s="23"/>
      <c r="G1343" s="23"/>
    </row>
    <row r="1344" spans="1:7" x14ac:dyDescent="0.15">
      <c r="A1344" s="66"/>
      <c r="B1344" s="66"/>
      <c r="C1344" s="65"/>
      <c r="D1344" s="65"/>
      <c r="E1344" s="65"/>
      <c r="F1344" s="23"/>
      <c r="G1344" s="23"/>
    </row>
    <row r="1345" spans="1:7" x14ac:dyDescent="0.15">
      <c r="A1345" s="66"/>
      <c r="B1345" s="66"/>
      <c r="C1345" s="65"/>
      <c r="D1345" s="65"/>
      <c r="E1345" s="65"/>
      <c r="F1345" s="23"/>
      <c r="G1345" s="23"/>
    </row>
    <row r="1346" spans="1:7" x14ac:dyDescent="0.15">
      <c r="A1346" s="66"/>
      <c r="B1346" s="66"/>
      <c r="C1346" s="65"/>
      <c r="D1346" s="65"/>
      <c r="E1346" s="65"/>
      <c r="F1346" s="23"/>
      <c r="G1346" s="23"/>
    </row>
    <row r="1347" spans="1:7" x14ac:dyDescent="0.15">
      <c r="A1347" s="66"/>
      <c r="B1347" s="66"/>
      <c r="C1347" s="65"/>
      <c r="D1347" s="65"/>
      <c r="E1347" s="65"/>
      <c r="F1347" s="23"/>
      <c r="G1347" s="23"/>
    </row>
    <row r="1348" spans="1:7" x14ac:dyDescent="0.15">
      <c r="A1348" s="66"/>
      <c r="B1348" s="66"/>
      <c r="C1348" s="65"/>
      <c r="D1348" s="65"/>
      <c r="E1348" s="65"/>
      <c r="F1348" s="23"/>
      <c r="G1348" s="23"/>
    </row>
    <row r="1349" spans="1:7" x14ac:dyDescent="0.15">
      <c r="A1349" s="66"/>
      <c r="B1349" s="66"/>
      <c r="C1349" s="65"/>
      <c r="D1349" s="65"/>
      <c r="E1349" s="65"/>
      <c r="F1349" s="23"/>
      <c r="G1349" s="23"/>
    </row>
    <row r="1350" spans="1:7" x14ac:dyDescent="0.15">
      <c r="A1350" s="66"/>
      <c r="B1350" s="66"/>
      <c r="C1350" s="65"/>
      <c r="D1350" s="65"/>
      <c r="E1350" s="65"/>
      <c r="F1350" s="23"/>
      <c r="G1350" s="23"/>
    </row>
    <row r="1351" spans="1:7" x14ac:dyDescent="0.15">
      <c r="A1351" s="66"/>
      <c r="B1351" s="66"/>
      <c r="C1351" s="65"/>
      <c r="D1351" s="65"/>
      <c r="E1351" s="65"/>
      <c r="F1351" s="23"/>
      <c r="G1351" s="23"/>
    </row>
    <row r="1352" spans="1:7" x14ac:dyDescent="0.15">
      <c r="A1352" s="66"/>
      <c r="B1352" s="66"/>
      <c r="C1352" s="65"/>
      <c r="D1352" s="65"/>
      <c r="E1352" s="65"/>
      <c r="F1352" s="23"/>
      <c r="G1352" s="23"/>
    </row>
    <row r="1353" spans="1:7" x14ac:dyDescent="0.15">
      <c r="A1353" s="66"/>
      <c r="B1353" s="66"/>
      <c r="C1353" s="65"/>
      <c r="D1353" s="65"/>
      <c r="E1353" s="65"/>
      <c r="F1353" s="23"/>
      <c r="G1353" s="23"/>
    </row>
    <row r="1354" spans="1:7" x14ac:dyDescent="0.15">
      <c r="A1354" s="66"/>
      <c r="B1354" s="66"/>
      <c r="C1354" s="65"/>
      <c r="D1354" s="65"/>
      <c r="E1354" s="65"/>
      <c r="F1354" s="23"/>
      <c r="G1354" s="23"/>
    </row>
    <row r="1355" spans="1:7" x14ac:dyDescent="0.15">
      <c r="A1355" s="66"/>
      <c r="B1355" s="66"/>
      <c r="C1355" s="65"/>
      <c r="D1355" s="65"/>
      <c r="E1355" s="65"/>
      <c r="F1355" s="23"/>
      <c r="G1355" s="23"/>
    </row>
    <row r="1356" spans="1:7" x14ac:dyDescent="0.15">
      <c r="A1356" s="66"/>
      <c r="B1356" s="66"/>
      <c r="C1356" s="65"/>
      <c r="D1356" s="65"/>
      <c r="E1356" s="65"/>
      <c r="F1356" s="23"/>
      <c r="G1356" s="23"/>
    </row>
    <row r="1357" spans="1:7" x14ac:dyDescent="0.15">
      <c r="A1357" s="66"/>
      <c r="B1357" s="66"/>
      <c r="C1357" s="65"/>
      <c r="D1357" s="65"/>
      <c r="E1357" s="65"/>
      <c r="F1357" s="23"/>
      <c r="G1357" s="23"/>
    </row>
    <row r="1358" spans="1:7" x14ac:dyDescent="0.15">
      <c r="A1358" s="66"/>
      <c r="B1358" s="66"/>
      <c r="C1358" s="65"/>
      <c r="D1358" s="65"/>
      <c r="E1358" s="65"/>
      <c r="F1358" s="23"/>
      <c r="G1358" s="23"/>
    </row>
    <row r="1359" spans="1:7" x14ac:dyDescent="0.15">
      <c r="A1359" s="66"/>
      <c r="B1359" s="66"/>
      <c r="C1359" s="65"/>
      <c r="D1359" s="65"/>
      <c r="E1359" s="65"/>
      <c r="F1359" s="23"/>
      <c r="G1359" s="23"/>
    </row>
    <row r="1360" spans="1:7" x14ac:dyDescent="0.15">
      <c r="A1360" s="66"/>
      <c r="B1360" s="66"/>
      <c r="C1360" s="65"/>
      <c r="D1360" s="65"/>
      <c r="E1360" s="65"/>
      <c r="F1360" s="23"/>
      <c r="G1360" s="23"/>
    </row>
    <row r="1361" spans="1:7" x14ac:dyDescent="0.15">
      <c r="A1361" s="66"/>
      <c r="B1361" s="66"/>
      <c r="C1361" s="65"/>
      <c r="D1361" s="65"/>
      <c r="E1361" s="65"/>
      <c r="F1361" s="23"/>
      <c r="G1361" s="23"/>
    </row>
    <row r="1362" spans="1:7" x14ac:dyDescent="0.15">
      <c r="A1362" s="66"/>
      <c r="B1362" s="66"/>
      <c r="C1362" s="65"/>
      <c r="D1362" s="65"/>
      <c r="E1362" s="65"/>
      <c r="F1362" s="23"/>
      <c r="G1362" s="23"/>
    </row>
    <row r="1363" spans="1:7" x14ac:dyDescent="0.15">
      <c r="A1363" s="66"/>
      <c r="B1363" s="66"/>
      <c r="C1363" s="65"/>
      <c r="D1363" s="65"/>
      <c r="E1363" s="65"/>
      <c r="F1363" s="23"/>
      <c r="G1363" s="23"/>
    </row>
    <row r="1364" spans="1:7" x14ac:dyDescent="0.15">
      <c r="A1364" s="66"/>
      <c r="B1364" s="66"/>
      <c r="C1364" s="65"/>
      <c r="D1364" s="65"/>
      <c r="E1364" s="65"/>
      <c r="F1364" s="23"/>
      <c r="G1364" s="23"/>
    </row>
    <row r="1365" spans="1:7" x14ac:dyDescent="0.15">
      <c r="A1365" s="66"/>
      <c r="B1365" s="66"/>
      <c r="C1365" s="65"/>
      <c r="D1365" s="65"/>
      <c r="E1365" s="65"/>
      <c r="F1365" s="23"/>
      <c r="G1365" s="23"/>
    </row>
    <row r="1366" spans="1:7" x14ac:dyDescent="0.15">
      <c r="A1366" s="66"/>
      <c r="B1366" s="66"/>
      <c r="C1366" s="65"/>
      <c r="D1366" s="65"/>
      <c r="E1366" s="65"/>
      <c r="F1366" s="23"/>
      <c r="G1366" s="23"/>
    </row>
    <row r="1367" spans="1:7" x14ac:dyDescent="0.15">
      <c r="A1367" s="66"/>
      <c r="B1367" s="66"/>
      <c r="C1367" s="65"/>
      <c r="D1367" s="65"/>
      <c r="E1367" s="65"/>
      <c r="F1367" s="23"/>
      <c r="G1367" s="23"/>
    </row>
    <row r="1368" spans="1:7" x14ac:dyDescent="0.15">
      <c r="A1368" s="66"/>
      <c r="B1368" s="66"/>
      <c r="C1368" s="65"/>
      <c r="D1368" s="65"/>
      <c r="E1368" s="65"/>
      <c r="F1368" s="23"/>
      <c r="G1368" s="23"/>
    </row>
    <row r="1369" spans="1:7" x14ac:dyDescent="0.15">
      <c r="A1369" s="66"/>
      <c r="B1369" s="66"/>
      <c r="C1369" s="65"/>
      <c r="D1369" s="65"/>
      <c r="E1369" s="65"/>
      <c r="F1369" s="23"/>
      <c r="G1369" s="23"/>
    </row>
    <row r="1370" spans="1:7" x14ac:dyDescent="0.15">
      <c r="A1370" s="66"/>
      <c r="B1370" s="66"/>
      <c r="C1370" s="65"/>
      <c r="D1370" s="65"/>
      <c r="E1370" s="65"/>
      <c r="F1370" s="23"/>
      <c r="G1370" s="23"/>
    </row>
    <row r="1371" spans="1:7" x14ac:dyDescent="0.15">
      <c r="A1371" s="66"/>
      <c r="B1371" s="66"/>
      <c r="C1371" s="65"/>
      <c r="D1371" s="65"/>
      <c r="E1371" s="65"/>
      <c r="F1371" s="23"/>
      <c r="G1371" s="23"/>
    </row>
    <row r="1372" spans="1:7" x14ac:dyDescent="0.15">
      <c r="A1372" s="66"/>
      <c r="B1372" s="66"/>
      <c r="C1372" s="65"/>
      <c r="D1372" s="65"/>
      <c r="E1372" s="65"/>
      <c r="F1372" s="23"/>
      <c r="G1372" s="23"/>
    </row>
    <row r="1373" spans="1:7" x14ac:dyDescent="0.15">
      <c r="A1373" s="66"/>
      <c r="B1373" s="66"/>
      <c r="C1373" s="65"/>
      <c r="D1373" s="65"/>
      <c r="E1373" s="65"/>
      <c r="F1373" s="23"/>
      <c r="G1373" s="23"/>
    </row>
    <row r="1374" spans="1:7" x14ac:dyDescent="0.15">
      <c r="A1374" s="66"/>
      <c r="B1374" s="66"/>
      <c r="C1374" s="65"/>
      <c r="D1374" s="65"/>
      <c r="E1374" s="65"/>
      <c r="F1374" s="23"/>
      <c r="G1374" s="23"/>
    </row>
    <row r="1375" spans="1:7" x14ac:dyDescent="0.15">
      <c r="A1375" s="66"/>
      <c r="B1375" s="66"/>
      <c r="C1375" s="65"/>
      <c r="D1375" s="65"/>
      <c r="E1375" s="65"/>
      <c r="F1375" s="23"/>
      <c r="G1375" s="23"/>
    </row>
    <row r="1376" spans="1:7" x14ac:dyDescent="0.15">
      <c r="A1376" s="66"/>
      <c r="B1376" s="66"/>
      <c r="C1376" s="65"/>
      <c r="D1376" s="65"/>
      <c r="E1376" s="65"/>
      <c r="F1376" s="23"/>
      <c r="G1376" s="23"/>
    </row>
    <row r="1377" spans="1:7" x14ac:dyDescent="0.15">
      <c r="A1377" s="66"/>
      <c r="B1377" s="66"/>
      <c r="C1377" s="65"/>
      <c r="D1377" s="65"/>
      <c r="E1377" s="65"/>
      <c r="F1377" s="23"/>
      <c r="G1377" s="23"/>
    </row>
    <row r="1378" spans="1:7" x14ac:dyDescent="0.15">
      <c r="A1378" s="66"/>
      <c r="B1378" s="66"/>
      <c r="C1378" s="65"/>
      <c r="D1378" s="65"/>
      <c r="E1378" s="65"/>
      <c r="F1378" s="23"/>
      <c r="G1378" s="23"/>
    </row>
    <row r="1379" spans="1:7" x14ac:dyDescent="0.15">
      <c r="A1379" s="66"/>
      <c r="B1379" s="66"/>
      <c r="C1379" s="65"/>
      <c r="D1379" s="65"/>
      <c r="E1379" s="65"/>
      <c r="F1379" s="23"/>
      <c r="G1379" s="23"/>
    </row>
    <row r="1380" spans="1:7" x14ac:dyDescent="0.15">
      <c r="A1380" s="66"/>
      <c r="B1380" s="66"/>
      <c r="C1380" s="65"/>
      <c r="D1380" s="65"/>
      <c r="E1380" s="65"/>
      <c r="F1380" s="23"/>
      <c r="G1380" s="23"/>
    </row>
    <row r="1381" spans="1:7" x14ac:dyDescent="0.15">
      <c r="A1381" s="66"/>
      <c r="B1381" s="66"/>
      <c r="C1381" s="65"/>
      <c r="D1381" s="65"/>
      <c r="E1381" s="65"/>
      <c r="F1381" s="23"/>
      <c r="G1381" s="23"/>
    </row>
    <row r="1382" spans="1:7" x14ac:dyDescent="0.15">
      <c r="A1382" s="66"/>
      <c r="B1382" s="66"/>
      <c r="C1382" s="65"/>
      <c r="D1382" s="65"/>
      <c r="E1382" s="65"/>
      <c r="F1382" s="23"/>
      <c r="G1382" s="23"/>
    </row>
    <row r="1383" spans="1:7" x14ac:dyDescent="0.15">
      <c r="A1383" s="66"/>
      <c r="B1383" s="66"/>
      <c r="C1383" s="65"/>
      <c r="D1383" s="65"/>
      <c r="E1383" s="65"/>
      <c r="F1383" s="23"/>
      <c r="G1383" s="23"/>
    </row>
    <row r="1384" spans="1:7" x14ac:dyDescent="0.15">
      <c r="A1384" s="66"/>
      <c r="B1384" s="66"/>
      <c r="C1384" s="65"/>
      <c r="D1384" s="65"/>
      <c r="E1384" s="65"/>
      <c r="F1384" s="23"/>
      <c r="G1384" s="23"/>
    </row>
    <row r="1385" spans="1:7" x14ac:dyDescent="0.15">
      <c r="A1385" s="66"/>
      <c r="B1385" s="66"/>
      <c r="C1385" s="65"/>
      <c r="D1385" s="65"/>
      <c r="E1385" s="65"/>
      <c r="F1385" s="23"/>
      <c r="G1385" s="23"/>
    </row>
    <row r="1386" spans="1:7" x14ac:dyDescent="0.15">
      <c r="A1386" s="66"/>
      <c r="B1386" s="66"/>
      <c r="C1386" s="65"/>
      <c r="D1386" s="65"/>
      <c r="E1386" s="65"/>
      <c r="F1386" s="23"/>
      <c r="G1386" s="23"/>
    </row>
    <row r="1387" spans="1:7" x14ac:dyDescent="0.15">
      <c r="A1387" s="66"/>
      <c r="B1387" s="66"/>
      <c r="C1387" s="65"/>
      <c r="D1387" s="65"/>
      <c r="E1387" s="65"/>
      <c r="F1387" s="23"/>
      <c r="G1387" s="23"/>
    </row>
    <row r="1388" spans="1:7" x14ac:dyDescent="0.15">
      <c r="A1388" s="66"/>
      <c r="B1388" s="66"/>
      <c r="C1388" s="65"/>
      <c r="D1388" s="65"/>
      <c r="E1388" s="65"/>
      <c r="F1388" s="23"/>
      <c r="G1388" s="23"/>
    </row>
    <row r="1389" spans="1:7" x14ac:dyDescent="0.15">
      <c r="A1389" s="66"/>
      <c r="B1389" s="66"/>
      <c r="C1389" s="65"/>
      <c r="D1389" s="65"/>
      <c r="E1389" s="65"/>
      <c r="F1389" s="23"/>
      <c r="G1389" s="23"/>
    </row>
    <row r="1390" spans="1:7" x14ac:dyDescent="0.15">
      <c r="A1390" s="66"/>
      <c r="B1390" s="66"/>
      <c r="C1390" s="65"/>
      <c r="D1390" s="65"/>
      <c r="E1390" s="65"/>
      <c r="F1390" s="23"/>
      <c r="G1390" s="23"/>
    </row>
    <row r="1391" spans="1:7" x14ac:dyDescent="0.15">
      <c r="A1391" s="66"/>
      <c r="B1391" s="66"/>
      <c r="C1391" s="65"/>
      <c r="D1391" s="65"/>
      <c r="E1391" s="65"/>
      <c r="F1391" s="23"/>
      <c r="G1391" s="23"/>
    </row>
    <row r="1392" spans="1:7" x14ac:dyDescent="0.15">
      <c r="A1392" s="66"/>
      <c r="B1392" s="66"/>
      <c r="C1392" s="65"/>
      <c r="D1392" s="65"/>
      <c r="E1392" s="65"/>
      <c r="F1392" s="23"/>
      <c r="G1392" s="23"/>
    </row>
    <row r="1393" spans="1:7" x14ac:dyDescent="0.15">
      <c r="A1393" s="66"/>
      <c r="B1393" s="66"/>
      <c r="C1393" s="65"/>
      <c r="D1393" s="65"/>
      <c r="E1393" s="65"/>
      <c r="F1393" s="23"/>
      <c r="G1393" s="23"/>
    </row>
    <row r="1394" spans="1:7" x14ac:dyDescent="0.15">
      <c r="A1394" s="66"/>
      <c r="B1394" s="66"/>
      <c r="C1394" s="65"/>
      <c r="D1394" s="65"/>
      <c r="E1394" s="65"/>
      <c r="F1394" s="23"/>
      <c r="G1394" s="23"/>
    </row>
    <row r="1395" spans="1:7" x14ac:dyDescent="0.15">
      <c r="A1395" s="66"/>
      <c r="B1395" s="66"/>
      <c r="C1395" s="65"/>
      <c r="D1395" s="65"/>
      <c r="E1395" s="65"/>
      <c r="F1395" s="23"/>
      <c r="G1395" s="23"/>
    </row>
    <row r="1396" spans="1:7" x14ac:dyDescent="0.15">
      <c r="A1396" s="66"/>
      <c r="B1396" s="66"/>
      <c r="C1396" s="65"/>
      <c r="D1396" s="65"/>
      <c r="E1396" s="65"/>
      <c r="F1396" s="23"/>
      <c r="G1396" s="23"/>
    </row>
    <row r="1397" spans="1:7" x14ac:dyDescent="0.15">
      <c r="A1397" s="66"/>
      <c r="B1397" s="66"/>
      <c r="C1397" s="65"/>
      <c r="D1397" s="65"/>
      <c r="E1397" s="65"/>
      <c r="F1397" s="23"/>
      <c r="G1397" s="23"/>
    </row>
    <row r="1398" spans="1:7" x14ac:dyDescent="0.15">
      <c r="A1398" s="66"/>
      <c r="B1398" s="66"/>
      <c r="C1398" s="65"/>
      <c r="D1398" s="65"/>
      <c r="E1398" s="65"/>
      <c r="F1398" s="23"/>
      <c r="G1398" s="23"/>
    </row>
    <row r="1399" spans="1:7" x14ac:dyDescent="0.15">
      <c r="A1399" s="66"/>
      <c r="B1399" s="66"/>
      <c r="C1399" s="65"/>
      <c r="D1399" s="65"/>
      <c r="E1399" s="65"/>
      <c r="F1399" s="23"/>
      <c r="G1399" s="23"/>
    </row>
    <row r="1400" spans="1:7" x14ac:dyDescent="0.15">
      <c r="A1400" s="66"/>
      <c r="B1400" s="66"/>
      <c r="C1400" s="65"/>
      <c r="D1400" s="65"/>
      <c r="E1400" s="65"/>
      <c r="F1400" s="23"/>
      <c r="G1400" s="23"/>
    </row>
    <row r="1401" spans="1:7" x14ac:dyDescent="0.15">
      <c r="A1401" s="66"/>
      <c r="B1401" s="66"/>
      <c r="C1401" s="65"/>
      <c r="D1401" s="65"/>
      <c r="E1401" s="65"/>
      <c r="F1401" s="23"/>
      <c r="G1401" s="23"/>
    </row>
    <row r="1402" spans="1:7" x14ac:dyDescent="0.15">
      <c r="A1402" s="66"/>
      <c r="B1402" s="66"/>
      <c r="C1402" s="65"/>
      <c r="D1402" s="65"/>
      <c r="E1402" s="65"/>
      <c r="F1402" s="23"/>
      <c r="G1402" s="23"/>
    </row>
    <row r="1403" spans="1:7" x14ac:dyDescent="0.15">
      <c r="A1403" s="66"/>
      <c r="B1403" s="66"/>
      <c r="C1403" s="65"/>
      <c r="D1403" s="65"/>
      <c r="E1403" s="65"/>
      <c r="F1403" s="23"/>
      <c r="G1403" s="23"/>
    </row>
    <row r="1404" spans="1:7" x14ac:dyDescent="0.15">
      <c r="A1404" s="66"/>
      <c r="B1404" s="66"/>
      <c r="C1404" s="65"/>
      <c r="D1404" s="65"/>
      <c r="E1404" s="65"/>
      <c r="F1404" s="23"/>
      <c r="G1404" s="23"/>
    </row>
    <row r="1405" spans="1:7" x14ac:dyDescent="0.15">
      <c r="A1405" s="66"/>
      <c r="B1405" s="66"/>
      <c r="C1405" s="65"/>
      <c r="D1405" s="65"/>
      <c r="E1405" s="65"/>
      <c r="F1405" s="23"/>
      <c r="G1405" s="23"/>
    </row>
    <row r="1406" spans="1:7" x14ac:dyDescent="0.15">
      <c r="A1406" s="66"/>
      <c r="B1406" s="66"/>
      <c r="C1406" s="65"/>
      <c r="D1406" s="65"/>
      <c r="E1406" s="65"/>
      <c r="F1406" s="23"/>
      <c r="G1406" s="23"/>
    </row>
    <row r="1407" spans="1:7" x14ac:dyDescent="0.15">
      <c r="A1407" s="66"/>
      <c r="B1407" s="66"/>
      <c r="C1407" s="65"/>
      <c r="D1407" s="65"/>
      <c r="E1407" s="65"/>
      <c r="F1407" s="23"/>
      <c r="G1407" s="23"/>
    </row>
    <row r="1408" spans="1:7" x14ac:dyDescent="0.15">
      <c r="A1408" s="66"/>
      <c r="B1408" s="66"/>
      <c r="C1408" s="65"/>
      <c r="D1408" s="65"/>
      <c r="E1408" s="65"/>
      <c r="F1408" s="23"/>
      <c r="G1408" s="23"/>
    </row>
    <row r="1409" spans="1:7" x14ac:dyDescent="0.15">
      <c r="A1409" s="66"/>
      <c r="B1409" s="66"/>
      <c r="C1409" s="65"/>
      <c r="D1409" s="65"/>
      <c r="E1409" s="65"/>
      <c r="F1409" s="23"/>
      <c r="G1409" s="23"/>
    </row>
    <row r="1410" spans="1:7" x14ac:dyDescent="0.15">
      <c r="A1410" s="66"/>
      <c r="B1410" s="66"/>
      <c r="C1410" s="65"/>
      <c r="D1410" s="65"/>
      <c r="E1410" s="65"/>
      <c r="F1410" s="23"/>
      <c r="G1410" s="23"/>
    </row>
    <row r="1411" spans="1:7" x14ac:dyDescent="0.15">
      <c r="A1411" s="66"/>
      <c r="B1411" s="66"/>
      <c r="C1411" s="65"/>
      <c r="D1411" s="65"/>
      <c r="E1411" s="65"/>
      <c r="F1411" s="23"/>
      <c r="G1411" s="23"/>
    </row>
    <row r="1412" spans="1:7" x14ac:dyDescent="0.15">
      <c r="A1412" s="66"/>
      <c r="B1412" s="66"/>
      <c r="C1412" s="65"/>
      <c r="D1412" s="65"/>
      <c r="E1412" s="65"/>
      <c r="F1412" s="23"/>
      <c r="G1412" s="23"/>
    </row>
    <row r="1413" spans="1:7" x14ac:dyDescent="0.15">
      <c r="A1413" s="66"/>
      <c r="B1413" s="66"/>
      <c r="C1413" s="65"/>
      <c r="D1413" s="65"/>
      <c r="E1413" s="65"/>
      <c r="F1413" s="23"/>
      <c r="G1413" s="23"/>
    </row>
    <row r="1414" spans="1:7" x14ac:dyDescent="0.15">
      <c r="A1414" s="66"/>
      <c r="B1414" s="66"/>
      <c r="C1414" s="65"/>
      <c r="D1414" s="65"/>
      <c r="E1414" s="65"/>
      <c r="F1414" s="23"/>
      <c r="G1414" s="23"/>
    </row>
    <row r="1415" spans="1:7" x14ac:dyDescent="0.15">
      <c r="A1415" s="66"/>
      <c r="B1415" s="66"/>
      <c r="C1415" s="65"/>
      <c r="D1415" s="65"/>
      <c r="E1415" s="65"/>
      <c r="F1415" s="23"/>
      <c r="G1415" s="23"/>
    </row>
    <row r="1416" spans="1:7" x14ac:dyDescent="0.15">
      <c r="A1416" s="66"/>
      <c r="B1416" s="66"/>
      <c r="C1416" s="65"/>
      <c r="D1416" s="65"/>
      <c r="E1416" s="65"/>
      <c r="F1416" s="23"/>
      <c r="G1416" s="23"/>
    </row>
    <row r="1417" spans="1:7" x14ac:dyDescent="0.15">
      <c r="A1417" s="66"/>
      <c r="B1417" s="66"/>
      <c r="C1417" s="65"/>
      <c r="D1417" s="65"/>
      <c r="E1417" s="65"/>
      <c r="F1417" s="23"/>
      <c r="G1417" s="23"/>
    </row>
    <row r="1418" spans="1:7" x14ac:dyDescent="0.15">
      <c r="A1418" s="66"/>
      <c r="B1418" s="66"/>
      <c r="C1418" s="65"/>
      <c r="D1418" s="65"/>
      <c r="E1418" s="65"/>
      <c r="F1418" s="23"/>
      <c r="G1418" s="23"/>
    </row>
    <row r="1419" spans="1:7" x14ac:dyDescent="0.15">
      <c r="A1419" s="66"/>
      <c r="B1419" s="66"/>
      <c r="C1419" s="65"/>
      <c r="D1419" s="65"/>
      <c r="E1419" s="65"/>
      <c r="F1419" s="23"/>
      <c r="G1419" s="23"/>
    </row>
    <row r="1420" spans="1:7" x14ac:dyDescent="0.15">
      <c r="A1420" s="66"/>
      <c r="B1420" s="66"/>
      <c r="C1420" s="65"/>
      <c r="D1420" s="65"/>
      <c r="E1420" s="65"/>
      <c r="F1420" s="23"/>
      <c r="G1420" s="23"/>
    </row>
    <row r="1421" spans="1:7" x14ac:dyDescent="0.15">
      <c r="A1421" s="66"/>
      <c r="B1421" s="66"/>
      <c r="C1421" s="65"/>
      <c r="D1421" s="65"/>
      <c r="E1421" s="65"/>
      <c r="F1421" s="23"/>
      <c r="G1421" s="23"/>
    </row>
    <row r="1422" spans="1:7" x14ac:dyDescent="0.15">
      <c r="A1422" s="66"/>
      <c r="B1422" s="66"/>
      <c r="C1422" s="65"/>
      <c r="D1422" s="65"/>
      <c r="E1422" s="65"/>
      <c r="F1422" s="23"/>
      <c r="G1422" s="23"/>
    </row>
    <row r="1423" spans="1:7" x14ac:dyDescent="0.15">
      <c r="A1423" s="66"/>
      <c r="B1423" s="66"/>
      <c r="C1423" s="65"/>
      <c r="D1423" s="65"/>
      <c r="E1423" s="65"/>
      <c r="F1423" s="23"/>
      <c r="G1423" s="23"/>
    </row>
    <row r="1424" spans="1:7" x14ac:dyDescent="0.15">
      <c r="A1424" s="66"/>
      <c r="B1424" s="66"/>
      <c r="C1424" s="65"/>
      <c r="D1424" s="65"/>
      <c r="E1424" s="65"/>
      <c r="F1424" s="23"/>
      <c r="G1424" s="23"/>
    </row>
    <row r="1425" spans="1:7" x14ac:dyDescent="0.15">
      <c r="A1425" s="66"/>
      <c r="B1425" s="66"/>
      <c r="C1425" s="65"/>
      <c r="D1425" s="65"/>
      <c r="E1425" s="65"/>
      <c r="F1425" s="23"/>
      <c r="G1425" s="23"/>
    </row>
    <row r="1426" spans="1:7" x14ac:dyDescent="0.15">
      <c r="A1426" s="66"/>
      <c r="B1426" s="66"/>
      <c r="C1426" s="65"/>
      <c r="D1426" s="65"/>
      <c r="E1426" s="65"/>
      <c r="F1426" s="23"/>
      <c r="G1426" s="23"/>
    </row>
    <row r="1427" spans="1:7" x14ac:dyDescent="0.15">
      <c r="A1427" s="66"/>
      <c r="B1427" s="66"/>
      <c r="C1427" s="65"/>
      <c r="D1427" s="65"/>
      <c r="E1427" s="65"/>
      <c r="F1427" s="23"/>
      <c r="G1427" s="23"/>
    </row>
    <row r="1428" spans="1:7" x14ac:dyDescent="0.15">
      <c r="A1428" s="66"/>
      <c r="B1428" s="66"/>
      <c r="C1428" s="65"/>
      <c r="D1428" s="65"/>
      <c r="E1428" s="65"/>
      <c r="F1428" s="23"/>
      <c r="G1428" s="23"/>
    </row>
    <row r="1429" spans="1:7" x14ac:dyDescent="0.15">
      <c r="A1429" s="66"/>
      <c r="B1429" s="66"/>
      <c r="C1429" s="65"/>
      <c r="D1429" s="65"/>
      <c r="E1429" s="65"/>
      <c r="F1429" s="23"/>
      <c r="G1429" s="23"/>
    </row>
    <row r="1430" spans="1:7" x14ac:dyDescent="0.15">
      <c r="A1430" s="66"/>
      <c r="B1430" s="66"/>
      <c r="C1430" s="65"/>
      <c r="D1430" s="65"/>
      <c r="E1430" s="65"/>
      <c r="F1430" s="23"/>
      <c r="G1430" s="23"/>
    </row>
    <row r="1431" spans="1:7" x14ac:dyDescent="0.15">
      <c r="A1431" s="66"/>
      <c r="B1431" s="66"/>
      <c r="C1431" s="65"/>
      <c r="D1431" s="65"/>
      <c r="E1431" s="65"/>
      <c r="F1431" s="23"/>
      <c r="G1431" s="23"/>
    </row>
    <row r="1432" spans="1:7" x14ac:dyDescent="0.15">
      <c r="A1432" s="66"/>
      <c r="B1432" s="66"/>
      <c r="C1432" s="65"/>
      <c r="D1432" s="65"/>
      <c r="E1432" s="65"/>
      <c r="F1432" s="23"/>
      <c r="G1432" s="23"/>
    </row>
    <row r="1433" spans="1:7" x14ac:dyDescent="0.15">
      <c r="A1433" s="66"/>
      <c r="B1433" s="66"/>
      <c r="C1433" s="65"/>
      <c r="D1433" s="65"/>
      <c r="E1433" s="65"/>
      <c r="F1433" s="23"/>
      <c r="G1433" s="23"/>
    </row>
    <row r="1434" spans="1:7" x14ac:dyDescent="0.15">
      <c r="A1434" s="66"/>
      <c r="B1434" s="66"/>
      <c r="C1434" s="65"/>
      <c r="D1434" s="65"/>
      <c r="E1434" s="65"/>
      <c r="F1434" s="23"/>
      <c r="G1434" s="23"/>
    </row>
    <row r="1435" spans="1:7" x14ac:dyDescent="0.15">
      <c r="A1435" s="66"/>
      <c r="B1435" s="66"/>
      <c r="C1435" s="23"/>
      <c r="D1435" s="23"/>
      <c r="E1435" s="23"/>
      <c r="F1435" s="23"/>
      <c r="G1435" s="23"/>
    </row>
    <row r="1436" spans="1:7" x14ac:dyDescent="0.15">
      <c r="A1436" s="66"/>
      <c r="B1436" s="66"/>
      <c r="C1436" s="23"/>
      <c r="D1436" s="23"/>
      <c r="E1436" s="23"/>
      <c r="F1436" s="23"/>
      <c r="G1436" s="23"/>
    </row>
    <row r="1437" spans="1:7" x14ac:dyDescent="0.15">
      <c r="A1437" s="66"/>
      <c r="B1437" s="66"/>
      <c r="C1437" s="23"/>
      <c r="D1437" s="23"/>
      <c r="E1437" s="23"/>
      <c r="F1437" s="23"/>
      <c r="G1437" s="23"/>
    </row>
    <row r="1438" spans="1:7" x14ac:dyDescent="0.15">
      <c r="A1438" s="66"/>
      <c r="B1438" s="66"/>
      <c r="C1438" s="23"/>
      <c r="D1438" s="23"/>
      <c r="E1438" s="23"/>
      <c r="F1438" s="23"/>
      <c r="G1438" s="23"/>
    </row>
    <row r="1439" spans="1:7" x14ac:dyDescent="0.15">
      <c r="A1439" s="66"/>
      <c r="B1439" s="66"/>
      <c r="C1439" s="23"/>
      <c r="D1439" s="23"/>
      <c r="E1439" s="23"/>
      <c r="F1439" s="23"/>
      <c r="G1439" s="23"/>
    </row>
    <row r="1440" spans="1:7" x14ac:dyDescent="0.15">
      <c r="A1440" s="66"/>
      <c r="B1440" s="66"/>
      <c r="C1440" s="23"/>
      <c r="D1440" s="23"/>
      <c r="E1440" s="23"/>
      <c r="F1440" s="23"/>
      <c r="G1440" s="23"/>
    </row>
    <row r="1441" spans="1:7" x14ac:dyDescent="0.15">
      <c r="A1441" s="66"/>
      <c r="B1441" s="66"/>
      <c r="C1441" s="23"/>
      <c r="D1441" s="23"/>
      <c r="E1441" s="23"/>
      <c r="F1441" s="23"/>
      <c r="G1441" s="23"/>
    </row>
    <row r="1442" spans="1:7" x14ac:dyDescent="0.15">
      <c r="A1442" s="66"/>
      <c r="B1442" s="66"/>
      <c r="C1442" s="23"/>
      <c r="D1442" s="23"/>
      <c r="E1442" s="23"/>
      <c r="F1442" s="23"/>
      <c r="G1442" s="23"/>
    </row>
    <row r="1443" spans="1:7" x14ac:dyDescent="0.15">
      <c r="A1443" s="66"/>
      <c r="B1443" s="66"/>
      <c r="C1443" s="23"/>
      <c r="D1443" s="23"/>
      <c r="E1443" s="23"/>
      <c r="F1443" s="23"/>
      <c r="G1443" s="23"/>
    </row>
    <row r="1444" spans="1:7" x14ac:dyDescent="0.15">
      <c r="A1444" s="66"/>
      <c r="B1444" s="66"/>
      <c r="C1444" s="23"/>
      <c r="D1444" s="23"/>
      <c r="E1444" s="23"/>
      <c r="F1444" s="23"/>
      <c r="G1444" s="23"/>
    </row>
    <row r="1445" spans="1:7" x14ac:dyDescent="0.15">
      <c r="A1445" s="66"/>
      <c r="B1445" s="66"/>
      <c r="C1445" s="23"/>
      <c r="D1445" s="23"/>
      <c r="E1445" s="23"/>
      <c r="F1445" s="23"/>
      <c r="G1445" s="23"/>
    </row>
    <row r="1446" spans="1:7" x14ac:dyDescent="0.15">
      <c r="A1446" s="66"/>
      <c r="B1446" s="66"/>
      <c r="C1446" s="23"/>
      <c r="D1446" s="23"/>
      <c r="E1446" s="23"/>
      <c r="F1446" s="23"/>
      <c r="G1446" s="23"/>
    </row>
    <row r="1447" spans="1:7" x14ac:dyDescent="0.15">
      <c r="A1447" s="66"/>
      <c r="B1447" s="66"/>
      <c r="C1447" s="23"/>
      <c r="D1447" s="23"/>
      <c r="E1447" s="23"/>
      <c r="F1447" s="23"/>
      <c r="G1447" s="23"/>
    </row>
    <row r="1448" spans="1:7" x14ac:dyDescent="0.15">
      <c r="A1448" s="66"/>
      <c r="B1448" s="66"/>
      <c r="C1448" s="23"/>
      <c r="D1448" s="23"/>
      <c r="E1448" s="23"/>
      <c r="F1448" s="23"/>
      <c r="G1448" s="23"/>
    </row>
    <row r="1449" spans="1:7" x14ac:dyDescent="0.15">
      <c r="A1449" s="66"/>
      <c r="B1449" s="66"/>
      <c r="C1449" s="23"/>
      <c r="D1449" s="23"/>
      <c r="E1449" s="23"/>
      <c r="F1449" s="23"/>
      <c r="G1449" s="23"/>
    </row>
    <row r="1450" spans="1:7" x14ac:dyDescent="0.15">
      <c r="A1450" s="66"/>
      <c r="B1450" s="66"/>
      <c r="C1450" s="23"/>
      <c r="D1450" s="23"/>
      <c r="E1450" s="23"/>
      <c r="F1450" s="23"/>
      <c r="G1450" s="23"/>
    </row>
    <row r="1451" spans="1:7" x14ac:dyDescent="0.15">
      <c r="A1451" s="66"/>
      <c r="B1451" s="66"/>
      <c r="C1451" s="23"/>
      <c r="D1451" s="23"/>
      <c r="E1451" s="23"/>
      <c r="F1451" s="23"/>
      <c r="G1451" s="23"/>
    </row>
    <row r="1452" spans="1:7" x14ac:dyDescent="0.15">
      <c r="A1452" s="66"/>
      <c r="B1452" s="66"/>
      <c r="C1452" s="23"/>
      <c r="D1452" s="23"/>
      <c r="E1452" s="23"/>
      <c r="F1452" s="23"/>
      <c r="G1452" s="23"/>
    </row>
    <row r="1453" spans="1:7" x14ac:dyDescent="0.15">
      <c r="A1453" s="66"/>
      <c r="B1453" s="66"/>
      <c r="C1453" s="23"/>
      <c r="D1453" s="23"/>
      <c r="E1453" s="23"/>
      <c r="F1453" s="23"/>
      <c r="G1453" s="23"/>
    </row>
    <row r="1454" spans="1:7" x14ac:dyDescent="0.15">
      <c r="A1454" s="66"/>
      <c r="B1454" s="66"/>
      <c r="C1454" s="23"/>
      <c r="D1454" s="23"/>
      <c r="E1454" s="23"/>
      <c r="F1454" s="23"/>
      <c r="G1454" s="23"/>
    </row>
    <row r="1455" spans="1:7" x14ac:dyDescent="0.15">
      <c r="A1455" s="66"/>
      <c r="B1455" s="66"/>
      <c r="C1455" s="23"/>
      <c r="D1455" s="23"/>
      <c r="E1455" s="23"/>
      <c r="F1455" s="23"/>
      <c r="G1455" s="23"/>
    </row>
    <row r="1456" spans="1:7" x14ac:dyDescent="0.15">
      <c r="A1456" s="66"/>
      <c r="B1456" s="66"/>
      <c r="C1456" s="23"/>
      <c r="D1456" s="23"/>
      <c r="E1456" s="23"/>
      <c r="F1456" s="23"/>
      <c r="G1456" s="23"/>
    </row>
    <row r="1457" spans="1:7" x14ac:dyDescent="0.15">
      <c r="A1457" s="66"/>
      <c r="B1457" s="66"/>
      <c r="C1457" s="23"/>
      <c r="D1457" s="23"/>
      <c r="E1457" s="23"/>
      <c r="F1457" s="23"/>
      <c r="G1457" s="23"/>
    </row>
    <row r="1458" spans="1:7" x14ac:dyDescent="0.15">
      <c r="A1458" s="66"/>
      <c r="B1458" s="66"/>
      <c r="C1458" s="23"/>
      <c r="D1458" s="23"/>
      <c r="E1458" s="23"/>
      <c r="F1458" s="23"/>
      <c r="G1458" s="23"/>
    </row>
    <row r="1459" spans="1:7" x14ac:dyDescent="0.15">
      <c r="A1459" s="66"/>
      <c r="B1459" s="66"/>
      <c r="C1459" s="23"/>
      <c r="D1459" s="23"/>
      <c r="E1459" s="23"/>
      <c r="F1459" s="23"/>
      <c r="G1459" s="23"/>
    </row>
    <row r="1460" spans="1:7" x14ac:dyDescent="0.15">
      <c r="A1460" s="66"/>
      <c r="B1460" s="66"/>
      <c r="C1460" s="23"/>
      <c r="D1460" s="23"/>
      <c r="E1460" s="23"/>
      <c r="F1460" s="23"/>
      <c r="G1460" s="23"/>
    </row>
    <row r="1461" spans="1:7" x14ac:dyDescent="0.15">
      <c r="A1461" s="66"/>
      <c r="B1461" s="66"/>
      <c r="C1461" s="23"/>
      <c r="D1461" s="23"/>
      <c r="E1461" s="23"/>
      <c r="F1461" s="23"/>
      <c r="G1461" s="23"/>
    </row>
    <row r="1462" spans="1:7" x14ac:dyDescent="0.15">
      <c r="A1462" s="66"/>
      <c r="B1462" s="66"/>
      <c r="C1462" s="23"/>
      <c r="D1462" s="23"/>
      <c r="E1462" s="23"/>
      <c r="F1462" s="23"/>
      <c r="G1462" s="23"/>
    </row>
    <row r="1463" spans="1:7" x14ac:dyDescent="0.15">
      <c r="A1463" s="66"/>
      <c r="B1463" s="66"/>
      <c r="C1463" s="23"/>
      <c r="D1463" s="23"/>
      <c r="E1463" s="23"/>
      <c r="F1463" s="23"/>
      <c r="G1463" s="23"/>
    </row>
    <row r="1464" spans="1:7" x14ac:dyDescent="0.15">
      <c r="A1464" s="66"/>
      <c r="B1464" s="66"/>
      <c r="C1464" s="23"/>
      <c r="D1464" s="23"/>
      <c r="E1464" s="23"/>
      <c r="F1464" s="23"/>
      <c r="G1464" s="23"/>
    </row>
    <row r="1465" spans="1:7" x14ac:dyDescent="0.15">
      <c r="A1465" s="66"/>
      <c r="B1465" s="66"/>
      <c r="C1465" s="23"/>
      <c r="D1465" s="23"/>
      <c r="E1465" s="23"/>
      <c r="F1465" s="23"/>
      <c r="G1465" s="23"/>
    </row>
    <row r="1466" spans="1:7" x14ac:dyDescent="0.15">
      <c r="A1466" s="66"/>
      <c r="B1466" s="66"/>
      <c r="C1466" s="23"/>
      <c r="D1466" s="23"/>
      <c r="E1466" s="23"/>
      <c r="F1466" s="23"/>
      <c r="G1466" s="23"/>
    </row>
    <row r="1467" spans="1:7" x14ac:dyDescent="0.15">
      <c r="A1467" s="66"/>
      <c r="B1467" s="66"/>
      <c r="C1467" s="23"/>
      <c r="D1467" s="23"/>
      <c r="E1467" s="23"/>
      <c r="F1467" s="23"/>
      <c r="G1467" s="23"/>
    </row>
    <row r="1468" spans="1:7" x14ac:dyDescent="0.15">
      <c r="A1468" s="66"/>
      <c r="B1468" s="66"/>
      <c r="C1468" s="23"/>
      <c r="D1468" s="23"/>
      <c r="E1468" s="23"/>
      <c r="F1468" s="23"/>
      <c r="G1468" s="23"/>
    </row>
    <row r="1469" spans="1:7" x14ac:dyDescent="0.15">
      <c r="A1469" s="66"/>
      <c r="B1469" s="66"/>
      <c r="C1469" s="23"/>
      <c r="D1469" s="23"/>
      <c r="E1469" s="23"/>
      <c r="F1469" s="23"/>
      <c r="G1469" s="23"/>
    </row>
    <row r="1470" spans="1:7" x14ac:dyDescent="0.15">
      <c r="A1470" s="66"/>
      <c r="B1470" s="66"/>
      <c r="C1470" s="23"/>
      <c r="D1470" s="23"/>
      <c r="E1470" s="23"/>
      <c r="F1470" s="23"/>
      <c r="G1470" s="23"/>
    </row>
    <row r="1471" spans="1:7" x14ac:dyDescent="0.15">
      <c r="A1471" s="66"/>
      <c r="B1471" s="66"/>
      <c r="C1471" s="23"/>
      <c r="D1471" s="23"/>
      <c r="E1471" s="23"/>
      <c r="F1471" s="23"/>
      <c r="G1471" s="23"/>
    </row>
    <row r="1472" spans="1:7" x14ac:dyDescent="0.15">
      <c r="A1472" s="66"/>
      <c r="B1472" s="66"/>
      <c r="C1472" s="23"/>
      <c r="D1472" s="23"/>
      <c r="E1472" s="23"/>
      <c r="F1472" s="23"/>
      <c r="G1472" s="23"/>
    </row>
    <row r="1473" spans="1:7" x14ac:dyDescent="0.15">
      <c r="A1473" s="66"/>
      <c r="B1473" s="66"/>
      <c r="C1473" s="23"/>
      <c r="D1473" s="23"/>
      <c r="E1473" s="23"/>
      <c r="F1473" s="23"/>
      <c r="G1473" s="23"/>
    </row>
    <row r="1474" spans="1:7" x14ac:dyDescent="0.15">
      <c r="A1474" s="66"/>
      <c r="B1474" s="66"/>
      <c r="C1474" s="23"/>
      <c r="D1474" s="23"/>
      <c r="E1474" s="23"/>
      <c r="F1474" s="23"/>
      <c r="G1474" s="23"/>
    </row>
    <row r="1475" spans="1:7" x14ac:dyDescent="0.15">
      <c r="A1475" s="66"/>
      <c r="B1475" s="66"/>
      <c r="C1475" s="23"/>
      <c r="D1475" s="23"/>
      <c r="E1475" s="23"/>
      <c r="F1475" s="23"/>
      <c r="G1475" s="23"/>
    </row>
    <row r="1476" spans="1:7" x14ac:dyDescent="0.15">
      <c r="A1476" s="66"/>
      <c r="B1476" s="66"/>
      <c r="C1476" s="23"/>
      <c r="D1476" s="23"/>
      <c r="E1476" s="23"/>
      <c r="F1476" s="23"/>
      <c r="G1476" s="23"/>
    </row>
    <row r="1477" spans="1:7" x14ac:dyDescent="0.15">
      <c r="A1477" s="66"/>
      <c r="B1477" s="66"/>
      <c r="C1477" s="23"/>
      <c r="D1477" s="23"/>
      <c r="E1477" s="23"/>
      <c r="F1477" s="23"/>
      <c r="G1477" s="23"/>
    </row>
    <row r="1478" spans="1:7" x14ac:dyDescent="0.15">
      <c r="A1478" s="66"/>
      <c r="B1478" s="66"/>
      <c r="C1478" s="23"/>
      <c r="D1478" s="23"/>
      <c r="E1478" s="23"/>
      <c r="F1478" s="23"/>
      <c r="G1478" s="23"/>
    </row>
    <row r="1479" spans="1:7" x14ac:dyDescent="0.15">
      <c r="A1479" s="66"/>
      <c r="B1479" s="66"/>
      <c r="C1479" s="23"/>
      <c r="D1479" s="23"/>
      <c r="E1479" s="23"/>
      <c r="F1479" s="23"/>
      <c r="G1479" s="23"/>
    </row>
    <row r="1480" spans="1:7" x14ac:dyDescent="0.15">
      <c r="A1480" s="66"/>
      <c r="B1480" s="66"/>
      <c r="C1480" s="23"/>
      <c r="D1480" s="23"/>
      <c r="E1480" s="23"/>
      <c r="F1480" s="23"/>
      <c r="G1480" s="23"/>
    </row>
    <row r="1481" spans="1:7" x14ac:dyDescent="0.15">
      <c r="A1481" s="66"/>
      <c r="B1481" s="66"/>
      <c r="C1481" s="23"/>
      <c r="D1481" s="23"/>
      <c r="E1481" s="23"/>
      <c r="F1481" s="23"/>
      <c r="G1481" s="23"/>
    </row>
    <row r="1482" spans="1:7" x14ac:dyDescent="0.15">
      <c r="A1482" s="66"/>
      <c r="B1482" s="66"/>
      <c r="C1482" s="23"/>
      <c r="D1482" s="23"/>
      <c r="E1482" s="23"/>
      <c r="F1482" s="23"/>
      <c r="G1482" s="23"/>
    </row>
    <row r="1483" spans="1:7" x14ac:dyDescent="0.15">
      <c r="A1483" s="66"/>
      <c r="B1483" s="66"/>
      <c r="C1483" s="23"/>
      <c r="D1483" s="23"/>
      <c r="E1483" s="23"/>
      <c r="F1483" s="23"/>
      <c r="G1483" s="23"/>
    </row>
    <row r="1484" spans="1:7" x14ac:dyDescent="0.15">
      <c r="A1484" s="66"/>
      <c r="B1484" s="66"/>
      <c r="C1484" s="23"/>
      <c r="D1484" s="23"/>
      <c r="E1484" s="23"/>
      <c r="F1484" s="23"/>
      <c r="G1484" s="23"/>
    </row>
    <row r="1485" spans="1:7" x14ac:dyDescent="0.15">
      <c r="A1485" s="66"/>
      <c r="B1485" s="66"/>
      <c r="C1485" s="23"/>
      <c r="D1485" s="23"/>
      <c r="E1485" s="23"/>
      <c r="F1485" s="23"/>
      <c r="G1485" s="23"/>
    </row>
    <row r="1486" spans="1:7" x14ac:dyDescent="0.15">
      <c r="A1486" s="66"/>
      <c r="B1486" s="66"/>
      <c r="C1486" s="23"/>
      <c r="D1486" s="23"/>
      <c r="E1486" s="23"/>
      <c r="F1486" s="23"/>
      <c r="G1486" s="23"/>
    </row>
    <row r="1487" spans="1:7" x14ac:dyDescent="0.15">
      <c r="A1487" s="66"/>
      <c r="B1487" s="66"/>
      <c r="C1487" s="23"/>
      <c r="D1487" s="23"/>
      <c r="E1487" s="23"/>
      <c r="F1487" s="23"/>
      <c r="G1487" s="23"/>
    </row>
    <row r="1488" spans="1:7" x14ac:dyDescent="0.15">
      <c r="A1488" s="66"/>
      <c r="B1488" s="66"/>
      <c r="C1488" s="23"/>
      <c r="D1488" s="23"/>
      <c r="E1488" s="23"/>
      <c r="F1488" s="23"/>
      <c r="G1488" s="23"/>
    </row>
    <row r="1489" spans="1:7" x14ac:dyDescent="0.15">
      <c r="A1489" s="66"/>
      <c r="B1489" s="66"/>
      <c r="C1489" s="23"/>
      <c r="D1489" s="23"/>
      <c r="E1489" s="23"/>
      <c r="F1489" s="23"/>
      <c r="G1489" s="23"/>
    </row>
    <row r="1490" spans="1:7" x14ac:dyDescent="0.15">
      <c r="A1490" s="66"/>
      <c r="B1490" s="66"/>
      <c r="C1490" s="23"/>
      <c r="D1490" s="23"/>
      <c r="E1490" s="23"/>
      <c r="F1490" s="23"/>
      <c r="G1490" s="23"/>
    </row>
    <row r="1491" spans="1:7" x14ac:dyDescent="0.15">
      <c r="A1491" s="66"/>
      <c r="B1491" s="66"/>
      <c r="C1491" s="23"/>
      <c r="D1491" s="23"/>
      <c r="E1491" s="23"/>
      <c r="F1491" s="23"/>
      <c r="G1491" s="23"/>
    </row>
    <row r="1492" spans="1:7" x14ac:dyDescent="0.15">
      <c r="A1492" s="66"/>
      <c r="B1492" s="66"/>
      <c r="C1492" s="23"/>
      <c r="D1492" s="23"/>
      <c r="E1492" s="23"/>
      <c r="F1492" s="23"/>
      <c r="G1492" s="23"/>
    </row>
    <row r="1493" spans="1:7" x14ac:dyDescent="0.15">
      <c r="A1493" s="66"/>
      <c r="B1493" s="66"/>
      <c r="C1493" s="23"/>
      <c r="D1493" s="23"/>
      <c r="E1493" s="23"/>
      <c r="F1493" s="23"/>
      <c r="G1493" s="23"/>
    </row>
    <row r="1494" spans="1:7" x14ac:dyDescent="0.15">
      <c r="A1494" s="66"/>
      <c r="B1494" s="66"/>
      <c r="C1494" s="23"/>
      <c r="D1494" s="23"/>
      <c r="E1494" s="23"/>
      <c r="F1494" s="23"/>
      <c r="G1494" s="23"/>
    </row>
    <row r="1495" spans="1:7" x14ac:dyDescent="0.15">
      <c r="A1495" s="66"/>
      <c r="B1495" s="66"/>
      <c r="C1495" s="23"/>
      <c r="D1495" s="23"/>
      <c r="E1495" s="23"/>
      <c r="F1495" s="23"/>
      <c r="G1495" s="23"/>
    </row>
    <row r="1496" spans="1:7" x14ac:dyDescent="0.15">
      <c r="A1496" s="66"/>
      <c r="B1496" s="66"/>
      <c r="C1496" s="23"/>
      <c r="D1496" s="23"/>
      <c r="E1496" s="23"/>
      <c r="F1496" s="23"/>
      <c r="G1496" s="23"/>
    </row>
    <row r="1497" spans="1:7" x14ac:dyDescent="0.15">
      <c r="A1497" s="66"/>
      <c r="B1497" s="66"/>
      <c r="C1497" s="23"/>
      <c r="D1497" s="23"/>
      <c r="E1497" s="23"/>
      <c r="F1497" s="23"/>
      <c r="G1497" s="23"/>
    </row>
    <row r="1498" spans="1:7" x14ac:dyDescent="0.15">
      <c r="A1498" s="66"/>
      <c r="B1498" s="66"/>
      <c r="C1498" s="23"/>
      <c r="D1498" s="23"/>
      <c r="E1498" s="23"/>
      <c r="F1498" s="23"/>
      <c r="G1498" s="23"/>
    </row>
    <row r="1499" spans="1:7" x14ac:dyDescent="0.15">
      <c r="A1499" s="66"/>
      <c r="B1499" s="66"/>
      <c r="C1499" s="23"/>
      <c r="D1499" s="23"/>
      <c r="E1499" s="23"/>
      <c r="F1499" s="23"/>
      <c r="G1499" s="23"/>
    </row>
    <row r="1500" spans="1:7" x14ac:dyDescent="0.15">
      <c r="A1500" s="66"/>
      <c r="B1500" s="66"/>
      <c r="C1500" s="23"/>
      <c r="D1500" s="23"/>
      <c r="E1500" s="23"/>
      <c r="F1500" s="23"/>
      <c r="G1500" s="23"/>
    </row>
    <row r="1501" spans="1:7" x14ac:dyDescent="0.15">
      <c r="A1501" s="66"/>
      <c r="B1501" s="66"/>
      <c r="C1501" s="23"/>
      <c r="D1501" s="23"/>
      <c r="E1501" s="23"/>
      <c r="F1501" s="23"/>
      <c r="G1501" s="23"/>
    </row>
    <row r="1502" spans="1:7" x14ac:dyDescent="0.15">
      <c r="A1502" s="66"/>
      <c r="B1502" s="66"/>
      <c r="C1502" s="23"/>
      <c r="D1502" s="23"/>
      <c r="E1502" s="23"/>
      <c r="F1502" s="23"/>
      <c r="G1502" s="23"/>
    </row>
    <row r="1503" spans="1:7" x14ac:dyDescent="0.15">
      <c r="A1503" s="66"/>
      <c r="B1503" s="66"/>
      <c r="C1503" s="23"/>
      <c r="D1503" s="23"/>
      <c r="E1503" s="23"/>
      <c r="F1503" s="23"/>
      <c r="G1503" s="23"/>
    </row>
    <row r="1504" spans="1:7" x14ac:dyDescent="0.15">
      <c r="A1504" s="66"/>
      <c r="B1504" s="66"/>
      <c r="C1504" s="23"/>
      <c r="D1504" s="23"/>
      <c r="E1504" s="23"/>
      <c r="F1504" s="23"/>
      <c r="G1504" s="23"/>
    </row>
    <row r="1505" spans="1:7" x14ac:dyDescent="0.15">
      <c r="A1505" s="66"/>
      <c r="B1505" s="66"/>
      <c r="C1505" s="23"/>
      <c r="D1505" s="23"/>
      <c r="E1505" s="23"/>
      <c r="F1505" s="23"/>
      <c r="G1505" s="23"/>
    </row>
    <row r="1506" spans="1:7" x14ac:dyDescent="0.15">
      <c r="A1506" s="66"/>
      <c r="B1506" s="66"/>
      <c r="C1506" s="23"/>
      <c r="D1506" s="23"/>
      <c r="E1506" s="23"/>
      <c r="F1506" s="23"/>
      <c r="G1506" s="23"/>
    </row>
    <row r="1507" spans="1:7" x14ac:dyDescent="0.15">
      <c r="A1507" s="66"/>
      <c r="B1507" s="66"/>
      <c r="C1507" s="23"/>
      <c r="D1507" s="23"/>
      <c r="E1507" s="23"/>
      <c r="F1507" s="23"/>
      <c r="G1507" s="23"/>
    </row>
    <row r="1508" spans="1:7" x14ac:dyDescent="0.15">
      <c r="A1508" s="66"/>
      <c r="B1508" s="66"/>
      <c r="C1508" s="23"/>
      <c r="D1508" s="23"/>
      <c r="E1508" s="23"/>
      <c r="F1508" s="23"/>
      <c r="G1508" s="23"/>
    </row>
    <row r="1509" spans="1:7" x14ac:dyDescent="0.15">
      <c r="A1509" s="66"/>
      <c r="B1509" s="66"/>
      <c r="C1509" s="23"/>
      <c r="D1509" s="23"/>
      <c r="E1509" s="23"/>
      <c r="F1509" s="23"/>
      <c r="G1509" s="23"/>
    </row>
    <row r="1510" spans="1:7" x14ac:dyDescent="0.15">
      <c r="A1510" s="66"/>
      <c r="B1510" s="66"/>
      <c r="C1510" s="23"/>
      <c r="D1510" s="23"/>
      <c r="E1510" s="23"/>
      <c r="F1510" s="23"/>
      <c r="G1510" s="23"/>
    </row>
    <row r="1511" spans="1:7" x14ac:dyDescent="0.15">
      <c r="A1511" s="66"/>
      <c r="B1511" s="66"/>
      <c r="C1511" s="23"/>
      <c r="D1511" s="23"/>
      <c r="E1511" s="23"/>
      <c r="F1511" s="23"/>
      <c r="G1511" s="23"/>
    </row>
    <row r="1512" spans="1:7" x14ac:dyDescent="0.15">
      <c r="A1512" s="66"/>
      <c r="B1512" s="66"/>
      <c r="C1512" s="23"/>
      <c r="D1512" s="23"/>
      <c r="E1512" s="23"/>
      <c r="F1512" s="23"/>
      <c r="G1512" s="23"/>
    </row>
    <row r="1513" spans="1:7" x14ac:dyDescent="0.15">
      <c r="A1513" s="66"/>
      <c r="B1513" s="66"/>
      <c r="C1513" s="23"/>
      <c r="D1513" s="23"/>
      <c r="E1513" s="23"/>
      <c r="F1513" s="23"/>
      <c r="G1513" s="23"/>
    </row>
    <row r="1514" spans="1:7" x14ac:dyDescent="0.15">
      <c r="A1514" s="66"/>
      <c r="B1514" s="66"/>
      <c r="C1514" s="23"/>
      <c r="D1514" s="23"/>
      <c r="E1514" s="23"/>
      <c r="F1514" s="23"/>
      <c r="G1514" s="23"/>
    </row>
    <row r="1515" spans="1:7" x14ac:dyDescent="0.15">
      <c r="A1515" s="66"/>
      <c r="B1515" s="66"/>
      <c r="C1515" s="23"/>
      <c r="D1515" s="23"/>
      <c r="E1515" s="23"/>
      <c r="F1515" s="23"/>
      <c r="G1515" s="23"/>
    </row>
    <row r="1516" spans="1:7" x14ac:dyDescent="0.15">
      <c r="A1516" s="66"/>
      <c r="B1516" s="66"/>
      <c r="C1516" s="23"/>
      <c r="D1516" s="23"/>
      <c r="E1516" s="23"/>
      <c r="F1516" s="23"/>
      <c r="G1516" s="23"/>
    </row>
    <row r="1517" spans="1:7" x14ac:dyDescent="0.15">
      <c r="A1517" s="66"/>
      <c r="B1517" s="66"/>
      <c r="C1517" s="23"/>
      <c r="D1517" s="23"/>
      <c r="E1517" s="23"/>
      <c r="F1517" s="23"/>
      <c r="G1517" s="23"/>
    </row>
    <row r="1518" spans="1:7" x14ac:dyDescent="0.15">
      <c r="A1518" s="66"/>
      <c r="B1518" s="66"/>
      <c r="C1518" s="23"/>
      <c r="D1518" s="23"/>
      <c r="E1518" s="23"/>
      <c r="F1518" s="23"/>
      <c r="G1518" s="23"/>
    </row>
    <row r="1519" spans="1:7" x14ac:dyDescent="0.15">
      <c r="A1519" s="66"/>
      <c r="B1519" s="66"/>
      <c r="C1519" s="23"/>
      <c r="D1519" s="23"/>
      <c r="E1519" s="23"/>
      <c r="F1519" s="23"/>
      <c r="G1519" s="23"/>
    </row>
    <row r="1520" spans="1:7" x14ac:dyDescent="0.15">
      <c r="A1520" s="66"/>
      <c r="B1520" s="66"/>
      <c r="C1520" s="23"/>
      <c r="D1520" s="23"/>
      <c r="E1520" s="23"/>
      <c r="F1520" s="23"/>
      <c r="G1520" s="23"/>
    </row>
    <row r="1521" spans="1:7" x14ac:dyDescent="0.15">
      <c r="A1521" s="66"/>
      <c r="B1521" s="66"/>
      <c r="C1521" s="23"/>
      <c r="D1521" s="23"/>
      <c r="E1521" s="23"/>
      <c r="F1521" s="23"/>
      <c r="G1521" s="23"/>
    </row>
    <row r="1522" spans="1:7" x14ac:dyDescent="0.15">
      <c r="A1522" s="66"/>
      <c r="B1522" s="66"/>
      <c r="C1522" s="23"/>
      <c r="D1522" s="23"/>
      <c r="E1522" s="23"/>
      <c r="F1522" s="23"/>
      <c r="G1522" s="23"/>
    </row>
    <row r="1523" spans="1:7" x14ac:dyDescent="0.15">
      <c r="A1523" s="66"/>
      <c r="B1523" s="66"/>
      <c r="C1523" s="23"/>
      <c r="D1523" s="23"/>
      <c r="E1523" s="23"/>
      <c r="F1523" s="23"/>
      <c r="G1523" s="23"/>
    </row>
    <row r="1524" spans="1:7" x14ac:dyDescent="0.15">
      <c r="A1524" s="66"/>
      <c r="B1524" s="66"/>
      <c r="C1524" s="23"/>
      <c r="D1524" s="23"/>
      <c r="E1524" s="23"/>
      <c r="F1524" s="23"/>
      <c r="G1524" s="23"/>
    </row>
    <row r="1525" spans="1:7" x14ac:dyDescent="0.15">
      <c r="A1525" s="66"/>
      <c r="B1525" s="66"/>
      <c r="C1525" s="23"/>
      <c r="D1525" s="23"/>
      <c r="E1525" s="23"/>
      <c r="F1525" s="23"/>
      <c r="G1525" s="23"/>
    </row>
    <row r="1526" spans="1:7" x14ac:dyDescent="0.15">
      <c r="A1526" s="66"/>
      <c r="B1526" s="66"/>
      <c r="C1526" s="23"/>
      <c r="D1526" s="23"/>
      <c r="E1526" s="23"/>
      <c r="F1526" s="23"/>
      <c r="G1526" s="23"/>
    </row>
    <row r="1527" spans="1:7" x14ac:dyDescent="0.15">
      <c r="A1527" s="66"/>
      <c r="B1527" s="66"/>
      <c r="C1527" s="23"/>
      <c r="D1527" s="23"/>
      <c r="E1527" s="23"/>
      <c r="F1527" s="23"/>
      <c r="G1527" s="23"/>
    </row>
    <row r="1528" spans="1:7" x14ac:dyDescent="0.15">
      <c r="A1528" s="66"/>
      <c r="B1528" s="66"/>
      <c r="C1528" s="23"/>
      <c r="D1528" s="23"/>
      <c r="E1528" s="23"/>
      <c r="F1528" s="23"/>
      <c r="G1528" s="23"/>
    </row>
    <row r="1529" spans="1:7" x14ac:dyDescent="0.15">
      <c r="A1529" s="66"/>
      <c r="B1529" s="66"/>
      <c r="C1529" s="23"/>
      <c r="D1529" s="23"/>
      <c r="E1529" s="23"/>
      <c r="F1529" s="23"/>
      <c r="G1529" s="23"/>
    </row>
    <row r="1530" spans="1:7" x14ac:dyDescent="0.15">
      <c r="A1530" s="66"/>
      <c r="B1530" s="66"/>
      <c r="C1530" s="23"/>
      <c r="D1530" s="23"/>
      <c r="E1530" s="23"/>
      <c r="F1530" s="23"/>
      <c r="G1530" s="23"/>
    </row>
    <row r="1531" spans="1:7" x14ac:dyDescent="0.15">
      <c r="A1531" s="66"/>
      <c r="B1531" s="66"/>
      <c r="C1531" s="23"/>
      <c r="D1531" s="23"/>
      <c r="E1531" s="23"/>
      <c r="F1531" s="23"/>
      <c r="G1531" s="23"/>
    </row>
    <row r="1532" spans="1:7" x14ac:dyDescent="0.15">
      <c r="A1532" s="66"/>
      <c r="B1532" s="66"/>
      <c r="C1532" s="23"/>
      <c r="D1532" s="23"/>
      <c r="E1532" s="23"/>
      <c r="F1532" s="23"/>
      <c r="G1532" s="23"/>
    </row>
    <row r="1533" spans="1:7" x14ac:dyDescent="0.15">
      <c r="A1533" s="66"/>
      <c r="B1533" s="66"/>
      <c r="C1533" s="23"/>
      <c r="D1533" s="23"/>
      <c r="E1533" s="23"/>
      <c r="F1533" s="23"/>
      <c r="G1533" s="23"/>
    </row>
    <row r="1534" spans="1:7" x14ac:dyDescent="0.15">
      <c r="A1534" s="66"/>
      <c r="B1534" s="66"/>
      <c r="C1534" s="23"/>
      <c r="D1534" s="23"/>
      <c r="E1534" s="23"/>
      <c r="F1534" s="23"/>
      <c r="G1534" s="23"/>
    </row>
    <row r="1535" spans="1:7" x14ac:dyDescent="0.15">
      <c r="A1535" s="66"/>
      <c r="B1535" s="66"/>
      <c r="C1535" s="23"/>
      <c r="D1535" s="23"/>
      <c r="E1535" s="23"/>
      <c r="F1535" s="23"/>
      <c r="G1535" s="23"/>
    </row>
    <row r="1536" spans="1:7" x14ac:dyDescent="0.15">
      <c r="A1536" s="66"/>
      <c r="B1536" s="66"/>
      <c r="C1536" s="23"/>
      <c r="D1536" s="23"/>
      <c r="E1536" s="23"/>
      <c r="F1536" s="23"/>
      <c r="G1536" s="23"/>
    </row>
    <row r="1537" spans="1:7" x14ac:dyDescent="0.15">
      <c r="A1537" s="66"/>
      <c r="B1537" s="66"/>
      <c r="C1537" s="23"/>
      <c r="D1537" s="23"/>
      <c r="E1537" s="23"/>
      <c r="F1537" s="23"/>
      <c r="G1537" s="23"/>
    </row>
    <row r="1538" spans="1:7" x14ac:dyDescent="0.15">
      <c r="A1538" s="66"/>
      <c r="B1538" s="66"/>
      <c r="C1538" s="23"/>
      <c r="D1538" s="23"/>
      <c r="E1538" s="23"/>
      <c r="F1538" s="23"/>
      <c r="G1538" s="23"/>
    </row>
    <row r="1539" spans="1:7" x14ac:dyDescent="0.15">
      <c r="A1539" s="66"/>
      <c r="B1539" s="66"/>
      <c r="C1539" s="23"/>
      <c r="D1539" s="23"/>
      <c r="E1539" s="23"/>
      <c r="F1539" s="23"/>
      <c r="G1539" s="23"/>
    </row>
    <row r="1540" spans="1:7" x14ac:dyDescent="0.15">
      <c r="A1540" s="66"/>
      <c r="B1540" s="66"/>
      <c r="C1540" s="23"/>
      <c r="D1540" s="23"/>
      <c r="E1540" s="23"/>
      <c r="F1540" s="23"/>
      <c r="G1540" s="23"/>
    </row>
    <row r="1541" spans="1:7" x14ac:dyDescent="0.15">
      <c r="A1541" s="66"/>
      <c r="B1541" s="66"/>
      <c r="C1541" s="23"/>
      <c r="D1541" s="23"/>
      <c r="E1541" s="23"/>
      <c r="F1541" s="23"/>
      <c r="G1541" s="23"/>
    </row>
    <row r="1542" spans="1:7" x14ac:dyDescent="0.15">
      <c r="A1542" s="66"/>
      <c r="B1542" s="66"/>
      <c r="C1542" s="23"/>
      <c r="D1542" s="23"/>
      <c r="E1542" s="23"/>
      <c r="F1542" s="23"/>
      <c r="G1542" s="23"/>
    </row>
    <row r="1543" spans="1:7" x14ac:dyDescent="0.15">
      <c r="A1543" s="66"/>
      <c r="B1543" s="66"/>
      <c r="C1543" s="23"/>
      <c r="D1543" s="23"/>
      <c r="E1543" s="23"/>
      <c r="F1543" s="23"/>
      <c r="G1543" s="23"/>
    </row>
    <row r="1544" spans="1:7" x14ac:dyDescent="0.15">
      <c r="A1544" s="66"/>
      <c r="B1544" s="66"/>
      <c r="C1544" s="23"/>
      <c r="D1544" s="23"/>
      <c r="E1544" s="23"/>
      <c r="F1544" s="23"/>
      <c r="G1544" s="23"/>
    </row>
    <row r="1545" spans="1:7" x14ac:dyDescent="0.15">
      <c r="A1545" s="66"/>
      <c r="B1545" s="66"/>
      <c r="C1545" s="23"/>
      <c r="D1545" s="23"/>
      <c r="E1545" s="23"/>
      <c r="F1545" s="23"/>
      <c r="G1545" s="23"/>
    </row>
    <row r="1546" spans="1:7" x14ac:dyDescent="0.15">
      <c r="A1546" s="66"/>
      <c r="B1546" s="66"/>
      <c r="C1546" s="23"/>
      <c r="D1546" s="23"/>
      <c r="E1546" s="23"/>
      <c r="F1546" s="23"/>
      <c r="G1546" s="23"/>
    </row>
    <row r="1547" spans="1:7" x14ac:dyDescent="0.15">
      <c r="A1547" s="66"/>
      <c r="B1547" s="66"/>
      <c r="C1547" s="23"/>
      <c r="D1547" s="23"/>
      <c r="E1547" s="23"/>
      <c r="F1547" s="23"/>
      <c r="G1547" s="23"/>
    </row>
    <row r="1548" spans="1:7" x14ac:dyDescent="0.15">
      <c r="A1548" s="66"/>
      <c r="B1548" s="66"/>
      <c r="C1548" s="23"/>
      <c r="D1548" s="23"/>
      <c r="E1548" s="23"/>
      <c r="F1548" s="23"/>
      <c r="G1548" s="23"/>
    </row>
    <row r="1549" spans="1:7" x14ac:dyDescent="0.15">
      <c r="A1549" s="66"/>
      <c r="B1549" s="66"/>
      <c r="C1549" s="23"/>
      <c r="D1549" s="23"/>
      <c r="E1549" s="23"/>
      <c r="F1549" s="23"/>
      <c r="G1549" s="23"/>
    </row>
    <row r="1550" spans="1:7" x14ac:dyDescent="0.15">
      <c r="A1550" s="66"/>
      <c r="B1550" s="66"/>
      <c r="C1550" s="23"/>
      <c r="D1550" s="23"/>
      <c r="E1550" s="23"/>
      <c r="F1550" s="23"/>
      <c r="G1550" s="23"/>
    </row>
    <row r="1551" spans="1:7" x14ac:dyDescent="0.15">
      <c r="A1551" s="66"/>
      <c r="B1551" s="66"/>
      <c r="C1551" s="23"/>
      <c r="D1551" s="23"/>
      <c r="E1551" s="23"/>
      <c r="F1551" s="23"/>
      <c r="G1551" s="23"/>
    </row>
    <row r="1552" spans="1:7" x14ac:dyDescent="0.15">
      <c r="A1552" s="66"/>
      <c r="B1552" s="66"/>
      <c r="C1552" s="23"/>
      <c r="D1552" s="23"/>
      <c r="E1552" s="23"/>
      <c r="F1552" s="23"/>
      <c r="G1552" s="23"/>
    </row>
    <row r="1553" spans="1:7" x14ac:dyDescent="0.15">
      <c r="A1553" s="66"/>
      <c r="B1553" s="66"/>
      <c r="C1553" s="23"/>
      <c r="D1553" s="23"/>
      <c r="E1553" s="23"/>
      <c r="F1553" s="23"/>
      <c r="G1553" s="23"/>
    </row>
    <row r="1554" spans="1:7" x14ac:dyDescent="0.15">
      <c r="A1554" s="66"/>
      <c r="B1554" s="66"/>
      <c r="C1554" s="23"/>
      <c r="D1554" s="23"/>
      <c r="E1554" s="23"/>
      <c r="F1554" s="23"/>
      <c r="G1554" s="23"/>
    </row>
    <row r="1555" spans="1:7" x14ac:dyDescent="0.15">
      <c r="A1555" s="66"/>
      <c r="B1555" s="66"/>
      <c r="C1555" s="23"/>
      <c r="D1555" s="23"/>
      <c r="E1555" s="23"/>
      <c r="F1555" s="23"/>
      <c r="G1555" s="23"/>
    </row>
    <row r="1556" spans="1:7" x14ac:dyDescent="0.15">
      <c r="A1556" s="66"/>
      <c r="B1556" s="66"/>
      <c r="C1556" s="23"/>
      <c r="D1556" s="23"/>
      <c r="E1556" s="23"/>
      <c r="F1556" s="23"/>
      <c r="G1556" s="23"/>
    </row>
    <row r="1557" spans="1:7" x14ac:dyDescent="0.15">
      <c r="B1557" s="66"/>
      <c r="C1557" s="23"/>
      <c r="D1557" s="23"/>
      <c r="E1557" s="23"/>
      <c r="F1557" s="23"/>
      <c r="G1557" s="23"/>
    </row>
    <row r="1558" spans="1:7" x14ac:dyDescent="0.15">
      <c r="B1558" s="66"/>
      <c r="C1558" s="23"/>
      <c r="D1558" s="23"/>
      <c r="E1558" s="23"/>
      <c r="F1558" s="23"/>
      <c r="G1558" s="23"/>
    </row>
    <row r="1559" spans="1:7" x14ac:dyDescent="0.15">
      <c r="B1559" s="66"/>
      <c r="C1559" s="23"/>
      <c r="D1559" s="23"/>
      <c r="E1559" s="23"/>
      <c r="F1559" s="23"/>
      <c r="G1559" s="23"/>
    </row>
    <row r="1560" spans="1:7" x14ac:dyDescent="0.15">
      <c r="B1560" s="66"/>
      <c r="C1560" s="23"/>
      <c r="D1560" s="23"/>
      <c r="E1560" s="23"/>
      <c r="F1560" s="23"/>
      <c r="G1560" s="23"/>
    </row>
    <row r="1561" spans="1:7" x14ac:dyDescent="0.15">
      <c r="B1561" s="66"/>
      <c r="C1561" s="23"/>
      <c r="D1561" s="23"/>
      <c r="E1561" s="23"/>
      <c r="F1561" s="23"/>
      <c r="G1561" s="23"/>
    </row>
    <row r="1562" spans="1:7" x14ac:dyDescent="0.15">
      <c r="B1562" s="66"/>
      <c r="C1562" s="23"/>
      <c r="D1562" s="23"/>
      <c r="E1562" s="23"/>
      <c r="F1562" s="23"/>
      <c r="G1562" s="23"/>
    </row>
    <row r="1563" spans="1:7" x14ac:dyDescent="0.15">
      <c r="B1563" s="66"/>
      <c r="C1563" s="23"/>
      <c r="D1563" s="23"/>
      <c r="E1563" s="23"/>
      <c r="F1563" s="23"/>
      <c r="G1563" s="23"/>
    </row>
    <row r="1564" spans="1:7" x14ac:dyDescent="0.15">
      <c r="B1564" s="66"/>
      <c r="C1564" s="23"/>
      <c r="D1564" s="23"/>
      <c r="E1564" s="23"/>
      <c r="F1564" s="23"/>
      <c r="G1564" s="23"/>
    </row>
    <row r="1565" spans="1:7" x14ac:dyDescent="0.15">
      <c r="B1565" s="66"/>
      <c r="C1565" s="23"/>
      <c r="D1565" s="23"/>
      <c r="E1565" s="23"/>
      <c r="F1565" s="23"/>
      <c r="G1565" s="23"/>
    </row>
    <row r="1566" spans="1:7" x14ac:dyDescent="0.15">
      <c r="B1566" s="66"/>
      <c r="C1566" s="23"/>
      <c r="D1566" s="23"/>
      <c r="E1566" s="23"/>
      <c r="F1566" s="23"/>
      <c r="G1566" s="23"/>
    </row>
    <row r="1567" spans="1:7" x14ac:dyDescent="0.15">
      <c r="B1567" s="66"/>
      <c r="C1567" s="23"/>
      <c r="D1567" s="23"/>
      <c r="E1567" s="23"/>
      <c r="F1567" s="23"/>
      <c r="G1567" s="23"/>
    </row>
    <row r="1568" spans="1:7" x14ac:dyDescent="0.15">
      <c r="B1568" s="66"/>
      <c r="C1568" s="23"/>
      <c r="D1568" s="23"/>
      <c r="E1568" s="23"/>
      <c r="F1568" s="23"/>
      <c r="G1568" s="23"/>
    </row>
    <row r="1569" spans="2:7" x14ac:dyDescent="0.15">
      <c r="B1569" s="66"/>
      <c r="C1569" s="23"/>
      <c r="D1569" s="23"/>
      <c r="E1569" s="23"/>
      <c r="F1569" s="23"/>
      <c r="G1569" s="23"/>
    </row>
    <row r="1570" spans="2:7" x14ac:dyDescent="0.15">
      <c r="B1570" s="66"/>
      <c r="C1570" s="23"/>
      <c r="D1570" s="23"/>
      <c r="E1570" s="23"/>
      <c r="F1570" s="23"/>
      <c r="G1570" s="23"/>
    </row>
    <row r="1571" spans="2:7" x14ac:dyDescent="0.15">
      <c r="B1571" s="66"/>
      <c r="C1571" s="23"/>
      <c r="D1571" s="23"/>
      <c r="E1571" s="23"/>
      <c r="F1571" s="23"/>
      <c r="G1571" s="23"/>
    </row>
    <row r="1572" spans="2:7" x14ac:dyDescent="0.15">
      <c r="B1572" s="66"/>
      <c r="C1572" s="23"/>
      <c r="D1572" s="23"/>
      <c r="E1572" s="23"/>
      <c r="F1572" s="23"/>
      <c r="G1572" s="23"/>
    </row>
    <row r="1573" spans="2:7" x14ac:dyDescent="0.15">
      <c r="B1573" s="66"/>
      <c r="C1573" s="23"/>
      <c r="D1573" s="23"/>
      <c r="E1573" s="23"/>
      <c r="F1573" s="23"/>
      <c r="G1573" s="23"/>
    </row>
    <row r="1574" spans="2:7" x14ac:dyDescent="0.15">
      <c r="B1574" s="66"/>
      <c r="C1574" s="23"/>
      <c r="D1574" s="23"/>
      <c r="E1574" s="23"/>
      <c r="F1574" s="23"/>
      <c r="G1574" s="23"/>
    </row>
    <row r="1575" spans="2:7" x14ac:dyDescent="0.15">
      <c r="B1575" s="66"/>
      <c r="C1575" s="23"/>
      <c r="D1575" s="23"/>
      <c r="E1575" s="23"/>
      <c r="F1575" s="23"/>
      <c r="G1575" s="23"/>
    </row>
    <row r="1576" spans="2:7" x14ac:dyDescent="0.15">
      <c r="B1576" s="66"/>
      <c r="C1576" s="23"/>
      <c r="D1576" s="23"/>
      <c r="E1576" s="23"/>
      <c r="F1576" s="23"/>
      <c r="G1576" s="23"/>
    </row>
    <row r="1577" spans="2:7" x14ac:dyDescent="0.15">
      <c r="B1577" s="66"/>
      <c r="C1577" s="23"/>
      <c r="D1577" s="23"/>
      <c r="E1577" s="23"/>
      <c r="F1577" s="23"/>
      <c r="G1577" s="23"/>
    </row>
    <row r="1578" spans="2:7" x14ac:dyDescent="0.15">
      <c r="B1578" s="66"/>
      <c r="C1578" s="23"/>
      <c r="D1578" s="23"/>
      <c r="E1578" s="23"/>
      <c r="F1578" s="23"/>
      <c r="G1578" s="23"/>
    </row>
    <row r="1579" spans="2:7" x14ac:dyDescent="0.15">
      <c r="B1579" s="66"/>
      <c r="C1579" s="23"/>
      <c r="D1579" s="23"/>
      <c r="E1579" s="23"/>
      <c r="F1579" s="23"/>
      <c r="G1579" s="23"/>
    </row>
    <row r="1580" spans="2:7" x14ac:dyDescent="0.15">
      <c r="B1580" s="66"/>
      <c r="C1580" s="23"/>
      <c r="D1580" s="23"/>
      <c r="E1580" s="23"/>
      <c r="F1580" s="23"/>
      <c r="G1580" s="23"/>
    </row>
    <row r="1581" spans="2:7" x14ac:dyDescent="0.15">
      <c r="B1581" s="66"/>
      <c r="C1581" s="23"/>
      <c r="D1581" s="23"/>
      <c r="E1581" s="23"/>
      <c r="F1581" s="23"/>
      <c r="G1581" s="23"/>
    </row>
    <row r="1582" spans="2:7" x14ac:dyDescent="0.15">
      <c r="B1582" s="66"/>
      <c r="C1582" s="23"/>
      <c r="D1582" s="23"/>
      <c r="E1582" s="23"/>
      <c r="F1582" s="23"/>
      <c r="G1582" s="23"/>
    </row>
    <row r="1583" spans="2:7" x14ac:dyDescent="0.15">
      <c r="B1583" s="66"/>
      <c r="C1583" s="23"/>
      <c r="D1583" s="23"/>
      <c r="E1583" s="23"/>
      <c r="F1583" s="23"/>
      <c r="G1583" s="23"/>
    </row>
    <row r="1584" spans="2:7" x14ac:dyDescent="0.15">
      <c r="B1584" s="66"/>
      <c r="C1584" s="23"/>
      <c r="D1584" s="23"/>
      <c r="E1584" s="23"/>
      <c r="F1584" s="23"/>
      <c r="G1584" s="23"/>
    </row>
    <row r="1585" spans="2:7" x14ac:dyDescent="0.15">
      <c r="B1585" s="66"/>
      <c r="C1585" s="23"/>
      <c r="D1585" s="23"/>
      <c r="E1585" s="23"/>
      <c r="F1585" s="23"/>
      <c r="G1585" s="23"/>
    </row>
    <row r="1586" spans="2:7" x14ac:dyDescent="0.15">
      <c r="B1586" s="66"/>
      <c r="C1586" s="23"/>
      <c r="D1586" s="23"/>
      <c r="E1586" s="23"/>
      <c r="F1586" s="23"/>
      <c r="G1586" s="23"/>
    </row>
    <row r="1587" spans="2:7" x14ac:dyDescent="0.15">
      <c r="B1587" s="66"/>
      <c r="C1587" s="23"/>
      <c r="D1587" s="23"/>
      <c r="E1587" s="23"/>
      <c r="F1587" s="23"/>
      <c r="G1587" s="23"/>
    </row>
    <row r="1588" spans="2:7" x14ac:dyDescent="0.15">
      <c r="B1588" s="66"/>
      <c r="C1588" s="23"/>
      <c r="D1588" s="23"/>
      <c r="E1588" s="23"/>
      <c r="F1588" s="23"/>
      <c r="G1588" s="23"/>
    </row>
    <row r="1589" spans="2:7" x14ac:dyDescent="0.15">
      <c r="B1589" s="66"/>
      <c r="C1589" s="23"/>
      <c r="D1589" s="23"/>
      <c r="E1589" s="23"/>
      <c r="F1589" s="23"/>
      <c r="G1589" s="23"/>
    </row>
    <row r="1590" spans="2:7" x14ac:dyDescent="0.15">
      <c r="B1590" s="66"/>
      <c r="C1590" s="23"/>
      <c r="D1590" s="23"/>
      <c r="E1590" s="23"/>
      <c r="F1590" s="23"/>
      <c r="G1590" s="23"/>
    </row>
    <row r="1591" spans="2:7" x14ac:dyDescent="0.15">
      <c r="B1591" s="66"/>
      <c r="C1591" s="23"/>
      <c r="D1591" s="23"/>
      <c r="E1591" s="23"/>
      <c r="F1591" s="23"/>
      <c r="G1591" s="23"/>
    </row>
    <row r="1592" spans="2:7" x14ac:dyDescent="0.15">
      <c r="B1592" s="66"/>
      <c r="C1592" s="23"/>
      <c r="D1592" s="23"/>
      <c r="E1592" s="23"/>
      <c r="F1592" s="23"/>
      <c r="G1592" s="23"/>
    </row>
    <row r="1593" spans="2:7" x14ac:dyDescent="0.15">
      <c r="B1593" s="66"/>
      <c r="C1593" s="23"/>
      <c r="D1593" s="23"/>
      <c r="E1593" s="23"/>
      <c r="F1593" s="23"/>
      <c r="G1593" s="23"/>
    </row>
    <row r="1594" spans="2:7" x14ac:dyDescent="0.15">
      <c r="B1594" s="66"/>
      <c r="C1594" s="23"/>
      <c r="D1594" s="23"/>
      <c r="E1594" s="23"/>
      <c r="F1594" s="23"/>
      <c r="G1594" s="23"/>
    </row>
    <row r="1595" spans="2:7" x14ac:dyDescent="0.15">
      <c r="B1595" s="66"/>
      <c r="C1595" s="23"/>
      <c r="D1595" s="23"/>
      <c r="E1595" s="23"/>
      <c r="F1595" s="23"/>
      <c r="G1595" s="23"/>
    </row>
    <row r="1596" spans="2:7" x14ac:dyDescent="0.15">
      <c r="B1596" s="66"/>
      <c r="C1596" s="23"/>
      <c r="D1596" s="23"/>
      <c r="E1596" s="23"/>
      <c r="F1596" s="23"/>
      <c r="G1596" s="23"/>
    </row>
    <row r="1597" spans="2:7" x14ac:dyDescent="0.15">
      <c r="B1597" s="66"/>
      <c r="C1597" s="23"/>
      <c r="D1597" s="23"/>
      <c r="E1597" s="23"/>
      <c r="F1597" s="23"/>
      <c r="G1597" s="23"/>
    </row>
    <row r="1598" spans="2:7" x14ac:dyDescent="0.15">
      <c r="B1598" s="66"/>
      <c r="C1598" s="23"/>
      <c r="D1598" s="23"/>
      <c r="E1598" s="23"/>
      <c r="F1598" s="23"/>
      <c r="G1598" s="23"/>
    </row>
    <row r="1599" spans="2:7" x14ac:dyDescent="0.15">
      <c r="B1599" s="66"/>
      <c r="C1599" s="23"/>
      <c r="D1599" s="23"/>
      <c r="E1599" s="23"/>
      <c r="F1599" s="23"/>
      <c r="G1599" s="23"/>
    </row>
    <row r="1600" spans="2:7" x14ac:dyDescent="0.15">
      <c r="B1600" s="66"/>
      <c r="C1600" s="23"/>
      <c r="D1600" s="23"/>
      <c r="E1600" s="23"/>
      <c r="F1600" s="23"/>
      <c r="G1600" s="23"/>
    </row>
    <row r="1601" spans="2:7" x14ac:dyDescent="0.15">
      <c r="B1601" s="66"/>
      <c r="C1601" s="23"/>
      <c r="D1601" s="23"/>
      <c r="E1601" s="23"/>
      <c r="F1601" s="23"/>
      <c r="G1601" s="23"/>
    </row>
    <row r="1602" spans="2:7" x14ac:dyDescent="0.15">
      <c r="B1602" s="66"/>
      <c r="C1602" s="23"/>
      <c r="D1602" s="23"/>
      <c r="E1602" s="23"/>
      <c r="F1602" s="23"/>
      <c r="G1602" s="23"/>
    </row>
    <row r="1603" spans="2:7" x14ac:dyDescent="0.15">
      <c r="B1603" s="66"/>
      <c r="C1603" s="23"/>
      <c r="D1603" s="23"/>
      <c r="E1603" s="23"/>
      <c r="F1603" s="23"/>
      <c r="G1603" s="23"/>
    </row>
    <row r="1604" spans="2:7" x14ac:dyDescent="0.15">
      <c r="B1604" s="66"/>
      <c r="C1604" s="23"/>
      <c r="D1604" s="23"/>
      <c r="E1604" s="23"/>
      <c r="F1604" s="23"/>
      <c r="G1604" s="23"/>
    </row>
    <row r="1605" spans="2:7" x14ac:dyDescent="0.15">
      <c r="B1605" s="66"/>
      <c r="C1605" s="23"/>
      <c r="D1605" s="23"/>
      <c r="E1605" s="23"/>
      <c r="F1605" s="23"/>
      <c r="G1605" s="23"/>
    </row>
    <row r="1606" spans="2:7" x14ac:dyDescent="0.15">
      <c r="B1606" s="66"/>
      <c r="C1606" s="23"/>
      <c r="D1606" s="23"/>
      <c r="E1606" s="23"/>
      <c r="F1606" s="23"/>
      <c r="G1606" s="23"/>
    </row>
    <row r="1607" spans="2:7" x14ac:dyDescent="0.15">
      <c r="B1607" s="66"/>
      <c r="C1607" s="23"/>
      <c r="D1607" s="23"/>
      <c r="E1607" s="23"/>
      <c r="F1607" s="23"/>
      <c r="G1607" s="23"/>
    </row>
    <row r="1608" spans="2:7" x14ac:dyDescent="0.15">
      <c r="B1608" s="66"/>
      <c r="C1608" s="23"/>
      <c r="D1608" s="23"/>
      <c r="E1608" s="23"/>
      <c r="F1608" s="23"/>
      <c r="G1608" s="23"/>
    </row>
    <row r="1609" spans="2:7" x14ac:dyDescent="0.15">
      <c r="B1609" s="66"/>
      <c r="C1609" s="23"/>
      <c r="D1609" s="23"/>
      <c r="E1609" s="23"/>
      <c r="F1609" s="23"/>
      <c r="G1609" s="23"/>
    </row>
    <row r="1610" spans="2:7" x14ac:dyDescent="0.15">
      <c r="B1610" s="66"/>
      <c r="C1610" s="23"/>
      <c r="D1610" s="23"/>
      <c r="E1610" s="23"/>
      <c r="F1610" s="23"/>
      <c r="G1610" s="23"/>
    </row>
    <row r="1611" spans="2:7" x14ac:dyDescent="0.15">
      <c r="B1611" s="66"/>
      <c r="C1611" s="23"/>
      <c r="D1611" s="23"/>
      <c r="E1611" s="23"/>
      <c r="F1611" s="23"/>
      <c r="G1611" s="23"/>
    </row>
    <row r="1612" spans="2:7" x14ac:dyDescent="0.15">
      <c r="B1612" s="66"/>
      <c r="C1612" s="23"/>
      <c r="D1612" s="23"/>
      <c r="E1612" s="23"/>
      <c r="F1612" s="23"/>
      <c r="G1612" s="23"/>
    </row>
    <row r="1613" spans="2:7" x14ac:dyDescent="0.15">
      <c r="B1613" s="66"/>
      <c r="C1613" s="23"/>
      <c r="D1613" s="23"/>
      <c r="E1613" s="23"/>
      <c r="F1613" s="23"/>
      <c r="G1613" s="23"/>
    </row>
    <row r="1614" spans="2:7" x14ac:dyDescent="0.15">
      <c r="B1614" s="66"/>
      <c r="C1614" s="23"/>
      <c r="D1614" s="23"/>
      <c r="E1614" s="23"/>
      <c r="F1614" s="23"/>
      <c r="G1614" s="23"/>
    </row>
    <row r="1615" spans="2:7" x14ac:dyDescent="0.15">
      <c r="B1615" s="66"/>
      <c r="C1615" s="23"/>
      <c r="D1615" s="23"/>
      <c r="E1615" s="23"/>
      <c r="F1615" s="23"/>
      <c r="G1615" s="23"/>
    </row>
    <row r="1616" spans="2:7" x14ac:dyDescent="0.15">
      <c r="B1616" s="66"/>
      <c r="C1616" s="23"/>
      <c r="D1616" s="23"/>
      <c r="E1616" s="23"/>
      <c r="F1616" s="23"/>
      <c r="G1616" s="23"/>
    </row>
    <row r="1617" spans="2:7" x14ac:dyDescent="0.15">
      <c r="B1617" s="66"/>
      <c r="C1617" s="23"/>
      <c r="D1617" s="23"/>
      <c r="E1617" s="23"/>
      <c r="F1617" s="23"/>
      <c r="G1617" s="23"/>
    </row>
    <row r="1618" spans="2:7" x14ac:dyDescent="0.15">
      <c r="B1618" s="66"/>
      <c r="C1618" s="23"/>
      <c r="D1618" s="23"/>
      <c r="E1618" s="23"/>
      <c r="F1618" s="23"/>
      <c r="G1618" s="23"/>
    </row>
    <row r="1619" spans="2:7" x14ac:dyDescent="0.15">
      <c r="B1619" s="66"/>
      <c r="C1619" s="23"/>
      <c r="D1619" s="23"/>
      <c r="E1619" s="23"/>
      <c r="F1619" s="23"/>
      <c r="G1619" s="23"/>
    </row>
    <row r="1620" spans="2:7" x14ac:dyDescent="0.15">
      <c r="B1620" s="66"/>
      <c r="C1620" s="23"/>
      <c r="D1620" s="23"/>
      <c r="E1620" s="23"/>
      <c r="F1620" s="23"/>
      <c r="G1620" s="23"/>
    </row>
    <row r="1621" spans="2:7" x14ac:dyDescent="0.15">
      <c r="B1621" s="66"/>
      <c r="C1621" s="23"/>
      <c r="D1621" s="23"/>
      <c r="E1621" s="23"/>
      <c r="F1621" s="23"/>
      <c r="G1621" s="23"/>
    </row>
    <row r="1622" spans="2:7" x14ac:dyDescent="0.15">
      <c r="B1622" s="66"/>
      <c r="C1622" s="23"/>
      <c r="D1622" s="23"/>
      <c r="E1622" s="23"/>
      <c r="F1622" s="23"/>
      <c r="G1622" s="23"/>
    </row>
    <row r="1623" spans="2:7" x14ac:dyDescent="0.15">
      <c r="B1623" s="66"/>
      <c r="C1623" s="23"/>
      <c r="D1623" s="23"/>
      <c r="E1623" s="23"/>
      <c r="F1623" s="23"/>
      <c r="G1623" s="23"/>
    </row>
    <row r="1624" spans="2:7" x14ac:dyDescent="0.15">
      <c r="B1624" s="66"/>
      <c r="C1624" s="23"/>
      <c r="D1624" s="23"/>
      <c r="E1624" s="23"/>
      <c r="F1624" s="23"/>
      <c r="G1624" s="23"/>
    </row>
    <row r="1625" spans="2:7" x14ac:dyDescent="0.15">
      <c r="B1625" s="66"/>
      <c r="C1625" s="23"/>
      <c r="D1625" s="23"/>
      <c r="E1625" s="23"/>
      <c r="F1625" s="23"/>
      <c r="G1625" s="23"/>
    </row>
    <row r="1626" spans="2:7" x14ac:dyDescent="0.15">
      <c r="B1626" s="66"/>
      <c r="C1626" s="23"/>
      <c r="D1626" s="23"/>
      <c r="E1626" s="23"/>
      <c r="F1626" s="23"/>
      <c r="G1626" s="23"/>
    </row>
    <row r="1627" spans="2:7" x14ac:dyDescent="0.15">
      <c r="B1627" s="66"/>
      <c r="C1627" s="23"/>
      <c r="D1627" s="23"/>
      <c r="E1627" s="23"/>
      <c r="F1627" s="23"/>
      <c r="G1627" s="23"/>
    </row>
    <row r="1628" spans="2:7" x14ac:dyDescent="0.15">
      <c r="B1628" s="66"/>
      <c r="C1628" s="23"/>
      <c r="D1628" s="23"/>
      <c r="E1628" s="23"/>
      <c r="F1628" s="23"/>
      <c r="G1628" s="23"/>
    </row>
    <row r="1629" spans="2:7" x14ac:dyDescent="0.15">
      <c r="B1629" s="66"/>
      <c r="C1629" s="23"/>
      <c r="D1629" s="23"/>
      <c r="E1629" s="23"/>
      <c r="F1629" s="23"/>
      <c r="G1629" s="23"/>
    </row>
    <row r="1630" spans="2:7" x14ac:dyDescent="0.15">
      <c r="B1630" s="66"/>
      <c r="C1630" s="23"/>
      <c r="D1630" s="23"/>
      <c r="E1630" s="23"/>
      <c r="F1630" s="23"/>
      <c r="G1630" s="23"/>
    </row>
    <row r="1631" spans="2:7" x14ac:dyDescent="0.15">
      <c r="B1631" s="66"/>
      <c r="C1631" s="23"/>
      <c r="D1631" s="23"/>
      <c r="E1631" s="23"/>
      <c r="F1631" s="23"/>
      <c r="G1631" s="23"/>
    </row>
    <row r="1632" spans="2:7" x14ac:dyDescent="0.15">
      <c r="B1632" s="66"/>
      <c r="C1632" s="23"/>
      <c r="D1632" s="23"/>
      <c r="E1632" s="23"/>
      <c r="F1632" s="23"/>
      <c r="G1632" s="23"/>
    </row>
    <row r="1633" spans="2:7" x14ac:dyDescent="0.15">
      <c r="B1633" s="66"/>
      <c r="C1633" s="23"/>
      <c r="D1633" s="23"/>
      <c r="E1633" s="23"/>
      <c r="F1633" s="23"/>
      <c r="G1633" s="23"/>
    </row>
    <row r="1634" spans="2:7" x14ac:dyDescent="0.15">
      <c r="B1634" s="66"/>
      <c r="C1634" s="23"/>
      <c r="D1634" s="23"/>
      <c r="E1634" s="23"/>
      <c r="F1634" s="23"/>
      <c r="G1634" s="23"/>
    </row>
    <row r="1635" spans="2:7" x14ac:dyDescent="0.15">
      <c r="B1635" s="66"/>
      <c r="C1635" s="23"/>
      <c r="D1635" s="23"/>
      <c r="E1635" s="23"/>
      <c r="F1635" s="23"/>
      <c r="G1635" s="23"/>
    </row>
    <row r="1636" spans="2:7" x14ac:dyDescent="0.15">
      <c r="B1636" s="66"/>
      <c r="C1636" s="23"/>
      <c r="D1636" s="23"/>
      <c r="E1636" s="23"/>
      <c r="F1636" s="23"/>
      <c r="G1636" s="23"/>
    </row>
    <row r="1637" spans="2:7" x14ac:dyDescent="0.15">
      <c r="B1637" s="66"/>
      <c r="C1637" s="23"/>
      <c r="D1637" s="23"/>
      <c r="E1637" s="23"/>
      <c r="F1637" s="23"/>
      <c r="G1637" s="23"/>
    </row>
    <row r="1638" spans="2:7" x14ac:dyDescent="0.15">
      <c r="B1638" s="66"/>
      <c r="C1638" s="23"/>
      <c r="D1638" s="23"/>
      <c r="E1638" s="23"/>
      <c r="F1638" s="23"/>
      <c r="G1638" s="23"/>
    </row>
    <row r="1639" spans="2:7" x14ac:dyDescent="0.15">
      <c r="B1639" s="66"/>
      <c r="C1639" s="23"/>
      <c r="D1639" s="23"/>
      <c r="E1639" s="23"/>
      <c r="F1639" s="23"/>
      <c r="G1639" s="23"/>
    </row>
    <row r="1640" spans="2:7" x14ac:dyDescent="0.15">
      <c r="B1640" s="66"/>
      <c r="C1640" s="23"/>
      <c r="D1640" s="23"/>
      <c r="E1640" s="23"/>
      <c r="F1640" s="23"/>
      <c r="G1640" s="23"/>
    </row>
    <row r="1641" spans="2:7" x14ac:dyDescent="0.15">
      <c r="B1641" s="66"/>
      <c r="C1641" s="23"/>
      <c r="D1641" s="23"/>
      <c r="E1641" s="23"/>
      <c r="F1641" s="23"/>
      <c r="G1641" s="23"/>
    </row>
    <row r="1642" spans="2:7" x14ac:dyDescent="0.15">
      <c r="B1642" s="66"/>
      <c r="C1642" s="23"/>
      <c r="D1642" s="23"/>
      <c r="E1642" s="23"/>
      <c r="F1642" s="23"/>
      <c r="G1642" s="23"/>
    </row>
    <row r="1643" spans="2:7" x14ac:dyDescent="0.15">
      <c r="B1643" s="66"/>
      <c r="C1643" s="23"/>
      <c r="D1643" s="23"/>
      <c r="E1643" s="23"/>
      <c r="F1643" s="23"/>
      <c r="G1643" s="23"/>
    </row>
    <row r="1644" spans="2:7" x14ac:dyDescent="0.15">
      <c r="B1644" s="66"/>
      <c r="C1644" s="23"/>
      <c r="D1644" s="23"/>
      <c r="E1644" s="23"/>
      <c r="F1644" s="23"/>
      <c r="G1644" s="23"/>
    </row>
    <row r="1645" spans="2:7" x14ac:dyDescent="0.15">
      <c r="B1645" s="66"/>
      <c r="C1645" s="23"/>
      <c r="D1645" s="23"/>
      <c r="E1645" s="23"/>
      <c r="F1645" s="23"/>
      <c r="G1645" s="23"/>
    </row>
    <row r="1646" spans="2:7" x14ac:dyDescent="0.15">
      <c r="B1646" s="66"/>
      <c r="C1646" s="23"/>
      <c r="D1646" s="23"/>
      <c r="E1646" s="23"/>
      <c r="F1646" s="23"/>
      <c r="G1646" s="23"/>
    </row>
    <row r="1647" spans="2:7" x14ac:dyDescent="0.15">
      <c r="B1647" s="66"/>
      <c r="C1647" s="23"/>
      <c r="D1647" s="23"/>
      <c r="E1647" s="23"/>
      <c r="F1647" s="23"/>
      <c r="G1647" s="23"/>
    </row>
    <row r="1648" spans="2:7" x14ac:dyDescent="0.15">
      <c r="B1648" s="66"/>
      <c r="C1648" s="23"/>
      <c r="D1648" s="23"/>
      <c r="E1648" s="23"/>
      <c r="F1648" s="23"/>
      <c r="G1648" s="23"/>
    </row>
    <row r="1649" spans="2:7" x14ac:dyDescent="0.15">
      <c r="B1649" s="66"/>
      <c r="C1649" s="23"/>
      <c r="D1649" s="23"/>
      <c r="E1649" s="23"/>
      <c r="F1649" s="23"/>
      <c r="G1649" s="23"/>
    </row>
    <row r="1650" spans="2:7" x14ac:dyDescent="0.15">
      <c r="B1650" s="66"/>
      <c r="C1650" s="23"/>
      <c r="D1650" s="23"/>
      <c r="E1650" s="23"/>
      <c r="F1650" s="23"/>
      <c r="G1650" s="23"/>
    </row>
    <row r="1651" spans="2:7" x14ac:dyDescent="0.15">
      <c r="B1651" s="66"/>
      <c r="C1651" s="23"/>
      <c r="D1651" s="23"/>
      <c r="E1651" s="23"/>
      <c r="F1651" s="23"/>
      <c r="G1651" s="23"/>
    </row>
    <row r="1652" spans="2:7" x14ac:dyDescent="0.15">
      <c r="B1652" s="66"/>
      <c r="C1652" s="23"/>
      <c r="D1652" s="23"/>
      <c r="E1652" s="23"/>
      <c r="F1652" s="23"/>
      <c r="G1652" s="23"/>
    </row>
    <row r="1653" spans="2:7" x14ac:dyDescent="0.15">
      <c r="B1653" s="66"/>
      <c r="C1653" s="23"/>
      <c r="D1653" s="23"/>
      <c r="E1653" s="23"/>
      <c r="F1653" s="23"/>
      <c r="G1653" s="23"/>
    </row>
    <row r="1654" spans="2:7" x14ac:dyDescent="0.15">
      <c r="B1654" s="66"/>
      <c r="C1654" s="23"/>
      <c r="D1654" s="23"/>
      <c r="E1654" s="23"/>
      <c r="F1654" s="23"/>
      <c r="G1654" s="23"/>
    </row>
    <row r="1655" spans="2:7" x14ac:dyDescent="0.15">
      <c r="B1655" s="66"/>
      <c r="C1655" s="23"/>
      <c r="D1655" s="23"/>
      <c r="E1655" s="23"/>
      <c r="F1655" s="23"/>
      <c r="G1655" s="23"/>
    </row>
    <row r="1656" spans="2:7" x14ac:dyDescent="0.15">
      <c r="B1656" s="66"/>
      <c r="C1656" s="23"/>
      <c r="D1656" s="23"/>
      <c r="E1656" s="23"/>
      <c r="F1656" s="23"/>
      <c r="G1656" s="23"/>
    </row>
    <row r="1657" spans="2:7" x14ac:dyDescent="0.15">
      <c r="B1657" s="66"/>
      <c r="C1657" s="23"/>
      <c r="D1657" s="23"/>
      <c r="E1657" s="23"/>
      <c r="F1657" s="23"/>
      <c r="G1657" s="23"/>
    </row>
    <row r="1658" spans="2:7" x14ac:dyDescent="0.15">
      <c r="B1658" s="66"/>
      <c r="C1658" s="23"/>
      <c r="D1658" s="23"/>
      <c r="E1658" s="23"/>
      <c r="F1658" s="23"/>
      <c r="G1658" s="23"/>
    </row>
    <row r="1659" spans="2:7" x14ac:dyDescent="0.15">
      <c r="B1659" s="66"/>
      <c r="C1659" s="23"/>
      <c r="D1659" s="23"/>
      <c r="E1659" s="23"/>
      <c r="F1659" s="23"/>
      <c r="G1659" s="23"/>
    </row>
    <row r="1660" spans="2:7" x14ac:dyDescent="0.15">
      <c r="B1660" s="66"/>
      <c r="C1660" s="23"/>
      <c r="D1660" s="23"/>
      <c r="E1660" s="23"/>
      <c r="F1660" s="23"/>
      <c r="G1660" s="23"/>
    </row>
    <row r="1661" spans="2:7" x14ac:dyDescent="0.15">
      <c r="B1661" s="66"/>
      <c r="C1661" s="23"/>
      <c r="D1661" s="23"/>
      <c r="E1661" s="23"/>
      <c r="F1661" s="23"/>
      <c r="G1661" s="23"/>
    </row>
    <row r="1662" spans="2:7" x14ac:dyDescent="0.15">
      <c r="B1662" s="66"/>
      <c r="C1662" s="23"/>
      <c r="D1662" s="23"/>
      <c r="E1662" s="23"/>
      <c r="F1662" s="23"/>
      <c r="G1662" s="23"/>
    </row>
    <row r="1663" spans="2:7" x14ac:dyDescent="0.15">
      <c r="B1663" s="66"/>
      <c r="C1663" s="23"/>
      <c r="D1663" s="23"/>
      <c r="E1663" s="23"/>
      <c r="F1663" s="23"/>
      <c r="G1663" s="23"/>
    </row>
    <row r="1664" spans="2:7" x14ac:dyDescent="0.15">
      <c r="B1664" s="66"/>
      <c r="C1664" s="23"/>
      <c r="D1664" s="23"/>
      <c r="E1664" s="23"/>
      <c r="F1664" s="23"/>
      <c r="G1664" s="23"/>
    </row>
    <row r="1665" spans="2:7" x14ac:dyDescent="0.15">
      <c r="B1665" s="66"/>
      <c r="C1665" s="23"/>
      <c r="D1665" s="23"/>
      <c r="E1665" s="23"/>
      <c r="F1665" s="23"/>
      <c r="G1665" s="23"/>
    </row>
    <row r="1666" spans="2:7" x14ac:dyDescent="0.15">
      <c r="B1666" s="66"/>
      <c r="C1666" s="23"/>
      <c r="D1666" s="23"/>
      <c r="E1666" s="23"/>
      <c r="F1666" s="23"/>
      <c r="G1666" s="23"/>
    </row>
    <row r="1667" spans="2:7" x14ac:dyDescent="0.15">
      <c r="B1667" s="66"/>
      <c r="C1667" s="23"/>
      <c r="D1667" s="23"/>
      <c r="E1667" s="23"/>
      <c r="F1667" s="23"/>
      <c r="G1667" s="23"/>
    </row>
    <row r="1668" spans="2:7" x14ac:dyDescent="0.15">
      <c r="B1668" s="66"/>
      <c r="C1668" s="23"/>
      <c r="D1668" s="23"/>
      <c r="E1668" s="23"/>
      <c r="F1668" s="23"/>
      <c r="G1668" s="23"/>
    </row>
    <row r="1669" spans="2:7" x14ac:dyDescent="0.15">
      <c r="B1669" s="66"/>
      <c r="C1669" s="23"/>
      <c r="D1669" s="23"/>
      <c r="E1669" s="23"/>
      <c r="F1669" s="23"/>
      <c r="G1669" s="23"/>
    </row>
    <row r="1670" spans="2:7" x14ac:dyDescent="0.15">
      <c r="B1670" s="66"/>
      <c r="C1670" s="23"/>
      <c r="D1670" s="23"/>
      <c r="E1670" s="23"/>
      <c r="F1670" s="23"/>
      <c r="G1670" s="23"/>
    </row>
    <row r="1671" spans="2:7" x14ac:dyDescent="0.15">
      <c r="B1671" s="66"/>
      <c r="C1671" s="23"/>
      <c r="D1671" s="23"/>
      <c r="E1671" s="23"/>
      <c r="F1671" s="23"/>
      <c r="G1671" s="23"/>
    </row>
    <row r="1672" spans="2:7" x14ac:dyDescent="0.15">
      <c r="B1672" s="66"/>
      <c r="C1672" s="23"/>
      <c r="D1672" s="23"/>
      <c r="E1672" s="23"/>
      <c r="F1672" s="23"/>
      <c r="G1672" s="23"/>
    </row>
    <row r="1673" spans="2:7" x14ac:dyDescent="0.15">
      <c r="B1673" s="66"/>
      <c r="C1673" s="23"/>
      <c r="D1673" s="23"/>
      <c r="E1673" s="23"/>
      <c r="F1673" s="23"/>
      <c r="G1673" s="23"/>
    </row>
    <row r="1674" spans="2:7" x14ac:dyDescent="0.15">
      <c r="B1674" s="66"/>
      <c r="C1674" s="23"/>
      <c r="D1674" s="23"/>
      <c r="E1674" s="23"/>
      <c r="F1674" s="23"/>
      <c r="G1674" s="23"/>
    </row>
    <row r="1675" spans="2:7" x14ac:dyDescent="0.15">
      <c r="B1675" s="66"/>
      <c r="C1675" s="23"/>
      <c r="D1675" s="23"/>
      <c r="E1675" s="23"/>
      <c r="F1675" s="23"/>
      <c r="G1675" s="23"/>
    </row>
    <row r="1676" spans="2:7" x14ac:dyDescent="0.15">
      <c r="B1676" s="66"/>
      <c r="C1676" s="23"/>
      <c r="D1676" s="23"/>
      <c r="E1676" s="23"/>
      <c r="F1676" s="23"/>
      <c r="G1676" s="23"/>
    </row>
    <row r="1677" spans="2:7" x14ac:dyDescent="0.15">
      <c r="B1677" s="66"/>
      <c r="C1677" s="23"/>
      <c r="D1677" s="23"/>
      <c r="E1677" s="23"/>
      <c r="F1677" s="23"/>
      <c r="G1677" s="23"/>
    </row>
    <row r="1678" spans="2:7" x14ac:dyDescent="0.15">
      <c r="B1678" s="66"/>
      <c r="C1678" s="23"/>
      <c r="D1678" s="23"/>
      <c r="E1678" s="23"/>
      <c r="F1678" s="23"/>
      <c r="G1678" s="23"/>
    </row>
    <row r="1679" spans="2:7" x14ac:dyDescent="0.15">
      <c r="B1679" s="66"/>
      <c r="C1679" s="23"/>
      <c r="D1679" s="23"/>
      <c r="E1679" s="23"/>
      <c r="F1679" s="23"/>
      <c r="G1679" s="23"/>
    </row>
    <row r="1680" spans="2:7" x14ac:dyDescent="0.15">
      <c r="B1680" s="66"/>
      <c r="C1680" s="23"/>
      <c r="D1680" s="23"/>
      <c r="E1680" s="23"/>
      <c r="F1680" s="23"/>
      <c r="G1680" s="23"/>
    </row>
    <row r="1681" spans="2:7" x14ac:dyDescent="0.15">
      <c r="B1681" s="66"/>
      <c r="C1681" s="23"/>
      <c r="D1681" s="23"/>
      <c r="E1681" s="23"/>
      <c r="F1681" s="23"/>
      <c r="G1681" s="23"/>
    </row>
    <row r="1682" spans="2:7" x14ac:dyDescent="0.15">
      <c r="B1682" s="66"/>
      <c r="C1682" s="23"/>
      <c r="D1682" s="23"/>
      <c r="E1682" s="23"/>
      <c r="F1682" s="23"/>
      <c r="G1682" s="23"/>
    </row>
    <row r="1683" spans="2:7" x14ac:dyDescent="0.15">
      <c r="B1683" s="66"/>
      <c r="C1683" s="23"/>
      <c r="D1683" s="23"/>
      <c r="E1683" s="23"/>
      <c r="F1683" s="23"/>
      <c r="G1683" s="23"/>
    </row>
    <row r="1684" spans="2:7" x14ac:dyDescent="0.15">
      <c r="B1684" s="66"/>
      <c r="C1684" s="23"/>
      <c r="D1684" s="23"/>
      <c r="E1684" s="23"/>
      <c r="F1684" s="23"/>
      <c r="G1684" s="23"/>
    </row>
    <row r="1685" spans="2:7" x14ac:dyDescent="0.15">
      <c r="B1685" s="66"/>
      <c r="C1685" s="23"/>
      <c r="D1685" s="23"/>
      <c r="E1685" s="23"/>
      <c r="F1685" s="23"/>
      <c r="G1685" s="23"/>
    </row>
    <row r="1686" spans="2:7" x14ac:dyDescent="0.15">
      <c r="B1686" s="66"/>
      <c r="C1686" s="23"/>
      <c r="D1686" s="23"/>
      <c r="E1686" s="23"/>
      <c r="F1686" s="23"/>
      <c r="G1686" s="23"/>
    </row>
    <row r="1687" spans="2:7" x14ac:dyDescent="0.15">
      <c r="B1687" s="66"/>
      <c r="C1687" s="23"/>
      <c r="D1687" s="23"/>
      <c r="E1687" s="23"/>
      <c r="F1687" s="23"/>
      <c r="G1687" s="23"/>
    </row>
    <row r="1688" spans="2:7" x14ac:dyDescent="0.15">
      <c r="B1688" s="66"/>
      <c r="C1688" s="23"/>
      <c r="D1688" s="23"/>
      <c r="E1688" s="23"/>
      <c r="F1688" s="23"/>
      <c r="G1688" s="23"/>
    </row>
    <row r="1689" spans="2:7" x14ac:dyDescent="0.15">
      <c r="B1689" s="66"/>
      <c r="C1689" s="23"/>
      <c r="D1689" s="23"/>
      <c r="E1689" s="23"/>
      <c r="F1689" s="23"/>
      <c r="G1689" s="23"/>
    </row>
    <row r="1690" spans="2:7" x14ac:dyDescent="0.15">
      <c r="B1690" s="66"/>
      <c r="C1690" s="23"/>
      <c r="D1690" s="23"/>
      <c r="E1690" s="23"/>
      <c r="F1690" s="23"/>
      <c r="G1690" s="23"/>
    </row>
    <row r="1691" spans="2:7" x14ac:dyDescent="0.15">
      <c r="B1691" s="66"/>
      <c r="C1691" s="23"/>
      <c r="D1691" s="23"/>
      <c r="E1691" s="23"/>
      <c r="F1691" s="23"/>
      <c r="G1691" s="23"/>
    </row>
    <row r="1692" spans="2:7" x14ac:dyDescent="0.15">
      <c r="B1692" s="66"/>
      <c r="C1692" s="23"/>
      <c r="D1692" s="23"/>
      <c r="E1692" s="23"/>
      <c r="F1692" s="23"/>
      <c r="G1692" s="23"/>
    </row>
    <row r="1693" spans="2:7" x14ac:dyDescent="0.15">
      <c r="B1693" s="66"/>
      <c r="C1693" s="23"/>
      <c r="D1693" s="23"/>
      <c r="E1693" s="23"/>
      <c r="F1693" s="23"/>
      <c r="G1693" s="23"/>
    </row>
    <row r="1694" spans="2:7" x14ac:dyDescent="0.15">
      <c r="B1694" s="66"/>
      <c r="C1694" s="23"/>
      <c r="D1694" s="23"/>
      <c r="E1694" s="23"/>
      <c r="F1694" s="23"/>
      <c r="G1694" s="23"/>
    </row>
    <row r="1695" spans="2:7" x14ac:dyDescent="0.15">
      <c r="B1695" s="66"/>
      <c r="C1695" s="23"/>
      <c r="D1695" s="23"/>
      <c r="E1695" s="23"/>
      <c r="F1695" s="23"/>
      <c r="G1695" s="23"/>
    </row>
    <row r="1696" spans="2:7" x14ac:dyDescent="0.15">
      <c r="B1696" s="66"/>
      <c r="C1696" s="23"/>
      <c r="D1696" s="23"/>
      <c r="E1696" s="23"/>
      <c r="F1696" s="23"/>
      <c r="G1696" s="23"/>
    </row>
    <row r="1697" spans="2:7" x14ac:dyDescent="0.15">
      <c r="B1697" s="66"/>
      <c r="C1697" s="23"/>
      <c r="D1697" s="23"/>
      <c r="E1697" s="23"/>
      <c r="F1697" s="23"/>
      <c r="G1697" s="23"/>
    </row>
    <row r="1698" spans="2:7" x14ac:dyDescent="0.15">
      <c r="B1698" s="66"/>
      <c r="C1698" s="23"/>
      <c r="D1698" s="23"/>
      <c r="E1698" s="23"/>
      <c r="F1698" s="23"/>
      <c r="G1698" s="23"/>
    </row>
    <row r="1699" spans="2:7" x14ac:dyDescent="0.15">
      <c r="B1699" s="66"/>
      <c r="C1699" s="23"/>
      <c r="D1699" s="23"/>
      <c r="E1699" s="23"/>
      <c r="F1699" s="23"/>
      <c r="G1699" s="23"/>
    </row>
    <row r="1700" spans="2:7" x14ac:dyDescent="0.15">
      <c r="B1700" s="66"/>
      <c r="C1700" s="23"/>
      <c r="D1700" s="23"/>
      <c r="E1700" s="23"/>
      <c r="F1700" s="23"/>
      <c r="G1700" s="23"/>
    </row>
    <row r="1701" spans="2:7" x14ac:dyDescent="0.15">
      <c r="B1701" s="66"/>
      <c r="C1701" s="23"/>
      <c r="D1701" s="23"/>
      <c r="E1701" s="23"/>
      <c r="F1701" s="23"/>
      <c r="G1701" s="23"/>
    </row>
    <row r="1702" spans="2:7" x14ac:dyDescent="0.15">
      <c r="B1702" s="66"/>
      <c r="C1702" s="23"/>
      <c r="D1702" s="23"/>
      <c r="E1702" s="23"/>
      <c r="F1702" s="23"/>
      <c r="G1702" s="23"/>
    </row>
    <row r="1703" spans="2:7" x14ac:dyDescent="0.15">
      <c r="B1703" s="66"/>
      <c r="C1703" s="23"/>
      <c r="D1703" s="23"/>
      <c r="E1703" s="23"/>
      <c r="F1703" s="23"/>
      <c r="G1703" s="23"/>
    </row>
    <row r="1704" spans="2:7" x14ac:dyDescent="0.15">
      <c r="B1704" s="66"/>
      <c r="C1704" s="23"/>
      <c r="D1704" s="23"/>
      <c r="E1704" s="23"/>
      <c r="F1704" s="23"/>
      <c r="G1704" s="23"/>
    </row>
    <row r="1705" spans="2:7" x14ac:dyDescent="0.15">
      <c r="B1705" s="66"/>
      <c r="C1705" s="23"/>
      <c r="D1705" s="23"/>
      <c r="E1705" s="23"/>
      <c r="F1705" s="23"/>
      <c r="G1705" s="23"/>
    </row>
    <row r="1706" spans="2:7" x14ac:dyDescent="0.15">
      <c r="B1706" s="66"/>
      <c r="C1706" s="23"/>
      <c r="D1706" s="23"/>
      <c r="E1706" s="23"/>
      <c r="F1706" s="23"/>
      <c r="G1706" s="23"/>
    </row>
    <row r="1707" spans="2:7" x14ac:dyDescent="0.15">
      <c r="B1707" s="66"/>
      <c r="C1707" s="23"/>
      <c r="D1707" s="23"/>
      <c r="E1707" s="23"/>
      <c r="F1707" s="23"/>
      <c r="G1707" s="23"/>
    </row>
    <row r="1708" spans="2:7" x14ac:dyDescent="0.15">
      <c r="B1708" s="66"/>
      <c r="C1708" s="23"/>
      <c r="D1708" s="23"/>
      <c r="E1708" s="23"/>
      <c r="F1708" s="23"/>
      <c r="G1708" s="23"/>
    </row>
    <row r="1709" spans="2:7" x14ac:dyDescent="0.15">
      <c r="B1709" s="66"/>
      <c r="C1709" s="23"/>
      <c r="D1709" s="23"/>
      <c r="E1709" s="23"/>
      <c r="F1709" s="23"/>
      <c r="G1709" s="23"/>
    </row>
    <row r="1710" spans="2:7" x14ac:dyDescent="0.15">
      <c r="B1710" s="66"/>
      <c r="C1710" s="23"/>
      <c r="D1710" s="23"/>
      <c r="E1710" s="23"/>
      <c r="F1710" s="23"/>
      <c r="G1710" s="23"/>
    </row>
    <row r="1711" spans="2:7" x14ac:dyDescent="0.15">
      <c r="B1711" s="66"/>
      <c r="C1711" s="23"/>
      <c r="D1711" s="23"/>
      <c r="E1711" s="23"/>
      <c r="F1711" s="23"/>
      <c r="G1711" s="23"/>
    </row>
    <row r="1712" spans="2:7" x14ac:dyDescent="0.15">
      <c r="B1712" s="66"/>
      <c r="C1712" s="23"/>
      <c r="D1712" s="23"/>
      <c r="E1712" s="23"/>
      <c r="F1712" s="23"/>
      <c r="G1712" s="23"/>
    </row>
    <row r="1713" spans="2:7" x14ac:dyDescent="0.15">
      <c r="B1713" s="66"/>
      <c r="C1713" s="23"/>
      <c r="D1713" s="23"/>
      <c r="E1713" s="23"/>
      <c r="F1713" s="23"/>
      <c r="G1713" s="23"/>
    </row>
    <row r="1714" spans="2:7" x14ac:dyDescent="0.15">
      <c r="B1714" s="66"/>
      <c r="C1714" s="23"/>
      <c r="D1714" s="23"/>
      <c r="E1714" s="23"/>
      <c r="F1714" s="23"/>
      <c r="G1714" s="23"/>
    </row>
    <row r="1715" spans="2:7" x14ac:dyDescent="0.15">
      <c r="B1715" s="66"/>
      <c r="C1715" s="23"/>
      <c r="D1715" s="23"/>
      <c r="E1715" s="23"/>
      <c r="F1715" s="23"/>
      <c r="G1715" s="23"/>
    </row>
    <row r="1716" spans="2:7" x14ac:dyDescent="0.15">
      <c r="B1716" s="66"/>
      <c r="C1716" s="23"/>
      <c r="D1716" s="23"/>
      <c r="E1716" s="23"/>
      <c r="F1716" s="23"/>
      <c r="G1716" s="23"/>
    </row>
    <row r="1717" spans="2:7" x14ac:dyDescent="0.15">
      <c r="B1717" s="66"/>
      <c r="C1717" s="23"/>
      <c r="D1717" s="23"/>
      <c r="E1717" s="23"/>
      <c r="F1717" s="23"/>
      <c r="G1717" s="23"/>
    </row>
    <row r="1718" spans="2:7" x14ac:dyDescent="0.15">
      <c r="B1718" s="66"/>
      <c r="C1718" s="23"/>
      <c r="D1718" s="23"/>
      <c r="E1718" s="23"/>
      <c r="F1718" s="23"/>
      <c r="G1718" s="23"/>
    </row>
    <row r="1719" spans="2:7" x14ac:dyDescent="0.15">
      <c r="B1719" s="66"/>
      <c r="C1719" s="23"/>
      <c r="D1719" s="23"/>
      <c r="E1719" s="23"/>
      <c r="F1719" s="23"/>
      <c r="G1719" s="23"/>
    </row>
    <row r="1720" spans="2:7" x14ac:dyDescent="0.15">
      <c r="B1720" s="66"/>
      <c r="C1720" s="23"/>
      <c r="D1720" s="23"/>
      <c r="E1720" s="23"/>
      <c r="F1720" s="23"/>
      <c r="G1720" s="23"/>
    </row>
    <row r="1721" spans="2:7" x14ac:dyDescent="0.15">
      <c r="B1721" s="66"/>
      <c r="C1721" s="23"/>
      <c r="D1721" s="23"/>
      <c r="E1721" s="23"/>
      <c r="F1721" s="23"/>
      <c r="G1721" s="23"/>
    </row>
    <row r="1722" spans="2:7" x14ac:dyDescent="0.15">
      <c r="B1722" s="66"/>
      <c r="C1722" s="23"/>
      <c r="D1722" s="23"/>
      <c r="E1722" s="23"/>
      <c r="F1722" s="23"/>
      <c r="G1722" s="23"/>
    </row>
    <row r="1723" spans="2:7" x14ac:dyDescent="0.15">
      <c r="B1723" s="66"/>
      <c r="C1723" s="23"/>
      <c r="D1723" s="23"/>
      <c r="E1723" s="23"/>
      <c r="F1723" s="23"/>
      <c r="G1723" s="23"/>
    </row>
    <row r="1724" spans="2:7" x14ac:dyDescent="0.15">
      <c r="B1724" s="66"/>
      <c r="C1724" s="23"/>
      <c r="D1724" s="23"/>
      <c r="E1724" s="23"/>
      <c r="F1724" s="23"/>
      <c r="G1724" s="23"/>
    </row>
    <row r="1725" spans="2:7" x14ac:dyDescent="0.15">
      <c r="B1725" s="66"/>
      <c r="C1725" s="23"/>
      <c r="D1725" s="23"/>
      <c r="E1725" s="23"/>
      <c r="F1725" s="23"/>
      <c r="G1725" s="23"/>
    </row>
    <row r="1726" spans="2:7" x14ac:dyDescent="0.15">
      <c r="B1726" s="66"/>
      <c r="C1726" s="23"/>
      <c r="D1726" s="23"/>
      <c r="E1726" s="23"/>
      <c r="F1726" s="23"/>
      <c r="G1726" s="23"/>
    </row>
    <row r="1727" spans="2:7" x14ac:dyDescent="0.15">
      <c r="B1727" s="66"/>
      <c r="C1727" s="23"/>
      <c r="D1727" s="23"/>
      <c r="E1727" s="23"/>
      <c r="F1727" s="23"/>
      <c r="G1727" s="23"/>
    </row>
    <row r="1728" spans="2:7" x14ac:dyDescent="0.15">
      <c r="B1728" s="66"/>
      <c r="C1728" s="23"/>
      <c r="D1728" s="23"/>
      <c r="E1728" s="23"/>
      <c r="F1728" s="23"/>
      <c r="G1728" s="23"/>
    </row>
    <row r="1729" spans="2:7" x14ac:dyDescent="0.15">
      <c r="B1729" s="66"/>
      <c r="C1729" s="23"/>
      <c r="D1729" s="23"/>
      <c r="E1729" s="23"/>
      <c r="F1729" s="23"/>
      <c r="G1729" s="23"/>
    </row>
    <row r="1730" spans="2:7" x14ac:dyDescent="0.15">
      <c r="B1730" s="66"/>
      <c r="C1730" s="23"/>
      <c r="D1730" s="23"/>
      <c r="E1730" s="23"/>
      <c r="F1730" s="23"/>
      <c r="G1730" s="23"/>
    </row>
    <row r="1731" spans="2:7" x14ac:dyDescent="0.15">
      <c r="B1731" s="66"/>
      <c r="C1731" s="23"/>
      <c r="D1731" s="23"/>
      <c r="E1731" s="23"/>
      <c r="F1731" s="23"/>
      <c r="G1731" s="23"/>
    </row>
    <row r="1732" spans="2:7" x14ac:dyDescent="0.15">
      <c r="B1732" s="66"/>
      <c r="C1732" s="23"/>
      <c r="D1732" s="23"/>
      <c r="E1732" s="23"/>
      <c r="F1732" s="23"/>
      <c r="G1732" s="23"/>
    </row>
    <row r="1733" spans="2:7" x14ac:dyDescent="0.15">
      <c r="B1733" s="66"/>
      <c r="C1733" s="23"/>
      <c r="D1733" s="23"/>
      <c r="E1733" s="23"/>
      <c r="F1733" s="23"/>
      <c r="G1733" s="23"/>
    </row>
    <row r="1734" spans="2:7" x14ac:dyDescent="0.15">
      <c r="B1734" s="66"/>
      <c r="C1734" s="23"/>
      <c r="D1734" s="23"/>
      <c r="E1734" s="23"/>
      <c r="F1734" s="23"/>
      <c r="G1734" s="23"/>
    </row>
    <row r="1735" spans="2:7" x14ac:dyDescent="0.15">
      <c r="B1735" s="66"/>
      <c r="C1735" s="23"/>
      <c r="D1735" s="23"/>
      <c r="E1735" s="23"/>
      <c r="F1735" s="23"/>
      <c r="G1735" s="23"/>
    </row>
    <row r="1736" spans="2:7" x14ac:dyDescent="0.15">
      <c r="B1736" s="66"/>
      <c r="C1736" s="23"/>
      <c r="D1736" s="23"/>
      <c r="E1736" s="23"/>
      <c r="F1736" s="23"/>
      <c r="G1736" s="23"/>
    </row>
    <row r="1737" spans="2:7" x14ac:dyDescent="0.15">
      <c r="B1737" s="66"/>
      <c r="C1737" s="23"/>
      <c r="D1737" s="23"/>
      <c r="E1737" s="23"/>
      <c r="F1737" s="23"/>
      <c r="G1737" s="23"/>
    </row>
    <row r="1738" spans="2:7" x14ac:dyDescent="0.15">
      <c r="B1738" s="66"/>
      <c r="C1738" s="23"/>
      <c r="D1738" s="23"/>
      <c r="E1738" s="23"/>
      <c r="F1738" s="23"/>
      <c r="G1738" s="23"/>
    </row>
    <row r="1739" spans="2:7" x14ac:dyDescent="0.15">
      <c r="B1739" s="66"/>
      <c r="C1739" s="23"/>
      <c r="D1739" s="23"/>
      <c r="E1739" s="23"/>
      <c r="F1739" s="23"/>
      <c r="G1739" s="23"/>
    </row>
    <row r="1740" spans="2:7" x14ac:dyDescent="0.15">
      <c r="B1740" s="66"/>
      <c r="C1740" s="23"/>
      <c r="D1740" s="23"/>
      <c r="E1740" s="23"/>
      <c r="F1740" s="23"/>
      <c r="G1740" s="23"/>
    </row>
    <row r="1741" spans="2:7" x14ac:dyDescent="0.15">
      <c r="B1741" s="66"/>
      <c r="C1741" s="23"/>
      <c r="D1741" s="23"/>
      <c r="E1741" s="23"/>
      <c r="F1741" s="23"/>
      <c r="G1741" s="23"/>
    </row>
    <row r="1742" spans="2:7" x14ac:dyDescent="0.15">
      <c r="B1742" s="66"/>
      <c r="C1742" s="23"/>
      <c r="D1742" s="23"/>
      <c r="E1742" s="23"/>
      <c r="F1742" s="23"/>
      <c r="G1742" s="23"/>
    </row>
    <row r="1743" spans="2:7" x14ac:dyDescent="0.15">
      <c r="B1743" s="66"/>
      <c r="C1743" s="23"/>
      <c r="D1743" s="23"/>
      <c r="E1743" s="23"/>
      <c r="F1743" s="23"/>
      <c r="G1743" s="23"/>
    </row>
    <row r="1744" spans="2:7" x14ac:dyDescent="0.15">
      <c r="B1744" s="66"/>
      <c r="C1744" s="23"/>
      <c r="D1744" s="23"/>
      <c r="E1744" s="23"/>
      <c r="F1744" s="23"/>
      <c r="G1744" s="23"/>
    </row>
    <row r="1745" spans="2:7" x14ac:dyDescent="0.15">
      <c r="B1745" s="66"/>
      <c r="C1745" s="23"/>
      <c r="D1745" s="23"/>
      <c r="E1745" s="23"/>
      <c r="F1745" s="23"/>
      <c r="G1745" s="23"/>
    </row>
    <row r="1746" spans="2:7" x14ac:dyDescent="0.15">
      <c r="B1746" s="66"/>
      <c r="C1746" s="23"/>
      <c r="D1746" s="23"/>
      <c r="E1746" s="23"/>
      <c r="F1746" s="23"/>
      <c r="G1746" s="23"/>
    </row>
    <row r="1747" spans="2:7" x14ac:dyDescent="0.15">
      <c r="B1747" s="66"/>
      <c r="C1747" s="23"/>
      <c r="D1747" s="23"/>
      <c r="E1747" s="23"/>
      <c r="F1747" s="23"/>
      <c r="G1747" s="23"/>
    </row>
    <row r="1748" spans="2:7" x14ac:dyDescent="0.15">
      <c r="B1748" s="66"/>
      <c r="C1748" s="23"/>
      <c r="D1748" s="23"/>
      <c r="E1748" s="23"/>
      <c r="F1748" s="23"/>
      <c r="G1748" s="23"/>
    </row>
    <row r="1749" spans="2:7" x14ac:dyDescent="0.15">
      <c r="B1749" s="66"/>
      <c r="C1749" s="23"/>
      <c r="D1749" s="23"/>
      <c r="E1749" s="23"/>
      <c r="F1749" s="23"/>
      <c r="G1749" s="23"/>
    </row>
    <row r="1750" spans="2:7" x14ac:dyDescent="0.15">
      <c r="B1750" s="66"/>
      <c r="C1750" s="23"/>
      <c r="D1750" s="23"/>
      <c r="E1750" s="23"/>
      <c r="F1750" s="23"/>
      <c r="G1750" s="23"/>
    </row>
    <row r="1751" spans="2:7" x14ac:dyDescent="0.15">
      <c r="B1751" s="66"/>
      <c r="C1751" s="23"/>
      <c r="D1751" s="23"/>
      <c r="E1751" s="23"/>
      <c r="F1751" s="23"/>
      <c r="G1751" s="23"/>
    </row>
    <row r="1752" spans="2:7" x14ac:dyDescent="0.15">
      <c r="B1752" s="66"/>
      <c r="C1752" s="23"/>
      <c r="D1752" s="23"/>
      <c r="E1752" s="23"/>
      <c r="F1752" s="23"/>
      <c r="G1752" s="23"/>
    </row>
    <row r="1753" spans="2:7" x14ac:dyDescent="0.15">
      <c r="B1753" s="66"/>
      <c r="C1753" s="23"/>
      <c r="D1753" s="23"/>
      <c r="E1753" s="23"/>
      <c r="F1753" s="23"/>
      <c r="G1753" s="23"/>
    </row>
    <row r="1754" spans="2:7" x14ac:dyDescent="0.15">
      <c r="B1754" s="66"/>
      <c r="C1754" s="23"/>
      <c r="D1754" s="23"/>
      <c r="E1754" s="23"/>
      <c r="F1754" s="23"/>
      <c r="G1754" s="23"/>
    </row>
    <row r="1755" spans="2:7" x14ac:dyDescent="0.15">
      <c r="B1755" s="66"/>
      <c r="C1755" s="23"/>
      <c r="D1755" s="23"/>
      <c r="E1755" s="23"/>
      <c r="F1755" s="23"/>
      <c r="G1755" s="23"/>
    </row>
    <row r="1756" spans="2:7" x14ac:dyDescent="0.15">
      <c r="B1756" s="66"/>
      <c r="C1756" s="23"/>
      <c r="D1756" s="23"/>
      <c r="E1756" s="23"/>
      <c r="F1756" s="23"/>
      <c r="G1756" s="23"/>
    </row>
    <row r="1757" spans="2:7" x14ac:dyDescent="0.15">
      <c r="B1757" s="66"/>
      <c r="C1757" s="23"/>
      <c r="D1757" s="23"/>
      <c r="E1757" s="23"/>
      <c r="F1757" s="23"/>
      <c r="G1757" s="23"/>
    </row>
    <row r="1758" spans="2:7" x14ac:dyDescent="0.15">
      <c r="B1758" s="66"/>
      <c r="C1758" s="23"/>
      <c r="D1758" s="23"/>
      <c r="E1758" s="23"/>
      <c r="F1758" s="23"/>
      <c r="G1758" s="23"/>
    </row>
    <row r="1759" spans="2:7" x14ac:dyDescent="0.15">
      <c r="B1759" s="66"/>
      <c r="C1759" s="23"/>
      <c r="D1759" s="23"/>
      <c r="E1759" s="23"/>
      <c r="F1759" s="23"/>
      <c r="G1759" s="23"/>
    </row>
    <row r="1760" spans="2:7" x14ac:dyDescent="0.15">
      <c r="B1760" s="66"/>
      <c r="C1760" s="23"/>
      <c r="D1760" s="23"/>
      <c r="E1760" s="23"/>
      <c r="F1760" s="23"/>
      <c r="G1760" s="23"/>
    </row>
    <row r="1761" spans="2:7" x14ac:dyDescent="0.15">
      <c r="B1761" s="66"/>
      <c r="C1761" s="23"/>
      <c r="D1761" s="23"/>
      <c r="E1761" s="23"/>
      <c r="F1761" s="23"/>
      <c r="G1761" s="23"/>
    </row>
    <row r="1762" spans="2:7" x14ac:dyDescent="0.15">
      <c r="B1762" s="66"/>
      <c r="C1762" s="23"/>
      <c r="D1762" s="23"/>
      <c r="E1762" s="23"/>
      <c r="F1762" s="23"/>
      <c r="G1762" s="23"/>
    </row>
    <row r="1763" spans="2:7" x14ac:dyDescent="0.15">
      <c r="B1763" s="66"/>
      <c r="C1763" s="23"/>
      <c r="D1763" s="23"/>
      <c r="E1763" s="23"/>
      <c r="F1763" s="23"/>
      <c r="G1763" s="23"/>
    </row>
    <row r="1764" spans="2:7" x14ac:dyDescent="0.15">
      <c r="B1764" s="66"/>
      <c r="C1764" s="23"/>
      <c r="D1764" s="23"/>
      <c r="E1764" s="23"/>
      <c r="F1764" s="23"/>
      <c r="G1764" s="23"/>
    </row>
    <row r="1765" spans="2:7" x14ac:dyDescent="0.15">
      <c r="B1765" s="66"/>
      <c r="C1765" s="23"/>
      <c r="D1765" s="23"/>
      <c r="E1765" s="23"/>
      <c r="F1765" s="23"/>
      <c r="G1765" s="23"/>
    </row>
    <row r="1766" spans="2:7" x14ac:dyDescent="0.15">
      <c r="B1766" s="66"/>
      <c r="C1766" s="23"/>
      <c r="D1766" s="23"/>
      <c r="E1766" s="23"/>
      <c r="F1766" s="23"/>
      <c r="G1766" s="23"/>
    </row>
    <row r="1767" spans="2:7" x14ac:dyDescent="0.15">
      <c r="B1767" s="66"/>
      <c r="C1767" s="23"/>
      <c r="D1767" s="23"/>
      <c r="E1767" s="23"/>
      <c r="F1767" s="23"/>
      <c r="G1767" s="23"/>
    </row>
    <row r="1768" spans="2:7" x14ac:dyDescent="0.15">
      <c r="B1768" s="66"/>
      <c r="C1768" s="23"/>
      <c r="D1768" s="23"/>
      <c r="E1768" s="23"/>
      <c r="F1768" s="23"/>
      <c r="G1768" s="23"/>
    </row>
    <row r="1769" spans="2:7" x14ac:dyDescent="0.15">
      <c r="B1769" s="66"/>
      <c r="C1769" s="23"/>
      <c r="D1769" s="23"/>
      <c r="E1769" s="23"/>
      <c r="F1769" s="23"/>
      <c r="G1769" s="23"/>
    </row>
    <row r="1770" spans="2:7" x14ac:dyDescent="0.15">
      <c r="B1770" s="66"/>
      <c r="C1770" s="23"/>
      <c r="D1770" s="23"/>
      <c r="E1770" s="23"/>
      <c r="F1770" s="23"/>
      <c r="G1770" s="23"/>
    </row>
    <row r="1771" spans="2:7" x14ac:dyDescent="0.15">
      <c r="B1771" s="66"/>
      <c r="C1771" s="23"/>
      <c r="D1771" s="23"/>
      <c r="E1771" s="23"/>
      <c r="F1771" s="23"/>
      <c r="G1771" s="23"/>
    </row>
    <row r="1772" spans="2:7" x14ac:dyDescent="0.15">
      <c r="B1772" s="66"/>
      <c r="C1772" s="23"/>
      <c r="D1772" s="23"/>
      <c r="E1772" s="23"/>
      <c r="F1772" s="23"/>
      <c r="G1772" s="23"/>
    </row>
    <row r="1773" spans="2:7" x14ac:dyDescent="0.15">
      <c r="B1773" s="66"/>
      <c r="C1773" s="23"/>
      <c r="D1773" s="23"/>
      <c r="E1773" s="23"/>
      <c r="F1773" s="23"/>
      <c r="G1773" s="23"/>
    </row>
    <row r="1774" spans="2:7" x14ac:dyDescent="0.15">
      <c r="B1774" s="66"/>
      <c r="C1774" s="23"/>
      <c r="D1774" s="23"/>
      <c r="E1774" s="23"/>
      <c r="F1774" s="23"/>
      <c r="G1774" s="23"/>
    </row>
    <row r="1775" spans="2:7" x14ac:dyDescent="0.15">
      <c r="B1775" s="66"/>
      <c r="C1775" s="23"/>
      <c r="D1775" s="23"/>
      <c r="E1775" s="23"/>
      <c r="F1775" s="23"/>
      <c r="G1775" s="23"/>
    </row>
    <row r="1776" spans="2:7" x14ac:dyDescent="0.15">
      <c r="B1776" s="66"/>
      <c r="C1776" s="23"/>
      <c r="D1776" s="23"/>
      <c r="E1776" s="23"/>
      <c r="F1776" s="23"/>
      <c r="G1776" s="23"/>
    </row>
    <row r="1777" spans="2:7" x14ac:dyDescent="0.15">
      <c r="B1777" s="66"/>
      <c r="C1777" s="23"/>
      <c r="D1777" s="23"/>
      <c r="E1777" s="23"/>
      <c r="F1777" s="23"/>
      <c r="G1777" s="23"/>
    </row>
    <row r="1778" spans="2:7" x14ac:dyDescent="0.15">
      <c r="B1778" s="66"/>
      <c r="C1778" s="23"/>
      <c r="D1778" s="23"/>
      <c r="E1778" s="23"/>
      <c r="F1778" s="23"/>
      <c r="G1778" s="23"/>
    </row>
    <row r="1779" spans="2:7" x14ac:dyDescent="0.15">
      <c r="B1779" s="66"/>
      <c r="C1779" s="23"/>
      <c r="D1779" s="23"/>
      <c r="E1779" s="23"/>
      <c r="F1779" s="23"/>
      <c r="G1779" s="23"/>
    </row>
    <row r="1780" spans="2:7" x14ac:dyDescent="0.15">
      <c r="B1780" s="66"/>
      <c r="C1780" s="23"/>
      <c r="D1780" s="23"/>
      <c r="E1780" s="23"/>
      <c r="F1780" s="23"/>
      <c r="G1780" s="23"/>
    </row>
    <row r="1781" spans="2:7" x14ac:dyDescent="0.15">
      <c r="B1781" s="66"/>
      <c r="C1781" s="23"/>
      <c r="D1781" s="23"/>
      <c r="E1781" s="23"/>
      <c r="F1781" s="23"/>
      <c r="G1781" s="23"/>
    </row>
    <row r="1782" spans="2:7" x14ac:dyDescent="0.15">
      <c r="B1782" s="66"/>
      <c r="C1782" s="23"/>
      <c r="D1782" s="23"/>
      <c r="E1782" s="23"/>
      <c r="F1782" s="23"/>
      <c r="G1782" s="23"/>
    </row>
    <row r="1783" spans="2:7" x14ac:dyDescent="0.15">
      <c r="B1783" s="66"/>
      <c r="C1783" s="23"/>
      <c r="D1783" s="23"/>
      <c r="E1783" s="23"/>
      <c r="F1783" s="23"/>
      <c r="G1783" s="23"/>
    </row>
    <row r="1784" spans="2:7" x14ac:dyDescent="0.15">
      <c r="B1784" s="66"/>
      <c r="C1784" s="23"/>
      <c r="D1784" s="23"/>
      <c r="E1784" s="23"/>
      <c r="F1784" s="23"/>
      <c r="G1784" s="23"/>
    </row>
    <row r="1785" spans="2:7" x14ac:dyDescent="0.15">
      <c r="B1785" s="66"/>
      <c r="C1785" s="23"/>
      <c r="D1785" s="23"/>
      <c r="E1785" s="23"/>
      <c r="F1785" s="23"/>
      <c r="G1785" s="23"/>
    </row>
    <row r="1786" spans="2:7" x14ac:dyDescent="0.15">
      <c r="B1786" s="66"/>
      <c r="C1786" s="23"/>
      <c r="D1786" s="23"/>
      <c r="E1786" s="23"/>
      <c r="F1786" s="23"/>
      <c r="G1786" s="23"/>
    </row>
    <row r="1787" spans="2:7" x14ac:dyDescent="0.15">
      <c r="B1787" s="66"/>
      <c r="C1787" s="23"/>
      <c r="D1787" s="23"/>
      <c r="E1787" s="23"/>
      <c r="F1787" s="23"/>
      <c r="G1787" s="23"/>
    </row>
    <row r="1788" spans="2:7" x14ac:dyDescent="0.15">
      <c r="B1788" s="66"/>
      <c r="C1788" s="23"/>
      <c r="D1788" s="23"/>
      <c r="E1788" s="23"/>
      <c r="F1788" s="23"/>
      <c r="G1788" s="23"/>
    </row>
    <row r="1789" spans="2:7" x14ac:dyDescent="0.15">
      <c r="B1789" s="66"/>
      <c r="C1789" s="23"/>
      <c r="D1789" s="23"/>
      <c r="E1789" s="23"/>
      <c r="F1789" s="23"/>
      <c r="G1789" s="23"/>
    </row>
    <row r="1790" spans="2:7" x14ac:dyDescent="0.15">
      <c r="B1790" s="66"/>
      <c r="C1790" s="23"/>
      <c r="D1790" s="23"/>
      <c r="E1790" s="23"/>
      <c r="F1790" s="23"/>
      <c r="G1790" s="23"/>
    </row>
    <row r="1791" spans="2:7" x14ac:dyDescent="0.15">
      <c r="B1791" s="66"/>
      <c r="C1791" s="23"/>
      <c r="D1791" s="23"/>
      <c r="E1791" s="23"/>
      <c r="F1791" s="23"/>
      <c r="G1791" s="23"/>
    </row>
    <row r="1792" spans="2:7" x14ac:dyDescent="0.15">
      <c r="B1792" s="66"/>
      <c r="C1792" s="23"/>
      <c r="D1792" s="23"/>
      <c r="E1792" s="23"/>
      <c r="F1792" s="23"/>
      <c r="G1792" s="23"/>
    </row>
    <row r="1793" spans="2:7" x14ac:dyDescent="0.15">
      <c r="B1793" s="66"/>
      <c r="C1793" s="23"/>
      <c r="D1793" s="23"/>
      <c r="E1793" s="23"/>
      <c r="F1793" s="23"/>
      <c r="G1793" s="23"/>
    </row>
    <row r="1794" spans="2:7" x14ac:dyDescent="0.15">
      <c r="B1794" s="66"/>
      <c r="C1794" s="23"/>
      <c r="D1794" s="23"/>
      <c r="E1794" s="23"/>
      <c r="F1794" s="23"/>
      <c r="G1794" s="23"/>
    </row>
    <row r="1795" spans="2:7" x14ac:dyDescent="0.15">
      <c r="B1795" s="66"/>
      <c r="C1795" s="23"/>
      <c r="D1795" s="23"/>
      <c r="E1795" s="23"/>
      <c r="F1795" s="23"/>
      <c r="G1795" s="23"/>
    </row>
    <row r="1796" spans="2:7" x14ac:dyDescent="0.15">
      <c r="B1796" s="66"/>
      <c r="C1796" s="23"/>
      <c r="D1796" s="23"/>
      <c r="E1796" s="23"/>
      <c r="F1796" s="23"/>
      <c r="G1796" s="23"/>
    </row>
    <row r="1797" spans="2:7" x14ac:dyDescent="0.15">
      <c r="B1797" s="66"/>
      <c r="C1797" s="23"/>
      <c r="D1797" s="23"/>
      <c r="E1797" s="23"/>
      <c r="F1797" s="23"/>
      <c r="G1797" s="23"/>
    </row>
    <row r="1798" spans="2:7" x14ac:dyDescent="0.15">
      <c r="B1798" s="66"/>
      <c r="C1798" s="23"/>
      <c r="D1798" s="23"/>
      <c r="E1798" s="23"/>
      <c r="F1798" s="23"/>
      <c r="G1798" s="23"/>
    </row>
    <row r="1799" spans="2:7" x14ac:dyDescent="0.15">
      <c r="B1799" s="66"/>
      <c r="C1799" s="23"/>
      <c r="D1799" s="23"/>
      <c r="E1799" s="23"/>
      <c r="F1799" s="23"/>
      <c r="G1799" s="23"/>
    </row>
    <row r="1800" spans="2:7" x14ac:dyDescent="0.15">
      <c r="B1800" s="66"/>
      <c r="C1800" s="23"/>
      <c r="D1800" s="23"/>
      <c r="E1800" s="23"/>
      <c r="F1800" s="23"/>
      <c r="G1800" s="23"/>
    </row>
    <row r="1801" spans="2:7" x14ac:dyDescent="0.15">
      <c r="B1801" s="66"/>
      <c r="C1801" s="23"/>
      <c r="D1801" s="23"/>
      <c r="E1801" s="23"/>
      <c r="F1801" s="23"/>
      <c r="G1801" s="23"/>
    </row>
    <row r="1802" spans="2:7" x14ac:dyDescent="0.15">
      <c r="B1802" s="66"/>
      <c r="C1802" s="23"/>
      <c r="D1802" s="23"/>
      <c r="E1802" s="23"/>
      <c r="F1802" s="23"/>
      <c r="G1802" s="23"/>
    </row>
    <row r="1803" spans="2:7" x14ac:dyDescent="0.15">
      <c r="B1803" s="66"/>
      <c r="C1803" s="23"/>
      <c r="D1803" s="23"/>
      <c r="E1803" s="23"/>
      <c r="F1803" s="23"/>
      <c r="G1803" s="23"/>
    </row>
    <row r="1804" spans="2:7" x14ac:dyDescent="0.15">
      <c r="B1804" s="66"/>
      <c r="C1804" s="23"/>
      <c r="D1804" s="23"/>
      <c r="E1804" s="23"/>
      <c r="F1804" s="23"/>
      <c r="G1804" s="23"/>
    </row>
    <row r="1805" spans="2:7" x14ac:dyDescent="0.15">
      <c r="B1805" s="66"/>
      <c r="C1805" s="23"/>
      <c r="D1805" s="23"/>
      <c r="E1805" s="23"/>
      <c r="F1805" s="23"/>
      <c r="G1805" s="23"/>
    </row>
    <row r="1806" spans="2:7" x14ac:dyDescent="0.15">
      <c r="B1806" s="66"/>
      <c r="C1806" s="23"/>
      <c r="D1806" s="23"/>
      <c r="E1806" s="23"/>
      <c r="F1806" s="23"/>
      <c r="G1806" s="23"/>
    </row>
    <row r="1807" spans="2:7" x14ac:dyDescent="0.15">
      <c r="B1807" s="66"/>
      <c r="C1807" s="23"/>
      <c r="D1807" s="23"/>
      <c r="E1807" s="23"/>
      <c r="F1807" s="23"/>
      <c r="G1807" s="23"/>
    </row>
    <row r="1808" spans="2:7" x14ac:dyDescent="0.15">
      <c r="B1808" s="66"/>
      <c r="C1808" s="23"/>
      <c r="D1808" s="23"/>
      <c r="E1808" s="23"/>
      <c r="F1808" s="23"/>
      <c r="G1808" s="23"/>
    </row>
    <row r="1809" spans="2:7" x14ac:dyDescent="0.15">
      <c r="B1809" s="66"/>
      <c r="C1809" s="23"/>
      <c r="D1809" s="23"/>
      <c r="E1809" s="23"/>
      <c r="F1809" s="23"/>
      <c r="G1809" s="23"/>
    </row>
    <row r="1810" spans="2:7" x14ac:dyDescent="0.15">
      <c r="B1810" s="66"/>
      <c r="C1810" s="23"/>
      <c r="D1810" s="23"/>
      <c r="E1810" s="23"/>
      <c r="F1810" s="23"/>
      <c r="G1810" s="23"/>
    </row>
    <row r="1811" spans="2:7" x14ac:dyDescent="0.15">
      <c r="B1811" s="66"/>
      <c r="C1811" s="23"/>
      <c r="D1811" s="23"/>
      <c r="E1811" s="23"/>
      <c r="F1811" s="23"/>
      <c r="G1811" s="23"/>
    </row>
    <row r="1812" spans="2:7" x14ac:dyDescent="0.15">
      <c r="B1812" s="66"/>
      <c r="C1812" s="23"/>
      <c r="D1812" s="23"/>
      <c r="E1812" s="23"/>
      <c r="F1812" s="23"/>
      <c r="G1812" s="23"/>
    </row>
    <row r="1813" spans="2:7" x14ac:dyDescent="0.15">
      <c r="B1813" s="66"/>
      <c r="C1813" s="23"/>
      <c r="D1813" s="23"/>
      <c r="E1813" s="23"/>
      <c r="F1813" s="23"/>
      <c r="G1813" s="23"/>
    </row>
    <row r="1814" spans="2:7" x14ac:dyDescent="0.15">
      <c r="B1814" s="66"/>
      <c r="C1814" s="23"/>
      <c r="D1814" s="23"/>
      <c r="E1814" s="23"/>
      <c r="F1814" s="23"/>
      <c r="G1814" s="23"/>
    </row>
    <row r="1815" spans="2:7" x14ac:dyDescent="0.15">
      <c r="B1815" s="66"/>
      <c r="C1815" s="23"/>
      <c r="D1815" s="23"/>
      <c r="E1815" s="23"/>
      <c r="F1815" s="23"/>
      <c r="G1815" s="23"/>
    </row>
    <row r="1816" spans="2:7" x14ac:dyDescent="0.15">
      <c r="B1816" s="66"/>
      <c r="C1816" s="23"/>
      <c r="D1816" s="23"/>
      <c r="E1816" s="23"/>
      <c r="F1816" s="23"/>
      <c r="G1816" s="23"/>
    </row>
    <row r="1817" spans="2:7" x14ac:dyDescent="0.15">
      <c r="B1817" s="66"/>
      <c r="C1817" s="23"/>
      <c r="D1817" s="23"/>
      <c r="E1817" s="23"/>
      <c r="F1817" s="23"/>
      <c r="G1817" s="23"/>
    </row>
    <row r="1818" spans="2:7" x14ac:dyDescent="0.15">
      <c r="B1818" s="66"/>
      <c r="C1818" s="23"/>
      <c r="D1818" s="23"/>
      <c r="E1818" s="23"/>
      <c r="F1818" s="23"/>
      <c r="G1818" s="23"/>
    </row>
    <row r="1819" spans="2:7" x14ac:dyDescent="0.15">
      <c r="B1819" s="66"/>
      <c r="C1819" s="23"/>
      <c r="D1819" s="23"/>
      <c r="E1819" s="23"/>
      <c r="F1819" s="23"/>
      <c r="G1819" s="23"/>
    </row>
    <row r="1820" spans="2:7" x14ac:dyDescent="0.15">
      <c r="B1820" s="66"/>
      <c r="C1820" s="23"/>
      <c r="D1820" s="23"/>
      <c r="E1820" s="23"/>
      <c r="F1820" s="23"/>
      <c r="G1820" s="23"/>
    </row>
    <row r="1821" spans="2:7" x14ac:dyDescent="0.15">
      <c r="B1821" s="66"/>
      <c r="C1821" s="23"/>
      <c r="D1821" s="23"/>
      <c r="E1821" s="23"/>
      <c r="F1821" s="23"/>
      <c r="G1821" s="23"/>
    </row>
    <row r="1822" spans="2:7" x14ac:dyDescent="0.15">
      <c r="B1822" s="66"/>
      <c r="C1822" s="23"/>
      <c r="D1822" s="23"/>
      <c r="E1822" s="23"/>
      <c r="F1822" s="23"/>
      <c r="G1822" s="23"/>
    </row>
    <row r="1823" spans="2:7" x14ac:dyDescent="0.15">
      <c r="B1823" s="66"/>
      <c r="C1823" s="23"/>
      <c r="D1823" s="23"/>
      <c r="E1823" s="23"/>
      <c r="F1823" s="23"/>
      <c r="G1823" s="23"/>
    </row>
    <row r="1824" spans="2:7" x14ac:dyDescent="0.15">
      <c r="B1824" s="66"/>
      <c r="C1824" s="23"/>
      <c r="D1824" s="23"/>
      <c r="E1824" s="23"/>
      <c r="F1824" s="23"/>
      <c r="G1824" s="23"/>
    </row>
    <row r="1825" spans="2:7" x14ac:dyDescent="0.15">
      <c r="B1825" s="66"/>
      <c r="C1825" s="23"/>
      <c r="D1825" s="23"/>
      <c r="E1825" s="23"/>
      <c r="F1825" s="23"/>
      <c r="G1825" s="23"/>
    </row>
    <row r="1826" spans="2:7" x14ac:dyDescent="0.15">
      <c r="B1826" s="66"/>
      <c r="C1826" s="23"/>
      <c r="D1826" s="23"/>
      <c r="E1826" s="23"/>
      <c r="F1826" s="23"/>
      <c r="G1826" s="23"/>
    </row>
    <row r="1827" spans="2:7" x14ac:dyDescent="0.15">
      <c r="B1827" s="66"/>
      <c r="C1827" s="23"/>
      <c r="D1827" s="23"/>
      <c r="E1827" s="23"/>
      <c r="F1827" s="23"/>
      <c r="G1827" s="23"/>
    </row>
    <row r="1828" spans="2:7" x14ac:dyDescent="0.15">
      <c r="B1828" s="66"/>
      <c r="C1828" s="23"/>
      <c r="D1828" s="23"/>
      <c r="E1828" s="23"/>
      <c r="F1828" s="23"/>
      <c r="G1828" s="23"/>
    </row>
    <row r="1829" spans="2:7" x14ac:dyDescent="0.15">
      <c r="B1829" s="66"/>
      <c r="C1829" s="23"/>
      <c r="D1829" s="23"/>
      <c r="E1829" s="23"/>
      <c r="F1829" s="23"/>
      <c r="G1829" s="23"/>
    </row>
    <row r="1830" spans="2:7" x14ac:dyDescent="0.15">
      <c r="B1830" s="66"/>
      <c r="C1830" s="23"/>
      <c r="D1830" s="23"/>
      <c r="E1830" s="23"/>
      <c r="F1830" s="23"/>
      <c r="G1830" s="23"/>
    </row>
    <row r="1831" spans="2:7" x14ac:dyDescent="0.15">
      <c r="B1831" s="66"/>
      <c r="C1831" s="23"/>
      <c r="D1831" s="23"/>
      <c r="E1831" s="23"/>
      <c r="F1831" s="23"/>
      <c r="G1831" s="23"/>
    </row>
    <row r="1832" spans="2:7" x14ac:dyDescent="0.15">
      <c r="B1832" s="66"/>
      <c r="C1832" s="23"/>
      <c r="D1832" s="23"/>
      <c r="E1832" s="23"/>
      <c r="F1832" s="23"/>
      <c r="G1832" s="23"/>
    </row>
    <row r="1833" spans="2:7" x14ac:dyDescent="0.15">
      <c r="B1833" s="66"/>
      <c r="C1833" s="23"/>
      <c r="D1833" s="23"/>
      <c r="E1833" s="23"/>
      <c r="F1833" s="23"/>
      <c r="G1833" s="23"/>
    </row>
    <row r="1834" spans="2:7" x14ac:dyDescent="0.15">
      <c r="B1834" s="66"/>
      <c r="C1834" s="23"/>
      <c r="D1834" s="23"/>
      <c r="E1834" s="23"/>
      <c r="F1834" s="23"/>
      <c r="G1834" s="23"/>
    </row>
    <row r="1835" spans="2:7" x14ac:dyDescent="0.15">
      <c r="B1835" s="66"/>
      <c r="C1835" s="23"/>
      <c r="D1835" s="23"/>
      <c r="E1835" s="23"/>
      <c r="F1835" s="23"/>
      <c r="G1835" s="23"/>
    </row>
    <row r="1836" spans="2:7" x14ac:dyDescent="0.15">
      <c r="B1836" s="66"/>
      <c r="C1836" s="23"/>
      <c r="D1836" s="23"/>
      <c r="E1836" s="23"/>
      <c r="F1836" s="23"/>
      <c r="G1836" s="23"/>
    </row>
    <row r="1837" spans="2:7" x14ac:dyDescent="0.15">
      <c r="B1837" s="66"/>
      <c r="C1837" s="23"/>
      <c r="D1837" s="23"/>
      <c r="E1837" s="23"/>
      <c r="F1837" s="23"/>
      <c r="G1837" s="23"/>
    </row>
    <row r="1838" spans="2:7" x14ac:dyDescent="0.15">
      <c r="B1838" s="66"/>
      <c r="C1838" s="23"/>
      <c r="D1838" s="23"/>
      <c r="E1838" s="23"/>
      <c r="F1838" s="23"/>
      <c r="G1838" s="23"/>
    </row>
    <row r="1839" spans="2:7" x14ac:dyDescent="0.15">
      <c r="B1839" s="66"/>
      <c r="C1839" s="23"/>
      <c r="D1839" s="23"/>
      <c r="E1839" s="23"/>
      <c r="F1839" s="23"/>
      <c r="G1839" s="23"/>
    </row>
    <row r="1840" spans="2:7" x14ac:dyDescent="0.15">
      <c r="B1840" s="66"/>
      <c r="C1840" s="23"/>
      <c r="D1840" s="23"/>
      <c r="E1840" s="23"/>
      <c r="F1840" s="23"/>
      <c r="G1840" s="23"/>
    </row>
    <row r="1841" spans="2:7" x14ac:dyDescent="0.15">
      <c r="B1841" s="66"/>
      <c r="C1841" s="23"/>
      <c r="D1841" s="23"/>
      <c r="E1841" s="23"/>
      <c r="F1841" s="23"/>
      <c r="G1841" s="23"/>
    </row>
    <row r="1842" spans="2:7" x14ac:dyDescent="0.15">
      <c r="B1842" s="66"/>
      <c r="C1842" s="23"/>
      <c r="D1842" s="23"/>
      <c r="E1842" s="23"/>
      <c r="F1842" s="23"/>
      <c r="G1842" s="23"/>
    </row>
    <row r="1843" spans="2:7" x14ac:dyDescent="0.15">
      <c r="B1843" s="66"/>
      <c r="C1843" s="23"/>
      <c r="D1843" s="23"/>
      <c r="E1843" s="23"/>
      <c r="F1843" s="23"/>
      <c r="G1843" s="23"/>
    </row>
    <row r="1844" spans="2:7" x14ac:dyDescent="0.15">
      <c r="B1844" s="66"/>
      <c r="C1844" s="23"/>
      <c r="D1844" s="23"/>
      <c r="E1844" s="23"/>
      <c r="F1844" s="23"/>
      <c r="G1844" s="23"/>
    </row>
    <row r="1845" spans="2:7" x14ac:dyDescent="0.15">
      <c r="B1845" s="66"/>
      <c r="C1845" s="23"/>
      <c r="D1845" s="23"/>
      <c r="E1845" s="23"/>
      <c r="F1845" s="23"/>
      <c r="G1845" s="23"/>
    </row>
    <row r="1846" spans="2:7" x14ac:dyDescent="0.15">
      <c r="B1846" s="66"/>
      <c r="C1846" s="23"/>
      <c r="D1846" s="23"/>
      <c r="E1846" s="23"/>
      <c r="F1846" s="23"/>
      <c r="G1846" s="23"/>
    </row>
    <row r="1847" spans="2:7" x14ac:dyDescent="0.15">
      <c r="B1847" s="66"/>
      <c r="C1847" s="23"/>
      <c r="D1847" s="23"/>
      <c r="E1847" s="23"/>
      <c r="F1847" s="23"/>
      <c r="G1847" s="23"/>
    </row>
    <row r="1848" spans="2:7" x14ac:dyDescent="0.15">
      <c r="B1848" s="66"/>
      <c r="C1848" s="23"/>
      <c r="D1848" s="23"/>
      <c r="E1848" s="23"/>
      <c r="F1848" s="23"/>
      <c r="G1848" s="23"/>
    </row>
    <row r="1849" spans="2:7" x14ac:dyDescent="0.15">
      <c r="B1849" s="66"/>
      <c r="C1849" s="23"/>
      <c r="D1849" s="23"/>
      <c r="E1849" s="23"/>
      <c r="F1849" s="23"/>
      <c r="G1849" s="23"/>
    </row>
    <row r="1850" spans="2:7" x14ac:dyDescent="0.15">
      <c r="B1850" s="66"/>
      <c r="C1850" s="23"/>
      <c r="D1850" s="23"/>
      <c r="E1850" s="23"/>
      <c r="F1850" s="23"/>
      <c r="G1850" s="23"/>
    </row>
    <row r="1851" spans="2:7" x14ac:dyDescent="0.15">
      <c r="B1851" s="66"/>
      <c r="C1851" s="23"/>
      <c r="D1851" s="23"/>
      <c r="E1851" s="23"/>
      <c r="F1851" s="23"/>
      <c r="G1851" s="23"/>
    </row>
    <row r="1852" spans="2:7" x14ac:dyDescent="0.15">
      <c r="B1852" s="66"/>
      <c r="C1852" s="23"/>
      <c r="D1852" s="23"/>
      <c r="E1852" s="23"/>
      <c r="F1852" s="23"/>
      <c r="G1852" s="23"/>
    </row>
    <row r="1853" spans="2:7" x14ac:dyDescent="0.15">
      <c r="B1853" s="66"/>
      <c r="C1853" s="23"/>
      <c r="D1853" s="23"/>
      <c r="E1853" s="23"/>
      <c r="F1853" s="23"/>
      <c r="G1853" s="23"/>
    </row>
    <row r="1854" spans="2:7" x14ac:dyDescent="0.15">
      <c r="B1854" s="66"/>
      <c r="C1854" s="23"/>
      <c r="D1854" s="23"/>
      <c r="E1854" s="23"/>
      <c r="F1854" s="23"/>
      <c r="G1854" s="23"/>
    </row>
    <row r="1855" spans="2:7" x14ac:dyDescent="0.15">
      <c r="B1855" s="66"/>
      <c r="C1855" s="23"/>
      <c r="D1855" s="23"/>
      <c r="E1855" s="23"/>
      <c r="F1855" s="23"/>
      <c r="G1855" s="23"/>
    </row>
    <row r="1856" spans="2:7" x14ac:dyDescent="0.15">
      <c r="B1856" s="66"/>
      <c r="C1856" s="23"/>
      <c r="D1856" s="23"/>
      <c r="E1856" s="23"/>
      <c r="F1856" s="23"/>
      <c r="G1856" s="23"/>
    </row>
    <row r="1857" spans="2:7" x14ac:dyDescent="0.15">
      <c r="B1857" s="66"/>
      <c r="C1857" s="23"/>
      <c r="D1857" s="23"/>
      <c r="E1857" s="23"/>
      <c r="F1857" s="23"/>
      <c r="G1857" s="23"/>
    </row>
    <row r="1858" spans="2:7" x14ac:dyDescent="0.15">
      <c r="B1858" s="66"/>
      <c r="C1858" s="23"/>
      <c r="D1858" s="23"/>
      <c r="E1858" s="23"/>
      <c r="F1858" s="23"/>
      <c r="G1858" s="23"/>
    </row>
    <row r="1859" spans="2:7" x14ac:dyDescent="0.15">
      <c r="B1859" s="66"/>
      <c r="C1859" s="23"/>
      <c r="D1859" s="23"/>
      <c r="E1859" s="23"/>
      <c r="F1859" s="23"/>
      <c r="G1859" s="23"/>
    </row>
    <row r="1860" spans="2:7" x14ac:dyDescent="0.15">
      <c r="B1860" s="66"/>
      <c r="C1860" s="23"/>
      <c r="D1860" s="23"/>
      <c r="E1860" s="23"/>
      <c r="F1860" s="23"/>
      <c r="G1860" s="23"/>
    </row>
    <row r="1861" spans="2:7" x14ac:dyDescent="0.15">
      <c r="B1861" s="66"/>
      <c r="C1861" s="23"/>
      <c r="D1861" s="23"/>
      <c r="E1861" s="23"/>
      <c r="F1861" s="23"/>
      <c r="G1861" s="23"/>
    </row>
    <row r="1862" spans="2:7" x14ac:dyDescent="0.15">
      <c r="B1862" s="66"/>
      <c r="C1862" s="23"/>
      <c r="D1862" s="23"/>
      <c r="E1862" s="23"/>
      <c r="F1862" s="23"/>
      <c r="G1862" s="23"/>
    </row>
    <row r="1863" spans="2:7" x14ac:dyDescent="0.15">
      <c r="B1863" s="66"/>
      <c r="C1863" s="23"/>
      <c r="D1863" s="23"/>
      <c r="E1863" s="23"/>
      <c r="F1863" s="23"/>
      <c r="G1863" s="23"/>
    </row>
    <row r="1864" spans="2:7" x14ac:dyDescent="0.15">
      <c r="B1864" s="66"/>
      <c r="C1864" s="23"/>
      <c r="D1864" s="23"/>
      <c r="E1864" s="23"/>
      <c r="F1864" s="23"/>
      <c r="G1864" s="23"/>
    </row>
    <row r="1865" spans="2:7" x14ac:dyDescent="0.15">
      <c r="B1865" s="66"/>
      <c r="C1865" s="23"/>
      <c r="D1865" s="23"/>
      <c r="E1865" s="23"/>
      <c r="F1865" s="23"/>
      <c r="G1865" s="23"/>
    </row>
    <row r="1866" spans="2:7" x14ac:dyDescent="0.15">
      <c r="B1866" s="66"/>
      <c r="C1866" s="23"/>
      <c r="D1866" s="23"/>
      <c r="E1866" s="23"/>
      <c r="F1866" s="23"/>
      <c r="G1866" s="23"/>
    </row>
    <row r="1867" spans="2:7" x14ac:dyDescent="0.15">
      <c r="B1867" s="66"/>
      <c r="C1867" s="23"/>
      <c r="D1867" s="23"/>
      <c r="E1867" s="23"/>
      <c r="F1867" s="23"/>
      <c r="G1867" s="23"/>
    </row>
    <row r="1868" spans="2:7" x14ac:dyDescent="0.15">
      <c r="B1868" s="66"/>
      <c r="C1868" s="23"/>
      <c r="D1868" s="23"/>
      <c r="E1868" s="23"/>
      <c r="F1868" s="23"/>
      <c r="G1868" s="23"/>
    </row>
    <row r="1869" spans="2:7" x14ac:dyDescent="0.15">
      <c r="B1869" s="66"/>
      <c r="C1869" s="23"/>
      <c r="D1869" s="23"/>
      <c r="E1869" s="23"/>
      <c r="F1869" s="23"/>
      <c r="G1869" s="23"/>
    </row>
    <row r="1870" spans="2:7" x14ac:dyDescent="0.15">
      <c r="B1870" s="66"/>
      <c r="C1870" s="23"/>
      <c r="D1870" s="23"/>
      <c r="E1870" s="23"/>
      <c r="F1870" s="23"/>
      <c r="G1870" s="23"/>
    </row>
    <row r="1871" spans="2:7" x14ac:dyDescent="0.15">
      <c r="B1871" s="66"/>
      <c r="C1871" s="23"/>
      <c r="D1871" s="23"/>
      <c r="E1871" s="23"/>
      <c r="F1871" s="23"/>
      <c r="G1871" s="23"/>
    </row>
    <row r="1872" spans="2:7" x14ac:dyDescent="0.15">
      <c r="B1872" s="66"/>
      <c r="C1872" s="23"/>
      <c r="D1872" s="23"/>
      <c r="E1872" s="23"/>
      <c r="F1872" s="23"/>
      <c r="G1872" s="23"/>
    </row>
    <row r="1873" spans="2:7" x14ac:dyDescent="0.15">
      <c r="B1873" s="66"/>
      <c r="C1873" s="23"/>
      <c r="D1873" s="23"/>
      <c r="E1873" s="23"/>
      <c r="F1873" s="23"/>
      <c r="G1873" s="23"/>
    </row>
    <row r="1874" spans="2:7" x14ac:dyDescent="0.15">
      <c r="B1874" s="66"/>
      <c r="C1874" s="23"/>
      <c r="D1874" s="23"/>
      <c r="E1874" s="23"/>
      <c r="F1874" s="23"/>
      <c r="G1874" s="23"/>
    </row>
    <row r="1875" spans="2:7" x14ac:dyDescent="0.15">
      <c r="B1875" s="66"/>
      <c r="C1875" s="23"/>
      <c r="D1875" s="23"/>
      <c r="E1875" s="23"/>
      <c r="F1875" s="23"/>
      <c r="G1875" s="23"/>
    </row>
    <row r="1876" spans="2:7" x14ac:dyDescent="0.15">
      <c r="B1876" s="66"/>
      <c r="C1876" s="23"/>
      <c r="D1876" s="23"/>
      <c r="E1876" s="23"/>
      <c r="F1876" s="23"/>
      <c r="G1876" s="23"/>
    </row>
    <row r="1877" spans="2:7" x14ac:dyDescent="0.15">
      <c r="B1877" s="66"/>
      <c r="C1877" s="23"/>
      <c r="D1877" s="23"/>
      <c r="E1877" s="23"/>
      <c r="F1877" s="23"/>
      <c r="G1877" s="23"/>
    </row>
    <row r="1878" spans="2:7" x14ac:dyDescent="0.15">
      <c r="B1878" s="66"/>
      <c r="C1878" s="23"/>
      <c r="D1878" s="23"/>
      <c r="E1878" s="23"/>
      <c r="F1878" s="23"/>
      <c r="G1878" s="23"/>
    </row>
    <row r="1879" spans="2:7" x14ac:dyDescent="0.15">
      <c r="B1879" s="66"/>
      <c r="C1879" s="23"/>
      <c r="D1879" s="23"/>
      <c r="E1879" s="23"/>
      <c r="F1879" s="23"/>
      <c r="G1879" s="23"/>
    </row>
    <row r="1880" spans="2:7" x14ac:dyDescent="0.15">
      <c r="B1880" s="66"/>
      <c r="C1880" s="23"/>
      <c r="D1880" s="23"/>
      <c r="E1880" s="23"/>
      <c r="F1880" s="23"/>
      <c r="G1880" s="23"/>
    </row>
    <row r="1881" spans="2:7" x14ac:dyDescent="0.15">
      <c r="B1881" s="66"/>
      <c r="C1881" s="23"/>
      <c r="D1881" s="23"/>
      <c r="E1881" s="23"/>
      <c r="F1881" s="23"/>
      <c r="G1881" s="23"/>
    </row>
    <row r="1882" spans="2:7" x14ac:dyDescent="0.15">
      <c r="B1882" s="66"/>
      <c r="C1882" s="23"/>
      <c r="D1882" s="23"/>
      <c r="E1882" s="23"/>
      <c r="F1882" s="23"/>
      <c r="G1882" s="23"/>
    </row>
    <row r="1883" spans="2:7" x14ac:dyDescent="0.15">
      <c r="B1883" s="66"/>
      <c r="C1883" s="23"/>
      <c r="D1883" s="23"/>
      <c r="E1883" s="23"/>
      <c r="F1883" s="23"/>
      <c r="G1883" s="23"/>
    </row>
    <row r="1884" spans="2:7" x14ac:dyDescent="0.15">
      <c r="B1884" s="66"/>
      <c r="C1884" s="23"/>
      <c r="D1884" s="23"/>
      <c r="E1884" s="23"/>
      <c r="F1884" s="23"/>
      <c r="G1884" s="23"/>
    </row>
    <row r="1885" spans="2:7" x14ac:dyDescent="0.15">
      <c r="B1885" s="66"/>
      <c r="C1885" s="23"/>
      <c r="D1885" s="23"/>
      <c r="E1885" s="23"/>
      <c r="F1885" s="23"/>
      <c r="G1885" s="23"/>
    </row>
    <row r="1886" spans="2:7" x14ac:dyDescent="0.15">
      <c r="B1886" s="66"/>
      <c r="C1886" s="23"/>
      <c r="D1886" s="23"/>
      <c r="E1886" s="23"/>
      <c r="F1886" s="23"/>
      <c r="G1886" s="23"/>
    </row>
    <row r="1887" spans="2:7" x14ac:dyDescent="0.15">
      <c r="B1887" s="66"/>
      <c r="C1887" s="23"/>
      <c r="D1887" s="23"/>
      <c r="E1887" s="23"/>
      <c r="F1887" s="23"/>
      <c r="G1887" s="23"/>
    </row>
    <row r="1888" spans="2:7" x14ac:dyDescent="0.15">
      <c r="B1888" s="66"/>
      <c r="C1888" s="23"/>
      <c r="D1888" s="23"/>
      <c r="E1888" s="23"/>
      <c r="F1888" s="23"/>
      <c r="G1888" s="23"/>
    </row>
    <row r="1889" spans="2:7" x14ac:dyDescent="0.15">
      <c r="B1889" s="66"/>
      <c r="C1889" s="23"/>
      <c r="D1889" s="23"/>
      <c r="E1889" s="23"/>
      <c r="F1889" s="23"/>
      <c r="G1889" s="23"/>
    </row>
  </sheetData>
  <phoneticPr fontId="0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2:AK1032"/>
  <sheetViews>
    <sheetView zoomScale="70" zoomScaleNormal="70" zoomScalePageLayoutView="70" workbookViewId="0">
      <selection activeCell="C50" sqref="C50"/>
    </sheetView>
  </sheetViews>
  <sheetFormatPr baseColWidth="10" defaultColWidth="11.5" defaultRowHeight="13" x14ac:dyDescent="0.15"/>
  <sheetData>
    <row r="2" spans="1:37" x14ac:dyDescent="0.15">
      <c r="A2">
        <v>2013</v>
      </c>
      <c r="C2" t="s">
        <v>796</v>
      </c>
      <c r="H2" t="s">
        <v>795</v>
      </c>
      <c r="M2" t="s">
        <v>970</v>
      </c>
      <c r="AA2" t="s">
        <v>713</v>
      </c>
      <c r="AD2" t="s">
        <v>714</v>
      </c>
      <c r="AG2" t="s">
        <v>715</v>
      </c>
      <c r="AJ2" t="s">
        <v>716</v>
      </c>
    </row>
    <row r="3" spans="1:37" x14ac:dyDescent="0.15">
      <c r="C3">
        <v>2009</v>
      </c>
      <c r="E3">
        <v>2013</v>
      </c>
      <c r="H3">
        <v>2009</v>
      </c>
      <c r="J3">
        <v>2013</v>
      </c>
      <c r="M3">
        <v>2009</v>
      </c>
      <c r="O3">
        <v>2013</v>
      </c>
    </row>
    <row r="4" spans="1:37" x14ac:dyDescent="0.15">
      <c r="C4" s="531" t="s">
        <v>711</v>
      </c>
      <c r="D4" s="531" t="s">
        <v>712</v>
      </c>
      <c r="E4" s="531" t="s">
        <v>711</v>
      </c>
      <c r="F4" s="531" t="s">
        <v>712</v>
      </c>
      <c r="H4" s="531" t="s">
        <v>711</v>
      </c>
      <c r="I4" s="531" t="s">
        <v>712</v>
      </c>
      <c r="J4" s="531" t="s">
        <v>711</v>
      </c>
      <c r="K4" s="531" t="s">
        <v>712</v>
      </c>
      <c r="M4" s="531" t="s">
        <v>711</v>
      </c>
      <c r="N4" s="531" t="s">
        <v>712</v>
      </c>
      <c r="O4" s="531" t="s">
        <v>711</v>
      </c>
      <c r="P4" s="531" t="s">
        <v>712</v>
      </c>
      <c r="AA4" s="531" t="s">
        <v>711</v>
      </c>
      <c r="AB4" s="531" t="s">
        <v>712</v>
      </c>
      <c r="AD4" s="531" t="s">
        <v>711</v>
      </c>
      <c r="AE4" s="531" t="s">
        <v>712</v>
      </c>
      <c r="AG4" s="531" t="s">
        <v>711</v>
      </c>
      <c r="AH4" s="531" t="s">
        <v>712</v>
      </c>
      <c r="AJ4" s="531" t="s">
        <v>711</v>
      </c>
      <c r="AK4" s="531" t="s">
        <v>712</v>
      </c>
    </row>
    <row r="5" spans="1:37" x14ac:dyDescent="0.15">
      <c r="C5" s="214">
        <v>27500</v>
      </c>
      <c r="D5" s="477">
        <v>33500</v>
      </c>
      <c r="E5" s="600">
        <v>37000</v>
      </c>
      <c r="F5" s="789">
        <v>43700</v>
      </c>
      <c r="G5" s="217"/>
      <c r="H5" s="193">
        <v>18000</v>
      </c>
      <c r="I5" s="473">
        <v>23500</v>
      </c>
      <c r="J5" s="580">
        <v>24000</v>
      </c>
      <c r="K5" s="468">
        <v>30400</v>
      </c>
      <c r="L5" s="580"/>
      <c r="M5" s="193">
        <v>18000</v>
      </c>
      <c r="N5" s="473">
        <v>9000</v>
      </c>
      <c r="O5" s="349">
        <v>24800</v>
      </c>
      <c r="P5" s="787">
        <v>6200</v>
      </c>
      <c r="AA5" s="193">
        <v>15500</v>
      </c>
      <c r="AB5" s="473">
        <v>12950</v>
      </c>
      <c r="AD5" s="193">
        <v>14400</v>
      </c>
      <c r="AE5" s="473">
        <v>7200</v>
      </c>
      <c r="AG5" s="193">
        <v>14500</v>
      </c>
      <c r="AH5" s="473">
        <v>7500</v>
      </c>
      <c r="AJ5" s="193">
        <v>10800</v>
      </c>
      <c r="AK5" s="473">
        <v>5400</v>
      </c>
    </row>
    <row r="6" spans="1:37" x14ac:dyDescent="0.15">
      <c r="C6" s="193">
        <v>27000</v>
      </c>
      <c r="D6" s="225">
        <v>30000</v>
      </c>
      <c r="E6" s="580">
        <v>37000</v>
      </c>
      <c r="F6" s="785">
        <v>43700</v>
      </c>
      <c r="G6" s="224"/>
      <c r="H6" s="193">
        <v>20000</v>
      </c>
      <c r="I6" s="225">
        <v>24500</v>
      </c>
      <c r="J6" s="580">
        <v>27400</v>
      </c>
      <c r="K6" s="468">
        <v>33140</v>
      </c>
      <c r="L6" s="580"/>
      <c r="M6" s="193">
        <v>11500</v>
      </c>
      <c r="N6" s="473">
        <v>2875</v>
      </c>
      <c r="O6" s="349">
        <v>24800</v>
      </c>
      <c r="P6" s="468">
        <v>31800</v>
      </c>
      <c r="AA6" s="499">
        <v>20000</v>
      </c>
      <c r="AB6" s="473">
        <v>35500</v>
      </c>
      <c r="AD6" s="193">
        <v>16000</v>
      </c>
      <c r="AE6" s="473">
        <v>9350</v>
      </c>
      <c r="AG6" s="193">
        <v>14400</v>
      </c>
      <c r="AH6" s="473">
        <v>7200</v>
      </c>
      <c r="AJ6" s="193">
        <v>13000</v>
      </c>
      <c r="AK6" s="225">
        <v>16000</v>
      </c>
    </row>
    <row r="7" spans="1:37" x14ac:dyDescent="0.15">
      <c r="C7" s="193">
        <v>28000</v>
      </c>
      <c r="D7" s="225">
        <v>36500</v>
      </c>
      <c r="E7" s="580">
        <v>41000</v>
      </c>
      <c r="F7" s="784">
        <v>47600</v>
      </c>
      <c r="G7" s="224"/>
      <c r="H7" s="193">
        <v>20000</v>
      </c>
      <c r="I7" s="225">
        <v>24500</v>
      </c>
      <c r="J7" s="580">
        <v>28400</v>
      </c>
      <c r="K7" s="468">
        <v>34240</v>
      </c>
      <c r="L7" s="580"/>
      <c r="M7" s="193">
        <v>14800</v>
      </c>
      <c r="N7" s="225">
        <v>21800</v>
      </c>
      <c r="O7" s="797">
        <v>32000</v>
      </c>
      <c r="P7" s="785">
        <v>47200</v>
      </c>
      <c r="AA7" s="499">
        <v>17500</v>
      </c>
      <c r="AB7" s="473">
        <v>14250</v>
      </c>
      <c r="AD7" s="193">
        <v>16000</v>
      </c>
      <c r="AE7" s="473">
        <v>9250</v>
      </c>
      <c r="AG7" s="193">
        <v>12500</v>
      </c>
      <c r="AH7" s="473">
        <v>6250</v>
      </c>
      <c r="AJ7" s="500">
        <v>13500</v>
      </c>
      <c r="AK7" s="225">
        <v>25500</v>
      </c>
    </row>
    <row r="8" spans="1:37" x14ac:dyDescent="0.15">
      <c r="C8" s="193">
        <v>28000</v>
      </c>
      <c r="D8" s="225">
        <v>36500</v>
      </c>
      <c r="E8" s="580">
        <v>41000</v>
      </c>
      <c r="F8" s="785">
        <v>47600</v>
      </c>
      <c r="G8" s="224"/>
      <c r="H8" s="193">
        <v>20000</v>
      </c>
      <c r="I8" s="225">
        <v>31000</v>
      </c>
      <c r="J8" s="580">
        <v>28500</v>
      </c>
      <c r="K8" s="785">
        <v>41350</v>
      </c>
      <c r="L8" s="580"/>
      <c r="M8" s="193">
        <v>19000</v>
      </c>
      <c r="N8" s="225">
        <v>36500</v>
      </c>
      <c r="O8" s="349">
        <v>33000</v>
      </c>
      <c r="P8" s="785">
        <v>27100</v>
      </c>
      <c r="AA8" s="193">
        <v>5500</v>
      </c>
      <c r="AB8" s="473">
        <v>12500</v>
      </c>
      <c r="AD8" s="193">
        <v>16000</v>
      </c>
      <c r="AE8" s="473">
        <v>9250</v>
      </c>
      <c r="AG8" s="193">
        <v>15000</v>
      </c>
      <c r="AH8" s="225">
        <v>19300</v>
      </c>
      <c r="AJ8" s="193">
        <v>11600</v>
      </c>
      <c r="AK8" s="225">
        <v>9600</v>
      </c>
    </row>
    <row r="9" spans="1:37" x14ac:dyDescent="0.15">
      <c r="C9" s="193">
        <v>28000</v>
      </c>
      <c r="D9" s="225">
        <v>34000</v>
      </c>
      <c r="E9" s="580">
        <v>39000</v>
      </c>
      <c r="F9" s="785">
        <v>45000</v>
      </c>
      <c r="G9" s="224"/>
      <c r="H9" s="193">
        <v>20000</v>
      </c>
      <c r="I9" s="225">
        <v>29000</v>
      </c>
      <c r="J9" s="580">
        <v>28000</v>
      </c>
      <c r="K9" s="468">
        <v>39300</v>
      </c>
      <c r="L9" s="580"/>
      <c r="M9" s="193">
        <v>19000</v>
      </c>
      <c r="N9" s="225">
        <v>37800</v>
      </c>
      <c r="O9" s="351">
        <v>26600</v>
      </c>
      <c r="P9" s="784">
        <v>38960</v>
      </c>
      <c r="AA9" s="193">
        <v>17500</v>
      </c>
      <c r="AB9" s="225">
        <v>21900</v>
      </c>
      <c r="AD9" s="193">
        <v>16000</v>
      </c>
      <c r="AE9" s="473">
        <v>7400</v>
      </c>
      <c r="AG9" s="193">
        <v>14500</v>
      </c>
      <c r="AH9" s="225">
        <v>16000</v>
      </c>
      <c r="AJ9" s="193">
        <v>13000</v>
      </c>
      <c r="AK9" s="225">
        <v>18000</v>
      </c>
    </row>
    <row r="10" spans="1:37" x14ac:dyDescent="0.15">
      <c r="C10" s="193">
        <v>28000</v>
      </c>
      <c r="D10" s="225">
        <v>36000</v>
      </c>
      <c r="E10" s="580">
        <v>40000</v>
      </c>
      <c r="F10" s="785">
        <v>46800</v>
      </c>
      <c r="G10" s="224"/>
      <c r="H10" s="193">
        <v>20000</v>
      </c>
      <c r="I10" s="225">
        <v>28000</v>
      </c>
      <c r="J10" s="580">
        <v>27500</v>
      </c>
      <c r="K10" s="785">
        <v>38250</v>
      </c>
      <c r="L10" s="580"/>
      <c r="M10" s="193">
        <v>19000</v>
      </c>
      <c r="N10" s="225">
        <v>30700</v>
      </c>
      <c r="O10" s="580">
        <v>32400</v>
      </c>
      <c r="P10" s="787">
        <v>38120</v>
      </c>
      <c r="AA10" s="193">
        <v>17500</v>
      </c>
      <c r="AB10" s="225">
        <v>20500</v>
      </c>
      <c r="AD10" s="193">
        <v>16000</v>
      </c>
      <c r="AE10" s="473">
        <v>9250</v>
      </c>
      <c r="AG10" s="193">
        <v>10000</v>
      </c>
      <c r="AH10" s="225">
        <v>10400</v>
      </c>
      <c r="AJ10" s="193">
        <v>13000</v>
      </c>
      <c r="AK10" s="225">
        <v>20600</v>
      </c>
    </row>
    <row r="11" spans="1:37" x14ac:dyDescent="0.15">
      <c r="C11" s="193">
        <v>27000</v>
      </c>
      <c r="D11" s="225">
        <v>34500</v>
      </c>
      <c r="E11" s="580">
        <v>39000</v>
      </c>
      <c r="F11" s="792">
        <v>45900</v>
      </c>
      <c r="G11" s="224"/>
      <c r="H11" s="193">
        <v>20000</v>
      </c>
      <c r="I11" s="225">
        <v>23000</v>
      </c>
      <c r="J11" s="580">
        <v>27500</v>
      </c>
      <c r="K11" s="468">
        <v>30500</v>
      </c>
      <c r="L11" s="580"/>
      <c r="M11" s="193">
        <v>22100</v>
      </c>
      <c r="N11" s="225">
        <v>19550</v>
      </c>
      <c r="O11" s="349">
        <v>25800</v>
      </c>
      <c r="P11" s="784">
        <v>32800</v>
      </c>
      <c r="AA11" s="193">
        <v>17000</v>
      </c>
      <c r="AB11" s="225">
        <v>26300</v>
      </c>
      <c r="AD11" s="193">
        <v>16000</v>
      </c>
      <c r="AE11" s="473">
        <v>19500</v>
      </c>
      <c r="AG11" s="193">
        <v>13500</v>
      </c>
      <c r="AH11" s="225">
        <v>14500</v>
      </c>
      <c r="AJ11" s="193">
        <v>8900</v>
      </c>
      <c r="AK11" s="465">
        <v>8900</v>
      </c>
    </row>
    <row r="12" spans="1:37" x14ac:dyDescent="0.15">
      <c r="C12" s="193">
        <v>28000</v>
      </c>
      <c r="D12" s="225">
        <v>40500</v>
      </c>
      <c r="E12" s="580">
        <v>40000</v>
      </c>
      <c r="F12" s="784">
        <v>55000</v>
      </c>
      <c r="G12" s="224"/>
      <c r="H12" s="193">
        <v>20000</v>
      </c>
      <c r="I12" s="225">
        <v>29500</v>
      </c>
      <c r="J12" s="580">
        <v>29000</v>
      </c>
      <c r="K12" s="784">
        <v>38900</v>
      </c>
      <c r="L12" s="580"/>
      <c r="M12" s="193">
        <v>10800</v>
      </c>
      <c r="N12" s="225">
        <v>17800</v>
      </c>
      <c r="O12" s="580">
        <v>31000</v>
      </c>
      <c r="P12" s="786">
        <v>53300</v>
      </c>
      <c r="AA12" s="193">
        <v>12500</v>
      </c>
      <c r="AB12" s="225">
        <v>7750</v>
      </c>
      <c r="AD12" s="193">
        <v>17000</v>
      </c>
      <c r="AE12" s="473">
        <v>24000</v>
      </c>
      <c r="AG12" s="193">
        <v>10000</v>
      </c>
      <c r="AH12" s="225">
        <v>12400</v>
      </c>
      <c r="AJ12" s="193">
        <v>13000</v>
      </c>
      <c r="AK12" s="225">
        <v>14600</v>
      </c>
    </row>
    <row r="13" spans="1:37" x14ac:dyDescent="0.15">
      <c r="C13" s="193">
        <v>28000</v>
      </c>
      <c r="D13" s="225">
        <v>33800</v>
      </c>
      <c r="E13" s="580">
        <v>36000</v>
      </c>
      <c r="F13" s="786">
        <v>42600</v>
      </c>
      <c r="G13" s="224"/>
      <c r="H13" s="193">
        <v>20000</v>
      </c>
      <c r="I13" s="225">
        <v>31000</v>
      </c>
      <c r="J13" s="796">
        <v>30000</v>
      </c>
      <c r="K13" s="784">
        <v>41000</v>
      </c>
      <c r="L13" s="796"/>
      <c r="M13" s="193">
        <v>18900</v>
      </c>
      <c r="N13" s="225">
        <v>21150</v>
      </c>
      <c r="O13" s="351">
        <v>24800</v>
      </c>
      <c r="P13" s="787">
        <v>40900</v>
      </c>
      <c r="AA13" s="193">
        <v>16000</v>
      </c>
      <c r="AB13" s="225">
        <v>6720</v>
      </c>
      <c r="AD13" s="193">
        <v>14000</v>
      </c>
      <c r="AE13" s="473">
        <v>17000</v>
      </c>
      <c r="AG13" s="193">
        <v>13000</v>
      </c>
      <c r="AH13" s="225">
        <v>25000</v>
      </c>
      <c r="AJ13" s="193">
        <v>13000</v>
      </c>
      <c r="AK13" s="225">
        <v>17000</v>
      </c>
    </row>
    <row r="14" spans="1:37" x14ac:dyDescent="0.15">
      <c r="C14" s="193">
        <v>28000</v>
      </c>
      <c r="D14" s="225">
        <v>35000</v>
      </c>
      <c r="E14" s="580">
        <v>38000</v>
      </c>
      <c r="F14" s="784">
        <v>48000</v>
      </c>
      <c r="G14" s="224"/>
      <c r="H14" s="193">
        <v>20300</v>
      </c>
      <c r="I14" s="225">
        <v>25300</v>
      </c>
      <c r="J14" s="580">
        <v>28000</v>
      </c>
      <c r="K14" s="468">
        <v>33800</v>
      </c>
      <c r="L14" s="580"/>
      <c r="M14" s="193">
        <v>13000</v>
      </c>
      <c r="N14" s="225">
        <v>10000</v>
      </c>
      <c r="O14" s="797">
        <v>27600</v>
      </c>
      <c r="P14" s="468">
        <v>17800</v>
      </c>
      <c r="AA14" s="499">
        <v>17500</v>
      </c>
      <c r="AB14" s="225">
        <v>30500</v>
      </c>
      <c r="AD14" s="193">
        <v>10300</v>
      </c>
      <c r="AE14" s="225">
        <v>10300</v>
      </c>
      <c r="AG14" s="193">
        <v>13500</v>
      </c>
      <c r="AH14" s="225">
        <v>13500</v>
      </c>
      <c r="AJ14" s="193">
        <v>6700</v>
      </c>
      <c r="AK14" s="225">
        <v>6700</v>
      </c>
    </row>
    <row r="15" spans="1:37" x14ac:dyDescent="0.15">
      <c r="C15" s="193">
        <v>28000</v>
      </c>
      <c r="D15" s="225">
        <v>30000</v>
      </c>
      <c r="E15" s="580">
        <v>38000</v>
      </c>
      <c r="F15" s="794">
        <v>46300</v>
      </c>
      <c r="G15" s="224"/>
      <c r="H15" s="193">
        <v>20000</v>
      </c>
      <c r="I15" s="225">
        <v>27300</v>
      </c>
      <c r="J15" s="580">
        <v>28000</v>
      </c>
      <c r="K15" s="468">
        <v>34800</v>
      </c>
      <c r="L15" s="580"/>
      <c r="M15" s="193">
        <v>14100</v>
      </c>
      <c r="N15" s="225">
        <v>21100</v>
      </c>
      <c r="O15" s="351">
        <v>27000</v>
      </c>
      <c r="P15" s="468">
        <v>40000</v>
      </c>
      <c r="AA15" s="193">
        <v>17500</v>
      </c>
      <c r="AB15" s="225">
        <v>30000</v>
      </c>
      <c r="AD15" s="193">
        <v>17500</v>
      </c>
      <c r="AE15" s="225">
        <v>29000</v>
      </c>
      <c r="AG15" s="193">
        <v>14200</v>
      </c>
      <c r="AH15" s="225">
        <v>14200</v>
      </c>
      <c r="AJ15" s="193">
        <v>8000</v>
      </c>
      <c r="AK15" s="225">
        <v>4000</v>
      </c>
    </row>
    <row r="16" spans="1:37" x14ac:dyDescent="0.15">
      <c r="C16" s="193">
        <v>27000</v>
      </c>
      <c r="D16" s="225">
        <v>30000</v>
      </c>
      <c r="E16" s="580">
        <v>40000</v>
      </c>
      <c r="F16" s="786">
        <v>52000</v>
      </c>
      <c r="G16" s="224"/>
      <c r="H16" s="193">
        <v>20000</v>
      </c>
      <c r="I16" s="225">
        <v>24000</v>
      </c>
      <c r="J16" s="580">
        <v>28900</v>
      </c>
      <c r="K16" s="468">
        <v>31790</v>
      </c>
      <c r="L16" s="580"/>
      <c r="M16" s="193">
        <v>14500</v>
      </c>
      <c r="N16" s="225">
        <v>25500</v>
      </c>
      <c r="O16" s="580">
        <v>28500</v>
      </c>
      <c r="P16" s="468">
        <v>35500</v>
      </c>
      <c r="AA16" s="193">
        <v>17500</v>
      </c>
      <c r="AB16" s="225">
        <v>35500</v>
      </c>
      <c r="AD16" s="193">
        <v>16000</v>
      </c>
      <c r="AE16" s="225">
        <v>14000</v>
      </c>
      <c r="AG16" s="193">
        <v>13000</v>
      </c>
      <c r="AH16" s="225">
        <v>13000</v>
      </c>
      <c r="AJ16" s="193">
        <v>13000</v>
      </c>
      <c r="AK16" s="225">
        <v>17000</v>
      </c>
    </row>
    <row r="17" spans="3:37" x14ac:dyDescent="0.15">
      <c r="C17" s="193">
        <v>25000</v>
      </c>
      <c r="D17" s="225">
        <v>27300</v>
      </c>
      <c r="E17" s="580">
        <v>35000</v>
      </c>
      <c r="F17" s="468">
        <v>38400</v>
      </c>
      <c r="G17" s="224"/>
      <c r="H17" s="499">
        <v>20000</v>
      </c>
      <c r="I17" s="225">
        <v>25000</v>
      </c>
      <c r="J17" s="580">
        <v>28500</v>
      </c>
      <c r="K17" s="784">
        <v>36500</v>
      </c>
      <c r="L17" s="580"/>
      <c r="M17" s="193">
        <v>16800</v>
      </c>
      <c r="N17" s="225">
        <v>13300</v>
      </c>
      <c r="O17" s="224"/>
      <c r="P17" s="224"/>
      <c r="AA17" s="193">
        <v>16000</v>
      </c>
      <c r="AB17" s="225">
        <v>13300</v>
      </c>
      <c r="AD17" s="193">
        <v>16000</v>
      </c>
      <c r="AE17" s="225">
        <v>18000</v>
      </c>
      <c r="AG17" s="193">
        <v>13800</v>
      </c>
      <c r="AH17" s="225">
        <v>16800</v>
      </c>
      <c r="AJ17" s="193">
        <v>8500</v>
      </c>
      <c r="AK17" s="225">
        <v>4250</v>
      </c>
    </row>
    <row r="18" spans="3:37" x14ac:dyDescent="0.15">
      <c r="H18" s="193">
        <v>20000</v>
      </c>
      <c r="I18" s="225">
        <v>31100</v>
      </c>
      <c r="J18" s="580">
        <v>30000</v>
      </c>
      <c r="K18" s="785">
        <v>42300</v>
      </c>
      <c r="L18" s="580"/>
      <c r="M18" s="193">
        <v>26500</v>
      </c>
      <c r="N18" s="225">
        <v>33250</v>
      </c>
      <c r="O18" s="224"/>
      <c r="P18" s="224"/>
      <c r="AA18" s="193">
        <v>17500</v>
      </c>
      <c r="AB18" s="225">
        <v>35500</v>
      </c>
      <c r="AD18" s="193">
        <v>20000</v>
      </c>
      <c r="AE18" s="225">
        <v>22000</v>
      </c>
      <c r="AG18" s="193">
        <v>14500</v>
      </c>
      <c r="AH18" s="225">
        <v>14500</v>
      </c>
      <c r="AJ18" s="193">
        <v>11500</v>
      </c>
      <c r="AK18" s="225">
        <v>11500</v>
      </c>
    </row>
    <row r="19" spans="3:37" x14ac:dyDescent="0.15">
      <c r="H19" s="193">
        <v>20000</v>
      </c>
      <c r="I19" s="225">
        <v>37700</v>
      </c>
      <c r="J19" s="580">
        <v>28500</v>
      </c>
      <c r="K19" s="784">
        <v>42350</v>
      </c>
      <c r="L19" s="580"/>
      <c r="M19" s="193">
        <v>19000</v>
      </c>
      <c r="N19" s="225">
        <v>21800</v>
      </c>
      <c r="O19" s="224"/>
      <c r="P19" s="224"/>
      <c r="AA19" s="193">
        <v>17500</v>
      </c>
      <c r="AB19" s="225">
        <v>22100</v>
      </c>
      <c r="AD19" s="193">
        <v>17000</v>
      </c>
      <c r="AE19" s="225">
        <v>14500</v>
      </c>
      <c r="AG19" s="193">
        <v>14500</v>
      </c>
      <c r="AH19" s="225">
        <v>14500</v>
      </c>
      <c r="AJ19" s="193">
        <v>12000</v>
      </c>
      <c r="AK19" s="225">
        <v>6700</v>
      </c>
    </row>
    <row r="20" spans="3:37" x14ac:dyDescent="0.15">
      <c r="H20" s="193">
        <v>17900</v>
      </c>
      <c r="I20" s="225">
        <v>20900</v>
      </c>
      <c r="J20" s="580">
        <v>30000</v>
      </c>
      <c r="K20" s="784">
        <v>42100</v>
      </c>
      <c r="L20" s="580"/>
      <c r="M20" s="193">
        <v>17800</v>
      </c>
      <c r="N20" s="225">
        <v>24800</v>
      </c>
      <c r="O20" s="224"/>
      <c r="P20" s="224"/>
      <c r="AA20" s="193">
        <v>16000</v>
      </c>
      <c r="AB20" s="225">
        <v>19900</v>
      </c>
      <c r="AD20" s="193">
        <v>16500</v>
      </c>
      <c r="AE20" s="225">
        <v>8250</v>
      </c>
      <c r="AG20" s="193">
        <v>14500</v>
      </c>
      <c r="AH20" s="225">
        <v>14500</v>
      </c>
      <c r="AJ20" s="193">
        <v>11500</v>
      </c>
      <c r="AK20" s="463">
        <v>11500</v>
      </c>
    </row>
    <row r="21" spans="3:37" x14ac:dyDescent="0.15">
      <c r="H21" s="193">
        <v>20000</v>
      </c>
      <c r="I21" s="225">
        <v>32000</v>
      </c>
      <c r="J21" s="580">
        <v>30000</v>
      </c>
      <c r="K21" s="784">
        <v>44900</v>
      </c>
      <c r="L21" s="580"/>
      <c r="M21" s="193">
        <v>12600</v>
      </c>
      <c r="N21" s="225">
        <v>19050</v>
      </c>
      <c r="O21" s="224"/>
      <c r="P21" s="224"/>
      <c r="AA21" s="193">
        <v>14500</v>
      </c>
      <c r="AB21" s="225">
        <v>21500</v>
      </c>
      <c r="AD21" s="193">
        <v>10000</v>
      </c>
      <c r="AE21" s="225">
        <v>9300</v>
      </c>
      <c r="AG21" s="193">
        <v>14500</v>
      </c>
      <c r="AH21" s="225">
        <v>19600</v>
      </c>
      <c r="AJ21" s="193">
        <v>13000</v>
      </c>
      <c r="AK21" s="225">
        <v>13700</v>
      </c>
    </row>
    <row r="22" spans="3:37" x14ac:dyDescent="0.15">
      <c r="H22" s="193">
        <v>20000</v>
      </c>
      <c r="I22" s="225">
        <v>31000</v>
      </c>
      <c r="J22" s="580">
        <v>23000</v>
      </c>
      <c r="K22" s="468">
        <v>28300</v>
      </c>
      <c r="L22" s="580"/>
      <c r="M22" s="193">
        <v>19000</v>
      </c>
      <c r="N22" s="225">
        <v>31500</v>
      </c>
      <c r="O22" s="224"/>
      <c r="P22" s="224"/>
      <c r="AA22" s="193">
        <v>17500</v>
      </c>
      <c r="AB22" s="225">
        <v>21500</v>
      </c>
      <c r="AD22" s="193">
        <v>14200</v>
      </c>
      <c r="AE22" s="225">
        <v>14200</v>
      </c>
      <c r="AG22" s="193">
        <v>14500</v>
      </c>
      <c r="AH22" s="225">
        <v>15800</v>
      </c>
      <c r="AJ22" s="193">
        <v>13000</v>
      </c>
      <c r="AK22" s="225">
        <v>15200</v>
      </c>
    </row>
    <row r="23" spans="3:37" x14ac:dyDescent="0.15">
      <c r="H23" s="193">
        <v>20000</v>
      </c>
      <c r="I23" s="225">
        <v>31000</v>
      </c>
      <c r="J23" s="580">
        <v>30000</v>
      </c>
      <c r="K23" s="468">
        <v>45000</v>
      </c>
      <c r="L23" s="580"/>
      <c r="M23" s="193">
        <v>19000</v>
      </c>
      <c r="N23" s="225">
        <v>14000</v>
      </c>
      <c r="O23" s="224"/>
      <c r="P23" s="224"/>
      <c r="AA23" s="193">
        <v>17500</v>
      </c>
      <c r="AB23" s="225">
        <v>29000</v>
      </c>
      <c r="AD23" s="499">
        <v>17000</v>
      </c>
      <c r="AE23" s="225">
        <v>27000</v>
      </c>
      <c r="AG23" s="193">
        <v>11000</v>
      </c>
      <c r="AH23" s="225">
        <v>11000</v>
      </c>
      <c r="AJ23" s="193">
        <v>13000</v>
      </c>
      <c r="AK23" s="225">
        <v>6500</v>
      </c>
    </row>
    <row r="24" spans="3:37" x14ac:dyDescent="0.15">
      <c r="H24" s="193">
        <v>20000</v>
      </c>
      <c r="I24" s="225">
        <v>30000</v>
      </c>
      <c r="J24" s="580">
        <v>30000</v>
      </c>
      <c r="K24" s="785">
        <v>45000</v>
      </c>
      <c r="L24" s="580"/>
      <c r="AA24" s="193">
        <v>17700</v>
      </c>
      <c r="AB24" s="225">
        <v>17350</v>
      </c>
      <c r="AD24" s="193">
        <v>16000</v>
      </c>
      <c r="AE24" s="225">
        <v>19200</v>
      </c>
      <c r="AG24" s="193">
        <v>11000</v>
      </c>
      <c r="AH24" s="225">
        <v>11000</v>
      </c>
      <c r="AJ24" s="193">
        <v>12000</v>
      </c>
      <c r="AK24" s="225">
        <v>6000</v>
      </c>
    </row>
    <row r="25" spans="3:37" x14ac:dyDescent="0.15">
      <c r="H25" s="193">
        <v>20000</v>
      </c>
      <c r="I25" s="225">
        <v>23000</v>
      </c>
      <c r="J25" s="580">
        <v>26000</v>
      </c>
      <c r="K25" s="785">
        <v>40000</v>
      </c>
      <c r="L25" s="580"/>
      <c r="AA25" s="193">
        <v>11000</v>
      </c>
      <c r="AB25" s="225">
        <v>18000</v>
      </c>
      <c r="AD25" s="193">
        <v>16300</v>
      </c>
      <c r="AE25" s="225">
        <v>28300</v>
      </c>
      <c r="AG25" s="193">
        <v>14500</v>
      </c>
      <c r="AH25" s="225">
        <v>1750</v>
      </c>
      <c r="AJ25" s="193">
        <v>13000</v>
      </c>
      <c r="AK25" s="225">
        <v>14000</v>
      </c>
    </row>
    <row r="26" spans="3:37" x14ac:dyDescent="0.15">
      <c r="H26" s="193">
        <v>20000</v>
      </c>
      <c r="I26" s="225">
        <v>33000</v>
      </c>
      <c r="J26" s="580">
        <v>26000</v>
      </c>
      <c r="K26" s="787">
        <v>37600</v>
      </c>
      <c r="L26" s="580"/>
      <c r="AA26" s="193">
        <v>17500</v>
      </c>
      <c r="AB26" s="225">
        <v>21300</v>
      </c>
      <c r="AD26" s="193">
        <v>14700</v>
      </c>
      <c r="AE26" s="225">
        <v>21200</v>
      </c>
      <c r="AG26" s="193">
        <v>14500</v>
      </c>
      <c r="AH26" s="225">
        <v>14500</v>
      </c>
      <c r="AJ26" s="193">
        <v>13700</v>
      </c>
      <c r="AK26" s="225">
        <v>16500</v>
      </c>
    </row>
    <row r="27" spans="3:37" x14ac:dyDescent="0.15">
      <c r="H27" s="193">
        <v>20000</v>
      </c>
      <c r="I27" s="225">
        <v>32000</v>
      </c>
      <c r="J27" s="580">
        <v>29000</v>
      </c>
      <c r="K27" s="784">
        <v>39000</v>
      </c>
      <c r="L27" s="580"/>
      <c r="AA27" s="193">
        <v>3000</v>
      </c>
      <c r="AB27" s="225">
        <v>1000</v>
      </c>
      <c r="AD27" s="193">
        <v>6300</v>
      </c>
      <c r="AE27" s="225">
        <v>6300</v>
      </c>
      <c r="AG27" s="193">
        <v>3700</v>
      </c>
      <c r="AH27" s="225">
        <v>670</v>
      </c>
      <c r="AJ27" s="193">
        <v>13000</v>
      </c>
      <c r="AK27" s="225">
        <v>14000</v>
      </c>
    </row>
    <row r="28" spans="3:37" x14ac:dyDescent="0.15">
      <c r="H28" s="193">
        <v>20000</v>
      </c>
      <c r="I28" s="225">
        <v>30500</v>
      </c>
      <c r="J28" s="580">
        <v>28000</v>
      </c>
      <c r="K28" s="786">
        <v>41500</v>
      </c>
      <c r="L28" s="580"/>
      <c r="AA28" s="193">
        <v>16000</v>
      </c>
      <c r="AB28" s="225">
        <v>19000</v>
      </c>
      <c r="AD28" s="193">
        <v>16000</v>
      </c>
      <c r="AE28" s="225">
        <v>29500</v>
      </c>
      <c r="AG28" s="193">
        <v>15000</v>
      </c>
      <c r="AH28" s="225">
        <v>15000</v>
      </c>
      <c r="AJ28" s="193">
        <v>13000</v>
      </c>
      <c r="AK28" s="225">
        <v>14500</v>
      </c>
    </row>
    <row r="29" spans="3:37" x14ac:dyDescent="0.15">
      <c r="H29" s="193">
        <v>20000</v>
      </c>
      <c r="I29" s="225">
        <v>33000</v>
      </c>
      <c r="J29" s="580">
        <v>36000</v>
      </c>
      <c r="K29" s="787">
        <v>53800</v>
      </c>
      <c r="L29" s="580"/>
      <c r="AA29" s="193">
        <v>16000</v>
      </c>
      <c r="AB29" s="225">
        <v>23000</v>
      </c>
      <c r="AD29" s="193">
        <v>15800</v>
      </c>
      <c r="AE29" s="225">
        <v>18800</v>
      </c>
      <c r="AG29" s="193">
        <v>15000</v>
      </c>
      <c r="AH29" s="225">
        <v>16900</v>
      </c>
      <c r="AJ29" s="193">
        <v>13000</v>
      </c>
      <c r="AK29" s="225">
        <v>14500</v>
      </c>
    </row>
    <row r="30" spans="3:37" x14ac:dyDescent="0.15">
      <c r="H30" s="193">
        <v>20500</v>
      </c>
      <c r="I30" s="225">
        <v>27000</v>
      </c>
      <c r="J30" s="580">
        <v>29000</v>
      </c>
      <c r="K30" s="787">
        <v>47200</v>
      </c>
      <c r="L30" s="580"/>
      <c r="AA30" s="193">
        <v>14500</v>
      </c>
      <c r="AB30" s="225">
        <v>17500</v>
      </c>
      <c r="AD30" s="193">
        <v>16000</v>
      </c>
      <c r="AE30" s="225">
        <v>31000</v>
      </c>
      <c r="AG30" s="193">
        <v>13500</v>
      </c>
      <c r="AH30" s="225">
        <v>16500</v>
      </c>
      <c r="AJ30" s="499">
        <v>13000</v>
      </c>
      <c r="AK30" s="225">
        <v>13800</v>
      </c>
    </row>
    <row r="31" spans="3:37" x14ac:dyDescent="0.15">
      <c r="H31" s="193">
        <v>20000</v>
      </c>
      <c r="I31" s="225">
        <v>23000</v>
      </c>
      <c r="J31" s="580">
        <v>27500</v>
      </c>
      <c r="K31" s="468">
        <v>33250</v>
      </c>
      <c r="L31" s="580"/>
      <c r="AA31" s="193">
        <v>17000</v>
      </c>
      <c r="AB31" s="225">
        <v>20000</v>
      </c>
      <c r="AD31" s="193">
        <v>17700</v>
      </c>
      <c r="AE31" s="225">
        <v>25700</v>
      </c>
      <c r="AG31" s="193">
        <v>14500</v>
      </c>
      <c r="AH31" s="225">
        <v>17400</v>
      </c>
      <c r="AJ31" s="528">
        <v>13000</v>
      </c>
      <c r="AK31" s="463">
        <v>13800</v>
      </c>
    </row>
    <row r="32" spans="3:37" x14ac:dyDescent="0.15">
      <c r="H32" s="193">
        <v>20000</v>
      </c>
      <c r="I32" s="225">
        <v>25000</v>
      </c>
      <c r="J32" s="600">
        <v>26500</v>
      </c>
      <c r="K32" s="465">
        <v>29500</v>
      </c>
      <c r="L32" s="580"/>
      <c r="AA32" s="193">
        <v>17500</v>
      </c>
      <c r="AB32" s="225">
        <v>22000</v>
      </c>
      <c r="AD32" s="193">
        <v>9500</v>
      </c>
      <c r="AE32" s="225">
        <v>4750</v>
      </c>
      <c r="AG32" s="193">
        <v>14000</v>
      </c>
      <c r="AH32" s="225">
        <v>15700</v>
      </c>
      <c r="AJ32" s="193">
        <v>11500</v>
      </c>
      <c r="AK32" s="225">
        <v>11500</v>
      </c>
    </row>
    <row r="33" spans="1:37" x14ac:dyDescent="0.15">
      <c r="H33" s="193">
        <v>20000</v>
      </c>
      <c r="I33" s="225">
        <v>25000</v>
      </c>
      <c r="J33" s="580">
        <v>27200</v>
      </c>
      <c r="K33" s="785">
        <v>38800</v>
      </c>
      <c r="L33" s="580"/>
      <c r="AA33" s="193">
        <v>17500</v>
      </c>
      <c r="AB33" s="225">
        <v>21250</v>
      </c>
      <c r="AD33" s="193">
        <v>17000</v>
      </c>
      <c r="AE33" s="225">
        <v>8500</v>
      </c>
      <c r="AG33" s="193">
        <v>10300</v>
      </c>
      <c r="AH33" s="225">
        <v>13300</v>
      </c>
      <c r="AJ33" s="193">
        <v>13000</v>
      </c>
      <c r="AK33" s="225">
        <v>16000</v>
      </c>
    </row>
    <row r="34" spans="1:37" x14ac:dyDescent="0.15">
      <c r="H34" s="193">
        <v>20000</v>
      </c>
      <c r="I34" s="225">
        <v>31400</v>
      </c>
      <c r="J34" s="580">
        <v>28500</v>
      </c>
      <c r="K34" s="468">
        <v>45550</v>
      </c>
      <c r="L34" s="580"/>
      <c r="AA34" s="193">
        <v>15500</v>
      </c>
      <c r="AB34" s="225">
        <v>18500</v>
      </c>
      <c r="AD34" s="193">
        <v>16000</v>
      </c>
      <c r="AE34" s="225">
        <v>8000</v>
      </c>
      <c r="AG34" s="193">
        <v>11500</v>
      </c>
      <c r="AH34" s="225">
        <v>14500</v>
      </c>
      <c r="AJ34" s="193">
        <v>12100</v>
      </c>
      <c r="AK34" s="225">
        <v>12100</v>
      </c>
    </row>
    <row r="35" spans="1:37" x14ac:dyDescent="0.15">
      <c r="H35" s="193">
        <v>20000</v>
      </c>
      <c r="I35" s="225">
        <v>35400</v>
      </c>
      <c r="J35" s="580">
        <v>26000</v>
      </c>
      <c r="K35" s="787">
        <v>35600</v>
      </c>
      <c r="L35" s="580"/>
      <c r="AA35" s="193">
        <v>17000</v>
      </c>
      <c r="AB35" s="225">
        <v>26300</v>
      </c>
      <c r="AD35" s="214">
        <v>17000</v>
      </c>
      <c r="AE35" s="463">
        <v>28800</v>
      </c>
      <c r="AG35" s="193">
        <v>12200</v>
      </c>
      <c r="AH35" s="225">
        <v>12200</v>
      </c>
      <c r="AJ35" s="193">
        <v>7000</v>
      </c>
      <c r="AK35" s="225">
        <v>700</v>
      </c>
    </row>
    <row r="36" spans="1:37" x14ac:dyDescent="0.15">
      <c r="H36" s="193">
        <v>20000</v>
      </c>
      <c r="I36" s="225">
        <v>27000</v>
      </c>
      <c r="J36" s="580">
        <v>27500</v>
      </c>
      <c r="K36" s="468">
        <v>33250</v>
      </c>
      <c r="L36" s="580"/>
      <c r="AA36" s="193">
        <v>16000</v>
      </c>
      <c r="AB36" s="225">
        <v>23000</v>
      </c>
      <c r="AD36" s="193">
        <v>16000</v>
      </c>
      <c r="AE36" s="225">
        <v>18400</v>
      </c>
      <c r="AG36" s="193">
        <v>14500</v>
      </c>
      <c r="AH36" s="225">
        <v>14500</v>
      </c>
      <c r="AJ36" s="193">
        <v>13000</v>
      </c>
      <c r="AK36" s="225">
        <v>12700</v>
      </c>
    </row>
    <row r="37" spans="1:37" x14ac:dyDescent="0.15">
      <c r="H37" s="193">
        <v>20000</v>
      </c>
      <c r="I37" s="225">
        <v>24000</v>
      </c>
      <c r="J37" s="580">
        <v>26950</v>
      </c>
      <c r="K37" s="468">
        <v>36645</v>
      </c>
      <c r="L37" s="580"/>
      <c r="AA37" s="193">
        <v>17500</v>
      </c>
      <c r="AB37" s="225">
        <v>21500</v>
      </c>
      <c r="AD37" s="193">
        <v>12000</v>
      </c>
      <c r="AE37" s="225">
        <v>15000</v>
      </c>
      <c r="AG37" s="193">
        <v>14500</v>
      </c>
      <c r="AH37" s="225">
        <v>14500</v>
      </c>
      <c r="AJ37" s="193">
        <v>6300</v>
      </c>
      <c r="AK37" s="225">
        <v>9300</v>
      </c>
    </row>
    <row r="38" spans="1:37" x14ac:dyDescent="0.15">
      <c r="A38" s="265">
        <v>1</v>
      </c>
      <c r="B38" s="784">
        <v>135282</v>
      </c>
      <c r="C38">
        <v>0</v>
      </c>
      <c r="D38">
        <f t="array" ref="D38">SUM(IF(($B$38:$B$1032/$A$38:$A$1032&gt;=C38)*($B$38:$B$1032/$A$38:$A$1032&lt;C39),1,0))</f>
        <v>0</v>
      </c>
      <c r="H38" s="193">
        <v>20000</v>
      </c>
      <c r="I38" s="225">
        <v>27000</v>
      </c>
      <c r="J38" s="580">
        <v>28000</v>
      </c>
      <c r="K38" s="794">
        <v>31000</v>
      </c>
      <c r="L38" s="580"/>
      <c r="AA38" s="193">
        <v>17500</v>
      </c>
      <c r="AB38" s="225">
        <v>21200</v>
      </c>
      <c r="AD38" s="193">
        <v>15000</v>
      </c>
      <c r="AE38" s="225">
        <v>10000</v>
      </c>
      <c r="AG38" s="193">
        <v>14000</v>
      </c>
      <c r="AH38" s="225">
        <v>14000</v>
      </c>
      <c r="AJ38" s="193">
        <v>8800</v>
      </c>
      <c r="AK38" s="225">
        <v>4400</v>
      </c>
    </row>
    <row r="39" spans="1:37" x14ac:dyDescent="0.15">
      <c r="A39" s="236">
        <v>1</v>
      </c>
      <c r="B39" s="784">
        <v>92700</v>
      </c>
      <c r="C39">
        <f>C38+2000</f>
        <v>2000</v>
      </c>
      <c r="D39">
        <f t="array" ref="D39">SUM(IF(($B$38:$B$1032/$A$38:$A$1032&gt;=C39)*($B$38:$B$1032/$A$38:$A$1032&lt;C40),1,0))</f>
        <v>0</v>
      </c>
      <c r="H39" s="193">
        <v>20000</v>
      </c>
      <c r="I39" s="225">
        <v>28000</v>
      </c>
      <c r="J39" s="580">
        <v>30000</v>
      </c>
      <c r="K39" s="794">
        <v>33000</v>
      </c>
      <c r="L39" s="580"/>
      <c r="AA39" s="193">
        <v>17500</v>
      </c>
      <c r="AB39" s="225">
        <v>20500</v>
      </c>
      <c r="AD39" s="193">
        <v>16000</v>
      </c>
      <c r="AE39" s="225">
        <v>23000</v>
      </c>
      <c r="AG39" s="193">
        <v>14500</v>
      </c>
      <c r="AH39" s="225">
        <v>19400</v>
      </c>
      <c r="AJ39" s="193">
        <v>13500</v>
      </c>
      <c r="AK39" s="225">
        <v>21500</v>
      </c>
    </row>
    <row r="40" spans="1:37" x14ac:dyDescent="0.15">
      <c r="A40" s="282">
        <v>1</v>
      </c>
      <c r="B40" s="784">
        <v>87000</v>
      </c>
      <c r="C40">
        <f t="shared" ref="C40:C77" si="0">C39+2000</f>
        <v>4000</v>
      </c>
      <c r="D40">
        <f t="array" ref="D40">SUM(IF(($B$38:$B$1032/$A$38:$A$1032&gt;=C40)*($B$38:$B$1032/$A$38:$A$1032&lt;C41),1,0))</f>
        <v>0</v>
      </c>
      <c r="H40" s="193">
        <v>20000</v>
      </c>
      <c r="I40" s="225">
        <v>28000</v>
      </c>
      <c r="J40" s="580">
        <v>28300</v>
      </c>
      <c r="K40" s="468">
        <v>37430</v>
      </c>
      <c r="L40" s="580"/>
      <c r="AA40" s="193">
        <v>17500</v>
      </c>
      <c r="AB40" s="225">
        <v>16250</v>
      </c>
      <c r="AD40" s="193">
        <v>10000</v>
      </c>
      <c r="AE40" s="225">
        <v>10000</v>
      </c>
      <c r="AG40" s="193">
        <v>14500</v>
      </c>
      <c r="AH40" s="225">
        <v>17000</v>
      </c>
      <c r="AJ40" s="193">
        <v>12500</v>
      </c>
      <c r="AK40" s="225">
        <v>15000</v>
      </c>
    </row>
    <row r="41" spans="1:37" x14ac:dyDescent="0.15">
      <c r="A41" s="569">
        <v>1</v>
      </c>
      <c r="B41" s="784">
        <v>76000</v>
      </c>
      <c r="C41">
        <f t="shared" si="0"/>
        <v>6000</v>
      </c>
      <c r="D41">
        <f t="array" ref="D41">SUM(IF(($B$38:$B$1032/$A$38:$A$1032&gt;=C41)*($B$38:$B$1032/$A$38:$A$1032&lt;C42),1,0))</f>
        <v>0</v>
      </c>
      <c r="H41" s="193">
        <v>20000</v>
      </c>
      <c r="I41" s="225">
        <v>27500</v>
      </c>
      <c r="J41" s="580">
        <v>31000</v>
      </c>
      <c r="K41" s="786">
        <v>49500</v>
      </c>
      <c r="L41" s="580"/>
      <c r="AA41" s="193">
        <v>17900</v>
      </c>
      <c r="AB41" s="225">
        <v>24900</v>
      </c>
      <c r="AD41" s="193">
        <v>16000</v>
      </c>
      <c r="AE41" s="225">
        <v>16700</v>
      </c>
      <c r="AG41" s="193">
        <v>8000</v>
      </c>
      <c r="AH41" s="225">
        <v>8000</v>
      </c>
      <c r="AJ41" s="193">
        <v>12500</v>
      </c>
      <c r="AK41" s="225">
        <v>15500</v>
      </c>
    </row>
    <row r="42" spans="1:37" x14ac:dyDescent="0.15">
      <c r="A42" s="569">
        <v>1</v>
      </c>
      <c r="B42" s="784">
        <v>88250</v>
      </c>
      <c r="C42">
        <f t="shared" si="0"/>
        <v>8000</v>
      </c>
      <c r="D42">
        <f t="array" ref="D42">SUM(IF(($B$38:$B$1032/$A$38:$A$1032&gt;=C42)*($B$38:$B$1032/$A$38:$A$1032&lt;C43),1,0))</f>
        <v>8</v>
      </c>
      <c r="H42" s="499">
        <v>19000</v>
      </c>
      <c r="I42" s="225">
        <v>22000</v>
      </c>
      <c r="J42" s="580">
        <v>25000</v>
      </c>
      <c r="K42" s="468">
        <v>35500</v>
      </c>
      <c r="L42" s="580"/>
      <c r="AA42" s="193">
        <v>17300</v>
      </c>
      <c r="AB42" s="225">
        <v>24300</v>
      </c>
      <c r="AD42" s="193">
        <v>16000</v>
      </c>
      <c r="AE42" s="225">
        <v>16000</v>
      </c>
      <c r="AG42" s="193">
        <v>7500</v>
      </c>
      <c r="AH42" s="225">
        <v>11100</v>
      </c>
      <c r="AJ42" s="528">
        <v>10600</v>
      </c>
      <c r="AK42" s="463">
        <v>10600</v>
      </c>
    </row>
    <row r="43" spans="1:37" x14ac:dyDescent="0.15">
      <c r="A43" s="236">
        <v>1</v>
      </c>
      <c r="B43" s="784">
        <v>81250</v>
      </c>
      <c r="C43">
        <f t="shared" si="0"/>
        <v>10000</v>
      </c>
      <c r="D43">
        <f t="array" ref="D43">SUM(IF(($B$38:$B$1032/$A$38:$A$1032&gt;=C43)*($B$38:$B$1032/$A$38:$A$1032&lt;C44),1,0))</f>
        <v>25</v>
      </c>
      <c r="H43" s="193">
        <v>20000</v>
      </c>
      <c r="I43" s="225">
        <v>25000</v>
      </c>
      <c r="J43" s="580">
        <v>28000</v>
      </c>
      <c r="K43" s="786">
        <v>38800</v>
      </c>
      <c r="L43" s="580"/>
      <c r="AA43" s="193">
        <v>17000</v>
      </c>
      <c r="AB43" s="225">
        <v>15500</v>
      </c>
      <c r="AD43" s="193">
        <v>11500</v>
      </c>
      <c r="AE43" s="225">
        <v>14500</v>
      </c>
      <c r="AG43" s="193">
        <v>8000</v>
      </c>
      <c r="AH43" s="225">
        <v>8000</v>
      </c>
      <c r="AJ43" s="193">
        <v>7700</v>
      </c>
      <c r="AK43" s="225">
        <v>7700</v>
      </c>
    </row>
    <row r="44" spans="1:37" x14ac:dyDescent="0.15">
      <c r="A44" s="282">
        <v>1</v>
      </c>
      <c r="B44" s="784">
        <v>89000</v>
      </c>
      <c r="C44">
        <f t="shared" si="0"/>
        <v>12000</v>
      </c>
      <c r="D44">
        <f t="array" ref="D44">SUM(IF(($B$38:$B$1032/$A$38:$A$1032&gt;=C44)*($B$38:$B$1032/$A$38:$A$1032&lt;C45),1,0))</f>
        <v>49</v>
      </c>
      <c r="H44" s="193">
        <v>20000</v>
      </c>
      <c r="I44" s="225">
        <v>28000</v>
      </c>
      <c r="J44" s="351">
        <v>25000</v>
      </c>
      <c r="K44" s="468">
        <v>30500</v>
      </c>
      <c r="L44" s="351"/>
      <c r="AA44" s="193">
        <v>17500</v>
      </c>
      <c r="AB44" s="225">
        <v>31500</v>
      </c>
      <c r="AD44" s="193">
        <v>14000</v>
      </c>
      <c r="AE44" s="225">
        <v>8500</v>
      </c>
      <c r="AG44" s="442">
        <v>11800</v>
      </c>
      <c r="AH44" s="225">
        <v>11800</v>
      </c>
      <c r="AJ44" s="193">
        <v>13000</v>
      </c>
      <c r="AK44" s="225">
        <v>14100</v>
      </c>
    </row>
    <row r="45" spans="1:37" x14ac:dyDescent="0.15">
      <c r="A45" s="573">
        <v>1</v>
      </c>
      <c r="B45" s="784">
        <v>58000</v>
      </c>
      <c r="C45">
        <f t="shared" si="0"/>
        <v>14000</v>
      </c>
      <c r="D45">
        <f t="array" ref="D45">SUM(IF(($B$38:$B$1032/$A$38:$A$1032&gt;=C45)*($B$38:$B$1032/$A$38:$A$1032&lt;C46),1,0))</f>
        <v>96</v>
      </c>
      <c r="H45" s="193">
        <v>20000</v>
      </c>
      <c r="I45" s="225">
        <v>24000</v>
      </c>
      <c r="J45" s="580">
        <v>25000</v>
      </c>
      <c r="K45" s="468">
        <v>32500</v>
      </c>
      <c r="L45" s="580"/>
      <c r="AA45" s="193">
        <v>17500</v>
      </c>
      <c r="AB45" s="225">
        <v>31900</v>
      </c>
      <c r="AD45" s="193">
        <v>14000</v>
      </c>
      <c r="AE45" s="225">
        <v>17000</v>
      </c>
      <c r="AG45" s="193">
        <v>14500</v>
      </c>
      <c r="AH45" s="225">
        <v>17000</v>
      </c>
      <c r="AJ45" s="193">
        <v>13800</v>
      </c>
      <c r="AK45" s="225">
        <v>13800</v>
      </c>
    </row>
    <row r="46" spans="1:37" x14ac:dyDescent="0.15">
      <c r="A46" s="569">
        <v>1</v>
      </c>
      <c r="B46" s="784">
        <v>58500</v>
      </c>
      <c r="C46">
        <f t="shared" si="0"/>
        <v>16000</v>
      </c>
      <c r="D46">
        <f t="array" ref="D46">SUM(IF(($B$38:$B$1032/$A$38:$A$1032&gt;=C46)*($B$38:$B$1032/$A$38:$A$1032&lt;C47),1,0))</f>
        <v>127</v>
      </c>
      <c r="H46" s="193">
        <v>18500</v>
      </c>
      <c r="I46" s="463">
        <v>21500</v>
      </c>
      <c r="J46" s="580">
        <v>30000</v>
      </c>
      <c r="K46" s="468">
        <v>39200</v>
      </c>
      <c r="L46" s="580"/>
      <c r="AA46" s="193">
        <v>6000</v>
      </c>
      <c r="AB46" s="225">
        <v>900</v>
      </c>
      <c r="AD46" s="193">
        <v>16000</v>
      </c>
      <c r="AE46" s="225">
        <v>5700</v>
      </c>
      <c r="AG46" s="193">
        <v>11500</v>
      </c>
      <c r="AH46" s="225">
        <v>11500</v>
      </c>
    </row>
    <row r="47" spans="1:37" x14ac:dyDescent="0.15">
      <c r="A47" s="573">
        <v>1</v>
      </c>
      <c r="B47" s="784">
        <v>50000</v>
      </c>
      <c r="C47">
        <f t="shared" si="0"/>
        <v>18000</v>
      </c>
      <c r="D47">
        <f t="array" ref="D47">SUM(IF(($B$38:$B$1032/$A$38:$A$1032&gt;=C47)*($B$38:$B$1032/$A$38:$A$1032&lt;C48),1,0))</f>
        <v>110</v>
      </c>
      <c r="AA47" s="499">
        <v>17500</v>
      </c>
      <c r="AB47" s="225">
        <v>28200</v>
      </c>
      <c r="AD47" s="193">
        <v>15000</v>
      </c>
      <c r="AE47" s="225">
        <v>18000</v>
      </c>
      <c r="AG47" s="193">
        <v>14500</v>
      </c>
      <c r="AH47" s="463">
        <v>10500</v>
      </c>
    </row>
    <row r="48" spans="1:37" x14ac:dyDescent="0.15">
      <c r="A48" s="236">
        <v>1</v>
      </c>
      <c r="B48" s="784">
        <v>84250</v>
      </c>
      <c r="C48">
        <f t="shared" si="0"/>
        <v>20000</v>
      </c>
      <c r="D48">
        <f t="array" ref="D48">SUM(IF(($B$38:$B$1032/$A$38:$A$1032&gt;=C48)*($B$38:$B$1032/$A$38:$A$1032&lt;C49),1,0))</f>
        <v>98</v>
      </c>
      <c r="AA48" s="193">
        <v>17500</v>
      </c>
      <c r="AB48" s="225">
        <v>22000</v>
      </c>
      <c r="AD48" s="193">
        <v>15500</v>
      </c>
      <c r="AE48" s="225">
        <v>15500</v>
      </c>
      <c r="AG48" s="193">
        <v>14500</v>
      </c>
      <c r="AH48" s="225">
        <v>16500</v>
      </c>
    </row>
    <row r="49" spans="1:34" x14ac:dyDescent="0.15">
      <c r="A49" s="744">
        <v>1</v>
      </c>
      <c r="B49" s="784">
        <v>64500</v>
      </c>
      <c r="C49">
        <f t="shared" si="0"/>
        <v>22000</v>
      </c>
      <c r="D49">
        <f t="array" ref="D49">SUM(IF(($B$38:$B$1032/$A$38:$A$1032&gt;=C49)*($B$38:$B$1032/$A$38:$A$1032&lt;C50),1,0))</f>
        <v>106</v>
      </c>
      <c r="AA49" s="193">
        <v>17000</v>
      </c>
      <c r="AB49" s="225">
        <v>14500</v>
      </c>
      <c r="AD49" s="193">
        <v>10000</v>
      </c>
      <c r="AE49" s="225">
        <v>13000</v>
      </c>
      <c r="AG49" s="193">
        <v>14500</v>
      </c>
      <c r="AH49" s="225">
        <v>6500</v>
      </c>
    </row>
    <row r="50" spans="1:34" x14ac:dyDescent="0.15">
      <c r="A50" s="745">
        <v>1</v>
      </c>
      <c r="B50" s="784">
        <v>40000</v>
      </c>
      <c r="C50">
        <f t="shared" si="0"/>
        <v>24000</v>
      </c>
      <c r="D50">
        <f t="array" ref="D50">SUM(IF(($B$38:$B$1032/$A$38:$A$1032&gt;=C50)*($B$38:$B$1032/$A$38:$A$1032&lt;C51),1,0))</f>
        <v>63</v>
      </c>
      <c r="AA50" s="193">
        <v>17000</v>
      </c>
      <c r="AB50" s="225">
        <v>24000</v>
      </c>
      <c r="AD50" s="193">
        <v>15500</v>
      </c>
      <c r="AE50" s="225">
        <v>15500</v>
      </c>
      <c r="AG50" s="193">
        <v>6000</v>
      </c>
      <c r="AH50" s="225">
        <v>600</v>
      </c>
    </row>
    <row r="51" spans="1:34" x14ac:dyDescent="0.15">
      <c r="A51" s="745">
        <v>1</v>
      </c>
      <c r="B51" s="784">
        <v>49000</v>
      </c>
      <c r="C51">
        <f t="shared" si="0"/>
        <v>26000</v>
      </c>
      <c r="D51">
        <f t="array" ref="D51">SUM(IF(($B$38:$B$1032/$A$38:$A$1032&gt;=C51)*($B$38:$B$1032/$A$38:$A$1032&lt;C52),1,0))</f>
        <v>53</v>
      </c>
      <c r="AA51" s="193">
        <v>17500</v>
      </c>
      <c r="AB51" s="225">
        <v>23500</v>
      </c>
      <c r="AD51" s="193">
        <v>8000</v>
      </c>
      <c r="AE51" s="225">
        <v>15000</v>
      </c>
      <c r="AG51" s="193">
        <v>17000</v>
      </c>
      <c r="AH51" s="225">
        <v>18000</v>
      </c>
    </row>
    <row r="52" spans="1:34" x14ac:dyDescent="0.15">
      <c r="A52" s="745">
        <v>1</v>
      </c>
      <c r="B52" s="784">
        <v>72500</v>
      </c>
      <c r="C52">
        <f t="shared" si="0"/>
        <v>28000</v>
      </c>
      <c r="D52">
        <f t="array" ref="D52">SUM(IF(($B$38:$B$1032/$A$38:$A$1032&gt;=C52)*($B$38:$B$1032/$A$38:$A$1032&lt;C53),1,0))</f>
        <v>40</v>
      </c>
      <c r="AA52" s="193">
        <v>17500</v>
      </c>
      <c r="AB52" s="225">
        <v>24500</v>
      </c>
      <c r="AD52" s="193">
        <v>14700</v>
      </c>
      <c r="AE52" s="225">
        <v>12050</v>
      </c>
      <c r="AG52" s="193">
        <v>6100</v>
      </c>
      <c r="AH52" s="225">
        <v>610</v>
      </c>
    </row>
    <row r="53" spans="1:34" x14ac:dyDescent="0.15">
      <c r="A53" s="289">
        <v>0.5</v>
      </c>
      <c r="B53" s="468">
        <v>20150</v>
      </c>
      <c r="C53">
        <f t="shared" si="0"/>
        <v>30000</v>
      </c>
      <c r="D53">
        <f t="array" ref="D53">SUM(IF(($B$38:$B$1032/$A$38:$A$1032&gt;=C53)*($B$38:$B$1032/$A$38:$A$1032&lt;C54),1,0))</f>
        <v>40</v>
      </c>
      <c r="AA53" s="193">
        <v>17500</v>
      </c>
      <c r="AB53" s="225">
        <v>25000</v>
      </c>
      <c r="AD53" s="193">
        <v>7000</v>
      </c>
      <c r="AE53" s="225">
        <v>5000</v>
      </c>
      <c r="AG53" s="193">
        <v>7000</v>
      </c>
      <c r="AH53" s="225">
        <v>3500</v>
      </c>
    </row>
    <row r="54" spans="1:34" x14ac:dyDescent="0.15">
      <c r="A54" s="573">
        <v>1</v>
      </c>
      <c r="B54" s="785">
        <v>40000</v>
      </c>
      <c r="C54">
        <f t="shared" si="0"/>
        <v>32000</v>
      </c>
      <c r="D54">
        <f t="array" ref="D54">SUM(IF(($B$38:$B$1032/$A$38:$A$1032&gt;=C54)*($B$38:$B$1032/$A$38:$A$1032&lt;C55),1,0))</f>
        <v>34</v>
      </c>
      <c r="AA54" s="193">
        <v>16000</v>
      </c>
      <c r="AB54" s="225">
        <v>23000</v>
      </c>
      <c r="AD54" s="193">
        <v>12000</v>
      </c>
      <c r="AE54" s="225">
        <v>12000</v>
      </c>
    </row>
    <row r="55" spans="1:34" x14ac:dyDescent="0.15">
      <c r="A55" s="573">
        <v>0.5</v>
      </c>
      <c r="B55" s="784">
        <v>26350</v>
      </c>
      <c r="C55">
        <f t="shared" si="0"/>
        <v>34000</v>
      </c>
      <c r="D55">
        <f t="array" ref="D55">SUM(IF(($B$38:$B$1032/$A$38:$A$1032&gt;=C55)*($B$38:$B$1032/$A$38:$A$1032&lt;C56),1,0))</f>
        <v>19</v>
      </c>
      <c r="AA55" s="193">
        <v>16000</v>
      </c>
      <c r="AB55" s="225">
        <v>19000</v>
      </c>
      <c r="AD55" s="193">
        <v>9100</v>
      </c>
      <c r="AE55" s="225">
        <v>15100</v>
      </c>
    </row>
    <row r="56" spans="1:34" x14ac:dyDescent="0.15">
      <c r="A56" s="289">
        <v>0.5</v>
      </c>
      <c r="B56" s="468">
        <v>30500</v>
      </c>
      <c r="C56">
        <f t="shared" si="0"/>
        <v>36000</v>
      </c>
      <c r="D56">
        <f t="array" ref="D56">SUM(IF(($B$38:$B$1032/$A$38:$A$1032&gt;=C56)*($B$38:$B$1032/$A$38:$A$1032&lt;C57),1,0))</f>
        <v>18</v>
      </c>
      <c r="AA56" s="193">
        <v>10000</v>
      </c>
      <c r="AB56" s="225">
        <v>13000</v>
      </c>
      <c r="AD56" s="193">
        <v>16000</v>
      </c>
      <c r="AE56" s="225">
        <v>23700</v>
      </c>
    </row>
    <row r="57" spans="1:34" x14ac:dyDescent="0.15">
      <c r="A57" s="282">
        <v>1</v>
      </c>
      <c r="B57" s="786">
        <v>45000</v>
      </c>
      <c r="C57">
        <f t="shared" si="0"/>
        <v>38000</v>
      </c>
      <c r="D57">
        <f t="array" ref="D57">SUM(IF(($B$38:$B$1032/$A$38:$A$1032&gt;=C57)*($B$38:$B$1032/$A$38:$A$1032&lt;C58),1,0))</f>
        <v>20</v>
      </c>
      <c r="AA57" s="193">
        <v>4800</v>
      </c>
      <c r="AB57" s="225">
        <v>7800</v>
      </c>
      <c r="AD57" s="193">
        <v>16000</v>
      </c>
      <c r="AE57" s="225">
        <v>16000</v>
      </c>
    </row>
    <row r="58" spans="1:34" x14ac:dyDescent="0.15">
      <c r="A58" s="178">
        <v>1</v>
      </c>
      <c r="B58" s="785">
        <v>15100</v>
      </c>
      <c r="C58">
        <f t="shared" si="0"/>
        <v>40000</v>
      </c>
      <c r="D58">
        <f t="array" ref="D58">SUM(IF(($B$38:$B$1032/$A$38:$A$1032&gt;=C58)*($B$38:$B$1032/$A$38:$A$1032&lt;C59),1,0))</f>
        <v>23</v>
      </c>
      <c r="AA58" s="193">
        <v>17300</v>
      </c>
      <c r="AB58" s="225">
        <v>12150</v>
      </c>
      <c r="AD58" s="193">
        <v>16000</v>
      </c>
      <c r="AE58" s="225">
        <v>20000</v>
      </c>
    </row>
    <row r="59" spans="1:34" x14ac:dyDescent="0.15">
      <c r="A59" s="187">
        <v>1</v>
      </c>
      <c r="B59" s="787">
        <v>50300</v>
      </c>
      <c r="C59">
        <f t="shared" si="0"/>
        <v>42000</v>
      </c>
      <c r="D59">
        <f t="array" ref="D59">SUM(IF(($B$38:$B$1032/$A$38:$A$1032&gt;=C59)*($B$38:$B$1032/$A$38:$A$1032&lt;C60),1,0))</f>
        <v>11</v>
      </c>
      <c r="AA59" s="499">
        <v>16100</v>
      </c>
      <c r="AB59" s="225">
        <v>19100</v>
      </c>
      <c r="AD59" s="193">
        <v>16000</v>
      </c>
      <c r="AE59" s="225">
        <v>19000</v>
      </c>
    </row>
    <row r="60" spans="1:34" x14ac:dyDescent="0.15">
      <c r="A60" s="187">
        <v>1</v>
      </c>
      <c r="B60" s="787">
        <v>50300</v>
      </c>
      <c r="C60">
        <f t="shared" si="0"/>
        <v>44000</v>
      </c>
      <c r="D60">
        <f t="array" ref="D60">SUM(IF(($B$38:$B$1032/$A$38:$A$1032&gt;=C60)*($B$38:$B$1032/$A$38:$A$1032&lt;C61),1,0))</f>
        <v>11</v>
      </c>
      <c r="AA60" s="193">
        <v>4000</v>
      </c>
      <c r="AB60" s="225">
        <v>7000</v>
      </c>
      <c r="AD60" s="193">
        <v>16000</v>
      </c>
      <c r="AE60" s="225">
        <v>17000</v>
      </c>
    </row>
    <row r="61" spans="1:34" x14ac:dyDescent="0.15">
      <c r="A61" s="187">
        <v>1</v>
      </c>
      <c r="B61" s="787">
        <v>37800</v>
      </c>
      <c r="C61">
        <f t="shared" si="0"/>
        <v>46000</v>
      </c>
      <c r="D61">
        <f t="array" ref="D61">SUM(IF(($B$38:$B$1032/$A$38:$A$1032&gt;=C61)*($B$38:$B$1032/$A$38:$A$1032&lt;C62),1,0))</f>
        <v>7</v>
      </c>
      <c r="AA61" s="193">
        <v>17000</v>
      </c>
      <c r="AB61" s="225">
        <v>11800</v>
      </c>
      <c r="AD61" s="193">
        <v>16000</v>
      </c>
      <c r="AE61" s="225">
        <v>17000</v>
      </c>
    </row>
    <row r="62" spans="1:34" x14ac:dyDescent="0.15">
      <c r="A62" s="187">
        <v>0.5</v>
      </c>
      <c r="B62" s="787">
        <v>16250</v>
      </c>
      <c r="C62">
        <f t="shared" si="0"/>
        <v>48000</v>
      </c>
      <c r="D62">
        <f t="array" ref="D62">SUM(IF(($B$38:$B$1032/$A$38:$A$1032&gt;=C62)*($B$38:$B$1032/$A$38:$A$1032&lt;C63),1,0))</f>
        <v>5</v>
      </c>
      <c r="AA62" s="193">
        <v>15000</v>
      </c>
      <c r="AB62" s="225">
        <v>18000</v>
      </c>
      <c r="AD62" s="193">
        <v>15000</v>
      </c>
      <c r="AE62" s="225">
        <v>3600</v>
      </c>
    </row>
    <row r="63" spans="1:34" x14ac:dyDescent="0.15">
      <c r="A63" s="190">
        <v>0.25</v>
      </c>
      <c r="B63" s="787">
        <v>6200</v>
      </c>
      <c r="C63">
        <f t="shared" si="0"/>
        <v>50000</v>
      </c>
      <c r="D63">
        <f t="array" ref="D63">SUM(IF(($B$38:$B$1032/$A$38:$A$1032&gt;=C63)*($B$38:$B$1032/$A$38:$A$1032&lt;C64),1,0))</f>
        <v>6</v>
      </c>
      <c r="AA63" s="193">
        <v>17500</v>
      </c>
      <c r="AB63" s="225">
        <v>15450</v>
      </c>
      <c r="AD63" s="193">
        <v>17000</v>
      </c>
      <c r="AE63" s="225">
        <v>27400</v>
      </c>
    </row>
    <row r="64" spans="1:34" x14ac:dyDescent="0.15">
      <c r="A64" s="595">
        <v>1</v>
      </c>
      <c r="B64" s="787">
        <v>45300</v>
      </c>
      <c r="C64">
        <f t="shared" si="0"/>
        <v>52000</v>
      </c>
      <c r="D64">
        <f t="array" ref="D64">SUM(IF(($B$38:$B$1032/$A$38:$A$1032&gt;=C64)*($B$38:$B$1032/$A$38:$A$1032&lt;C65),1,0))</f>
        <v>5</v>
      </c>
      <c r="AA64" s="193">
        <v>16700</v>
      </c>
      <c r="AB64" s="225">
        <v>19700</v>
      </c>
      <c r="AD64" s="193">
        <v>10800</v>
      </c>
      <c r="AE64" s="225">
        <v>13800</v>
      </c>
    </row>
    <row r="65" spans="1:31" x14ac:dyDescent="0.15">
      <c r="A65" s="595">
        <v>1</v>
      </c>
      <c r="B65" s="787">
        <v>26000</v>
      </c>
      <c r="C65">
        <f t="shared" si="0"/>
        <v>54000</v>
      </c>
      <c r="D65">
        <f t="array" ref="D65">SUM(IF(($B$38:$B$1032/$A$38:$A$1032&gt;=C65)*($B$38:$B$1032/$A$38:$A$1032&lt;C66),1,0))</f>
        <v>2</v>
      </c>
      <c r="AA65" s="193">
        <v>10500</v>
      </c>
      <c r="AB65" s="225">
        <v>13500</v>
      </c>
      <c r="AD65" s="193">
        <v>6000</v>
      </c>
      <c r="AE65" s="225">
        <v>900</v>
      </c>
    </row>
    <row r="66" spans="1:31" x14ac:dyDescent="0.15">
      <c r="A66" s="190">
        <v>1</v>
      </c>
      <c r="B66" s="787">
        <v>29000</v>
      </c>
      <c r="C66">
        <f t="shared" si="0"/>
        <v>56000</v>
      </c>
      <c r="D66">
        <f t="array" ref="D66">SUM(IF(($B$38:$B$1032/$A$38:$A$1032&gt;=C66)*($B$38:$B$1032/$A$38:$A$1032&lt;C67),1,0))</f>
        <v>0</v>
      </c>
      <c r="AA66" s="193">
        <v>15800</v>
      </c>
      <c r="AB66" s="225">
        <v>22800</v>
      </c>
      <c r="AD66" s="193">
        <v>16700</v>
      </c>
      <c r="AE66" s="225">
        <v>22500</v>
      </c>
    </row>
    <row r="67" spans="1:31" x14ac:dyDescent="0.15">
      <c r="A67" s="190">
        <v>1</v>
      </c>
      <c r="B67" s="787">
        <v>23000</v>
      </c>
      <c r="C67">
        <f t="shared" si="0"/>
        <v>58000</v>
      </c>
      <c r="D67">
        <f t="array" ref="D67">SUM(IF(($B$38:$B$1032/$A$38:$A$1032&gt;=C67)*($B$38:$B$1032/$A$38:$A$1032&lt;C68),1,0))</f>
        <v>2</v>
      </c>
      <c r="AA67" s="193">
        <v>17500</v>
      </c>
      <c r="AB67" s="225">
        <v>29400</v>
      </c>
      <c r="AD67" s="193">
        <v>13800</v>
      </c>
      <c r="AE67" s="225">
        <v>13800</v>
      </c>
    </row>
    <row r="68" spans="1:31" x14ac:dyDescent="0.15">
      <c r="A68" s="602">
        <v>1</v>
      </c>
      <c r="B68" s="789">
        <v>43700</v>
      </c>
      <c r="C68">
        <f t="shared" si="0"/>
        <v>60000</v>
      </c>
      <c r="D68">
        <f t="array" ref="D68">SUM(IF(($B$38:$B$1032/$A$38:$A$1032&gt;=C68)*($B$38:$B$1032/$A$38:$A$1032&lt;C69),1,0))</f>
        <v>1</v>
      </c>
      <c r="AA68" s="193">
        <v>14800</v>
      </c>
      <c r="AB68" s="225">
        <v>17800</v>
      </c>
      <c r="AD68" s="193">
        <v>11000</v>
      </c>
      <c r="AE68" s="225">
        <v>14000</v>
      </c>
    </row>
    <row r="69" spans="1:31" x14ac:dyDescent="0.15">
      <c r="A69" s="190">
        <v>0.5</v>
      </c>
      <c r="B69" s="788">
        <v>25000</v>
      </c>
      <c r="C69">
        <f t="shared" si="0"/>
        <v>62000</v>
      </c>
      <c r="D69">
        <f t="array" ref="D69">SUM(IF(($B$38:$B$1032/$A$38:$A$1032&gt;=C69)*($B$38:$B$1032/$A$38:$A$1032&lt;C70),1,0))</f>
        <v>0</v>
      </c>
      <c r="AA69" s="193">
        <v>17500</v>
      </c>
      <c r="AB69" s="225">
        <v>27200</v>
      </c>
      <c r="AD69" s="193">
        <v>14000</v>
      </c>
      <c r="AE69" s="225">
        <v>13800</v>
      </c>
    </row>
    <row r="70" spans="1:31" x14ac:dyDescent="0.15">
      <c r="A70" s="190">
        <v>1</v>
      </c>
      <c r="B70" s="788">
        <v>22000</v>
      </c>
      <c r="C70">
        <f t="shared" si="0"/>
        <v>64000</v>
      </c>
      <c r="D70">
        <f t="array" ref="D70">SUM(IF(($B$38:$B$1032/$A$38:$A$1032&gt;=C70)*($B$38:$B$1032/$A$38:$A$1032&lt;C71),1,0))</f>
        <v>2</v>
      </c>
      <c r="AA70" s="193">
        <v>7200</v>
      </c>
      <c r="AB70" s="225">
        <v>14200</v>
      </c>
      <c r="AD70" s="193">
        <v>12000</v>
      </c>
      <c r="AE70" s="225">
        <v>15000</v>
      </c>
    </row>
    <row r="71" spans="1:31" x14ac:dyDescent="0.15">
      <c r="A71" s="190">
        <v>1</v>
      </c>
      <c r="B71" s="788">
        <v>19800</v>
      </c>
      <c r="C71">
        <f t="shared" si="0"/>
        <v>66000</v>
      </c>
      <c r="D71">
        <f t="array" ref="D71">SUM(IF(($B$38:$B$1032/$A$38:$A$1032&gt;=C71)*($B$38:$B$1032/$A$38:$A$1032&lt;C72),1,0))</f>
        <v>0</v>
      </c>
      <c r="AA71" s="193">
        <v>10600</v>
      </c>
      <c r="AB71" s="225">
        <v>14200</v>
      </c>
      <c r="AD71" s="193">
        <v>16000</v>
      </c>
      <c r="AE71" s="225">
        <v>17000</v>
      </c>
    </row>
    <row r="72" spans="1:31" x14ac:dyDescent="0.15">
      <c r="A72" s="190">
        <v>1</v>
      </c>
      <c r="B72" s="788">
        <v>17000</v>
      </c>
      <c r="C72">
        <f t="shared" si="0"/>
        <v>68000</v>
      </c>
      <c r="D72">
        <f t="array" ref="D72">SUM(IF(($B$38:$B$1032/$A$38:$A$1032&gt;=C72)*($B$38:$B$1032/$A$38:$A$1032&lt;C73),1,0))</f>
        <v>0</v>
      </c>
      <c r="AA72" s="193">
        <v>10900</v>
      </c>
      <c r="AB72" s="225">
        <v>6950</v>
      </c>
      <c r="AD72" s="193">
        <v>16000</v>
      </c>
      <c r="AE72" s="225">
        <v>17000</v>
      </c>
    </row>
    <row r="73" spans="1:31" x14ac:dyDescent="0.15">
      <c r="A73" s="190">
        <v>1</v>
      </c>
      <c r="B73" s="788">
        <v>19635</v>
      </c>
      <c r="C73">
        <f t="shared" si="0"/>
        <v>70000</v>
      </c>
      <c r="D73">
        <f t="array" ref="D73">SUM(IF(($B$38:$B$1032/$A$38:$A$1032&gt;=C73)*($B$38:$B$1032/$A$38:$A$1032&lt;C74),1,0))</f>
        <v>1</v>
      </c>
      <c r="AA73" s="193">
        <v>12000</v>
      </c>
      <c r="AB73" s="225">
        <v>15000</v>
      </c>
      <c r="AD73" s="193">
        <v>3700</v>
      </c>
      <c r="AE73" s="225">
        <v>670</v>
      </c>
    </row>
    <row r="74" spans="1:31" x14ac:dyDescent="0.15">
      <c r="A74" s="194">
        <v>1</v>
      </c>
      <c r="B74" s="790">
        <v>19800</v>
      </c>
      <c r="C74">
        <f t="shared" si="0"/>
        <v>72000</v>
      </c>
      <c r="D74">
        <f t="array" ref="D74">SUM(IF(($B$38:$B$1032/$A$38:$A$1032&gt;=C74)*($B$38:$B$1032/$A$38:$A$1032&lt;C75),1,0))</f>
        <v>3</v>
      </c>
      <c r="AA74" s="193">
        <v>17500</v>
      </c>
      <c r="AB74" s="225">
        <v>23500</v>
      </c>
      <c r="AD74" s="193">
        <v>11000</v>
      </c>
      <c r="AE74" s="225">
        <v>14000</v>
      </c>
    </row>
    <row r="75" spans="1:31" x14ac:dyDescent="0.15">
      <c r="A75" s="190">
        <v>1</v>
      </c>
      <c r="B75" s="468">
        <v>30400</v>
      </c>
      <c r="C75">
        <f t="shared" si="0"/>
        <v>74000</v>
      </c>
      <c r="D75">
        <f t="array" ref="D75">SUM(IF(($B$38:$B$1032/$A$38:$A$1032&gt;=C75)*($B$38:$B$1032/$A$38:$A$1032&lt;C76),1,0))</f>
        <v>0</v>
      </c>
      <c r="AD75" s="193">
        <v>14700</v>
      </c>
      <c r="AE75" s="225">
        <v>11550</v>
      </c>
    </row>
    <row r="76" spans="1:31" x14ac:dyDescent="0.15">
      <c r="A76" s="190">
        <v>1</v>
      </c>
      <c r="B76" s="468">
        <v>23000</v>
      </c>
      <c r="C76">
        <f t="shared" si="0"/>
        <v>76000</v>
      </c>
      <c r="D76">
        <f t="array" ref="D76">SUM(IF(($B$38:$B$1032/$A$38:$A$1032&gt;=C76)*($B$38:$B$1032/$A$38:$A$1032&lt;C77),1,0))</f>
        <v>2</v>
      </c>
      <c r="AD76" s="193">
        <v>14500</v>
      </c>
      <c r="AE76" s="225">
        <v>14500</v>
      </c>
    </row>
    <row r="77" spans="1:31" x14ac:dyDescent="0.15">
      <c r="A77" s="194">
        <v>1</v>
      </c>
      <c r="B77" s="468">
        <v>19800</v>
      </c>
      <c r="C77">
        <f t="shared" si="0"/>
        <v>78000</v>
      </c>
      <c r="D77">
        <f t="array" ref="D77">SUM(IF(($B$38:$B$1032/$A$38:$A$1032&gt;=C77)*($B$38:$B$1032/$A$38:$A$1032&lt;C78),1,0))</f>
        <v>0</v>
      </c>
      <c r="AD77" s="193">
        <v>3700</v>
      </c>
      <c r="AE77" s="225">
        <v>3350</v>
      </c>
    </row>
    <row r="78" spans="1:31" x14ac:dyDescent="0.15">
      <c r="A78" s="190">
        <v>1</v>
      </c>
      <c r="B78" s="468">
        <v>21000</v>
      </c>
      <c r="AD78" s="193">
        <v>5500</v>
      </c>
      <c r="AE78" s="225">
        <v>8500</v>
      </c>
    </row>
    <row r="79" spans="1:31" x14ac:dyDescent="0.15">
      <c r="A79" s="190">
        <v>1</v>
      </c>
      <c r="B79" s="468">
        <v>27500</v>
      </c>
      <c r="AD79" s="193">
        <v>16500</v>
      </c>
      <c r="AE79" s="225">
        <v>29400</v>
      </c>
    </row>
    <row r="80" spans="1:31" x14ac:dyDescent="0.15">
      <c r="A80" s="190">
        <v>1</v>
      </c>
      <c r="B80" s="465">
        <v>20900</v>
      </c>
      <c r="AD80" s="193">
        <v>16000</v>
      </c>
      <c r="AE80" s="225">
        <v>18700</v>
      </c>
    </row>
    <row r="81" spans="1:31" x14ac:dyDescent="0.15">
      <c r="A81" s="190">
        <v>1</v>
      </c>
      <c r="B81" s="785">
        <v>43700</v>
      </c>
      <c r="AD81" s="193">
        <v>9300</v>
      </c>
      <c r="AE81" s="225">
        <v>12300</v>
      </c>
    </row>
    <row r="82" spans="1:31" x14ac:dyDescent="0.15">
      <c r="A82" s="190">
        <v>0.1</v>
      </c>
      <c r="B82" s="785">
        <v>2330</v>
      </c>
      <c r="AD82" s="193">
        <v>9300</v>
      </c>
      <c r="AE82" s="225">
        <v>12300</v>
      </c>
    </row>
    <row r="83" spans="1:31" x14ac:dyDescent="0.15">
      <c r="A83" s="190">
        <v>1</v>
      </c>
      <c r="B83" s="468">
        <v>33140</v>
      </c>
      <c r="AD83" s="193">
        <v>8850</v>
      </c>
      <c r="AE83" s="225">
        <v>3170</v>
      </c>
    </row>
    <row r="84" spans="1:31" x14ac:dyDescent="0.15">
      <c r="A84" s="194">
        <v>0.5</v>
      </c>
      <c r="B84" s="468">
        <v>7950</v>
      </c>
      <c r="AD84" s="193">
        <v>14700</v>
      </c>
      <c r="AE84" s="225">
        <v>8850</v>
      </c>
    </row>
    <row r="85" spans="1:31" x14ac:dyDescent="0.15">
      <c r="A85" s="190">
        <v>1</v>
      </c>
      <c r="B85" s="468">
        <v>23000</v>
      </c>
      <c r="AD85" s="193">
        <v>10400</v>
      </c>
      <c r="AE85" s="225">
        <v>13400</v>
      </c>
    </row>
    <row r="86" spans="1:31" x14ac:dyDescent="0.15">
      <c r="A86" s="190">
        <v>0.5</v>
      </c>
      <c r="B86" s="468">
        <v>15000</v>
      </c>
      <c r="AD86" s="193">
        <v>11000</v>
      </c>
      <c r="AE86" s="225">
        <v>11000</v>
      </c>
    </row>
    <row r="87" spans="1:31" x14ac:dyDescent="0.15">
      <c r="A87" s="190">
        <v>1</v>
      </c>
      <c r="B87" s="468">
        <v>13000</v>
      </c>
      <c r="AD87" s="193">
        <v>3500</v>
      </c>
      <c r="AE87" s="225">
        <v>650</v>
      </c>
    </row>
    <row r="88" spans="1:31" x14ac:dyDescent="0.15">
      <c r="A88" s="190">
        <v>1</v>
      </c>
      <c r="B88" s="468">
        <v>12300</v>
      </c>
      <c r="AD88" s="193">
        <v>12600</v>
      </c>
      <c r="AE88" s="225">
        <v>15600</v>
      </c>
    </row>
    <row r="89" spans="1:31" x14ac:dyDescent="0.15">
      <c r="A89" s="190">
        <v>1</v>
      </c>
      <c r="B89" s="468">
        <v>12614</v>
      </c>
      <c r="AD89" s="193">
        <v>15100</v>
      </c>
      <c r="AE89" s="225">
        <v>15100</v>
      </c>
    </row>
    <row r="90" spans="1:31" x14ac:dyDescent="0.15">
      <c r="A90" s="190">
        <v>1</v>
      </c>
      <c r="B90" s="468">
        <v>18040</v>
      </c>
    </row>
    <row r="91" spans="1:31" x14ac:dyDescent="0.15">
      <c r="A91" s="194">
        <v>0.5</v>
      </c>
      <c r="B91" s="468">
        <v>11360</v>
      </c>
    </row>
    <row r="92" spans="1:31" x14ac:dyDescent="0.15">
      <c r="A92" s="190">
        <v>1</v>
      </c>
      <c r="B92" s="468">
        <v>34240</v>
      </c>
    </row>
    <row r="93" spans="1:31" x14ac:dyDescent="0.15">
      <c r="A93" s="190">
        <v>1</v>
      </c>
      <c r="B93" s="468">
        <v>31800</v>
      </c>
    </row>
    <row r="94" spans="1:31" x14ac:dyDescent="0.15">
      <c r="A94" s="190">
        <v>1</v>
      </c>
      <c r="B94" s="468">
        <v>28410</v>
      </c>
    </row>
    <row r="95" spans="1:31" x14ac:dyDescent="0.15">
      <c r="A95" s="190">
        <v>1</v>
      </c>
      <c r="B95" s="468">
        <v>17820</v>
      </c>
    </row>
    <row r="96" spans="1:31" x14ac:dyDescent="0.15">
      <c r="A96" s="190">
        <v>1</v>
      </c>
      <c r="B96" s="468">
        <v>17820</v>
      </c>
    </row>
    <row r="97" spans="1:2" x14ac:dyDescent="0.15">
      <c r="A97" s="190">
        <v>0.5</v>
      </c>
      <c r="B97" s="468">
        <v>15450</v>
      </c>
    </row>
    <row r="98" spans="1:2" x14ac:dyDescent="0.15">
      <c r="A98" s="194">
        <v>1</v>
      </c>
      <c r="B98" s="468">
        <v>19360</v>
      </c>
    </row>
    <row r="99" spans="1:2" x14ac:dyDescent="0.15">
      <c r="A99" s="190">
        <v>1</v>
      </c>
      <c r="B99" s="468">
        <v>18920</v>
      </c>
    </row>
    <row r="100" spans="1:2" x14ac:dyDescent="0.15">
      <c r="A100" s="190">
        <v>1</v>
      </c>
      <c r="B100" s="468">
        <v>15900</v>
      </c>
    </row>
    <row r="101" spans="1:2" x14ac:dyDescent="0.15">
      <c r="A101" s="190">
        <v>1</v>
      </c>
      <c r="B101" s="468">
        <v>17710</v>
      </c>
    </row>
    <row r="102" spans="1:2" x14ac:dyDescent="0.15">
      <c r="A102" s="194">
        <v>1</v>
      </c>
      <c r="B102" s="468">
        <v>18480</v>
      </c>
    </row>
    <row r="103" spans="1:2" x14ac:dyDescent="0.15">
      <c r="A103" s="459">
        <v>1</v>
      </c>
      <c r="B103" s="784">
        <v>47600</v>
      </c>
    </row>
    <row r="104" spans="1:2" x14ac:dyDescent="0.15">
      <c r="A104" s="194">
        <v>1</v>
      </c>
      <c r="B104" s="779">
        <v>16500</v>
      </c>
    </row>
    <row r="105" spans="1:2" x14ac:dyDescent="0.15">
      <c r="A105" s="190">
        <v>1</v>
      </c>
      <c r="B105" s="785">
        <v>41350</v>
      </c>
    </row>
    <row r="106" spans="1:2" x14ac:dyDescent="0.15">
      <c r="A106" s="190">
        <v>1</v>
      </c>
      <c r="B106" s="785">
        <v>38600</v>
      </c>
    </row>
    <row r="107" spans="1:2" x14ac:dyDescent="0.15">
      <c r="A107" s="190">
        <v>1</v>
      </c>
      <c r="B107" s="785">
        <v>29300</v>
      </c>
    </row>
    <row r="108" spans="1:2" x14ac:dyDescent="0.15">
      <c r="A108" s="190">
        <v>1</v>
      </c>
      <c r="B108" s="785">
        <v>28100</v>
      </c>
    </row>
    <row r="109" spans="1:2" x14ac:dyDescent="0.15">
      <c r="A109" s="190">
        <v>1</v>
      </c>
      <c r="B109" s="785">
        <v>26500</v>
      </c>
    </row>
    <row r="110" spans="1:2" x14ac:dyDescent="0.15">
      <c r="A110" s="190">
        <v>1</v>
      </c>
      <c r="B110" s="785">
        <v>15400</v>
      </c>
    </row>
    <row r="111" spans="1:2" x14ac:dyDescent="0.15">
      <c r="A111" s="190">
        <v>1</v>
      </c>
      <c r="B111" s="785">
        <v>33850</v>
      </c>
    </row>
    <row r="112" spans="1:2" x14ac:dyDescent="0.15">
      <c r="A112" s="190">
        <v>0.5</v>
      </c>
      <c r="B112" s="785">
        <v>17000</v>
      </c>
    </row>
    <row r="113" spans="1:2" x14ac:dyDescent="0.15">
      <c r="A113" s="190">
        <v>1</v>
      </c>
      <c r="B113" s="785">
        <v>30300</v>
      </c>
    </row>
    <row r="114" spans="1:2" x14ac:dyDescent="0.15">
      <c r="A114" s="459">
        <v>1</v>
      </c>
      <c r="B114" s="785">
        <v>25000</v>
      </c>
    </row>
    <row r="115" spans="1:2" x14ac:dyDescent="0.15">
      <c r="A115" s="459">
        <v>0.4</v>
      </c>
      <c r="B115" s="785">
        <v>8000</v>
      </c>
    </row>
    <row r="116" spans="1:2" x14ac:dyDescent="0.15">
      <c r="A116" s="190">
        <v>1</v>
      </c>
      <c r="B116" s="785">
        <v>13750</v>
      </c>
    </row>
    <row r="117" spans="1:2" x14ac:dyDescent="0.15">
      <c r="A117" s="190">
        <v>1</v>
      </c>
      <c r="B117" s="785">
        <v>11500</v>
      </c>
    </row>
    <row r="118" spans="1:2" x14ac:dyDescent="0.15">
      <c r="A118" s="190">
        <v>1</v>
      </c>
      <c r="B118" s="785">
        <v>14000</v>
      </c>
    </row>
    <row r="119" spans="1:2" x14ac:dyDescent="0.15">
      <c r="A119" s="190">
        <v>1</v>
      </c>
      <c r="B119" s="785">
        <v>11000</v>
      </c>
    </row>
    <row r="120" spans="1:2" x14ac:dyDescent="0.15">
      <c r="A120" s="190">
        <v>0.5</v>
      </c>
      <c r="B120" s="785">
        <v>10000</v>
      </c>
    </row>
    <row r="121" spans="1:2" x14ac:dyDescent="0.15">
      <c r="A121" s="190">
        <v>0.5</v>
      </c>
      <c r="B121" s="785">
        <v>16900</v>
      </c>
    </row>
    <row r="122" spans="1:2" x14ac:dyDescent="0.15">
      <c r="A122" s="190">
        <v>1</v>
      </c>
      <c r="B122" s="785">
        <v>17600</v>
      </c>
    </row>
    <row r="123" spans="1:2" x14ac:dyDescent="0.15">
      <c r="A123" s="190">
        <v>1</v>
      </c>
      <c r="B123" s="785">
        <v>12400</v>
      </c>
    </row>
    <row r="124" spans="1:2" x14ac:dyDescent="0.15">
      <c r="A124" s="194">
        <v>1</v>
      </c>
      <c r="B124" s="785">
        <v>10230</v>
      </c>
    </row>
    <row r="125" spans="1:2" x14ac:dyDescent="0.15">
      <c r="A125" s="190">
        <v>1</v>
      </c>
      <c r="B125" s="468">
        <v>38000</v>
      </c>
    </row>
    <row r="126" spans="1:2" x14ac:dyDescent="0.15">
      <c r="A126" s="192">
        <v>1</v>
      </c>
      <c r="B126" s="468">
        <v>37100</v>
      </c>
    </row>
    <row r="127" spans="1:2" x14ac:dyDescent="0.15">
      <c r="A127" s="192">
        <v>0.5</v>
      </c>
      <c r="B127" s="468">
        <v>9750</v>
      </c>
    </row>
    <row r="128" spans="1:2" x14ac:dyDescent="0.15">
      <c r="A128" s="459">
        <v>1</v>
      </c>
      <c r="B128" s="468">
        <v>39300</v>
      </c>
    </row>
    <row r="129" spans="1:2" x14ac:dyDescent="0.15">
      <c r="A129" s="190">
        <v>0.5</v>
      </c>
      <c r="B129" s="468">
        <v>14750</v>
      </c>
    </row>
    <row r="130" spans="1:2" x14ac:dyDescent="0.15">
      <c r="A130" s="544">
        <v>0.5</v>
      </c>
      <c r="B130" s="468">
        <v>7425</v>
      </c>
    </row>
    <row r="131" spans="1:2" x14ac:dyDescent="0.15">
      <c r="A131" s="194">
        <v>1</v>
      </c>
      <c r="B131" s="468">
        <v>14300</v>
      </c>
    </row>
    <row r="132" spans="1:2" x14ac:dyDescent="0.15">
      <c r="A132" s="190">
        <v>1</v>
      </c>
      <c r="B132" s="785">
        <v>38250</v>
      </c>
    </row>
    <row r="133" spans="1:2" x14ac:dyDescent="0.15">
      <c r="A133" s="190">
        <v>1</v>
      </c>
      <c r="B133" s="785">
        <v>26000</v>
      </c>
    </row>
    <row r="134" spans="1:2" x14ac:dyDescent="0.15">
      <c r="A134" s="190">
        <v>1</v>
      </c>
      <c r="B134" s="785">
        <v>11000</v>
      </c>
    </row>
    <row r="135" spans="1:2" x14ac:dyDescent="0.15">
      <c r="A135" s="190">
        <v>1</v>
      </c>
      <c r="B135" s="785">
        <v>22000</v>
      </c>
    </row>
    <row r="136" spans="1:2" x14ac:dyDescent="0.15">
      <c r="A136" s="194">
        <v>1</v>
      </c>
      <c r="B136" s="785">
        <v>17050</v>
      </c>
    </row>
    <row r="137" spans="1:2" x14ac:dyDescent="0.15">
      <c r="A137" s="190">
        <v>1</v>
      </c>
      <c r="B137" s="468">
        <v>27750</v>
      </c>
    </row>
    <row r="138" spans="1:2" x14ac:dyDescent="0.15">
      <c r="A138" s="190">
        <v>1</v>
      </c>
      <c r="B138" s="468">
        <v>20000</v>
      </c>
    </row>
    <row r="139" spans="1:2" x14ac:dyDescent="0.15">
      <c r="A139" s="190">
        <v>1</v>
      </c>
      <c r="B139" s="468">
        <v>14500</v>
      </c>
    </row>
    <row r="140" spans="1:2" x14ac:dyDescent="0.15">
      <c r="A140" s="194">
        <v>1</v>
      </c>
      <c r="B140" s="468">
        <v>15000</v>
      </c>
    </row>
    <row r="141" spans="1:2" x14ac:dyDescent="0.15">
      <c r="A141" s="190">
        <v>1</v>
      </c>
      <c r="B141" s="468">
        <v>36150</v>
      </c>
    </row>
    <row r="142" spans="1:2" x14ac:dyDescent="0.15">
      <c r="A142" s="190">
        <v>1</v>
      </c>
      <c r="B142" s="468">
        <v>20600</v>
      </c>
    </row>
    <row r="143" spans="1:2" x14ac:dyDescent="0.15">
      <c r="A143" s="190">
        <v>1</v>
      </c>
      <c r="B143" s="468">
        <v>30500</v>
      </c>
    </row>
    <row r="144" spans="1:2" x14ac:dyDescent="0.15">
      <c r="A144" s="190">
        <v>1</v>
      </c>
      <c r="B144" s="468">
        <v>25000</v>
      </c>
    </row>
    <row r="145" spans="1:2" x14ac:dyDescent="0.15">
      <c r="A145" s="190">
        <v>0.8</v>
      </c>
      <c r="B145" s="468">
        <v>12800</v>
      </c>
    </row>
    <row r="146" spans="1:2" x14ac:dyDescent="0.15">
      <c r="A146" s="190">
        <v>1</v>
      </c>
      <c r="B146" s="468">
        <v>25000</v>
      </c>
    </row>
    <row r="147" spans="1:2" x14ac:dyDescent="0.15">
      <c r="A147" s="192">
        <v>1</v>
      </c>
      <c r="B147" s="468">
        <v>14500</v>
      </c>
    </row>
    <row r="148" spans="1:2" x14ac:dyDescent="0.15">
      <c r="A148" s="194">
        <v>0.5</v>
      </c>
      <c r="B148" s="468">
        <v>9000</v>
      </c>
    </row>
    <row r="149" spans="1:2" x14ac:dyDescent="0.15">
      <c r="A149" s="192">
        <v>1</v>
      </c>
      <c r="B149" s="785">
        <v>47600</v>
      </c>
    </row>
    <row r="150" spans="1:2" x14ac:dyDescent="0.15">
      <c r="A150" s="194">
        <v>1</v>
      </c>
      <c r="B150" s="791">
        <v>18000</v>
      </c>
    </row>
    <row r="151" spans="1:2" x14ac:dyDescent="0.15">
      <c r="A151" s="459">
        <v>1</v>
      </c>
      <c r="B151" s="784">
        <v>38900</v>
      </c>
    </row>
    <row r="152" spans="1:2" x14ac:dyDescent="0.15">
      <c r="A152" s="459">
        <v>1</v>
      </c>
      <c r="B152" s="784">
        <v>24000</v>
      </c>
    </row>
    <row r="153" spans="1:2" x14ac:dyDescent="0.15">
      <c r="A153" s="459">
        <v>1</v>
      </c>
      <c r="B153" s="784">
        <v>17000</v>
      </c>
    </row>
    <row r="154" spans="1:2" x14ac:dyDescent="0.15">
      <c r="A154" s="459">
        <v>1</v>
      </c>
      <c r="B154" s="784">
        <v>26000</v>
      </c>
    </row>
    <row r="155" spans="1:2" x14ac:dyDescent="0.15">
      <c r="A155" s="459">
        <v>1</v>
      </c>
      <c r="B155" s="784">
        <v>23450</v>
      </c>
    </row>
    <row r="156" spans="1:2" x14ac:dyDescent="0.15">
      <c r="A156" s="459">
        <v>1</v>
      </c>
      <c r="B156" s="784">
        <v>28400</v>
      </c>
    </row>
    <row r="157" spans="1:2" x14ac:dyDescent="0.15">
      <c r="A157" s="459">
        <v>1</v>
      </c>
      <c r="B157" s="784">
        <v>26500</v>
      </c>
    </row>
    <row r="158" spans="1:2" x14ac:dyDescent="0.15">
      <c r="A158" s="459">
        <v>1</v>
      </c>
      <c r="B158" s="784">
        <v>21800</v>
      </c>
    </row>
    <row r="159" spans="1:2" x14ac:dyDescent="0.15">
      <c r="A159" s="459">
        <v>0.5</v>
      </c>
      <c r="B159" s="784">
        <v>12000</v>
      </c>
    </row>
    <row r="160" spans="1:2" x14ac:dyDescent="0.15">
      <c r="A160" s="190">
        <v>1</v>
      </c>
      <c r="B160" s="784">
        <v>17000</v>
      </c>
    </row>
    <row r="161" spans="1:2" x14ac:dyDescent="0.15">
      <c r="A161" s="192">
        <v>1</v>
      </c>
      <c r="B161" s="784">
        <v>21701</v>
      </c>
    </row>
    <row r="162" spans="1:2" x14ac:dyDescent="0.15">
      <c r="A162" s="192">
        <v>1</v>
      </c>
      <c r="B162" s="784">
        <v>20757</v>
      </c>
    </row>
    <row r="163" spans="1:2" x14ac:dyDescent="0.15">
      <c r="A163" s="190">
        <v>1</v>
      </c>
      <c r="B163" s="785">
        <v>37750</v>
      </c>
    </row>
    <row r="164" spans="1:2" x14ac:dyDescent="0.15">
      <c r="A164" s="190">
        <v>1</v>
      </c>
      <c r="B164" s="468">
        <v>21450</v>
      </c>
    </row>
    <row r="165" spans="1:2" x14ac:dyDescent="0.15">
      <c r="A165" s="190">
        <v>1</v>
      </c>
      <c r="B165" s="788">
        <v>18716</v>
      </c>
    </row>
    <row r="166" spans="1:2" x14ac:dyDescent="0.15">
      <c r="A166" s="190">
        <v>1</v>
      </c>
      <c r="B166" s="788">
        <v>22000</v>
      </c>
    </row>
    <row r="167" spans="1:2" x14ac:dyDescent="0.15">
      <c r="A167" s="190">
        <v>1</v>
      </c>
      <c r="B167" s="788">
        <v>22483</v>
      </c>
    </row>
    <row r="168" spans="1:2" x14ac:dyDescent="0.15">
      <c r="A168" s="194">
        <v>1</v>
      </c>
      <c r="B168" s="788">
        <v>24420</v>
      </c>
    </row>
    <row r="169" spans="1:2" x14ac:dyDescent="0.15">
      <c r="A169" s="459">
        <v>1</v>
      </c>
      <c r="B169" s="784">
        <v>41000</v>
      </c>
    </row>
    <row r="170" spans="1:2" x14ac:dyDescent="0.15">
      <c r="A170" s="190">
        <v>1</v>
      </c>
      <c r="B170" s="468">
        <v>23500</v>
      </c>
    </row>
    <row r="171" spans="1:2" x14ac:dyDescent="0.15">
      <c r="A171" s="190">
        <v>1</v>
      </c>
      <c r="B171" s="468">
        <v>22900</v>
      </c>
    </row>
    <row r="172" spans="1:2" x14ac:dyDescent="0.15">
      <c r="A172" s="190">
        <v>1</v>
      </c>
      <c r="B172" s="468">
        <v>26000</v>
      </c>
    </row>
    <row r="173" spans="1:2" x14ac:dyDescent="0.15">
      <c r="A173" s="190">
        <v>1</v>
      </c>
      <c r="B173" s="468">
        <v>21300</v>
      </c>
    </row>
    <row r="174" spans="1:2" x14ac:dyDescent="0.15">
      <c r="A174" s="190">
        <v>0.5</v>
      </c>
      <c r="B174" s="468">
        <v>13500</v>
      </c>
    </row>
    <row r="175" spans="1:2" x14ac:dyDescent="0.15">
      <c r="A175" s="190">
        <v>0.5</v>
      </c>
      <c r="B175" s="468">
        <v>13500</v>
      </c>
    </row>
    <row r="176" spans="1:2" x14ac:dyDescent="0.15">
      <c r="A176" s="190">
        <v>1</v>
      </c>
      <c r="B176" s="468">
        <v>23606</v>
      </c>
    </row>
    <row r="177" spans="1:2" x14ac:dyDescent="0.15">
      <c r="A177" s="190">
        <v>1</v>
      </c>
      <c r="B177" s="468">
        <v>23980</v>
      </c>
    </row>
    <row r="178" spans="1:2" x14ac:dyDescent="0.15">
      <c r="A178" s="190">
        <v>0.5</v>
      </c>
      <c r="B178" s="468">
        <v>16000</v>
      </c>
    </row>
    <row r="179" spans="1:2" x14ac:dyDescent="0.15">
      <c r="A179" s="190">
        <v>1</v>
      </c>
      <c r="B179" s="468">
        <v>20900</v>
      </c>
    </row>
    <row r="180" spans="1:2" x14ac:dyDescent="0.15">
      <c r="A180" s="190">
        <v>1</v>
      </c>
      <c r="B180" s="468">
        <v>13570</v>
      </c>
    </row>
    <row r="181" spans="1:2" x14ac:dyDescent="0.15">
      <c r="A181" s="190">
        <v>1</v>
      </c>
      <c r="B181" s="468">
        <v>18630</v>
      </c>
    </row>
    <row r="182" spans="1:2" x14ac:dyDescent="0.15">
      <c r="A182" s="190">
        <v>1</v>
      </c>
      <c r="B182" s="468">
        <v>17250</v>
      </c>
    </row>
    <row r="183" spans="1:2" x14ac:dyDescent="0.15">
      <c r="A183" s="190">
        <v>1</v>
      </c>
      <c r="B183" s="468">
        <v>14400</v>
      </c>
    </row>
    <row r="184" spans="1:2" x14ac:dyDescent="0.15">
      <c r="A184" s="194">
        <v>1</v>
      </c>
      <c r="B184" s="468">
        <v>13800</v>
      </c>
    </row>
    <row r="185" spans="1:2" x14ac:dyDescent="0.15">
      <c r="A185" s="190">
        <v>1</v>
      </c>
      <c r="B185" s="468">
        <v>33800</v>
      </c>
    </row>
    <row r="186" spans="1:2" x14ac:dyDescent="0.15">
      <c r="A186" s="190">
        <v>1</v>
      </c>
      <c r="B186" s="785">
        <v>47200</v>
      </c>
    </row>
    <row r="187" spans="1:2" x14ac:dyDescent="0.15">
      <c r="A187" s="190">
        <v>1</v>
      </c>
      <c r="B187" s="468">
        <v>25200</v>
      </c>
    </row>
    <row r="188" spans="1:2" x14ac:dyDescent="0.15">
      <c r="A188" s="190">
        <v>1</v>
      </c>
      <c r="B188" s="468">
        <v>19800</v>
      </c>
    </row>
    <row r="189" spans="1:2" x14ac:dyDescent="0.15">
      <c r="A189" s="190">
        <v>1</v>
      </c>
      <c r="B189" s="468">
        <v>17050</v>
      </c>
    </row>
    <row r="190" spans="1:2" x14ac:dyDescent="0.15">
      <c r="A190" s="190">
        <v>1</v>
      </c>
      <c r="B190" s="468">
        <v>25900</v>
      </c>
    </row>
    <row r="191" spans="1:2" x14ac:dyDescent="0.15">
      <c r="A191" s="190">
        <v>0.5</v>
      </c>
      <c r="B191" s="468">
        <v>13500</v>
      </c>
    </row>
    <row r="192" spans="1:2" x14ac:dyDescent="0.15">
      <c r="A192" s="190">
        <v>1</v>
      </c>
      <c r="B192" s="468">
        <v>20350</v>
      </c>
    </row>
    <row r="193" spans="1:2" x14ac:dyDescent="0.15">
      <c r="A193" s="190">
        <v>1</v>
      </c>
      <c r="B193" s="788">
        <v>15400</v>
      </c>
    </row>
    <row r="194" spans="1:2" x14ac:dyDescent="0.15">
      <c r="A194" s="194">
        <v>1</v>
      </c>
      <c r="B194" s="788">
        <v>18400</v>
      </c>
    </row>
    <row r="195" spans="1:2" x14ac:dyDescent="0.15">
      <c r="A195" s="190">
        <v>1</v>
      </c>
      <c r="B195" s="468">
        <v>31800</v>
      </c>
    </row>
    <row r="196" spans="1:2" x14ac:dyDescent="0.15">
      <c r="A196" s="190">
        <v>1</v>
      </c>
      <c r="B196" s="468">
        <v>22000</v>
      </c>
    </row>
    <row r="197" spans="1:2" x14ac:dyDescent="0.15">
      <c r="A197" s="190">
        <v>1</v>
      </c>
      <c r="B197" s="468">
        <v>21120</v>
      </c>
    </row>
    <row r="198" spans="1:2" x14ac:dyDescent="0.15">
      <c r="A198" s="192">
        <v>1</v>
      </c>
      <c r="B198" s="468">
        <v>19000</v>
      </c>
    </row>
    <row r="199" spans="1:2" x14ac:dyDescent="0.15">
      <c r="A199" s="192">
        <v>1</v>
      </c>
      <c r="B199" s="468">
        <v>15180</v>
      </c>
    </row>
    <row r="200" spans="1:2" x14ac:dyDescent="0.15">
      <c r="A200" s="458">
        <v>0.5</v>
      </c>
      <c r="B200" s="468">
        <v>7950</v>
      </c>
    </row>
    <row r="201" spans="1:2" x14ac:dyDescent="0.15">
      <c r="A201" s="190">
        <v>1</v>
      </c>
      <c r="B201" s="468">
        <v>34800</v>
      </c>
    </row>
    <row r="202" spans="1:2" x14ac:dyDescent="0.15">
      <c r="A202" s="194">
        <v>1</v>
      </c>
      <c r="B202" s="468">
        <v>33800</v>
      </c>
    </row>
    <row r="203" spans="1:2" x14ac:dyDescent="0.15">
      <c r="A203" s="190">
        <v>1</v>
      </c>
      <c r="B203" s="468">
        <v>25700</v>
      </c>
    </row>
    <row r="204" spans="1:2" x14ac:dyDescent="0.15">
      <c r="A204" s="190">
        <v>1</v>
      </c>
      <c r="B204" s="468">
        <v>19800</v>
      </c>
    </row>
    <row r="205" spans="1:2" x14ac:dyDescent="0.15">
      <c r="A205" s="190">
        <v>1</v>
      </c>
      <c r="B205" s="468">
        <v>20500</v>
      </c>
    </row>
    <row r="206" spans="1:2" x14ac:dyDescent="0.15">
      <c r="A206" s="190">
        <v>1</v>
      </c>
      <c r="B206" s="468">
        <v>18000</v>
      </c>
    </row>
    <row r="207" spans="1:2" x14ac:dyDescent="0.15">
      <c r="A207" s="190">
        <v>1</v>
      </c>
      <c r="B207" s="468">
        <v>17500</v>
      </c>
    </row>
    <row r="208" spans="1:2" x14ac:dyDescent="0.15">
      <c r="A208" s="190">
        <v>0.5</v>
      </c>
      <c r="B208" s="468">
        <v>9000</v>
      </c>
    </row>
    <row r="209" spans="1:2" x14ac:dyDescent="0.15">
      <c r="A209" s="190">
        <v>0.5</v>
      </c>
      <c r="B209" s="468">
        <v>10000</v>
      </c>
    </row>
    <row r="210" spans="1:2" x14ac:dyDescent="0.15">
      <c r="A210" s="192">
        <v>1</v>
      </c>
      <c r="B210" s="468">
        <v>19000</v>
      </c>
    </row>
    <row r="211" spans="1:2" x14ac:dyDescent="0.15">
      <c r="A211" s="190">
        <v>1</v>
      </c>
      <c r="B211" s="468">
        <v>12000</v>
      </c>
    </row>
    <row r="212" spans="1:2" x14ac:dyDescent="0.15">
      <c r="A212" s="190">
        <v>1</v>
      </c>
      <c r="B212" s="468">
        <v>12000</v>
      </c>
    </row>
    <row r="213" spans="1:2" x14ac:dyDescent="0.15">
      <c r="A213" s="190">
        <v>1</v>
      </c>
      <c r="B213" s="468">
        <v>19800</v>
      </c>
    </row>
    <row r="214" spans="1:2" x14ac:dyDescent="0.15">
      <c r="A214" s="194">
        <v>1</v>
      </c>
      <c r="B214" s="468">
        <v>14980</v>
      </c>
    </row>
    <row r="215" spans="1:2" x14ac:dyDescent="0.15">
      <c r="A215" s="448">
        <v>1</v>
      </c>
      <c r="B215" s="785">
        <v>45000</v>
      </c>
    </row>
    <row r="216" spans="1:2" x14ac:dyDescent="0.15">
      <c r="A216" s="190">
        <v>1</v>
      </c>
      <c r="B216" s="468">
        <v>29100</v>
      </c>
    </row>
    <row r="217" spans="1:2" x14ac:dyDescent="0.15">
      <c r="A217" s="190">
        <v>1</v>
      </c>
      <c r="B217" s="468">
        <v>30400</v>
      </c>
    </row>
    <row r="218" spans="1:2" x14ac:dyDescent="0.15">
      <c r="A218" s="190">
        <v>1</v>
      </c>
      <c r="B218" s="468">
        <v>29300</v>
      </c>
    </row>
    <row r="219" spans="1:2" x14ac:dyDescent="0.15">
      <c r="A219" s="190">
        <v>1</v>
      </c>
      <c r="B219" s="468">
        <v>33900</v>
      </c>
    </row>
    <row r="220" spans="1:2" x14ac:dyDescent="0.15">
      <c r="A220" s="190">
        <v>0.5</v>
      </c>
      <c r="B220" s="468">
        <v>12500</v>
      </c>
    </row>
    <row r="221" spans="1:2" x14ac:dyDescent="0.15">
      <c r="A221" s="190">
        <v>1</v>
      </c>
      <c r="B221" s="468">
        <v>18700</v>
      </c>
    </row>
    <row r="222" spans="1:2" x14ac:dyDescent="0.15">
      <c r="A222" s="190">
        <v>1</v>
      </c>
      <c r="B222" s="468">
        <v>16300</v>
      </c>
    </row>
    <row r="223" spans="1:2" x14ac:dyDescent="0.15">
      <c r="A223" s="190">
        <v>1</v>
      </c>
      <c r="B223" s="468">
        <v>27900</v>
      </c>
    </row>
    <row r="224" spans="1:2" x14ac:dyDescent="0.15">
      <c r="A224" s="190">
        <v>1</v>
      </c>
      <c r="B224" s="468">
        <v>21300</v>
      </c>
    </row>
    <row r="225" spans="1:2" x14ac:dyDescent="0.15">
      <c r="A225" s="190">
        <v>1</v>
      </c>
      <c r="B225" s="468">
        <v>15000</v>
      </c>
    </row>
    <row r="226" spans="1:2" x14ac:dyDescent="0.15">
      <c r="A226" s="459">
        <v>1</v>
      </c>
      <c r="B226" s="784">
        <v>40900</v>
      </c>
    </row>
    <row r="227" spans="1:2" x14ac:dyDescent="0.15">
      <c r="A227" s="190">
        <v>0.5</v>
      </c>
      <c r="B227" s="784">
        <v>8500</v>
      </c>
    </row>
    <row r="228" spans="1:2" x14ac:dyDescent="0.15">
      <c r="A228" s="190">
        <v>1</v>
      </c>
      <c r="B228" s="468">
        <v>24900</v>
      </c>
    </row>
    <row r="229" spans="1:2" x14ac:dyDescent="0.15">
      <c r="A229" s="190">
        <v>1</v>
      </c>
      <c r="B229" s="468">
        <v>19800</v>
      </c>
    </row>
    <row r="230" spans="1:2" x14ac:dyDescent="0.15">
      <c r="A230" s="190">
        <v>1</v>
      </c>
      <c r="B230" s="468">
        <v>19800</v>
      </c>
    </row>
    <row r="231" spans="1:2" x14ac:dyDescent="0.15">
      <c r="A231" s="190">
        <v>1</v>
      </c>
      <c r="B231" s="468">
        <v>18700</v>
      </c>
    </row>
    <row r="232" spans="1:2" x14ac:dyDescent="0.15">
      <c r="A232" s="190">
        <v>0.5</v>
      </c>
      <c r="B232" s="468">
        <v>10500</v>
      </c>
    </row>
    <row r="233" spans="1:2" x14ac:dyDescent="0.15">
      <c r="A233" s="190">
        <v>1</v>
      </c>
      <c r="B233" s="468">
        <v>30000</v>
      </c>
    </row>
    <row r="234" spans="1:2" x14ac:dyDescent="0.15">
      <c r="A234" s="190">
        <v>1</v>
      </c>
      <c r="B234" s="468">
        <v>21000</v>
      </c>
    </row>
    <row r="235" spans="1:2" x14ac:dyDescent="0.15">
      <c r="A235" s="190">
        <v>1</v>
      </c>
      <c r="B235" s="468">
        <v>22000</v>
      </c>
    </row>
    <row r="236" spans="1:2" x14ac:dyDescent="0.15">
      <c r="A236" s="190">
        <v>1</v>
      </c>
      <c r="B236" s="468">
        <v>20900</v>
      </c>
    </row>
    <row r="237" spans="1:2" x14ac:dyDescent="0.15">
      <c r="A237" s="190">
        <v>1</v>
      </c>
      <c r="B237" s="785">
        <v>46800</v>
      </c>
    </row>
    <row r="238" spans="1:2" x14ac:dyDescent="0.15">
      <c r="A238" s="194">
        <v>1</v>
      </c>
      <c r="B238" s="785">
        <v>16000</v>
      </c>
    </row>
    <row r="239" spans="1:2" x14ac:dyDescent="0.15">
      <c r="A239" s="190">
        <v>1</v>
      </c>
      <c r="B239" s="785">
        <v>34900</v>
      </c>
    </row>
    <row r="240" spans="1:2" x14ac:dyDescent="0.15">
      <c r="A240" s="190">
        <v>1</v>
      </c>
      <c r="B240" s="785">
        <v>28400</v>
      </c>
    </row>
    <row r="241" spans="1:2" x14ac:dyDescent="0.15">
      <c r="A241" s="190">
        <v>1</v>
      </c>
      <c r="B241" s="785">
        <v>33200</v>
      </c>
    </row>
    <row r="242" spans="1:2" x14ac:dyDescent="0.15">
      <c r="A242" s="190">
        <v>1</v>
      </c>
      <c r="B242" s="785">
        <v>12200</v>
      </c>
    </row>
    <row r="243" spans="1:2" x14ac:dyDescent="0.15">
      <c r="A243" s="190">
        <v>1</v>
      </c>
      <c r="B243" s="785">
        <v>21560</v>
      </c>
    </row>
    <row r="244" spans="1:2" x14ac:dyDescent="0.15">
      <c r="A244" s="190">
        <v>1</v>
      </c>
      <c r="B244" s="785">
        <v>19140</v>
      </c>
    </row>
    <row r="245" spans="1:2" x14ac:dyDescent="0.15">
      <c r="A245" s="190">
        <v>1</v>
      </c>
      <c r="B245" s="785">
        <v>20020</v>
      </c>
    </row>
    <row r="246" spans="1:2" x14ac:dyDescent="0.15">
      <c r="A246" s="190">
        <v>1</v>
      </c>
      <c r="B246" s="785">
        <v>22950</v>
      </c>
    </row>
    <row r="247" spans="1:2" x14ac:dyDescent="0.15">
      <c r="A247" s="190">
        <v>1</v>
      </c>
      <c r="B247" s="785">
        <v>17000</v>
      </c>
    </row>
    <row r="248" spans="1:2" x14ac:dyDescent="0.15">
      <c r="A248" s="190">
        <v>1</v>
      </c>
      <c r="B248" s="785">
        <v>22550</v>
      </c>
    </row>
    <row r="249" spans="1:2" x14ac:dyDescent="0.15">
      <c r="A249" s="190">
        <v>1</v>
      </c>
      <c r="B249" s="468">
        <v>21820</v>
      </c>
    </row>
    <row r="250" spans="1:2" x14ac:dyDescent="0.15">
      <c r="A250" s="190">
        <v>1</v>
      </c>
      <c r="B250" s="468">
        <v>23620</v>
      </c>
    </row>
    <row r="251" spans="1:2" x14ac:dyDescent="0.15">
      <c r="A251" s="190">
        <v>1</v>
      </c>
      <c r="B251" s="468">
        <v>20080</v>
      </c>
    </row>
    <row r="252" spans="1:2" x14ac:dyDescent="0.15">
      <c r="A252" s="190">
        <v>1</v>
      </c>
      <c r="B252" s="468">
        <v>15600</v>
      </c>
    </row>
    <row r="253" spans="1:2" x14ac:dyDescent="0.15">
      <c r="A253" s="190">
        <v>1</v>
      </c>
      <c r="B253" s="468">
        <v>22590</v>
      </c>
    </row>
    <row r="254" spans="1:2" x14ac:dyDescent="0.15">
      <c r="A254" s="190">
        <v>1</v>
      </c>
      <c r="B254" s="468">
        <v>17998</v>
      </c>
    </row>
    <row r="255" spans="1:2" x14ac:dyDescent="0.15">
      <c r="A255" s="190">
        <v>1</v>
      </c>
      <c r="B255" s="468">
        <v>23660</v>
      </c>
    </row>
    <row r="256" spans="1:2" x14ac:dyDescent="0.15">
      <c r="A256" s="194">
        <v>1</v>
      </c>
      <c r="B256" s="465">
        <v>19200</v>
      </c>
    </row>
    <row r="257" spans="1:2" x14ac:dyDescent="0.15">
      <c r="A257" s="190">
        <v>1</v>
      </c>
      <c r="B257" s="468">
        <v>32150</v>
      </c>
    </row>
    <row r="258" spans="1:2" x14ac:dyDescent="0.15">
      <c r="A258" s="190">
        <v>1</v>
      </c>
      <c r="B258" s="468">
        <v>22950</v>
      </c>
    </row>
    <row r="259" spans="1:2" x14ac:dyDescent="0.15">
      <c r="A259" s="190">
        <v>1</v>
      </c>
      <c r="B259" s="468">
        <v>22030</v>
      </c>
    </row>
    <row r="260" spans="1:2" x14ac:dyDescent="0.15">
      <c r="A260" s="190">
        <v>1</v>
      </c>
      <c r="B260" s="468">
        <v>22800</v>
      </c>
    </row>
    <row r="261" spans="1:2" x14ac:dyDescent="0.15">
      <c r="A261" s="190">
        <v>1</v>
      </c>
      <c r="B261" s="788">
        <v>23408</v>
      </c>
    </row>
    <row r="262" spans="1:2" x14ac:dyDescent="0.15">
      <c r="A262" s="192">
        <v>0.5</v>
      </c>
      <c r="B262" s="468">
        <v>6000</v>
      </c>
    </row>
    <row r="263" spans="1:2" x14ac:dyDescent="0.15">
      <c r="A263" s="192">
        <v>1</v>
      </c>
      <c r="B263" s="468">
        <v>15600</v>
      </c>
    </row>
    <row r="264" spans="1:2" x14ac:dyDescent="0.15">
      <c r="A264" s="190">
        <v>1</v>
      </c>
      <c r="B264" s="468">
        <v>32150</v>
      </c>
    </row>
    <row r="265" spans="1:2" x14ac:dyDescent="0.15">
      <c r="A265" s="190">
        <v>1</v>
      </c>
      <c r="B265" s="468">
        <v>21300</v>
      </c>
    </row>
    <row r="266" spans="1:2" x14ac:dyDescent="0.15">
      <c r="A266" s="190">
        <v>1</v>
      </c>
      <c r="B266" s="468">
        <v>20350</v>
      </c>
    </row>
    <row r="267" spans="1:2" x14ac:dyDescent="0.15">
      <c r="A267" s="190">
        <v>1</v>
      </c>
      <c r="B267" s="788">
        <v>21235</v>
      </c>
    </row>
    <row r="268" spans="1:2" x14ac:dyDescent="0.15">
      <c r="A268" s="192">
        <v>1</v>
      </c>
      <c r="B268" s="788">
        <v>24200</v>
      </c>
    </row>
    <row r="269" spans="1:2" x14ac:dyDescent="0.15">
      <c r="A269" s="194">
        <v>1</v>
      </c>
      <c r="B269" s="788">
        <v>19800</v>
      </c>
    </row>
    <row r="270" spans="1:2" x14ac:dyDescent="0.15">
      <c r="A270" s="190">
        <v>1</v>
      </c>
      <c r="B270" s="468">
        <v>31790</v>
      </c>
    </row>
    <row r="271" spans="1:2" x14ac:dyDescent="0.15">
      <c r="A271" s="190">
        <v>0.5</v>
      </c>
      <c r="B271" s="468">
        <v>12350</v>
      </c>
    </row>
    <row r="272" spans="1:2" x14ac:dyDescent="0.15">
      <c r="A272" s="190">
        <v>1</v>
      </c>
      <c r="B272" s="468">
        <v>18150</v>
      </c>
    </row>
    <row r="273" spans="1:2" x14ac:dyDescent="0.15">
      <c r="A273" s="190">
        <v>1</v>
      </c>
      <c r="B273" s="468">
        <v>15950</v>
      </c>
    </row>
    <row r="274" spans="1:2" x14ac:dyDescent="0.15">
      <c r="A274" s="190">
        <v>0.5</v>
      </c>
      <c r="B274" s="468">
        <v>16175</v>
      </c>
    </row>
    <row r="275" spans="1:2" x14ac:dyDescent="0.15">
      <c r="A275" s="190">
        <v>1</v>
      </c>
      <c r="B275" s="468">
        <v>15000</v>
      </c>
    </row>
    <row r="276" spans="1:2" x14ac:dyDescent="0.15">
      <c r="A276" s="190">
        <v>1</v>
      </c>
      <c r="B276" s="468">
        <v>13915</v>
      </c>
    </row>
    <row r="277" spans="1:2" x14ac:dyDescent="0.15">
      <c r="A277" s="192">
        <v>1</v>
      </c>
      <c r="B277" s="468">
        <v>18150</v>
      </c>
    </row>
    <row r="278" spans="1:2" x14ac:dyDescent="0.15">
      <c r="A278" s="190">
        <v>1</v>
      </c>
      <c r="B278" s="468">
        <v>22385</v>
      </c>
    </row>
    <row r="279" spans="1:2" x14ac:dyDescent="0.15">
      <c r="A279" s="190">
        <v>1</v>
      </c>
      <c r="B279" s="785">
        <v>42000</v>
      </c>
    </row>
    <row r="280" spans="1:2" x14ac:dyDescent="0.15">
      <c r="A280" s="194">
        <v>1</v>
      </c>
      <c r="B280" s="785">
        <v>20500</v>
      </c>
    </row>
    <row r="281" spans="1:2" x14ac:dyDescent="0.15">
      <c r="A281" s="459">
        <v>1</v>
      </c>
      <c r="B281" s="784">
        <v>36500</v>
      </c>
    </row>
    <row r="282" spans="1:2" x14ac:dyDescent="0.15">
      <c r="A282" s="190">
        <v>0.5</v>
      </c>
      <c r="B282" s="784">
        <v>9000</v>
      </c>
    </row>
    <row r="283" spans="1:2" x14ac:dyDescent="0.15">
      <c r="A283" s="190">
        <v>0.4</v>
      </c>
      <c r="B283" s="784">
        <v>7600</v>
      </c>
    </row>
    <row r="284" spans="1:2" x14ac:dyDescent="0.15">
      <c r="A284" s="190">
        <v>1</v>
      </c>
      <c r="B284" s="784">
        <v>20000</v>
      </c>
    </row>
    <row r="285" spans="1:2" x14ac:dyDescent="0.15">
      <c r="A285" s="190">
        <v>0.5</v>
      </c>
      <c r="B285" s="784">
        <v>5000</v>
      </c>
    </row>
    <row r="286" spans="1:2" x14ac:dyDescent="0.15">
      <c r="A286" s="190">
        <v>1</v>
      </c>
      <c r="B286" s="784">
        <v>21500</v>
      </c>
    </row>
    <row r="287" spans="1:2" x14ac:dyDescent="0.15">
      <c r="A287" s="190">
        <v>0.5</v>
      </c>
      <c r="B287" s="784">
        <v>5000</v>
      </c>
    </row>
    <row r="288" spans="1:2" x14ac:dyDescent="0.15">
      <c r="A288" s="190">
        <v>1</v>
      </c>
      <c r="B288" s="784">
        <v>34600</v>
      </c>
    </row>
    <row r="289" spans="1:2" x14ac:dyDescent="0.15">
      <c r="A289" s="190">
        <v>1</v>
      </c>
      <c r="B289" s="784">
        <v>34700</v>
      </c>
    </row>
    <row r="290" spans="1:2" x14ac:dyDescent="0.15">
      <c r="A290" s="190">
        <v>1</v>
      </c>
      <c r="B290" s="784">
        <v>21000</v>
      </c>
    </row>
    <row r="291" spans="1:2" x14ac:dyDescent="0.15">
      <c r="A291" s="190">
        <v>1</v>
      </c>
      <c r="B291" s="468">
        <v>21720</v>
      </c>
    </row>
    <row r="292" spans="1:2" x14ac:dyDescent="0.15">
      <c r="A292" s="190">
        <v>1</v>
      </c>
      <c r="B292" s="468">
        <v>22550</v>
      </c>
    </row>
    <row r="293" spans="1:2" x14ac:dyDescent="0.15">
      <c r="A293" s="190">
        <v>1</v>
      </c>
      <c r="B293" s="468">
        <v>17424</v>
      </c>
    </row>
    <row r="294" spans="1:2" x14ac:dyDescent="0.15">
      <c r="A294" s="194">
        <v>1</v>
      </c>
      <c r="B294" s="784">
        <v>13800</v>
      </c>
    </row>
    <row r="295" spans="1:2" x14ac:dyDescent="0.15">
      <c r="A295" s="190">
        <v>1</v>
      </c>
      <c r="B295" s="468">
        <v>35600</v>
      </c>
    </row>
    <row r="296" spans="1:2" x14ac:dyDescent="0.15">
      <c r="A296" s="190">
        <v>1</v>
      </c>
      <c r="B296" s="785">
        <v>36000</v>
      </c>
    </row>
    <row r="297" spans="1:2" x14ac:dyDescent="0.15">
      <c r="A297" s="190">
        <v>1</v>
      </c>
      <c r="B297" s="785">
        <v>31000</v>
      </c>
    </row>
    <row r="298" spans="1:2" x14ac:dyDescent="0.15">
      <c r="A298" s="190">
        <v>1</v>
      </c>
      <c r="B298" s="468">
        <v>32850</v>
      </c>
    </row>
    <row r="299" spans="1:2" x14ac:dyDescent="0.15">
      <c r="A299" s="190">
        <v>1</v>
      </c>
      <c r="B299" s="785">
        <v>23000</v>
      </c>
    </row>
    <row r="300" spans="1:2" x14ac:dyDescent="0.15">
      <c r="A300" s="190">
        <v>1</v>
      </c>
      <c r="B300" s="468">
        <v>21437</v>
      </c>
    </row>
    <row r="301" spans="1:2" x14ac:dyDescent="0.15">
      <c r="A301" s="190">
        <v>1</v>
      </c>
      <c r="B301" s="468">
        <v>21384</v>
      </c>
    </row>
    <row r="302" spans="1:2" x14ac:dyDescent="0.15">
      <c r="A302" s="190">
        <v>1</v>
      </c>
      <c r="B302" s="468">
        <v>18480</v>
      </c>
    </row>
    <row r="303" spans="1:2" x14ac:dyDescent="0.15">
      <c r="A303" s="190">
        <v>1</v>
      </c>
      <c r="B303" s="468">
        <v>15840</v>
      </c>
    </row>
    <row r="304" spans="1:2" x14ac:dyDescent="0.15">
      <c r="A304" s="190">
        <v>1</v>
      </c>
      <c r="B304" s="468">
        <v>18444</v>
      </c>
    </row>
    <row r="305" spans="1:2" x14ac:dyDescent="0.15">
      <c r="A305" s="190">
        <v>1</v>
      </c>
      <c r="B305" s="468">
        <v>23540</v>
      </c>
    </row>
    <row r="306" spans="1:2" x14ac:dyDescent="0.15">
      <c r="A306" s="194">
        <v>1</v>
      </c>
      <c r="B306" s="788">
        <v>22523</v>
      </c>
    </row>
    <row r="307" spans="1:2" x14ac:dyDescent="0.15">
      <c r="A307" s="190">
        <v>1</v>
      </c>
      <c r="B307" s="468">
        <v>26400</v>
      </c>
    </row>
    <row r="308" spans="1:2" x14ac:dyDescent="0.15">
      <c r="A308" s="190">
        <v>1</v>
      </c>
      <c r="B308" s="468">
        <v>28320</v>
      </c>
    </row>
    <row r="309" spans="1:2" x14ac:dyDescent="0.15">
      <c r="A309" s="190">
        <v>1</v>
      </c>
      <c r="B309" s="468">
        <v>29090</v>
      </c>
    </row>
    <row r="310" spans="1:2" x14ac:dyDescent="0.15">
      <c r="A310" s="190">
        <v>1</v>
      </c>
      <c r="B310" s="468">
        <v>17500</v>
      </c>
    </row>
    <row r="311" spans="1:2" x14ac:dyDescent="0.15">
      <c r="A311" s="190">
        <v>1</v>
      </c>
      <c r="B311" s="468">
        <v>19000</v>
      </c>
    </row>
    <row r="312" spans="1:2" x14ac:dyDescent="0.15">
      <c r="A312" s="190">
        <v>1</v>
      </c>
      <c r="B312" s="468">
        <v>20900</v>
      </c>
    </row>
    <row r="313" spans="1:2" x14ac:dyDescent="0.15">
      <c r="A313" s="190">
        <v>1</v>
      </c>
      <c r="B313" s="468">
        <v>14300</v>
      </c>
    </row>
    <row r="314" spans="1:2" x14ac:dyDescent="0.15">
      <c r="A314" s="190">
        <v>1</v>
      </c>
      <c r="B314" s="468">
        <v>14300</v>
      </c>
    </row>
    <row r="315" spans="1:2" x14ac:dyDescent="0.15">
      <c r="A315" s="190">
        <v>1</v>
      </c>
      <c r="B315" s="468">
        <v>12500</v>
      </c>
    </row>
    <row r="316" spans="1:2" x14ac:dyDescent="0.15">
      <c r="A316" s="190">
        <v>1</v>
      </c>
      <c r="B316" s="468">
        <v>17300</v>
      </c>
    </row>
    <row r="317" spans="1:2" x14ac:dyDescent="0.15">
      <c r="A317" s="190">
        <v>1</v>
      </c>
      <c r="B317" s="468">
        <v>21050</v>
      </c>
    </row>
    <row r="318" spans="1:2" x14ac:dyDescent="0.15">
      <c r="A318" s="190">
        <v>1</v>
      </c>
      <c r="B318" s="468">
        <v>15400</v>
      </c>
    </row>
    <row r="319" spans="1:2" x14ac:dyDescent="0.15">
      <c r="A319" s="190">
        <v>1</v>
      </c>
      <c r="B319" s="468">
        <v>15400</v>
      </c>
    </row>
    <row r="320" spans="1:2" x14ac:dyDescent="0.15">
      <c r="A320" s="190">
        <v>1</v>
      </c>
      <c r="B320" s="468">
        <v>19800</v>
      </c>
    </row>
    <row r="321" spans="1:2" x14ac:dyDescent="0.15">
      <c r="A321" s="192">
        <v>1</v>
      </c>
      <c r="B321" s="468">
        <v>17424</v>
      </c>
    </row>
    <row r="322" spans="1:2" x14ac:dyDescent="0.15">
      <c r="A322" s="190">
        <v>1</v>
      </c>
      <c r="B322" s="468">
        <v>30800</v>
      </c>
    </row>
    <row r="323" spans="1:2" x14ac:dyDescent="0.15">
      <c r="A323" s="190">
        <v>0.5</v>
      </c>
      <c r="B323" s="468">
        <v>13000</v>
      </c>
    </row>
    <row r="324" spans="1:2" x14ac:dyDescent="0.15">
      <c r="A324" s="190">
        <v>0.5</v>
      </c>
      <c r="B324" s="468">
        <v>13000</v>
      </c>
    </row>
    <row r="325" spans="1:2" x14ac:dyDescent="0.15">
      <c r="A325" s="190">
        <v>0.5</v>
      </c>
      <c r="B325" s="468">
        <v>14000</v>
      </c>
    </row>
    <row r="326" spans="1:2" x14ac:dyDescent="0.15">
      <c r="A326" s="190">
        <v>0.5</v>
      </c>
      <c r="B326" s="468">
        <v>17500</v>
      </c>
    </row>
    <row r="327" spans="1:2" x14ac:dyDescent="0.15">
      <c r="A327" s="190">
        <v>0.5</v>
      </c>
      <c r="B327" s="468">
        <v>12650</v>
      </c>
    </row>
    <row r="328" spans="1:2" x14ac:dyDescent="0.15">
      <c r="A328" s="190">
        <v>1</v>
      </c>
      <c r="B328" s="468">
        <v>16000</v>
      </c>
    </row>
    <row r="329" spans="1:2" x14ac:dyDescent="0.15">
      <c r="A329" s="190">
        <v>1</v>
      </c>
      <c r="B329" s="468">
        <v>16500</v>
      </c>
    </row>
    <row r="330" spans="1:2" x14ac:dyDescent="0.15">
      <c r="A330" s="190">
        <v>1</v>
      </c>
      <c r="B330" s="468">
        <v>18975</v>
      </c>
    </row>
    <row r="331" spans="1:2" x14ac:dyDescent="0.15">
      <c r="A331" s="190">
        <v>1</v>
      </c>
      <c r="B331" s="468">
        <v>16250</v>
      </c>
    </row>
    <row r="332" spans="1:2" x14ac:dyDescent="0.15">
      <c r="A332" s="194">
        <v>1</v>
      </c>
      <c r="B332" s="468">
        <v>16100</v>
      </c>
    </row>
    <row r="333" spans="1:2" x14ac:dyDescent="0.15">
      <c r="A333" s="595">
        <v>1</v>
      </c>
      <c r="B333" s="792">
        <v>45900</v>
      </c>
    </row>
    <row r="334" spans="1:2" x14ac:dyDescent="0.15">
      <c r="A334" s="194">
        <v>1</v>
      </c>
      <c r="B334" s="792">
        <v>29700</v>
      </c>
    </row>
    <row r="335" spans="1:2" x14ac:dyDescent="0.15">
      <c r="A335" s="190">
        <v>1</v>
      </c>
      <c r="B335" s="792">
        <v>29400</v>
      </c>
    </row>
    <row r="336" spans="1:2" x14ac:dyDescent="0.15">
      <c r="A336" s="190">
        <v>1</v>
      </c>
      <c r="B336" s="792">
        <v>19800</v>
      </c>
    </row>
    <row r="337" spans="1:2" x14ac:dyDescent="0.15">
      <c r="A337" s="190">
        <v>1</v>
      </c>
      <c r="B337" s="792">
        <v>21250</v>
      </c>
    </row>
    <row r="338" spans="1:2" x14ac:dyDescent="0.15">
      <c r="A338" s="190">
        <v>1</v>
      </c>
      <c r="B338" s="792">
        <v>16000</v>
      </c>
    </row>
    <row r="339" spans="1:2" x14ac:dyDescent="0.15">
      <c r="A339" s="190">
        <v>1</v>
      </c>
      <c r="B339" s="792">
        <v>16000</v>
      </c>
    </row>
    <row r="340" spans="1:2" x14ac:dyDescent="0.15">
      <c r="A340" s="190">
        <v>1</v>
      </c>
      <c r="B340" s="792">
        <v>17050</v>
      </c>
    </row>
    <row r="341" spans="1:2" x14ac:dyDescent="0.15">
      <c r="A341" s="190">
        <v>1</v>
      </c>
      <c r="B341" s="792">
        <v>17000</v>
      </c>
    </row>
    <row r="342" spans="1:2" x14ac:dyDescent="0.15">
      <c r="A342" s="190">
        <v>1</v>
      </c>
      <c r="B342" s="792">
        <v>16000</v>
      </c>
    </row>
    <row r="343" spans="1:2" x14ac:dyDescent="0.15">
      <c r="A343" s="192">
        <v>1</v>
      </c>
      <c r="B343" s="792">
        <v>17600</v>
      </c>
    </row>
    <row r="344" spans="1:2" x14ac:dyDescent="0.15">
      <c r="A344" s="192">
        <v>1</v>
      </c>
      <c r="B344" s="792">
        <v>15950</v>
      </c>
    </row>
    <row r="345" spans="1:2" x14ac:dyDescent="0.15">
      <c r="A345" s="194">
        <v>1</v>
      </c>
      <c r="B345" s="792">
        <v>15950</v>
      </c>
    </row>
    <row r="346" spans="1:2" x14ac:dyDescent="0.15">
      <c r="A346" s="190">
        <v>1</v>
      </c>
      <c r="B346" s="792">
        <v>26700</v>
      </c>
    </row>
    <row r="347" spans="1:2" x14ac:dyDescent="0.15">
      <c r="A347" s="190">
        <v>1</v>
      </c>
      <c r="B347" s="792">
        <v>14800</v>
      </c>
    </row>
    <row r="348" spans="1:2" x14ac:dyDescent="0.15">
      <c r="A348" s="190">
        <v>1</v>
      </c>
      <c r="B348" s="792">
        <v>14850</v>
      </c>
    </row>
    <row r="349" spans="1:2" x14ac:dyDescent="0.15">
      <c r="A349" s="190">
        <v>1</v>
      </c>
      <c r="B349" s="792">
        <v>13000</v>
      </c>
    </row>
    <row r="350" spans="1:2" x14ac:dyDescent="0.15">
      <c r="A350" s="190">
        <v>1</v>
      </c>
      <c r="B350" s="792">
        <v>16500</v>
      </c>
    </row>
    <row r="351" spans="1:2" x14ac:dyDescent="0.15">
      <c r="A351" s="190">
        <v>1</v>
      </c>
      <c r="B351" s="788">
        <v>15950</v>
      </c>
    </row>
    <row r="352" spans="1:2" x14ac:dyDescent="0.15">
      <c r="A352" s="190">
        <v>1</v>
      </c>
      <c r="B352" s="788">
        <v>18480</v>
      </c>
    </row>
    <row r="353" spans="1:2" x14ac:dyDescent="0.15">
      <c r="A353" s="190">
        <v>1</v>
      </c>
      <c r="B353" s="788">
        <v>15400</v>
      </c>
    </row>
    <row r="354" spans="1:2" x14ac:dyDescent="0.15">
      <c r="A354" s="190">
        <v>1</v>
      </c>
      <c r="B354" s="788">
        <v>17255</v>
      </c>
    </row>
    <row r="355" spans="1:2" x14ac:dyDescent="0.15">
      <c r="A355" s="190">
        <v>1</v>
      </c>
      <c r="B355" s="788">
        <v>18150</v>
      </c>
    </row>
    <row r="356" spans="1:2" x14ac:dyDescent="0.15">
      <c r="A356" s="192">
        <v>1</v>
      </c>
      <c r="B356" s="788">
        <v>17380</v>
      </c>
    </row>
    <row r="357" spans="1:2" x14ac:dyDescent="0.15">
      <c r="A357" s="190">
        <v>1</v>
      </c>
      <c r="B357" s="788">
        <v>15950</v>
      </c>
    </row>
    <row r="358" spans="1:2" x14ac:dyDescent="0.15">
      <c r="A358" s="194">
        <v>1</v>
      </c>
      <c r="B358" s="788">
        <v>15620</v>
      </c>
    </row>
    <row r="359" spans="1:2" x14ac:dyDescent="0.15">
      <c r="A359" s="190">
        <v>1</v>
      </c>
      <c r="B359" s="788">
        <v>32600</v>
      </c>
    </row>
    <row r="360" spans="1:2" x14ac:dyDescent="0.15">
      <c r="A360" s="190">
        <v>1</v>
      </c>
      <c r="B360" s="788">
        <v>23120</v>
      </c>
    </row>
    <row r="361" spans="1:2" x14ac:dyDescent="0.15">
      <c r="A361" s="190">
        <v>1</v>
      </c>
      <c r="B361" s="788">
        <v>25500</v>
      </c>
    </row>
    <row r="362" spans="1:2" x14ac:dyDescent="0.15">
      <c r="A362" s="190">
        <v>1</v>
      </c>
      <c r="B362" s="788">
        <v>24450</v>
      </c>
    </row>
    <row r="363" spans="1:2" x14ac:dyDescent="0.15">
      <c r="A363" s="190">
        <v>1</v>
      </c>
      <c r="B363" s="788">
        <v>11660</v>
      </c>
    </row>
    <row r="364" spans="1:2" x14ac:dyDescent="0.15">
      <c r="A364" s="190">
        <v>1</v>
      </c>
      <c r="B364" s="788">
        <v>12200</v>
      </c>
    </row>
    <row r="365" spans="1:2" x14ac:dyDescent="0.15">
      <c r="A365" s="190">
        <v>1</v>
      </c>
      <c r="B365" s="788">
        <v>18920</v>
      </c>
    </row>
    <row r="366" spans="1:2" x14ac:dyDescent="0.15">
      <c r="A366" s="190">
        <v>1</v>
      </c>
      <c r="B366" s="788">
        <v>15000</v>
      </c>
    </row>
    <row r="367" spans="1:2" x14ac:dyDescent="0.15">
      <c r="A367" s="190">
        <v>1</v>
      </c>
      <c r="B367" s="788">
        <v>14000</v>
      </c>
    </row>
    <row r="368" spans="1:2" x14ac:dyDescent="0.15">
      <c r="A368" s="190">
        <v>1</v>
      </c>
      <c r="B368" s="788">
        <v>14000</v>
      </c>
    </row>
    <row r="369" spans="1:2" x14ac:dyDescent="0.15">
      <c r="A369" s="190">
        <v>1</v>
      </c>
      <c r="B369" s="788">
        <v>12800</v>
      </c>
    </row>
    <row r="370" spans="1:2" x14ac:dyDescent="0.15">
      <c r="A370" s="190">
        <v>1</v>
      </c>
      <c r="B370" s="788">
        <v>14300</v>
      </c>
    </row>
    <row r="371" spans="1:2" x14ac:dyDescent="0.15">
      <c r="A371" s="190">
        <v>1</v>
      </c>
      <c r="B371" s="788">
        <v>12800</v>
      </c>
    </row>
    <row r="372" spans="1:2" x14ac:dyDescent="0.15">
      <c r="A372" s="190">
        <v>1</v>
      </c>
      <c r="B372" s="788">
        <v>12200</v>
      </c>
    </row>
    <row r="373" spans="1:2" x14ac:dyDescent="0.15">
      <c r="A373" s="190">
        <v>1</v>
      </c>
      <c r="B373" s="788">
        <v>14000</v>
      </c>
    </row>
    <row r="374" spans="1:2" x14ac:dyDescent="0.15">
      <c r="A374" s="190">
        <v>1</v>
      </c>
      <c r="B374" s="788">
        <v>12800</v>
      </c>
    </row>
    <row r="375" spans="1:2" x14ac:dyDescent="0.15">
      <c r="A375" s="190">
        <v>1</v>
      </c>
      <c r="B375" s="788">
        <v>12200</v>
      </c>
    </row>
    <row r="376" spans="1:2" x14ac:dyDescent="0.15">
      <c r="A376" s="190">
        <v>1</v>
      </c>
      <c r="B376" s="788">
        <v>12200</v>
      </c>
    </row>
    <row r="377" spans="1:2" x14ac:dyDescent="0.15">
      <c r="A377" s="190">
        <v>1</v>
      </c>
      <c r="B377" s="788">
        <v>14976</v>
      </c>
    </row>
    <row r="378" spans="1:2" x14ac:dyDescent="0.15">
      <c r="A378" s="190">
        <v>1</v>
      </c>
      <c r="B378" s="788">
        <v>18480</v>
      </c>
    </row>
    <row r="379" spans="1:2" x14ac:dyDescent="0.15">
      <c r="A379" s="190">
        <v>1</v>
      </c>
      <c r="B379" s="788">
        <v>21560</v>
      </c>
    </row>
    <row r="380" spans="1:2" x14ac:dyDescent="0.15">
      <c r="A380" s="190">
        <v>1</v>
      </c>
      <c r="B380" s="788">
        <v>18480</v>
      </c>
    </row>
    <row r="381" spans="1:2" x14ac:dyDescent="0.15">
      <c r="A381" s="190">
        <v>1</v>
      </c>
      <c r="B381" s="788">
        <v>18480</v>
      </c>
    </row>
    <row r="382" spans="1:2" x14ac:dyDescent="0.15">
      <c r="A382" s="190">
        <v>1</v>
      </c>
      <c r="B382" s="788">
        <v>17800</v>
      </c>
    </row>
    <row r="383" spans="1:2" x14ac:dyDescent="0.15">
      <c r="A383" s="190">
        <v>1</v>
      </c>
      <c r="B383" s="788">
        <v>14000</v>
      </c>
    </row>
    <row r="384" spans="1:2" x14ac:dyDescent="0.15">
      <c r="A384" s="190">
        <v>1</v>
      </c>
      <c r="B384" s="788">
        <v>14850</v>
      </c>
    </row>
    <row r="385" spans="1:2" x14ac:dyDescent="0.15">
      <c r="A385" s="192">
        <v>1</v>
      </c>
      <c r="B385" s="788">
        <v>15620</v>
      </c>
    </row>
    <row r="386" spans="1:2" x14ac:dyDescent="0.15">
      <c r="A386" s="190">
        <v>1</v>
      </c>
      <c r="B386" s="788">
        <v>15840</v>
      </c>
    </row>
    <row r="387" spans="1:2" x14ac:dyDescent="0.15">
      <c r="A387" s="190">
        <v>1</v>
      </c>
      <c r="B387" s="788">
        <v>18480</v>
      </c>
    </row>
    <row r="388" spans="1:2" x14ac:dyDescent="0.15">
      <c r="A388" s="190">
        <v>1</v>
      </c>
      <c r="B388" s="788">
        <v>15500</v>
      </c>
    </row>
    <row r="389" spans="1:2" x14ac:dyDescent="0.15">
      <c r="A389" s="190">
        <v>1</v>
      </c>
      <c r="B389" s="788">
        <v>17000</v>
      </c>
    </row>
    <row r="390" spans="1:2" x14ac:dyDescent="0.15">
      <c r="A390" s="190">
        <v>1</v>
      </c>
      <c r="B390" s="788">
        <v>15950</v>
      </c>
    </row>
    <row r="391" spans="1:2" x14ac:dyDescent="0.15">
      <c r="A391" s="190">
        <v>1</v>
      </c>
      <c r="B391" s="788">
        <v>14850</v>
      </c>
    </row>
    <row r="392" spans="1:2" x14ac:dyDescent="0.15">
      <c r="A392" s="190">
        <v>1</v>
      </c>
      <c r="B392" s="788">
        <v>20328</v>
      </c>
    </row>
    <row r="393" spans="1:2" x14ac:dyDescent="0.15">
      <c r="A393" s="190">
        <v>1</v>
      </c>
      <c r="B393" s="788">
        <v>15950</v>
      </c>
    </row>
    <row r="394" spans="1:2" x14ac:dyDescent="0.15">
      <c r="A394" s="194">
        <v>0.5</v>
      </c>
      <c r="B394" s="790">
        <v>6250</v>
      </c>
    </row>
    <row r="395" spans="1:2" x14ac:dyDescent="0.15">
      <c r="A395" s="190">
        <v>1</v>
      </c>
      <c r="B395" s="788">
        <v>34300</v>
      </c>
    </row>
    <row r="396" spans="1:2" x14ac:dyDescent="0.15">
      <c r="A396" s="190">
        <v>1</v>
      </c>
      <c r="B396" s="788">
        <v>24800</v>
      </c>
    </row>
    <row r="397" spans="1:2" x14ac:dyDescent="0.15">
      <c r="A397" s="190">
        <v>1</v>
      </c>
      <c r="B397" s="788">
        <v>15400</v>
      </c>
    </row>
    <row r="398" spans="1:2" x14ac:dyDescent="0.15">
      <c r="A398" s="194">
        <v>1</v>
      </c>
      <c r="B398" s="788">
        <v>17600</v>
      </c>
    </row>
    <row r="399" spans="1:2" x14ac:dyDescent="0.15">
      <c r="A399" s="190">
        <v>1</v>
      </c>
      <c r="B399" s="788">
        <v>20570</v>
      </c>
    </row>
    <row r="400" spans="1:2" x14ac:dyDescent="0.15">
      <c r="A400" s="190">
        <v>1</v>
      </c>
      <c r="B400" s="788">
        <v>11600</v>
      </c>
    </row>
    <row r="401" spans="1:2" x14ac:dyDescent="0.15">
      <c r="A401" s="190">
        <v>1</v>
      </c>
      <c r="B401" s="788">
        <v>11600</v>
      </c>
    </row>
    <row r="402" spans="1:2" x14ac:dyDescent="0.15">
      <c r="A402" s="190">
        <v>1</v>
      </c>
      <c r="B402" s="788">
        <v>21318</v>
      </c>
    </row>
    <row r="403" spans="1:2" x14ac:dyDescent="0.15">
      <c r="A403" s="190">
        <v>1</v>
      </c>
      <c r="B403" s="784">
        <v>70100</v>
      </c>
    </row>
    <row r="404" spans="1:2" x14ac:dyDescent="0.15">
      <c r="A404" s="190">
        <v>1</v>
      </c>
      <c r="B404" s="784">
        <v>55000</v>
      </c>
    </row>
    <row r="405" spans="1:2" x14ac:dyDescent="0.15">
      <c r="A405" s="194">
        <v>1</v>
      </c>
      <c r="B405" s="465">
        <v>23900</v>
      </c>
    </row>
    <row r="406" spans="1:2" x14ac:dyDescent="0.15">
      <c r="A406" s="190">
        <v>0.5</v>
      </c>
      <c r="B406" s="468">
        <v>11500</v>
      </c>
    </row>
    <row r="407" spans="1:2" x14ac:dyDescent="0.15">
      <c r="A407" s="190">
        <v>1</v>
      </c>
      <c r="B407" s="468">
        <v>28915</v>
      </c>
    </row>
    <row r="408" spans="1:2" x14ac:dyDescent="0.15">
      <c r="A408" s="190">
        <v>1</v>
      </c>
      <c r="B408" s="468">
        <v>22500</v>
      </c>
    </row>
    <row r="409" spans="1:2" x14ac:dyDescent="0.15">
      <c r="A409" s="190">
        <v>1</v>
      </c>
      <c r="B409" s="468">
        <v>13640</v>
      </c>
    </row>
    <row r="410" spans="1:2" x14ac:dyDescent="0.15">
      <c r="A410" s="190">
        <v>1</v>
      </c>
      <c r="B410" s="468">
        <v>14600</v>
      </c>
    </row>
    <row r="411" spans="1:2" x14ac:dyDescent="0.15">
      <c r="A411" s="190">
        <v>1</v>
      </c>
      <c r="B411" s="468">
        <v>15000</v>
      </c>
    </row>
    <row r="412" spans="1:2" x14ac:dyDescent="0.15">
      <c r="A412" s="545">
        <v>0.4</v>
      </c>
      <c r="B412" s="465">
        <v>8413</v>
      </c>
    </row>
    <row r="413" spans="1:2" x14ac:dyDescent="0.15">
      <c r="A413" s="192">
        <v>1</v>
      </c>
      <c r="B413" s="468">
        <v>30620</v>
      </c>
    </row>
    <row r="414" spans="1:2" x14ac:dyDescent="0.15">
      <c r="A414" s="190">
        <v>1</v>
      </c>
      <c r="B414" s="785">
        <v>42300</v>
      </c>
    </row>
    <row r="415" spans="1:2" x14ac:dyDescent="0.15">
      <c r="A415" s="544">
        <v>0.5</v>
      </c>
      <c r="B415" s="785">
        <v>27100</v>
      </c>
    </row>
    <row r="416" spans="1:2" x14ac:dyDescent="0.15">
      <c r="A416" s="190">
        <v>1</v>
      </c>
      <c r="B416" s="785">
        <v>31330</v>
      </c>
    </row>
    <row r="417" spans="1:2" x14ac:dyDescent="0.15">
      <c r="A417" s="190">
        <v>1</v>
      </c>
      <c r="B417" s="785">
        <v>31440</v>
      </c>
    </row>
    <row r="418" spans="1:2" x14ac:dyDescent="0.15">
      <c r="A418" s="194">
        <v>1</v>
      </c>
      <c r="B418" s="465">
        <v>29240</v>
      </c>
    </row>
    <row r="419" spans="1:2" x14ac:dyDescent="0.15">
      <c r="A419" s="459">
        <v>1</v>
      </c>
      <c r="B419" s="784">
        <v>42350</v>
      </c>
    </row>
    <row r="420" spans="1:2" x14ac:dyDescent="0.15">
      <c r="A420" s="190">
        <v>0.5</v>
      </c>
      <c r="B420" s="784">
        <v>21250</v>
      </c>
    </row>
    <row r="421" spans="1:2" x14ac:dyDescent="0.15">
      <c r="A421" s="190">
        <v>1</v>
      </c>
      <c r="B421" s="784">
        <v>10600</v>
      </c>
    </row>
    <row r="422" spans="1:2" x14ac:dyDescent="0.15">
      <c r="A422" s="459">
        <v>1</v>
      </c>
      <c r="B422" s="784">
        <v>42100</v>
      </c>
    </row>
    <row r="423" spans="1:2" x14ac:dyDescent="0.15">
      <c r="A423" s="190">
        <v>1</v>
      </c>
      <c r="B423" s="784">
        <v>38960</v>
      </c>
    </row>
    <row r="424" spans="1:2" x14ac:dyDescent="0.15">
      <c r="A424" s="190">
        <v>1</v>
      </c>
      <c r="B424" s="784">
        <v>26690</v>
      </c>
    </row>
    <row r="425" spans="1:2" x14ac:dyDescent="0.15">
      <c r="A425" s="190">
        <v>1</v>
      </c>
      <c r="B425" s="784">
        <v>25420</v>
      </c>
    </row>
    <row r="426" spans="1:2" x14ac:dyDescent="0.15">
      <c r="A426" s="194">
        <v>0.5</v>
      </c>
      <c r="B426" s="784">
        <v>17755</v>
      </c>
    </row>
    <row r="427" spans="1:2" x14ac:dyDescent="0.15">
      <c r="A427" s="190">
        <v>1</v>
      </c>
      <c r="B427" s="468">
        <v>31520</v>
      </c>
    </row>
    <row r="428" spans="1:2" x14ac:dyDescent="0.15">
      <c r="A428" s="190">
        <v>1</v>
      </c>
      <c r="B428" s="784">
        <v>44900</v>
      </c>
    </row>
    <row r="429" spans="1:2" x14ac:dyDescent="0.15">
      <c r="A429" s="192">
        <v>1</v>
      </c>
      <c r="B429" s="784">
        <v>24200</v>
      </c>
    </row>
    <row r="430" spans="1:2" x14ac:dyDescent="0.15">
      <c r="A430" s="194">
        <v>0.5</v>
      </c>
      <c r="B430" s="779">
        <v>10500</v>
      </c>
    </row>
    <row r="431" spans="1:2" x14ac:dyDescent="0.15">
      <c r="A431" s="190">
        <v>1</v>
      </c>
      <c r="B431" s="784">
        <v>22900</v>
      </c>
    </row>
    <row r="432" spans="1:2" x14ac:dyDescent="0.15">
      <c r="A432" s="190">
        <v>1</v>
      </c>
      <c r="B432" s="784">
        <v>18900</v>
      </c>
    </row>
    <row r="433" spans="1:2" x14ac:dyDescent="0.15">
      <c r="A433" s="190">
        <v>1</v>
      </c>
      <c r="B433" s="784">
        <v>18040</v>
      </c>
    </row>
    <row r="434" spans="1:2" x14ac:dyDescent="0.15">
      <c r="A434" s="194">
        <v>1</v>
      </c>
      <c r="B434" s="784">
        <v>15950</v>
      </c>
    </row>
    <row r="435" spans="1:2" x14ac:dyDescent="0.15">
      <c r="A435" s="190">
        <v>1</v>
      </c>
      <c r="B435" s="784">
        <v>22990</v>
      </c>
    </row>
    <row r="436" spans="1:2" x14ac:dyDescent="0.15">
      <c r="A436" s="190">
        <v>1</v>
      </c>
      <c r="B436" s="784">
        <v>25660</v>
      </c>
    </row>
    <row r="437" spans="1:2" x14ac:dyDescent="0.15">
      <c r="A437" s="190">
        <v>1</v>
      </c>
      <c r="B437" s="784">
        <v>15070</v>
      </c>
    </row>
    <row r="438" spans="1:2" x14ac:dyDescent="0.15">
      <c r="A438" s="190">
        <v>1</v>
      </c>
      <c r="B438" s="784">
        <v>13937</v>
      </c>
    </row>
    <row r="439" spans="1:2" x14ac:dyDescent="0.15">
      <c r="A439" s="194">
        <v>1</v>
      </c>
      <c r="B439" s="784">
        <v>26334</v>
      </c>
    </row>
    <row r="440" spans="1:2" x14ac:dyDescent="0.15">
      <c r="A440" s="194">
        <v>1</v>
      </c>
      <c r="B440" s="779">
        <v>18370</v>
      </c>
    </row>
    <row r="441" spans="1:2" x14ac:dyDescent="0.15">
      <c r="A441" s="192">
        <v>1</v>
      </c>
      <c r="B441" s="786">
        <v>35800</v>
      </c>
    </row>
    <row r="442" spans="1:2" x14ac:dyDescent="0.15">
      <c r="A442" s="602">
        <v>1</v>
      </c>
      <c r="B442" s="786">
        <v>15000</v>
      </c>
    </row>
    <row r="443" spans="1:2" x14ac:dyDescent="0.15">
      <c r="A443" s="489">
        <v>1</v>
      </c>
      <c r="B443" s="786">
        <v>37000</v>
      </c>
    </row>
    <row r="444" spans="1:2" x14ac:dyDescent="0.15">
      <c r="A444" s="192">
        <v>1</v>
      </c>
      <c r="B444" s="786">
        <v>22000</v>
      </c>
    </row>
    <row r="445" spans="1:2" x14ac:dyDescent="0.15">
      <c r="A445" s="194">
        <v>1</v>
      </c>
      <c r="B445" s="465">
        <v>20449</v>
      </c>
    </row>
    <row r="446" spans="1:2" x14ac:dyDescent="0.15">
      <c r="A446" s="190">
        <v>1</v>
      </c>
      <c r="B446" s="468">
        <v>28000</v>
      </c>
    </row>
    <row r="447" spans="1:2" x14ac:dyDescent="0.15">
      <c r="A447" s="190">
        <v>1</v>
      </c>
      <c r="B447" s="468">
        <v>28300</v>
      </c>
    </row>
    <row r="448" spans="1:2" x14ac:dyDescent="0.15">
      <c r="A448" s="190">
        <v>1</v>
      </c>
      <c r="B448" s="468">
        <v>24930</v>
      </c>
    </row>
    <row r="449" spans="1:2" x14ac:dyDescent="0.15">
      <c r="A449" s="190">
        <v>1</v>
      </c>
      <c r="B449" s="468">
        <v>18700</v>
      </c>
    </row>
    <row r="450" spans="1:2" x14ac:dyDescent="0.15">
      <c r="A450" s="190">
        <v>1</v>
      </c>
      <c r="B450" s="468">
        <v>16000</v>
      </c>
    </row>
    <row r="451" spans="1:2" x14ac:dyDescent="0.15">
      <c r="A451" s="192">
        <v>0.5</v>
      </c>
      <c r="B451" s="468">
        <v>5700</v>
      </c>
    </row>
    <row r="452" spans="1:2" x14ac:dyDescent="0.15">
      <c r="A452" s="194">
        <v>1</v>
      </c>
      <c r="B452" s="468">
        <v>14540</v>
      </c>
    </row>
    <row r="453" spans="1:2" x14ac:dyDescent="0.15">
      <c r="A453" s="448">
        <v>0.5</v>
      </c>
      <c r="B453" s="468">
        <v>23700</v>
      </c>
    </row>
    <row r="454" spans="1:2" x14ac:dyDescent="0.15">
      <c r="A454" s="190">
        <v>1</v>
      </c>
      <c r="B454" s="468">
        <v>20600</v>
      </c>
    </row>
    <row r="455" spans="1:2" x14ac:dyDescent="0.15">
      <c r="A455" s="190">
        <v>0.5</v>
      </c>
      <c r="B455" s="468">
        <v>11500</v>
      </c>
    </row>
    <row r="456" spans="1:2" x14ac:dyDescent="0.15">
      <c r="A456" s="190">
        <v>1</v>
      </c>
      <c r="B456" s="468">
        <v>22000</v>
      </c>
    </row>
    <row r="457" spans="1:2" x14ac:dyDescent="0.15">
      <c r="A457" s="192">
        <v>1</v>
      </c>
      <c r="B457" s="468">
        <v>17900</v>
      </c>
    </row>
    <row r="458" spans="1:2" x14ac:dyDescent="0.15">
      <c r="A458" s="192">
        <v>0.5</v>
      </c>
      <c r="B458" s="468">
        <v>7000</v>
      </c>
    </row>
    <row r="459" spans="1:2" x14ac:dyDescent="0.15">
      <c r="A459" s="190">
        <v>1</v>
      </c>
      <c r="B459" s="468">
        <v>45000</v>
      </c>
    </row>
    <row r="460" spans="1:2" x14ac:dyDescent="0.15">
      <c r="A460" s="190">
        <v>1</v>
      </c>
      <c r="B460" s="468">
        <v>32600</v>
      </c>
    </row>
    <row r="461" spans="1:2" x14ac:dyDescent="0.15">
      <c r="A461" s="190">
        <v>1</v>
      </c>
      <c r="B461" s="468">
        <v>17700</v>
      </c>
    </row>
    <row r="462" spans="1:2" x14ac:dyDescent="0.15">
      <c r="A462" s="190">
        <v>1</v>
      </c>
      <c r="B462" s="468">
        <v>26070</v>
      </c>
    </row>
    <row r="463" spans="1:2" x14ac:dyDescent="0.15">
      <c r="A463" s="190">
        <v>1</v>
      </c>
      <c r="B463" s="468">
        <v>27860</v>
      </c>
    </row>
    <row r="464" spans="1:2" x14ac:dyDescent="0.15">
      <c r="A464" s="190">
        <v>1</v>
      </c>
      <c r="B464" s="468">
        <v>20240</v>
      </c>
    </row>
    <row r="465" spans="1:2" x14ac:dyDescent="0.15">
      <c r="A465" s="190">
        <v>1</v>
      </c>
      <c r="B465" s="468">
        <v>23650</v>
      </c>
    </row>
    <row r="466" spans="1:2" x14ac:dyDescent="0.15">
      <c r="A466" s="190">
        <v>1</v>
      </c>
      <c r="B466" s="468">
        <v>24420</v>
      </c>
    </row>
    <row r="467" spans="1:2" x14ac:dyDescent="0.15">
      <c r="A467" s="192">
        <v>1</v>
      </c>
      <c r="B467" s="468">
        <v>29690</v>
      </c>
    </row>
    <row r="468" spans="1:2" x14ac:dyDescent="0.15">
      <c r="A468" s="190">
        <v>0.5</v>
      </c>
      <c r="B468" s="468">
        <v>16110</v>
      </c>
    </row>
    <row r="469" spans="1:2" x14ac:dyDescent="0.15">
      <c r="A469" s="192">
        <v>1</v>
      </c>
      <c r="B469" s="468">
        <v>17820</v>
      </c>
    </row>
    <row r="470" spans="1:2" x14ac:dyDescent="0.15">
      <c r="A470" s="194">
        <v>0.4</v>
      </c>
      <c r="B470" s="465">
        <v>4360</v>
      </c>
    </row>
    <row r="471" spans="1:2" x14ac:dyDescent="0.15">
      <c r="A471" s="190">
        <v>1</v>
      </c>
      <c r="B471" s="468">
        <v>22700</v>
      </c>
    </row>
    <row r="472" spans="1:2" x14ac:dyDescent="0.15">
      <c r="A472" s="190">
        <v>1</v>
      </c>
      <c r="B472" s="468">
        <v>24300</v>
      </c>
    </row>
    <row r="473" spans="1:2" x14ac:dyDescent="0.15">
      <c r="A473" s="190">
        <v>1</v>
      </c>
      <c r="B473" s="468">
        <v>26100</v>
      </c>
    </row>
    <row r="474" spans="1:2" x14ac:dyDescent="0.15">
      <c r="A474" s="190">
        <v>1</v>
      </c>
      <c r="B474" s="468">
        <v>20000</v>
      </c>
    </row>
    <row r="475" spans="1:2" x14ac:dyDescent="0.15">
      <c r="A475" s="190">
        <v>1</v>
      </c>
      <c r="B475" s="468">
        <v>25000</v>
      </c>
    </row>
    <row r="476" spans="1:2" x14ac:dyDescent="0.15">
      <c r="A476" s="190">
        <v>1</v>
      </c>
      <c r="B476" s="468">
        <v>27100</v>
      </c>
    </row>
    <row r="477" spans="1:2" x14ac:dyDescent="0.15">
      <c r="A477" s="190">
        <v>1</v>
      </c>
      <c r="B477" s="784">
        <v>26500</v>
      </c>
    </row>
    <row r="478" spans="1:2" x14ac:dyDescent="0.15">
      <c r="A478" s="190">
        <v>0.5</v>
      </c>
      <c r="B478" s="468">
        <v>15735</v>
      </c>
    </row>
    <row r="479" spans="1:2" x14ac:dyDescent="0.15">
      <c r="A479" s="190">
        <v>1</v>
      </c>
      <c r="B479" s="468">
        <v>40830</v>
      </c>
    </row>
    <row r="480" spans="1:2" x14ac:dyDescent="0.15">
      <c r="A480" s="190">
        <v>0.5</v>
      </c>
      <c r="B480" s="468">
        <v>8600</v>
      </c>
    </row>
    <row r="481" spans="1:2" x14ac:dyDescent="0.15">
      <c r="A481" s="190">
        <v>1</v>
      </c>
      <c r="B481" s="468">
        <v>26000</v>
      </c>
    </row>
    <row r="482" spans="1:2" x14ac:dyDescent="0.15">
      <c r="A482" s="190">
        <v>1</v>
      </c>
      <c r="B482" s="468">
        <v>26000</v>
      </c>
    </row>
    <row r="483" spans="1:2" x14ac:dyDescent="0.15">
      <c r="A483" s="190">
        <v>1</v>
      </c>
      <c r="B483" s="468">
        <v>19000</v>
      </c>
    </row>
    <row r="484" spans="1:2" x14ac:dyDescent="0.15">
      <c r="A484" s="190">
        <v>1</v>
      </c>
      <c r="B484" s="468">
        <v>18050</v>
      </c>
    </row>
    <row r="485" spans="1:2" x14ac:dyDescent="0.15">
      <c r="A485" s="192">
        <v>1</v>
      </c>
      <c r="B485" s="468">
        <v>26000</v>
      </c>
    </row>
    <row r="486" spans="1:2" x14ac:dyDescent="0.15">
      <c r="A486" s="190">
        <v>0.5</v>
      </c>
      <c r="B486" s="468">
        <v>13450</v>
      </c>
    </row>
    <row r="487" spans="1:2" x14ac:dyDescent="0.15">
      <c r="A487" s="192">
        <v>0.5</v>
      </c>
      <c r="B487" s="468">
        <v>12250</v>
      </c>
    </row>
    <row r="488" spans="1:2" x14ac:dyDescent="0.15">
      <c r="A488" s="194">
        <v>0.5</v>
      </c>
      <c r="B488" s="465">
        <v>4950</v>
      </c>
    </row>
    <row r="489" spans="1:2" x14ac:dyDescent="0.15">
      <c r="A489" s="194">
        <v>1</v>
      </c>
      <c r="B489" s="465">
        <v>24600</v>
      </c>
    </row>
    <row r="490" spans="1:2" x14ac:dyDescent="0.15">
      <c r="A490" s="179">
        <v>1</v>
      </c>
      <c r="B490" s="785">
        <v>42000</v>
      </c>
    </row>
    <row r="491" spans="1:2" x14ac:dyDescent="0.15">
      <c r="A491" s="595">
        <v>1</v>
      </c>
      <c r="B491" s="785">
        <v>45000</v>
      </c>
    </row>
    <row r="492" spans="1:2" x14ac:dyDescent="0.15">
      <c r="A492" s="190">
        <v>1</v>
      </c>
      <c r="B492" s="785">
        <v>27000</v>
      </c>
    </row>
    <row r="493" spans="1:2" x14ac:dyDescent="0.15">
      <c r="A493" s="190">
        <v>1</v>
      </c>
      <c r="B493" s="785">
        <v>30500</v>
      </c>
    </row>
    <row r="494" spans="1:2" x14ac:dyDescent="0.15">
      <c r="A494" s="190">
        <v>1</v>
      </c>
      <c r="B494" s="785">
        <v>22000</v>
      </c>
    </row>
    <row r="495" spans="1:2" x14ac:dyDescent="0.15">
      <c r="A495" s="190">
        <v>1</v>
      </c>
      <c r="B495" s="785">
        <v>26000</v>
      </c>
    </row>
    <row r="496" spans="1:2" x14ac:dyDescent="0.15">
      <c r="A496" s="190">
        <v>0.3</v>
      </c>
      <c r="B496" s="785">
        <v>7230</v>
      </c>
    </row>
    <row r="497" spans="1:2" x14ac:dyDescent="0.15">
      <c r="A497" s="190">
        <v>0.1</v>
      </c>
      <c r="B497" s="785">
        <v>2000</v>
      </c>
    </row>
    <row r="498" spans="1:2" x14ac:dyDescent="0.15">
      <c r="A498" s="190">
        <v>1</v>
      </c>
      <c r="B498" s="785">
        <v>15400</v>
      </c>
    </row>
    <row r="499" spans="1:2" x14ac:dyDescent="0.15">
      <c r="A499" s="190">
        <v>1</v>
      </c>
      <c r="B499" s="785">
        <v>23500</v>
      </c>
    </row>
    <row r="500" spans="1:2" x14ac:dyDescent="0.15">
      <c r="A500" s="190">
        <v>0.2</v>
      </c>
      <c r="B500" s="785">
        <v>2120</v>
      </c>
    </row>
    <row r="501" spans="1:2" x14ac:dyDescent="0.15">
      <c r="A501" s="190">
        <v>0.5</v>
      </c>
      <c r="B501" s="785">
        <v>8750</v>
      </c>
    </row>
    <row r="502" spans="1:2" x14ac:dyDescent="0.15">
      <c r="A502" s="190">
        <v>0.5</v>
      </c>
      <c r="B502" s="785">
        <v>9500</v>
      </c>
    </row>
    <row r="503" spans="1:2" x14ac:dyDescent="0.15">
      <c r="A503" s="190">
        <v>0.5</v>
      </c>
      <c r="B503" s="785">
        <v>7500</v>
      </c>
    </row>
    <row r="504" spans="1:2" x14ac:dyDescent="0.15">
      <c r="A504" s="190">
        <v>0.2</v>
      </c>
      <c r="B504" s="785">
        <v>3200</v>
      </c>
    </row>
    <row r="505" spans="1:2" x14ac:dyDescent="0.15">
      <c r="A505" s="190">
        <v>1</v>
      </c>
      <c r="B505" s="785">
        <v>19000</v>
      </c>
    </row>
    <row r="506" spans="1:2" x14ac:dyDescent="0.15">
      <c r="A506" s="194">
        <v>0.3</v>
      </c>
      <c r="B506" s="785">
        <v>5100</v>
      </c>
    </row>
    <row r="507" spans="1:2" x14ac:dyDescent="0.15">
      <c r="A507" s="190">
        <v>1</v>
      </c>
      <c r="B507" s="785">
        <v>29900</v>
      </c>
    </row>
    <row r="508" spans="1:2" x14ac:dyDescent="0.15">
      <c r="A508" s="190">
        <v>1</v>
      </c>
      <c r="B508" s="785">
        <v>20500</v>
      </c>
    </row>
    <row r="509" spans="1:2" x14ac:dyDescent="0.15">
      <c r="A509" s="459">
        <v>1</v>
      </c>
      <c r="B509" s="785">
        <v>40000</v>
      </c>
    </row>
    <row r="510" spans="1:2" x14ac:dyDescent="0.15">
      <c r="A510" s="190">
        <v>1</v>
      </c>
      <c r="B510" s="785">
        <v>22300</v>
      </c>
    </row>
    <row r="511" spans="1:2" x14ac:dyDescent="0.15">
      <c r="A511" s="190">
        <v>1</v>
      </c>
      <c r="B511" s="785">
        <v>21000</v>
      </c>
    </row>
    <row r="512" spans="1:2" x14ac:dyDescent="0.15">
      <c r="A512" s="190">
        <v>1</v>
      </c>
      <c r="B512" s="785">
        <v>23200</v>
      </c>
    </row>
    <row r="513" spans="1:2" x14ac:dyDescent="0.15">
      <c r="A513" s="190">
        <v>0.1</v>
      </c>
      <c r="B513" s="785">
        <v>1720</v>
      </c>
    </row>
    <row r="514" spans="1:2" x14ac:dyDescent="0.15">
      <c r="A514" s="190">
        <v>1</v>
      </c>
      <c r="B514" s="785">
        <v>28550</v>
      </c>
    </row>
    <row r="515" spans="1:2" x14ac:dyDescent="0.15">
      <c r="A515" s="8">
        <v>1</v>
      </c>
      <c r="B515" s="785">
        <v>18500</v>
      </c>
    </row>
    <row r="516" spans="1:2" x14ac:dyDescent="0.15">
      <c r="A516" s="190">
        <v>1</v>
      </c>
      <c r="B516" s="785">
        <v>15500</v>
      </c>
    </row>
    <row r="517" spans="1:2" x14ac:dyDescent="0.15">
      <c r="A517" s="190">
        <v>1</v>
      </c>
      <c r="B517" s="785">
        <v>21000</v>
      </c>
    </row>
    <row r="518" spans="1:2" x14ac:dyDescent="0.15">
      <c r="A518" s="194">
        <v>1</v>
      </c>
      <c r="B518" s="785">
        <v>15000</v>
      </c>
    </row>
    <row r="519" spans="1:2" x14ac:dyDescent="0.15">
      <c r="A519" s="190">
        <v>0.5</v>
      </c>
      <c r="B519" s="787">
        <v>38120</v>
      </c>
    </row>
    <row r="520" spans="1:2" x14ac:dyDescent="0.15">
      <c r="A520" s="190">
        <v>0.5</v>
      </c>
      <c r="B520" s="787">
        <v>25700</v>
      </c>
    </row>
    <row r="521" spans="1:2" x14ac:dyDescent="0.15">
      <c r="A521" s="190">
        <v>1</v>
      </c>
      <c r="B521" s="787">
        <v>24790</v>
      </c>
    </row>
    <row r="522" spans="1:2" x14ac:dyDescent="0.15">
      <c r="A522" s="190">
        <v>1</v>
      </c>
      <c r="B522" s="787">
        <v>20200</v>
      </c>
    </row>
    <row r="523" spans="1:2" x14ac:dyDescent="0.15">
      <c r="A523" s="190">
        <v>1</v>
      </c>
      <c r="B523" s="787">
        <v>20000</v>
      </c>
    </row>
    <row r="524" spans="1:2" x14ac:dyDescent="0.15">
      <c r="A524" s="190">
        <v>1</v>
      </c>
      <c r="B524" s="787">
        <v>19300</v>
      </c>
    </row>
    <row r="525" spans="1:2" x14ac:dyDescent="0.15">
      <c r="A525" s="192">
        <v>1</v>
      </c>
      <c r="B525" s="787">
        <v>18800</v>
      </c>
    </row>
    <row r="526" spans="1:2" x14ac:dyDescent="0.15">
      <c r="A526" s="190">
        <v>1</v>
      </c>
      <c r="B526" s="787">
        <v>37600</v>
      </c>
    </row>
    <row r="527" spans="1:2" x14ac:dyDescent="0.15">
      <c r="A527" s="190">
        <v>1</v>
      </c>
      <c r="B527" s="787">
        <v>28500</v>
      </c>
    </row>
    <row r="528" spans="1:2" x14ac:dyDescent="0.15">
      <c r="A528" s="187">
        <v>1</v>
      </c>
      <c r="B528" s="784">
        <v>39000</v>
      </c>
    </row>
    <row r="529" spans="1:2" x14ac:dyDescent="0.15">
      <c r="A529" s="190">
        <v>1</v>
      </c>
      <c r="B529" s="784">
        <v>32800</v>
      </c>
    </row>
    <row r="530" spans="1:2" x14ac:dyDescent="0.15">
      <c r="A530" s="190">
        <v>0.1</v>
      </c>
      <c r="B530" s="784">
        <v>2330</v>
      </c>
    </row>
    <row r="531" spans="1:2" x14ac:dyDescent="0.15">
      <c r="A531" s="190">
        <v>1</v>
      </c>
      <c r="B531" s="784">
        <v>25400</v>
      </c>
    </row>
    <row r="532" spans="1:2" x14ac:dyDescent="0.15">
      <c r="A532" s="190">
        <v>1</v>
      </c>
      <c r="B532" s="784">
        <v>30400</v>
      </c>
    </row>
    <row r="533" spans="1:2" x14ac:dyDescent="0.15">
      <c r="A533" s="190">
        <v>1</v>
      </c>
      <c r="B533" s="784">
        <v>33500</v>
      </c>
    </row>
    <row r="534" spans="1:2" x14ac:dyDescent="0.15">
      <c r="A534" s="190">
        <v>1</v>
      </c>
      <c r="B534" s="784">
        <v>26900</v>
      </c>
    </row>
    <row r="535" spans="1:2" x14ac:dyDescent="0.15">
      <c r="A535" s="190">
        <v>0.5</v>
      </c>
      <c r="B535" s="784">
        <v>26800</v>
      </c>
    </row>
    <row r="536" spans="1:2" x14ac:dyDescent="0.15">
      <c r="A536" s="190">
        <v>0.5</v>
      </c>
      <c r="B536" s="784">
        <v>8450</v>
      </c>
    </row>
    <row r="537" spans="1:2" x14ac:dyDescent="0.15">
      <c r="A537" s="190">
        <v>0.5</v>
      </c>
      <c r="B537" s="784">
        <v>10400</v>
      </c>
    </row>
    <row r="538" spans="1:2" x14ac:dyDescent="0.15">
      <c r="A538" s="190">
        <v>1</v>
      </c>
      <c r="B538" s="784">
        <v>15900</v>
      </c>
    </row>
    <row r="539" spans="1:2" x14ac:dyDescent="0.15">
      <c r="A539" s="192">
        <v>1</v>
      </c>
      <c r="B539" s="784">
        <v>22400</v>
      </c>
    </row>
    <row r="540" spans="1:2" x14ac:dyDescent="0.15">
      <c r="A540" s="192">
        <v>0.5</v>
      </c>
      <c r="B540" s="784">
        <v>11500</v>
      </c>
    </row>
    <row r="541" spans="1:2" x14ac:dyDescent="0.15">
      <c r="A541" s="194">
        <v>0.5</v>
      </c>
      <c r="B541" s="784">
        <v>9344</v>
      </c>
    </row>
    <row r="542" spans="1:2" x14ac:dyDescent="0.15">
      <c r="A542" s="190">
        <v>1</v>
      </c>
      <c r="B542" s="468">
        <v>23400</v>
      </c>
    </row>
    <row r="543" spans="1:2" x14ac:dyDescent="0.15">
      <c r="A543" s="190">
        <v>1</v>
      </c>
      <c r="B543" s="468">
        <v>40000</v>
      </c>
    </row>
    <row r="544" spans="1:2" x14ac:dyDescent="0.15">
      <c r="A544" s="190">
        <v>1</v>
      </c>
      <c r="B544" s="468">
        <v>28800</v>
      </c>
    </row>
    <row r="545" spans="1:2" x14ac:dyDescent="0.15">
      <c r="A545" s="194">
        <v>1</v>
      </c>
      <c r="B545" s="468">
        <v>22900</v>
      </c>
    </row>
    <row r="546" spans="1:2" x14ac:dyDescent="0.15">
      <c r="A546" s="190">
        <v>1</v>
      </c>
      <c r="B546" s="468">
        <v>33100</v>
      </c>
    </row>
    <row r="547" spans="1:2" x14ac:dyDescent="0.15">
      <c r="A547" s="194">
        <v>1</v>
      </c>
      <c r="B547" s="468">
        <v>14500</v>
      </c>
    </row>
    <row r="548" spans="1:2" x14ac:dyDescent="0.15">
      <c r="A548" s="190">
        <v>1</v>
      </c>
      <c r="B548" s="786">
        <v>41500</v>
      </c>
    </row>
    <row r="549" spans="1:2" x14ac:dyDescent="0.15">
      <c r="A549" s="187">
        <v>1</v>
      </c>
      <c r="B549" s="786">
        <v>53300</v>
      </c>
    </row>
    <row r="550" spans="1:2" x14ac:dyDescent="0.15">
      <c r="A550" s="459">
        <v>1</v>
      </c>
      <c r="B550" s="786">
        <v>40150</v>
      </c>
    </row>
    <row r="551" spans="1:2" x14ac:dyDescent="0.15">
      <c r="A551" s="595">
        <v>1</v>
      </c>
      <c r="B551" s="786">
        <v>41100</v>
      </c>
    </row>
    <row r="552" spans="1:2" x14ac:dyDescent="0.15">
      <c r="A552" s="190">
        <v>1</v>
      </c>
      <c r="B552" s="786">
        <v>31500</v>
      </c>
    </row>
    <row r="553" spans="1:2" x14ac:dyDescent="0.15">
      <c r="A553" s="190">
        <v>1</v>
      </c>
      <c r="B553" s="786">
        <v>33300</v>
      </c>
    </row>
    <row r="554" spans="1:2" x14ac:dyDescent="0.15">
      <c r="A554" s="190">
        <v>1</v>
      </c>
      <c r="B554" s="786">
        <v>36260</v>
      </c>
    </row>
    <row r="555" spans="1:2" x14ac:dyDescent="0.15">
      <c r="A555" s="190">
        <v>1</v>
      </c>
      <c r="B555" s="786">
        <v>22000</v>
      </c>
    </row>
    <row r="556" spans="1:2" x14ac:dyDescent="0.15">
      <c r="A556" s="190">
        <v>1</v>
      </c>
      <c r="B556" s="786">
        <v>29470</v>
      </c>
    </row>
    <row r="557" spans="1:2" x14ac:dyDescent="0.15">
      <c r="A557" s="190">
        <v>1</v>
      </c>
      <c r="B557" s="786">
        <v>22400</v>
      </c>
    </row>
    <row r="558" spans="1:2" x14ac:dyDescent="0.15">
      <c r="A558" s="190">
        <v>0.5</v>
      </c>
      <c r="B558" s="468">
        <v>20227</v>
      </c>
    </row>
    <row r="559" spans="1:2" x14ac:dyDescent="0.15">
      <c r="A559" s="190">
        <v>1</v>
      </c>
      <c r="B559" s="468">
        <v>31977</v>
      </c>
    </row>
    <row r="560" spans="1:2" x14ac:dyDescent="0.15">
      <c r="A560" s="194">
        <v>1</v>
      </c>
      <c r="B560" s="465">
        <v>30517</v>
      </c>
    </row>
    <row r="561" spans="1:2" x14ac:dyDescent="0.15">
      <c r="A561" s="192">
        <v>1</v>
      </c>
      <c r="B561" s="468">
        <v>26400</v>
      </c>
    </row>
    <row r="562" spans="1:2" x14ac:dyDescent="0.15">
      <c r="A562" s="194">
        <v>1</v>
      </c>
      <c r="B562" s="468">
        <v>27500</v>
      </c>
    </row>
    <row r="563" spans="1:2" x14ac:dyDescent="0.15">
      <c r="A563" s="595">
        <v>1</v>
      </c>
      <c r="B563" s="787">
        <v>53800</v>
      </c>
    </row>
    <row r="564" spans="1:2" x14ac:dyDescent="0.15">
      <c r="A564" s="190">
        <v>1</v>
      </c>
      <c r="B564" s="787">
        <v>45950</v>
      </c>
    </row>
    <row r="565" spans="1:2" x14ac:dyDescent="0.15">
      <c r="A565" s="190">
        <v>1</v>
      </c>
      <c r="B565" s="787">
        <v>38600</v>
      </c>
    </row>
    <row r="566" spans="1:2" x14ac:dyDescent="0.15">
      <c r="A566" s="187">
        <v>1</v>
      </c>
      <c r="B566" s="786">
        <v>42600</v>
      </c>
    </row>
    <row r="567" spans="1:2" x14ac:dyDescent="0.15">
      <c r="A567" s="190">
        <v>1</v>
      </c>
      <c r="B567" s="786">
        <v>19580</v>
      </c>
    </row>
    <row r="568" spans="1:2" x14ac:dyDescent="0.15">
      <c r="A568" s="190">
        <v>1</v>
      </c>
      <c r="B568" s="786">
        <v>36200</v>
      </c>
    </row>
    <row r="569" spans="1:2" x14ac:dyDescent="0.15">
      <c r="A569" s="190">
        <v>1</v>
      </c>
      <c r="B569" s="786">
        <v>35000</v>
      </c>
    </row>
    <row r="570" spans="1:2" x14ac:dyDescent="0.15">
      <c r="A570" s="190">
        <v>1</v>
      </c>
      <c r="B570" s="786">
        <v>29000</v>
      </c>
    </row>
    <row r="571" spans="1:2" x14ac:dyDescent="0.15">
      <c r="A571" s="190">
        <v>1</v>
      </c>
      <c r="B571" s="786">
        <v>27200</v>
      </c>
    </row>
    <row r="572" spans="1:2" x14ac:dyDescent="0.15">
      <c r="A572" s="190">
        <v>1</v>
      </c>
      <c r="B572" s="786">
        <v>10300</v>
      </c>
    </row>
    <row r="573" spans="1:2" x14ac:dyDescent="0.15">
      <c r="A573" s="190">
        <v>1</v>
      </c>
      <c r="B573" s="786">
        <v>24000</v>
      </c>
    </row>
    <row r="574" spans="1:2" x14ac:dyDescent="0.15">
      <c r="A574" s="194">
        <v>1</v>
      </c>
      <c r="B574" s="793">
        <v>25400</v>
      </c>
    </row>
    <row r="575" spans="1:2" x14ac:dyDescent="0.15">
      <c r="A575" s="190">
        <v>1</v>
      </c>
      <c r="B575" s="786">
        <v>20500</v>
      </c>
    </row>
    <row r="576" spans="1:2" x14ac:dyDescent="0.15">
      <c r="A576" s="190">
        <v>1</v>
      </c>
      <c r="B576" s="468">
        <v>21200</v>
      </c>
    </row>
    <row r="577" spans="1:2" x14ac:dyDescent="0.15">
      <c r="A577" s="190">
        <v>1</v>
      </c>
      <c r="B577" s="468">
        <v>17000</v>
      </c>
    </row>
    <row r="578" spans="1:2" x14ac:dyDescent="0.15">
      <c r="A578" s="190">
        <v>1</v>
      </c>
      <c r="B578" s="468">
        <v>17000</v>
      </c>
    </row>
    <row r="579" spans="1:2" x14ac:dyDescent="0.15">
      <c r="A579" s="190">
        <v>1</v>
      </c>
      <c r="B579" s="468">
        <v>17000</v>
      </c>
    </row>
    <row r="580" spans="1:2" x14ac:dyDescent="0.15">
      <c r="A580" s="190">
        <v>1</v>
      </c>
      <c r="B580" s="468">
        <v>17000</v>
      </c>
    </row>
    <row r="581" spans="1:2" x14ac:dyDescent="0.15">
      <c r="A581" s="190">
        <v>1</v>
      </c>
      <c r="B581" s="468">
        <v>17000</v>
      </c>
    </row>
    <row r="582" spans="1:2" x14ac:dyDescent="0.15">
      <c r="A582" s="190">
        <v>1</v>
      </c>
      <c r="B582" s="468">
        <v>17000</v>
      </c>
    </row>
    <row r="583" spans="1:2" x14ac:dyDescent="0.15">
      <c r="A583" s="194">
        <v>1</v>
      </c>
      <c r="B583" s="468">
        <v>16000</v>
      </c>
    </row>
    <row r="584" spans="1:2" x14ac:dyDescent="0.15">
      <c r="A584" s="190">
        <v>1</v>
      </c>
      <c r="B584" s="787">
        <v>47200</v>
      </c>
    </row>
    <row r="585" spans="1:2" x14ac:dyDescent="0.15">
      <c r="A585" s="190">
        <v>0.1</v>
      </c>
      <c r="B585" s="787">
        <v>11690</v>
      </c>
    </row>
    <row r="586" spans="1:2" x14ac:dyDescent="0.15">
      <c r="A586" s="190">
        <v>1</v>
      </c>
      <c r="B586" s="787">
        <v>21000</v>
      </c>
    </row>
    <row r="587" spans="1:2" x14ac:dyDescent="0.15">
      <c r="A587" s="194">
        <v>0.1</v>
      </c>
      <c r="B587" s="787">
        <v>930</v>
      </c>
    </row>
    <row r="588" spans="1:2" x14ac:dyDescent="0.15">
      <c r="A588" s="594">
        <v>1</v>
      </c>
      <c r="B588" s="787">
        <v>39700</v>
      </c>
    </row>
    <row r="589" spans="1:2" x14ac:dyDescent="0.15">
      <c r="A589" s="192">
        <v>1</v>
      </c>
      <c r="B589" s="787">
        <v>38700</v>
      </c>
    </row>
    <row r="590" spans="1:2" x14ac:dyDescent="0.15">
      <c r="A590" s="192">
        <v>1</v>
      </c>
      <c r="B590" s="787">
        <v>20900</v>
      </c>
    </row>
    <row r="591" spans="1:2" x14ac:dyDescent="0.15">
      <c r="A591" s="194">
        <v>0.5</v>
      </c>
      <c r="B591" s="787">
        <v>17000</v>
      </c>
    </row>
    <row r="592" spans="1:2" x14ac:dyDescent="0.15">
      <c r="A592" s="190">
        <v>1</v>
      </c>
      <c r="B592" s="787">
        <v>24500</v>
      </c>
    </row>
    <row r="593" spans="1:2" x14ac:dyDescent="0.15">
      <c r="A593" s="190">
        <v>1</v>
      </c>
      <c r="B593" s="787">
        <v>21200</v>
      </c>
    </row>
    <row r="594" spans="1:2" x14ac:dyDescent="0.15">
      <c r="A594" s="194">
        <v>1</v>
      </c>
      <c r="B594" s="789">
        <v>11300</v>
      </c>
    </row>
    <row r="595" spans="1:2" x14ac:dyDescent="0.15">
      <c r="A595" s="595">
        <v>1</v>
      </c>
      <c r="B595" s="787">
        <v>40900</v>
      </c>
    </row>
    <row r="596" spans="1:2" x14ac:dyDescent="0.15">
      <c r="A596" s="190">
        <v>1</v>
      </c>
      <c r="B596" s="787">
        <v>23400</v>
      </c>
    </row>
    <row r="597" spans="1:2" x14ac:dyDescent="0.15">
      <c r="A597" s="190">
        <v>1</v>
      </c>
      <c r="B597" s="787">
        <v>20400</v>
      </c>
    </row>
    <row r="598" spans="1:2" x14ac:dyDescent="0.15">
      <c r="A598" s="190">
        <v>1</v>
      </c>
      <c r="B598" s="787">
        <v>19400</v>
      </c>
    </row>
    <row r="599" spans="1:2" x14ac:dyDescent="0.15">
      <c r="A599" s="595">
        <v>1</v>
      </c>
      <c r="B599" s="786">
        <v>42600</v>
      </c>
    </row>
    <row r="600" spans="1:2" x14ac:dyDescent="0.15">
      <c r="A600" s="190">
        <v>1</v>
      </c>
      <c r="B600" s="786">
        <v>31900</v>
      </c>
    </row>
    <row r="601" spans="1:2" x14ac:dyDescent="0.15">
      <c r="A601" s="190">
        <v>1</v>
      </c>
      <c r="B601" s="468">
        <v>20200</v>
      </c>
    </row>
    <row r="602" spans="1:2" x14ac:dyDescent="0.15">
      <c r="A602" s="194">
        <v>0.5</v>
      </c>
      <c r="B602" s="468">
        <v>11000</v>
      </c>
    </row>
    <row r="603" spans="1:2" x14ac:dyDescent="0.15">
      <c r="A603" s="192">
        <v>1</v>
      </c>
      <c r="B603" s="468">
        <v>33250</v>
      </c>
    </row>
    <row r="604" spans="1:2" x14ac:dyDescent="0.15">
      <c r="A604" s="470">
        <v>0.5</v>
      </c>
      <c r="B604" s="465">
        <v>13500</v>
      </c>
    </row>
    <row r="605" spans="1:2" x14ac:dyDescent="0.15">
      <c r="A605" s="190">
        <v>1</v>
      </c>
      <c r="B605" s="468">
        <v>30730</v>
      </c>
    </row>
    <row r="606" spans="1:2" x14ac:dyDescent="0.15">
      <c r="A606" s="190">
        <v>1</v>
      </c>
      <c r="B606" s="468">
        <v>21700</v>
      </c>
    </row>
    <row r="607" spans="1:2" x14ac:dyDescent="0.15">
      <c r="A607" s="190">
        <v>1</v>
      </c>
      <c r="B607" s="468">
        <v>23450</v>
      </c>
    </row>
    <row r="608" spans="1:2" x14ac:dyDescent="0.15">
      <c r="A608" s="190">
        <v>0.4</v>
      </c>
      <c r="B608" s="468">
        <v>8960</v>
      </c>
    </row>
    <row r="609" spans="1:2" x14ac:dyDescent="0.15">
      <c r="A609" s="190">
        <v>0.5</v>
      </c>
      <c r="B609" s="468">
        <v>13575</v>
      </c>
    </row>
    <row r="610" spans="1:2" x14ac:dyDescent="0.15">
      <c r="A610" s="190">
        <v>1</v>
      </c>
      <c r="B610" s="468">
        <v>32500</v>
      </c>
    </row>
    <row r="611" spans="1:2" x14ac:dyDescent="0.15">
      <c r="A611" s="192">
        <v>0.5</v>
      </c>
      <c r="B611" s="468">
        <v>17800</v>
      </c>
    </row>
    <row r="612" spans="1:2" x14ac:dyDescent="0.15">
      <c r="A612" s="192">
        <v>1</v>
      </c>
      <c r="B612" s="468">
        <v>23650</v>
      </c>
    </row>
    <row r="613" spans="1:2" x14ac:dyDescent="0.15">
      <c r="A613" s="194">
        <v>1</v>
      </c>
      <c r="B613" s="465">
        <v>29500</v>
      </c>
    </row>
    <row r="614" spans="1:2" x14ac:dyDescent="0.15">
      <c r="A614" s="190">
        <v>1</v>
      </c>
      <c r="B614" s="468">
        <v>25520</v>
      </c>
    </row>
    <row r="615" spans="1:2" x14ac:dyDescent="0.15">
      <c r="A615" s="190">
        <v>0.1</v>
      </c>
      <c r="B615" s="468">
        <v>1220</v>
      </c>
    </row>
    <row r="616" spans="1:2" x14ac:dyDescent="0.15">
      <c r="A616" s="190">
        <v>0.5</v>
      </c>
      <c r="B616" s="468">
        <v>4950</v>
      </c>
    </row>
    <row r="617" spans="1:2" x14ac:dyDescent="0.15">
      <c r="A617" s="190">
        <v>1</v>
      </c>
      <c r="B617" s="468">
        <v>15950</v>
      </c>
    </row>
    <row r="618" spans="1:2" x14ac:dyDescent="0.15">
      <c r="A618" s="194">
        <v>0.5</v>
      </c>
      <c r="B618" s="465">
        <v>7645</v>
      </c>
    </row>
    <row r="619" spans="1:2" x14ac:dyDescent="0.15">
      <c r="A619" s="190">
        <v>1</v>
      </c>
      <c r="B619" s="468">
        <v>30230</v>
      </c>
    </row>
    <row r="620" spans="1:2" x14ac:dyDescent="0.15">
      <c r="A620" s="190">
        <v>0.5</v>
      </c>
      <c r="B620" s="468">
        <v>10500</v>
      </c>
    </row>
    <row r="621" spans="1:2" x14ac:dyDescent="0.15">
      <c r="A621" s="190">
        <v>0.5</v>
      </c>
      <c r="B621" s="468">
        <v>8195</v>
      </c>
    </row>
    <row r="622" spans="1:2" x14ac:dyDescent="0.15">
      <c r="A622" s="190">
        <v>0.5</v>
      </c>
      <c r="B622" s="468">
        <v>7200</v>
      </c>
    </row>
    <row r="623" spans="1:2" x14ac:dyDescent="0.15">
      <c r="A623" s="190">
        <v>1</v>
      </c>
      <c r="B623" s="468">
        <v>13090</v>
      </c>
    </row>
    <row r="624" spans="1:2" x14ac:dyDescent="0.15">
      <c r="A624" s="190">
        <v>1</v>
      </c>
      <c r="B624" s="468">
        <v>14500</v>
      </c>
    </row>
    <row r="625" spans="1:2" x14ac:dyDescent="0.15">
      <c r="A625" s="190">
        <v>1</v>
      </c>
      <c r="B625" s="468">
        <v>13090</v>
      </c>
    </row>
    <row r="626" spans="1:2" x14ac:dyDescent="0.15">
      <c r="A626" s="190">
        <v>0.5</v>
      </c>
      <c r="B626" s="788">
        <v>12669</v>
      </c>
    </row>
    <row r="627" spans="1:2" x14ac:dyDescent="0.15">
      <c r="A627" s="194">
        <v>0.5</v>
      </c>
      <c r="B627" s="468">
        <v>7500</v>
      </c>
    </row>
    <row r="628" spans="1:2" x14ac:dyDescent="0.15">
      <c r="A628" s="459">
        <v>1</v>
      </c>
      <c r="B628" s="784">
        <v>48000</v>
      </c>
    </row>
    <row r="629" spans="1:2" x14ac:dyDescent="0.15">
      <c r="A629" s="190">
        <v>1</v>
      </c>
      <c r="B629" s="468">
        <v>21670</v>
      </c>
    </row>
    <row r="630" spans="1:2" x14ac:dyDescent="0.15">
      <c r="A630" s="194">
        <v>1</v>
      </c>
      <c r="B630" s="468">
        <v>20200</v>
      </c>
    </row>
    <row r="631" spans="1:2" x14ac:dyDescent="0.15">
      <c r="A631" s="190">
        <v>1</v>
      </c>
      <c r="B631" s="785">
        <v>38800</v>
      </c>
    </row>
    <row r="632" spans="1:2" x14ac:dyDescent="0.15">
      <c r="A632" s="190">
        <v>0.5</v>
      </c>
      <c r="B632" s="468">
        <v>16450</v>
      </c>
    </row>
    <row r="633" spans="1:2" x14ac:dyDescent="0.15">
      <c r="A633" s="459">
        <v>1</v>
      </c>
      <c r="B633" s="786">
        <v>50350</v>
      </c>
    </row>
    <row r="634" spans="1:2" x14ac:dyDescent="0.15">
      <c r="A634" s="595">
        <v>1</v>
      </c>
      <c r="B634" s="786">
        <v>41500</v>
      </c>
    </row>
    <row r="635" spans="1:2" x14ac:dyDescent="0.15">
      <c r="A635" s="190">
        <v>0.1</v>
      </c>
      <c r="B635" s="786">
        <v>1720</v>
      </c>
    </row>
    <row r="636" spans="1:2" x14ac:dyDescent="0.15">
      <c r="A636" s="190">
        <v>0.1</v>
      </c>
      <c r="B636" s="786">
        <v>1862</v>
      </c>
    </row>
    <row r="637" spans="1:2" x14ac:dyDescent="0.15">
      <c r="A637" s="190">
        <v>1</v>
      </c>
      <c r="B637" s="786">
        <v>23000</v>
      </c>
    </row>
    <row r="638" spans="1:2" x14ac:dyDescent="0.15">
      <c r="A638" s="190">
        <v>1</v>
      </c>
      <c r="B638" s="786">
        <v>18200</v>
      </c>
    </row>
    <row r="639" spans="1:2" x14ac:dyDescent="0.15">
      <c r="A639" s="190">
        <v>0.1</v>
      </c>
      <c r="B639" s="786">
        <v>1060</v>
      </c>
    </row>
    <row r="640" spans="1:2" x14ac:dyDescent="0.15">
      <c r="A640" s="190">
        <v>1</v>
      </c>
      <c r="B640" s="786">
        <v>14500</v>
      </c>
    </row>
    <row r="641" spans="1:2" x14ac:dyDescent="0.15">
      <c r="A641" s="190">
        <v>1</v>
      </c>
      <c r="B641" s="786">
        <v>14200</v>
      </c>
    </row>
    <row r="642" spans="1:2" x14ac:dyDescent="0.15">
      <c r="A642" s="190">
        <v>1</v>
      </c>
      <c r="B642" s="786">
        <v>32500</v>
      </c>
    </row>
    <row r="643" spans="1:2" x14ac:dyDescent="0.15">
      <c r="A643" s="190">
        <v>1</v>
      </c>
      <c r="B643" s="786">
        <v>25000</v>
      </c>
    </row>
    <row r="644" spans="1:2" x14ac:dyDescent="0.15">
      <c r="A644" s="190">
        <v>1</v>
      </c>
      <c r="B644" s="786">
        <v>15200</v>
      </c>
    </row>
    <row r="645" spans="1:2" x14ac:dyDescent="0.15">
      <c r="A645" s="190">
        <v>1</v>
      </c>
      <c r="B645" s="786">
        <v>17900</v>
      </c>
    </row>
    <row r="646" spans="1:2" x14ac:dyDescent="0.15">
      <c r="A646" s="194">
        <v>0.5</v>
      </c>
      <c r="B646" s="788">
        <v>14545</v>
      </c>
    </row>
    <row r="647" spans="1:2" x14ac:dyDescent="0.15">
      <c r="A647" s="190">
        <v>1</v>
      </c>
      <c r="B647" s="468">
        <v>18200</v>
      </c>
    </row>
    <row r="648" spans="1:2" x14ac:dyDescent="0.15">
      <c r="A648" s="190">
        <v>1</v>
      </c>
      <c r="B648" s="468">
        <v>16400</v>
      </c>
    </row>
    <row r="649" spans="1:2" x14ac:dyDescent="0.15">
      <c r="A649" s="595">
        <v>1</v>
      </c>
      <c r="B649" s="468">
        <v>45550</v>
      </c>
    </row>
    <row r="650" spans="1:2" x14ac:dyDescent="0.15">
      <c r="A650" s="190">
        <v>1</v>
      </c>
      <c r="B650" s="468">
        <v>38200</v>
      </c>
    </row>
    <row r="651" spans="1:2" x14ac:dyDescent="0.15">
      <c r="A651" s="190">
        <v>1</v>
      </c>
      <c r="B651" s="468">
        <v>21500</v>
      </c>
    </row>
    <row r="652" spans="1:2" x14ac:dyDescent="0.15">
      <c r="A652" s="190">
        <v>1</v>
      </c>
      <c r="B652" s="468">
        <v>22800</v>
      </c>
    </row>
    <row r="653" spans="1:2" x14ac:dyDescent="0.15">
      <c r="A653" s="190">
        <v>0.5</v>
      </c>
      <c r="B653" s="468">
        <v>17250</v>
      </c>
    </row>
    <row r="654" spans="1:2" x14ac:dyDescent="0.15">
      <c r="A654" s="190">
        <v>1</v>
      </c>
      <c r="B654" s="468">
        <v>21120</v>
      </c>
    </row>
    <row r="655" spans="1:2" x14ac:dyDescent="0.15">
      <c r="A655" s="190">
        <v>1</v>
      </c>
      <c r="B655" s="468">
        <v>23000</v>
      </c>
    </row>
    <row r="656" spans="1:2" x14ac:dyDescent="0.15">
      <c r="A656" s="190">
        <v>1</v>
      </c>
      <c r="B656" s="468">
        <v>18900</v>
      </c>
    </row>
    <row r="657" spans="1:2" x14ac:dyDescent="0.15">
      <c r="A657" s="190">
        <v>1</v>
      </c>
      <c r="B657" s="468">
        <v>29100</v>
      </c>
    </row>
    <row r="658" spans="1:2" x14ac:dyDescent="0.15">
      <c r="A658" s="190">
        <v>1</v>
      </c>
      <c r="B658" s="468">
        <v>15700</v>
      </c>
    </row>
    <row r="659" spans="1:2" x14ac:dyDescent="0.15">
      <c r="A659" s="190">
        <v>0.5</v>
      </c>
      <c r="B659" s="468">
        <v>13800</v>
      </c>
    </row>
    <row r="660" spans="1:2" x14ac:dyDescent="0.15">
      <c r="A660" s="190">
        <v>1</v>
      </c>
      <c r="B660" s="468">
        <v>29000</v>
      </c>
    </row>
    <row r="661" spans="1:2" x14ac:dyDescent="0.15">
      <c r="A661" s="190">
        <v>1</v>
      </c>
      <c r="B661" s="468">
        <v>22500</v>
      </c>
    </row>
    <row r="662" spans="1:2" x14ac:dyDescent="0.15">
      <c r="A662" s="190">
        <v>1</v>
      </c>
      <c r="B662" s="468">
        <v>22500</v>
      </c>
    </row>
    <row r="663" spans="1:2" x14ac:dyDescent="0.15">
      <c r="A663" s="190">
        <v>1</v>
      </c>
      <c r="B663" s="468">
        <v>15300</v>
      </c>
    </row>
    <row r="664" spans="1:2" x14ac:dyDescent="0.15">
      <c r="A664" s="190">
        <v>1</v>
      </c>
      <c r="B664" s="468">
        <v>17200</v>
      </c>
    </row>
    <row r="665" spans="1:2" x14ac:dyDescent="0.15">
      <c r="A665" s="190">
        <v>1</v>
      </c>
      <c r="B665" s="788">
        <v>28944</v>
      </c>
    </row>
    <row r="666" spans="1:2" x14ac:dyDescent="0.15">
      <c r="A666" s="194">
        <v>1</v>
      </c>
      <c r="B666" s="790">
        <v>20046</v>
      </c>
    </row>
    <row r="667" spans="1:2" x14ac:dyDescent="0.15">
      <c r="A667" s="595">
        <v>1</v>
      </c>
      <c r="B667" s="786">
        <v>40750</v>
      </c>
    </row>
    <row r="668" spans="1:2" x14ac:dyDescent="0.15">
      <c r="A668" s="595">
        <v>0.1</v>
      </c>
      <c r="B668" s="786">
        <v>2300</v>
      </c>
    </row>
    <row r="669" spans="1:2" x14ac:dyDescent="0.15">
      <c r="A669" s="190">
        <v>1</v>
      </c>
      <c r="B669" s="786">
        <v>16940</v>
      </c>
    </row>
    <row r="670" spans="1:2" x14ac:dyDescent="0.15">
      <c r="A670" s="194">
        <v>1</v>
      </c>
      <c r="B670" s="793">
        <v>16900</v>
      </c>
    </row>
    <row r="671" spans="1:2" x14ac:dyDescent="0.15">
      <c r="A671" s="187">
        <v>1</v>
      </c>
      <c r="B671" s="787">
        <v>35600</v>
      </c>
    </row>
    <row r="672" spans="1:2" x14ac:dyDescent="0.15">
      <c r="A672" s="190">
        <v>1</v>
      </c>
      <c r="B672" s="787">
        <v>30000</v>
      </c>
    </row>
    <row r="673" spans="1:2" x14ac:dyDescent="0.15">
      <c r="A673" s="190">
        <v>0.5</v>
      </c>
      <c r="B673" s="787">
        <v>19000</v>
      </c>
    </row>
    <row r="674" spans="1:2" x14ac:dyDescent="0.15">
      <c r="A674" s="190">
        <v>1</v>
      </c>
      <c r="B674" s="787">
        <v>30100</v>
      </c>
    </row>
    <row r="675" spans="1:2" x14ac:dyDescent="0.15">
      <c r="A675" s="190">
        <v>1</v>
      </c>
      <c r="B675" s="787">
        <v>22000</v>
      </c>
    </row>
    <row r="676" spans="1:2" x14ac:dyDescent="0.15">
      <c r="A676" s="190">
        <v>1</v>
      </c>
      <c r="B676" s="787">
        <v>23100</v>
      </c>
    </row>
    <row r="677" spans="1:2" x14ac:dyDescent="0.15">
      <c r="A677" s="190">
        <v>0.1</v>
      </c>
      <c r="B677" s="787">
        <v>2300</v>
      </c>
    </row>
    <row r="678" spans="1:2" x14ac:dyDescent="0.15">
      <c r="A678" s="190">
        <v>0.5</v>
      </c>
      <c r="B678" s="787">
        <v>19000</v>
      </c>
    </row>
    <row r="679" spans="1:2" x14ac:dyDescent="0.15">
      <c r="A679" s="190">
        <v>1</v>
      </c>
      <c r="B679" s="787">
        <v>24000</v>
      </c>
    </row>
    <row r="680" spans="1:2" x14ac:dyDescent="0.15">
      <c r="A680" s="190">
        <v>1</v>
      </c>
      <c r="B680" s="787">
        <v>20400</v>
      </c>
    </row>
    <row r="681" spans="1:2" x14ac:dyDescent="0.15">
      <c r="A681" s="190">
        <v>0.1</v>
      </c>
      <c r="B681" s="787">
        <v>1500</v>
      </c>
    </row>
    <row r="682" spans="1:2" x14ac:dyDescent="0.15">
      <c r="A682" s="190">
        <v>1</v>
      </c>
      <c r="B682" s="787">
        <v>16500</v>
      </c>
    </row>
    <row r="683" spans="1:2" x14ac:dyDescent="0.15">
      <c r="A683" s="190">
        <v>0.5</v>
      </c>
      <c r="B683" s="787">
        <v>9500</v>
      </c>
    </row>
    <row r="684" spans="1:2" x14ac:dyDescent="0.15">
      <c r="A684" s="190">
        <v>0.5</v>
      </c>
      <c r="B684" s="787">
        <v>9500</v>
      </c>
    </row>
    <row r="685" spans="1:2" x14ac:dyDescent="0.15">
      <c r="A685" s="190">
        <v>1</v>
      </c>
      <c r="B685" s="468">
        <v>29400</v>
      </c>
    </row>
    <row r="686" spans="1:2" x14ac:dyDescent="0.15">
      <c r="A686" s="190">
        <v>1</v>
      </c>
      <c r="B686" s="468">
        <v>28000</v>
      </c>
    </row>
    <row r="687" spans="1:2" x14ac:dyDescent="0.15">
      <c r="A687" s="190">
        <v>1</v>
      </c>
      <c r="B687" s="468">
        <v>20900</v>
      </c>
    </row>
    <row r="688" spans="1:2" x14ac:dyDescent="0.15">
      <c r="A688" s="190">
        <v>1</v>
      </c>
      <c r="B688" s="468">
        <v>33250</v>
      </c>
    </row>
    <row r="689" spans="1:2" x14ac:dyDescent="0.15">
      <c r="A689" s="190">
        <v>1</v>
      </c>
      <c r="B689" s="468">
        <v>32300</v>
      </c>
    </row>
    <row r="690" spans="1:2" x14ac:dyDescent="0.15">
      <c r="A690" s="190">
        <v>1</v>
      </c>
      <c r="B690" s="468">
        <v>36300</v>
      </c>
    </row>
    <row r="691" spans="1:2" x14ac:dyDescent="0.15">
      <c r="A691" s="190">
        <v>1</v>
      </c>
      <c r="B691" s="468">
        <v>25600</v>
      </c>
    </row>
    <row r="692" spans="1:2" x14ac:dyDescent="0.15">
      <c r="A692" s="190">
        <v>1</v>
      </c>
      <c r="B692" s="468">
        <v>20600</v>
      </c>
    </row>
    <row r="693" spans="1:2" x14ac:dyDescent="0.15">
      <c r="A693" s="190">
        <v>1</v>
      </c>
      <c r="B693" s="468">
        <v>25300</v>
      </c>
    </row>
    <row r="694" spans="1:2" x14ac:dyDescent="0.15">
      <c r="A694" s="190">
        <v>1</v>
      </c>
      <c r="B694" s="468">
        <v>30000</v>
      </c>
    </row>
    <row r="695" spans="1:2" x14ac:dyDescent="0.15">
      <c r="A695" s="190">
        <v>1</v>
      </c>
      <c r="B695" s="468">
        <v>13900</v>
      </c>
    </row>
    <row r="696" spans="1:2" x14ac:dyDescent="0.15">
      <c r="A696" s="194">
        <v>0.5</v>
      </c>
      <c r="B696" s="465">
        <v>8450</v>
      </c>
    </row>
    <row r="697" spans="1:2" x14ac:dyDescent="0.15">
      <c r="A697" s="190">
        <v>1</v>
      </c>
      <c r="B697" s="468">
        <v>25400</v>
      </c>
    </row>
    <row r="698" spans="1:2" x14ac:dyDescent="0.15">
      <c r="A698" s="190">
        <v>1</v>
      </c>
      <c r="B698" s="468">
        <v>36645</v>
      </c>
    </row>
    <row r="699" spans="1:2" x14ac:dyDescent="0.15">
      <c r="A699" s="190">
        <v>1</v>
      </c>
      <c r="B699" s="468">
        <v>17435</v>
      </c>
    </row>
    <row r="700" spans="1:2" x14ac:dyDescent="0.15">
      <c r="A700" s="194">
        <v>0.5</v>
      </c>
      <c r="B700" s="465">
        <v>6575</v>
      </c>
    </row>
    <row r="701" spans="1:2" x14ac:dyDescent="0.15">
      <c r="A701" s="190">
        <v>1</v>
      </c>
      <c r="B701" s="468">
        <v>19300</v>
      </c>
    </row>
    <row r="702" spans="1:2" x14ac:dyDescent="0.15">
      <c r="A702" s="190">
        <v>0.5</v>
      </c>
      <c r="B702" s="468">
        <v>12500</v>
      </c>
    </row>
    <row r="703" spans="1:2" x14ac:dyDescent="0.15">
      <c r="A703" s="190">
        <v>1</v>
      </c>
      <c r="B703" s="468">
        <v>19415</v>
      </c>
    </row>
    <row r="704" spans="1:2" x14ac:dyDescent="0.15">
      <c r="A704" s="190">
        <v>0.5</v>
      </c>
      <c r="B704" s="468">
        <v>8600</v>
      </c>
    </row>
    <row r="705" spans="1:2" x14ac:dyDescent="0.15">
      <c r="A705" s="190">
        <v>1</v>
      </c>
      <c r="B705" s="468">
        <v>15010</v>
      </c>
    </row>
    <row r="706" spans="1:2" x14ac:dyDescent="0.15">
      <c r="A706" s="194">
        <v>0.5</v>
      </c>
      <c r="B706" s="468">
        <v>12000</v>
      </c>
    </row>
    <row r="707" spans="1:2" x14ac:dyDescent="0.15">
      <c r="A707" s="190">
        <v>0.5</v>
      </c>
      <c r="B707" s="468">
        <v>13100</v>
      </c>
    </row>
    <row r="708" spans="1:2" x14ac:dyDescent="0.15">
      <c r="A708" s="190">
        <v>0.5</v>
      </c>
      <c r="B708" s="468">
        <v>20450</v>
      </c>
    </row>
    <row r="709" spans="1:2" x14ac:dyDescent="0.15">
      <c r="A709" s="190">
        <v>1</v>
      </c>
      <c r="B709" s="468">
        <v>19300</v>
      </c>
    </row>
    <row r="710" spans="1:2" x14ac:dyDescent="0.15">
      <c r="A710" s="190">
        <v>0.5</v>
      </c>
      <c r="B710" s="468">
        <v>14260</v>
      </c>
    </row>
    <row r="711" spans="1:2" x14ac:dyDescent="0.15">
      <c r="A711" s="190">
        <v>0.1</v>
      </c>
      <c r="B711" s="468">
        <v>1220</v>
      </c>
    </row>
    <row r="712" spans="1:2" x14ac:dyDescent="0.15">
      <c r="A712" s="192">
        <v>1</v>
      </c>
      <c r="B712" s="468">
        <v>18590</v>
      </c>
    </row>
    <row r="713" spans="1:2" x14ac:dyDescent="0.15">
      <c r="A713" s="190">
        <v>1</v>
      </c>
      <c r="B713" s="468">
        <v>11990</v>
      </c>
    </row>
    <row r="714" spans="1:2" x14ac:dyDescent="0.15">
      <c r="A714" s="194">
        <v>1</v>
      </c>
      <c r="B714" s="465">
        <v>16060</v>
      </c>
    </row>
    <row r="715" spans="1:2" x14ac:dyDescent="0.15">
      <c r="A715" s="190">
        <v>1</v>
      </c>
      <c r="B715" s="468">
        <v>19030</v>
      </c>
    </row>
    <row r="716" spans="1:2" x14ac:dyDescent="0.15">
      <c r="A716" s="190">
        <v>1</v>
      </c>
      <c r="B716" s="468">
        <v>14500</v>
      </c>
    </row>
    <row r="717" spans="1:2" x14ac:dyDescent="0.15">
      <c r="A717" s="190">
        <v>0.5</v>
      </c>
      <c r="B717" s="468">
        <v>5600</v>
      </c>
    </row>
    <row r="718" spans="1:2" x14ac:dyDescent="0.15">
      <c r="A718" s="190">
        <v>1</v>
      </c>
      <c r="B718" s="468">
        <v>9900</v>
      </c>
    </row>
    <row r="719" spans="1:2" x14ac:dyDescent="0.15">
      <c r="A719" s="190">
        <v>0.5</v>
      </c>
      <c r="B719" s="468">
        <v>5610</v>
      </c>
    </row>
    <row r="720" spans="1:2" x14ac:dyDescent="0.15">
      <c r="A720" s="194">
        <v>0.5</v>
      </c>
      <c r="B720" s="465">
        <v>5555</v>
      </c>
    </row>
    <row r="721" spans="1:2" x14ac:dyDescent="0.15">
      <c r="A721" s="190">
        <v>1</v>
      </c>
      <c r="B721" s="468">
        <v>13900</v>
      </c>
    </row>
    <row r="722" spans="1:2" x14ac:dyDescent="0.15">
      <c r="A722" s="194">
        <v>1</v>
      </c>
      <c r="B722" s="794">
        <v>46300</v>
      </c>
    </row>
    <row r="723" spans="1:2" x14ac:dyDescent="0.15">
      <c r="A723" s="190">
        <v>1</v>
      </c>
      <c r="B723" s="794">
        <v>31000</v>
      </c>
    </row>
    <row r="724" spans="1:2" x14ac:dyDescent="0.15">
      <c r="A724" s="190">
        <v>0.5</v>
      </c>
      <c r="B724" s="794">
        <v>24500</v>
      </c>
    </row>
    <row r="725" spans="1:2" x14ac:dyDescent="0.15">
      <c r="A725" s="190">
        <v>1</v>
      </c>
      <c r="B725" s="794">
        <v>28000</v>
      </c>
    </row>
    <row r="726" spans="1:2" x14ac:dyDescent="0.15">
      <c r="A726" s="190">
        <v>1</v>
      </c>
      <c r="B726" s="794">
        <v>20000</v>
      </c>
    </row>
    <row r="727" spans="1:2" x14ac:dyDescent="0.15">
      <c r="A727" s="190">
        <v>1</v>
      </c>
      <c r="B727" s="794">
        <v>23000</v>
      </c>
    </row>
    <row r="728" spans="1:2" x14ac:dyDescent="0.15">
      <c r="A728" s="190">
        <v>1</v>
      </c>
      <c r="B728" s="794">
        <v>18500</v>
      </c>
    </row>
    <row r="729" spans="1:2" x14ac:dyDescent="0.15">
      <c r="A729" s="194">
        <v>0.5</v>
      </c>
      <c r="B729" s="794">
        <v>8000</v>
      </c>
    </row>
    <row r="730" spans="1:2" x14ac:dyDescent="0.15">
      <c r="A730" s="190">
        <v>1</v>
      </c>
      <c r="B730" s="794">
        <v>27000</v>
      </c>
    </row>
    <row r="731" spans="1:2" x14ac:dyDescent="0.15">
      <c r="A731" s="190">
        <v>1</v>
      </c>
      <c r="B731" s="794">
        <v>27000</v>
      </c>
    </row>
    <row r="732" spans="1:2" x14ac:dyDescent="0.15">
      <c r="A732" s="190">
        <v>1</v>
      </c>
      <c r="B732" s="794">
        <v>13400</v>
      </c>
    </row>
    <row r="733" spans="1:2" x14ac:dyDescent="0.15">
      <c r="A733" s="190">
        <v>1</v>
      </c>
      <c r="B733" s="794">
        <v>33000</v>
      </c>
    </row>
    <row r="734" spans="1:2" x14ac:dyDescent="0.15">
      <c r="A734" s="190">
        <v>1</v>
      </c>
      <c r="B734" s="794">
        <v>30500</v>
      </c>
    </row>
    <row r="735" spans="1:2" x14ac:dyDescent="0.15">
      <c r="A735" s="190">
        <v>1</v>
      </c>
      <c r="B735" s="794">
        <v>32000</v>
      </c>
    </row>
    <row r="736" spans="1:2" x14ac:dyDescent="0.15">
      <c r="A736" s="190">
        <v>0.5</v>
      </c>
      <c r="B736" s="794">
        <v>20000</v>
      </c>
    </row>
    <row r="737" spans="1:2" x14ac:dyDescent="0.15">
      <c r="A737" s="190">
        <v>1</v>
      </c>
      <c r="B737" s="794">
        <v>23100</v>
      </c>
    </row>
    <row r="738" spans="1:2" x14ac:dyDescent="0.15">
      <c r="A738" s="190">
        <v>1</v>
      </c>
      <c r="B738" s="794">
        <v>23100</v>
      </c>
    </row>
    <row r="739" spans="1:2" x14ac:dyDescent="0.15">
      <c r="A739" s="190">
        <v>1</v>
      </c>
      <c r="B739" s="794">
        <v>20000</v>
      </c>
    </row>
    <row r="740" spans="1:2" x14ac:dyDescent="0.15">
      <c r="A740" s="190">
        <v>1</v>
      </c>
      <c r="B740" s="794">
        <v>18500</v>
      </c>
    </row>
    <row r="741" spans="1:2" x14ac:dyDescent="0.15">
      <c r="A741" s="190">
        <v>1</v>
      </c>
      <c r="B741" s="794">
        <v>26400</v>
      </c>
    </row>
    <row r="742" spans="1:2" x14ac:dyDescent="0.15">
      <c r="A742" s="190">
        <v>1</v>
      </c>
      <c r="B742" s="794">
        <v>13420</v>
      </c>
    </row>
    <row r="743" spans="1:2" x14ac:dyDescent="0.15">
      <c r="A743" s="192">
        <v>0.5</v>
      </c>
      <c r="B743" s="794">
        <v>12000</v>
      </c>
    </row>
    <row r="744" spans="1:2" x14ac:dyDescent="0.15">
      <c r="A744" s="190">
        <v>1</v>
      </c>
      <c r="B744" s="794">
        <v>27000</v>
      </c>
    </row>
    <row r="745" spans="1:2" x14ac:dyDescent="0.15">
      <c r="A745" s="192">
        <v>0.71</v>
      </c>
      <c r="B745" s="788">
        <v>10934</v>
      </c>
    </row>
    <row r="746" spans="1:2" x14ac:dyDescent="0.15">
      <c r="A746" s="190">
        <v>1</v>
      </c>
      <c r="B746" s="794">
        <v>22000</v>
      </c>
    </row>
    <row r="747" spans="1:2" x14ac:dyDescent="0.15">
      <c r="A747" s="190">
        <v>1</v>
      </c>
      <c r="B747" s="794">
        <v>22000</v>
      </c>
    </row>
    <row r="748" spans="1:2" x14ac:dyDescent="0.15">
      <c r="A748" s="190">
        <v>1</v>
      </c>
      <c r="B748" s="794">
        <v>24200</v>
      </c>
    </row>
    <row r="749" spans="1:2" x14ac:dyDescent="0.15">
      <c r="A749" s="190">
        <v>1</v>
      </c>
      <c r="B749" s="794">
        <v>21600</v>
      </c>
    </row>
    <row r="750" spans="1:2" x14ac:dyDescent="0.15">
      <c r="A750" s="190">
        <v>0.2</v>
      </c>
      <c r="B750" s="794">
        <v>3980</v>
      </c>
    </row>
    <row r="751" spans="1:2" x14ac:dyDescent="0.15">
      <c r="A751" s="190">
        <v>1</v>
      </c>
      <c r="B751" s="468">
        <v>37430</v>
      </c>
    </row>
    <row r="752" spans="1:2" x14ac:dyDescent="0.15">
      <c r="A752" s="190">
        <v>1</v>
      </c>
      <c r="B752" s="468">
        <v>33140</v>
      </c>
    </row>
    <row r="753" spans="1:2" x14ac:dyDescent="0.15">
      <c r="A753" s="190">
        <v>1</v>
      </c>
      <c r="B753" s="468">
        <v>30500</v>
      </c>
    </row>
    <row r="754" spans="1:2" x14ac:dyDescent="0.15">
      <c r="A754" s="190">
        <v>1</v>
      </c>
      <c r="B754" s="468">
        <v>19500</v>
      </c>
    </row>
    <row r="755" spans="1:2" x14ac:dyDescent="0.15">
      <c r="A755" s="190">
        <v>1</v>
      </c>
      <c r="B755" s="468">
        <v>19800</v>
      </c>
    </row>
    <row r="756" spans="1:2" x14ac:dyDescent="0.15">
      <c r="A756" s="190">
        <v>0.5</v>
      </c>
      <c r="B756" s="468">
        <v>13350</v>
      </c>
    </row>
    <row r="757" spans="1:2" x14ac:dyDescent="0.15">
      <c r="A757" s="190">
        <v>0.5</v>
      </c>
      <c r="B757" s="468">
        <v>9650</v>
      </c>
    </row>
    <row r="758" spans="1:2" x14ac:dyDescent="0.15">
      <c r="A758" s="194">
        <v>1</v>
      </c>
      <c r="B758" s="468">
        <v>17200</v>
      </c>
    </row>
    <row r="759" spans="1:2" x14ac:dyDescent="0.15">
      <c r="A759" s="190">
        <v>1</v>
      </c>
      <c r="B759" s="787">
        <v>37000</v>
      </c>
    </row>
    <row r="760" spans="1:2" x14ac:dyDescent="0.15">
      <c r="A760" s="190">
        <v>1</v>
      </c>
      <c r="B760" s="787">
        <v>19300</v>
      </c>
    </row>
    <row r="761" spans="1:2" x14ac:dyDescent="0.15">
      <c r="A761" s="222">
        <v>1</v>
      </c>
      <c r="B761" s="787">
        <v>15000</v>
      </c>
    </row>
    <row r="762" spans="1:2" x14ac:dyDescent="0.15">
      <c r="A762" s="226">
        <v>1</v>
      </c>
      <c r="B762" s="786">
        <v>65500</v>
      </c>
    </row>
    <row r="763" spans="1:2" x14ac:dyDescent="0.15">
      <c r="A763" s="226">
        <v>1</v>
      </c>
      <c r="B763" s="786">
        <v>40000</v>
      </c>
    </row>
    <row r="764" spans="1:2" x14ac:dyDescent="0.15">
      <c r="A764" s="459">
        <v>1</v>
      </c>
      <c r="B764" s="786">
        <v>52000</v>
      </c>
    </row>
    <row r="765" spans="1:2" x14ac:dyDescent="0.15">
      <c r="A765" s="459">
        <v>1</v>
      </c>
      <c r="B765" s="786">
        <v>49500</v>
      </c>
    </row>
    <row r="766" spans="1:2" x14ac:dyDescent="0.15">
      <c r="A766" s="190">
        <v>1</v>
      </c>
      <c r="B766" s="786">
        <v>42100</v>
      </c>
    </row>
    <row r="767" spans="1:2" x14ac:dyDescent="0.15">
      <c r="A767" s="190">
        <v>1</v>
      </c>
      <c r="B767" s="786">
        <v>37700</v>
      </c>
    </row>
    <row r="768" spans="1:2" x14ac:dyDescent="0.15">
      <c r="A768" s="219">
        <v>1</v>
      </c>
      <c r="B768" s="786">
        <v>22000</v>
      </c>
    </row>
    <row r="769" spans="1:2" x14ac:dyDescent="0.15">
      <c r="A769" s="219">
        <v>1</v>
      </c>
      <c r="B769" s="786">
        <v>33600</v>
      </c>
    </row>
    <row r="770" spans="1:2" x14ac:dyDescent="0.15">
      <c r="A770" s="219">
        <v>1</v>
      </c>
      <c r="B770" s="786">
        <v>16000</v>
      </c>
    </row>
    <row r="771" spans="1:2" x14ac:dyDescent="0.15">
      <c r="A771" s="190">
        <v>1</v>
      </c>
      <c r="B771" s="786">
        <v>30000</v>
      </c>
    </row>
    <row r="772" spans="1:2" x14ac:dyDescent="0.15">
      <c r="A772" s="190">
        <v>1</v>
      </c>
      <c r="B772" s="786">
        <v>25600</v>
      </c>
    </row>
    <row r="773" spans="1:2" x14ac:dyDescent="0.15">
      <c r="A773" s="190">
        <v>1</v>
      </c>
      <c r="B773" s="786">
        <v>15840</v>
      </c>
    </row>
    <row r="774" spans="1:2" x14ac:dyDescent="0.15">
      <c r="A774" s="194">
        <v>1</v>
      </c>
      <c r="B774" s="793">
        <v>9500</v>
      </c>
    </row>
    <row r="775" spans="1:2" x14ac:dyDescent="0.15">
      <c r="A775" s="192">
        <v>1</v>
      </c>
      <c r="B775" s="786">
        <v>25600</v>
      </c>
    </row>
    <row r="776" spans="1:2" x14ac:dyDescent="0.15">
      <c r="A776" s="190">
        <v>0.5</v>
      </c>
      <c r="B776" s="786">
        <v>24000</v>
      </c>
    </row>
    <row r="777" spans="1:2" x14ac:dyDescent="0.15">
      <c r="A777" s="190">
        <v>1</v>
      </c>
      <c r="B777" s="786">
        <v>22500</v>
      </c>
    </row>
    <row r="778" spans="1:2" x14ac:dyDescent="0.15">
      <c r="A778" s="190">
        <v>0.5</v>
      </c>
      <c r="B778" s="786">
        <v>8000</v>
      </c>
    </row>
    <row r="779" spans="1:2" x14ac:dyDescent="0.15">
      <c r="A779" s="190">
        <v>0.5</v>
      </c>
      <c r="B779" s="786">
        <v>9500</v>
      </c>
    </row>
    <row r="780" spans="1:2" x14ac:dyDescent="0.15">
      <c r="A780" s="190">
        <v>1</v>
      </c>
      <c r="B780" s="786">
        <v>12000</v>
      </c>
    </row>
    <row r="781" spans="1:2" x14ac:dyDescent="0.15">
      <c r="A781" s="190">
        <v>0.5</v>
      </c>
      <c r="B781" s="786">
        <v>9900</v>
      </c>
    </row>
    <row r="782" spans="1:2" x14ac:dyDescent="0.15">
      <c r="A782" s="190">
        <v>1</v>
      </c>
      <c r="B782" s="786">
        <v>9000</v>
      </c>
    </row>
    <row r="783" spans="1:2" x14ac:dyDescent="0.15">
      <c r="A783" s="194">
        <v>1</v>
      </c>
      <c r="B783" s="793">
        <v>13200</v>
      </c>
    </row>
    <row r="784" spans="1:2" x14ac:dyDescent="0.15">
      <c r="A784" s="190">
        <v>1</v>
      </c>
      <c r="B784" s="786">
        <v>30840</v>
      </c>
    </row>
    <row r="785" spans="1:2" x14ac:dyDescent="0.15">
      <c r="A785" s="190">
        <v>0.5</v>
      </c>
      <c r="B785" s="786">
        <v>12030</v>
      </c>
    </row>
    <row r="786" spans="1:2" x14ac:dyDescent="0.15">
      <c r="A786" s="190">
        <v>1</v>
      </c>
      <c r="B786" s="786">
        <v>12000</v>
      </c>
    </row>
    <row r="787" spans="1:2" x14ac:dyDescent="0.15">
      <c r="A787" s="192">
        <v>0.5</v>
      </c>
      <c r="B787" s="788">
        <v>12045</v>
      </c>
    </row>
    <row r="788" spans="1:2" x14ac:dyDescent="0.15">
      <c r="A788" s="194">
        <v>1</v>
      </c>
      <c r="B788" s="786">
        <v>12800</v>
      </c>
    </row>
    <row r="789" spans="1:2" x14ac:dyDescent="0.15">
      <c r="A789" s="190">
        <v>1</v>
      </c>
      <c r="B789" s="468">
        <v>19300</v>
      </c>
    </row>
    <row r="790" spans="1:2" x14ac:dyDescent="0.15">
      <c r="A790" s="190">
        <v>1</v>
      </c>
      <c r="B790" s="468">
        <v>17200</v>
      </c>
    </row>
    <row r="791" spans="1:2" x14ac:dyDescent="0.15">
      <c r="A791" s="190">
        <v>0.5</v>
      </c>
      <c r="B791" s="468">
        <v>20150</v>
      </c>
    </row>
    <row r="792" spans="1:2" x14ac:dyDescent="0.15">
      <c r="A792" s="190">
        <v>0.5</v>
      </c>
      <c r="B792" s="468">
        <v>22500</v>
      </c>
    </row>
    <row r="793" spans="1:2" x14ac:dyDescent="0.15">
      <c r="A793" s="190">
        <v>0.4</v>
      </c>
      <c r="B793" s="468">
        <v>10920</v>
      </c>
    </row>
    <row r="794" spans="1:2" x14ac:dyDescent="0.15">
      <c r="A794" s="190">
        <v>1</v>
      </c>
      <c r="B794" s="468">
        <v>13200</v>
      </c>
    </row>
    <row r="795" spans="1:2" x14ac:dyDescent="0.15">
      <c r="A795" s="190">
        <v>1</v>
      </c>
      <c r="B795" s="468">
        <v>14630</v>
      </c>
    </row>
    <row r="796" spans="1:2" x14ac:dyDescent="0.15">
      <c r="A796" s="190">
        <v>0.5</v>
      </c>
      <c r="B796" s="468">
        <v>7950</v>
      </c>
    </row>
    <row r="797" spans="1:2" x14ac:dyDescent="0.15">
      <c r="A797" s="190">
        <v>1</v>
      </c>
      <c r="B797" s="468">
        <v>18600</v>
      </c>
    </row>
    <row r="798" spans="1:2" x14ac:dyDescent="0.15">
      <c r="A798" s="190">
        <v>1</v>
      </c>
      <c r="B798" s="468">
        <v>12000</v>
      </c>
    </row>
    <row r="799" spans="1:2" x14ac:dyDescent="0.15">
      <c r="A799" s="194">
        <v>1</v>
      </c>
      <c r="B799" s="465">
        <v>20570</v>
      </c>
    </row>
    <row r="800" spans="1:2" x14ac:dyDescent="0.15">
      <c r="A800" s="190">
        <v>1</v>
      </c>
      <c r="B800" s="468">
        <v>31380</v>
      </c>
    </row>
    <row r="801" spans="1:2" x14ac:dyDescent="0.15">
      <c r="A801" s="190">
        <v>1</v>
      </c>
      <c r="B801" s="468">
        <v>20200</v>
      </c>
    </row>
    <row r="802" spans="1:2" x14ac:dyDescent="0.15">
      <c r="A802" s="192">
        <v>1</v>
      </c>
      <c r="B802" s="468">
        <v>17900</v>
      </c>
    </row>
    <row r="803" spans="1:2" x14ac:dyDescent="0.15">
      <c r="A803" s="190">
        <v>1</v>
      </c>
      <c r="B803" s="468">
        <v>26980</v>
      </c>
    </row>
    <row r="804" spans="1:2" x14ac:dyDescent="0.15">
      <c r="A804" s="190">
        <v>0.2</v>
      </c>
      <c r="B804" s="468">
        <v>6380</v>
      </c>
    </row>
    <row r="805" spans="1:2" x14ac:dyDescent="0.15">
      <c r="A805" s="190">
        <v>1</v>
      </c>
      <c r="B805" s="468">
        <v>13200</v>
      </c>
    </row>
    <row r="806" spans="1:2" x14ac:dyDescent="0.15">
      <c r="A806" s="194">
        <v>1</v>
      </c>
      <c r="B806" s="465">
        <v>17600</v>
      </c>
    </row>
    <row r="807" spans="1:2" x14ac:dyDescent="0.15">
      <c r="A807" s="194">
        <v>1</v>
      </c>
      <c r="B807" s="465">
        <v>13500</v>
      </c>
    </row>
    <row r="808" spans="1:2" x14ac:dyDescent="0.15">
      <c r="A808" s="190">
        <v>1</v>
      </c>
      <c r="B808" s="468">
        <v>35500</v>
      </c>
    </row>
    <row r="809" spans="1:2" x14ac:dyDescent="0.15">
      <c r="A809" s="458">
        <v>1</v>
      </c>
      <c r="B809" s="468">
        <v>40000</v>
      </c>
    </row>
    <row r="810" spans="1:2" x14ac:dyDescent="0.15">
      <c r="A810" s="190">
        <v>1</v>
      </c>
      <c r="B810" s="468">
        <v>30550</v>
      </c>
    </row>
    <row r="811" spans="1:2" x14ac:dyDescent="0.15">
      <c r="A811" s="190">
        <v>0.5</v>
      </c>
      <c r="B811" s="468">
        <v>12700</v>
      </c>
    </row>
    <row r="812" spans="1:2" x14ac:dyDescent="0.15">
      <c r="A812" s="190">
        <v>1</v>
      </c>
      <c r="B812" s="468">
        <v>14000</v>
      </c>
    </row>
    <row r="813" spans="1:2" x14ac:dyDescent="0.15">
      <c r="A813" s="190">
        <v>1</v>
      </c>
      <c r="B813" s="468">
        <v>20500</v>
      </c>
    </row>
    <row r="814" spans="1:2" x14ac:dyDescent="0.15">
      <c r="A814" s="190">
        <v>0.5</v>
      </c>
      <c r="B814" s="468">
        <v>11550</v>
      </c>
    </row>
    <row r="815" spans="1:2" x14ac:dyDescent="0.15">
      <c r="A815" s="194">
        <v>1</v>
      </c>
      <c r="B815" s="465">
        <v>26928</v>
      </c>
    </row>
    <row r="816" spans="1:2" x14ac:dyDescent="0.15">
      <c r="A816" s="190">
        <v>1</v>
      </c>
      <c r="B816" s="468">
        <v>27900</v>
      </c>
    </row>
    <row r="817" spans="1:2" x14ac:dyDescent="0.15">
      <c r="A817" s="190">
        <v>1</v>
      </c>
      <c r="B817" s="468">
        <v>19890</v>
      </c>
    </row>
    <row r="818" spans="1:2" x14ac:dyDescent="0.15">
      <c r="A818" s="190">
        <v>1</v>
      </c>
      <c r="B818" s="468">
        <v>20500</v>
      </c>
    </row>
    <row r="819" spans="1:2" x14ac:dyDescent="0.15">
      <c r="A819" s="190">
        <v>1</v>
      </c>
      <c r="B819" s="468">
        <v>21050</v>
      </c>
    </row>
    <row r="820" spans="1:2" x14ac:dyDescent="0.15">
      <c r="A820" s="190">
        <v>1</v>
      </c>
      <c r="B820" s="468">
        <v>15000</v>
      </c>
    </row>
    <row r="821" spans="1:2" x14ac:dyDescent="0.15">
      <c r="A821" s="190">
        <v>1</v>
      </c>
      <c r="B821" s="788">
        <v>18150</v>
      </c>
    </row>
    <row r="822" spans="1:2" x14ac:dyDescent="0.15">
      <c r="A822" s="194">
        <v>1</v>
      </c>
      <c r="B822" s="465">
        <v>11550</v>
      </c>
    </row>
    <row r="823" spans="1:2" x14ac:dyDescent="0.15">
      <c r="A823" s="190">
        <v>1</v>
      </c>
      <c r="B823" s="468">
        <v>30650</v>
      </c>
    </row>
    <row r="824" spans="1:2" x14ac:dyDescent="0.15">
      <c r="A824" s="190">
        <v>1</v>
      </c>
      <c r="B824" s="786">
        <v>38800</v>
      </c>
    </row>
    <row r="825" spans="1:2" x14ac:dyDescent="0.15">
      <c r="A825" s="187">
        <v>1</v>
      </c>
      <c r="B825" s="786">
        <v>34800</v>
      </c>
    </row>
    <row r="826" spans="1:2" x14ac:dyDescent="0.15">
      <c r="A826" s="190">
        <v>1</v>
      </c>
      <c r="B826" s="786">
        <v>23400</v>
      </c>
    </row>
    <row r="827" spans="1:2" x14ac:dyDescent="0.15">
      <c r="A827" s="190">
        <v>1</v>
      </c>
      <c r="B827" s="786">
        <v>22200</v>
      </c>
    </row>
    <row r="828" spans="1:2" x14ac:dyDescent="0.15">
      <c r="A828" s="190">
        <v>0.5</v>
      </c>
      <c r="B828" s="786">
        <v>14850</v>
      </c>
    </row>
    <row r="829" spans="1:2" x14ac:dyDescent="0.15">
      <c r="A829" s="190">
        <v>0.5</v>
      </c>
      <c r="B829" s="786">
        <v>19000</v>
      </c>
    </row>
    <row r="830" spans="1:2" x14ac:dyDescent="0.15">
      <c r="A830" s="190">
        <v>1</v>
      </c>
      <c r="B830" s="786">
        <v>27100</v>
      </c>
    </row>
    <row r="831" spans="1:2" x14ac:dyDescent="0.15">
      <c r="A831" s="190">
        <v>1</v>
      </c>
      <c r="B831" s="786">
        <v>20500</v>
      </c>
    </row>
    <row r="832" spans="1:2" x14ac:dyDescent="0.15">
      <c r="A832" s="190">
        <v>1</v>
      </c>
      <c r="B832" s="786">
        <v>10230</v>
      </c>
    </row>
    <row r="833" spans="1:2" x14ac:dyDescent="0.15">
      <c r="A833" s="190">
        <v>1</v>
      </c>
      <c r="B833" s="786">
        <v>13310</v>
      </c>
    </row>
    <row r="834" spans="1:2" x14ac:dyDescent="0.15">
      <c r="A834" s="190">
        <v>1</v>
      </c>
      <c r="B834" s="786">
        <v>18370</v>
      </c>
    </row>
    <row r="835" spans="1:2" x14ac:dyDescent="0.15">
      <c r="A835" s="190">
        <v>1</v>
      </c>
      <c r="B835" s="786">
        <v>18370</v>
      </c>
    </row>
    <row r="836" spans="1:2" x14ac:dyDescent="0.15">
      <c r="A836" s="190">
        <v>0.5</v>
      </c>
      <c r="B836" s="786">
        <v>4730</v>
      </c>
    </row>
    <row r="837" spans="1:2" x14ac:dyDescent="0.15">
      <c r="A837" s="190">
        <v>0.5</v>
      </c>
      <c r="B837" s="792">
        <v>12441</v>
      </c>
    </row>
    <row r="838" spans="1:2" x14ac:dyDescent="0.15">
      <c r="A838" s="194">
        <v>0.5</v>
      </c>
      <c r="B838" s="795">
        <v>11200</v>
      </c>
    </row>
    <row r="839" spans="1:2" x14ac:dyDescent="0.15">
      <c r="A839" s="190">
        <v>1</v>
      </c>
      <c r="B839" s="468">
        <v>30500</v>
      </c>
    </row>
    <row r="840" spans="1:2" x14ac:dyDescent="0.15">
      <c r="A840" s="190">
        <v>1</v>
      </c>
      <c r="B840" s="468">
        <v>17270</v>
      </c>
    </row>
    <row r="841" spans="1:2" x14ac:dyDescent="0.15">
      <c r="A841" s="190">
        <v>1</v>
      </c>
      <c r="B841" s="468">
        <v>20240</v>
      </c>
    </row>
    <row r="842" spans="1:2" x14ac:dyDescent="0.15">
      <c r="A842" s="190">
        <v>1</v>
      </c>
      <c r="B842" s="468">
        <v>16830</v>
      </c>
    </row>
    <row r="843" spans="1:2" x14ac:dyDescent="0.15">
      <c r="A843" s="190">
        <v>0.5</v>
      </c>
      <c r="B843" s="468">
        <v>12400</v>
      </c>
    </row>
    <row r="844" spans="1:2" x14ac:dyDescent="0.15">
      <c r="A844" s="190">
        <v>1</v>
      </c>
      <c r="B844" s="468">
        <v>18370</v>
      </c>
    </row>
    <row r="845" spans="1:2" x14ac:dyDescent="0.15">
      <c r="A845" s="190">
        <v>0.5</v>
      </c>
      <c r="B845" s="468">
        <v>11550</v>
      </c>
    </row>
    <row r="846" spans="1:2" x14ac:dyDescent="0.15">
      <c r="A846" s="194">
        <v>1</v>
      </c>
      <c r="B846" s="465">
        <v>11330</v>
      </c>
    </row>
    <row r="847" spans="1:2" x14ac:dyDescent="0.15">
      <c r="A847" s="190">
        <v>1</v>
      </c>
      <c r="B847" s="468">
        <v>16700</v>
      </c>
    </row>
    <row r="848" spans="1:2" x14ac:dyDescent="0.15">
      <c r="A848" s="190">
        <v>1</v>
      </c>
      <c r="B848" s="468">
        <v>13970</v>
      </c>
    </row>
    <row r="849" spans="1:2" x14ac:dyDescent="0.15">
      <c r="A849" s="194">
        <v>1</v>
      </c>
      <c r="B849" s="465">
        <v>12600</v>
      </c>
    </row>
    <row r="850" spans="1:2" x14ac:dyDescent="0.15">
      <c r="A850" s="192">
        <v>1</v>
      </c>
      <c r="B850" s="468">
        <v>35500</v>
      </c>
    </row>
    <row r="851" spans="1:2" x14ac:dyDescent="0.15">
      <c r="A851" s="192">
        <v>0.5</v>
      </c>
      <c r="B851" s="468">
        <v>7250</v>
      </c>
    </row>
    <row r="852" spans="1:2" x14ac:dyDescent="0.15">
      <c r="A852" s="190">
        <v>1</v>
      </c>
      <c r="B852" s="468">
        <v>32500</v>
      </c>
    </row>
    <row r="853" spans="1:2" x14ac:dyDescent="0.15">
      <c r="A853" s="190">
        <v>1</v>
      </c>
      <c r="B853" s="468">
        <v>23800</v>
      </c>
    </row>
    <row r="854" spans="1:2" x14ac:dyDescent="0.15">
      <c r="A854" s="190">
        <v>0.5</v>
      </c>
      <c r="B854" s="468">
        <v>9100</v>
      </c>
    </row>
    <row r="855" spans="1:2" x14ac:dyDescent="0.15">
      <c r="A855" s="190">
        <v>1</v>
      </c>
      <c r="B855" s="468">
        <v>20000</v>
      </c>
    </row>
    <row r="856" spans="1:2" x14ac:dyDescent="0.15">
      <c r="A856" s="190">
        <v>0.5</v>
      </c>
      <c r="B856" s="468">
        <v>16650</v>
      </c>
    </row>
    <row r="857" spans="1:2" x14ac:dyDescent="0.15">
      <c r="A857" s="190">
        <v>1</v>
      </c>
      <c r="B857" s="468">
        <v>22400</v>
      </c>
    </row>
    <row r="858" spans="1:2" x14ac:dyDescent="0.15">
      <c r="A858" s="190">
        <v>1</v>
      </c>
      <c r="B858" s="468">
        <v>21200</v>
      </c>
    </row>
    <row r="859" spans="1:2" x14ac:dyDescent="0.15">
      <c r="A859" s="190">
        <v>1</v>
      </c>
      <c r="B859" s="468">
        <v>19400</v>
      </c>
    </row>
    <row r="860" spans="1:2" x14ac:dyDescent="0.15">
      <c r="A860" s="190">
        <v>1</v>
      </c>
      <c r="B860" s="468">
        <v>22400</v>
      </c>
    </row>
    <row r="861" spans="1:2" x14ac:dyDescent="0.15">
      <c r="A861" s="194">
        <v>1</v>
      </c>
      <c r="B861" s="465">
        <v>10200</v>
      </c>
    </row>
    <row r="862" spans="1:2" x14ac:dyDescent="0.15">
      <c r="A862" s="190">
        <v>1</v>
      </c>
      <c r="B862" s="468">
        <v>22000</v>
      </c>
    </row>
    <row r="863" spans="1:2" x14ac:dyDescent="0.15">
      <c r="A863" s="192">
        <v>1</v>
      </c>
      <c r="B863" s="468">
        <v>14600</v>
      </c>
    </row>
    <row r="864" spans="1:2" x14ac:dyDescent="0.15">
      <c r="A864" s="194">
        <v>1</v>
      </c>
      <c r="B864" s="468">
        <v>15300</v>
      </c>
    </row>
    <row r="865" spans="1:2" x14ac:dyDescent="0.15">
      <c r="A865" s="190">
        <v>1</v>
      </c>
      <c r="B865" s="468">
        <v>39200</v>
      </c>
    </row>
    <row r="866" spans="1:2" x14ac:dyDescent="0.15">
      <c r="A866" s="190">
        <v>1</v>
      </c>
      <c r="B866" s="468">
        <v>24900</v>
      </c>
    </row>
    <row r="867" spans="1:2" x14ac:dyDescent="0.15">
      <c r="A867" s="190">
        <v>1</v>
      </c>
      <c r="B867" s="468">
        <v>24800</v>
      </c>
    </row>
    <row r="868" spans="1:2" x14ac:dyDescent="0.15">
      <c r="A868" s="190">
        <v>1</v>
      </c>
      <c r="B868" s="468">
        <v>20500</v>
      </c>
    </row>
    <row r="869" spans="1:2" x14ac:dyDescent="0.15">
      <c r="A869" s="545">
        <v>0.4</v>
      </c>
      <c r="B869" s="468">
        <v>6000</v>
      </c>
    </row>
    <row r="870" spans="1:2" x14ac:dyDescent="0.15">
      <c r="A870" s="190">
        <v>1</v>
      </c>
      <c r="B870" s="468">
        <v>22000</v>
      </c>
    </row>
    <row r="871" spans="1:2" x14ac:dyDescent="0.15">
      <c r="A871" s="190">
        <v>1</v>
      </c>
      <c r="B871" s="468">
        <v>16500</v>
      </c>
    </row>
    <row r="872" spans="1:2" x14ac:dyDescent="0.15">
      <c r="A872" s="190">
        <v>1</v>
      </c>
      <c r="B872" s="468">
        <v>18900</v>
      </c>
    </row>
    <row r="873" spans="1:2" x14ac:dyDescent="0.15">
      <c r="A873" s="190">
        <v>1</v>
      </c>
      <c r="B873" s="468">
        <v>17500</v>
      </c>
    </row>
    <row r="874" spans="1:2" x14ac:dyDescent="0.15">
      <c r="A874" s="190">
        <v>1</v>
      </c>
      <c r="B874" s="784">
        <v>72500</v>
      </c>
    </row>
    <row r="875" spans="1:2" x14ac:dyDescent="0.15">
      <c r="A875" s="187">
        <v>1</v>
      </c>
      <c r="B875" s="784">
        <v>44100</v>
      </c>
    </row>
    <row r="876" spans="1:2" x14ac:dyDescent="0.15">
      <c r="A876" s="194">
        <v>1</v>
      </c>
      <c r="B876" s="784">
        <v>20000</v>
      </c>
    </row>
    <row r="877" spans="1:2" x14ac:dyDescent="0.15">
      <c r="A877" s="595">
        <v>1</v>
      </c>
      <c r="B877" s="785">
        <v>37000</v>
      </c>
    </row>
    <row r="878" spans="1:2" x14ac:dyDescent="0.15">
      <c r="A878" s="190">
        <v>1</v>
      </c>
      <c r="B878" s="785">
        <v>24500</v>
      </c>
    </row>
    <row r="879" spans="1:2" x14ac:dyDescent="0.15">
      <c r="A879" s="190">
        <v>1</v>
      </c>
      <c r="B879" s="785">
        <v>17000</v>
      </c>
    </row>
    <row r="880" spans="1:2" x14ac:dyDescent="0.15">
      <c r="A880" s="190">
        <v>1</v>
      </c>
      <c r="B880" s="785">
        <v>23000</v>
      </c>
    </row>
    <row r="881" spans="1:2" x14ac:dyDescent="0.15">
      <c r="A881" s="190">
        <v>1</v>
      </c>
      <c r="B881" s="785">
        <v>22000</v>
      </c>
    </row>
    <row r="882" spans="1:2" x14ac:dyDescent="0.15">
      <c r="A882" s="190">
        <v>0.5</v>
      </c>
      <c r="B882" s="785">
        <v>9500</v>
      </c>
    </row>
    <row r="883" spans="1:2" x14ac:dyDescent="0.15">
      <c r="A883" s="190">
        <v>0.5</v>
      </c>
      <c r="B883" s="785">
        <v>11000</v>
      </c>
    </row>
    <row r="884" spans="1:2" x14ac:dyDescent="0.15">
      <c r="A884" s="190">
        <v>1</v>
      </c>
      <c r="B884" s="785">
        <v>17000</v>
      </c>
    </row>
    <row r="885" spans="1:2" x14ac:dyDescent="0.15">
      <c r="A885" s="190">
        <v>1</v>
      </c>
      <c r="B885" s="785">
        <v>15500</v>
      </c>
    </row>
    <row r="886" spans="1:2" x14ac:dyDescent="0.15">
      <c r="A886" s="190">
        <v>1</v>
      </c>
      <c r="B886" s="785">
        <v>17000</v>
      </c>
    </row>
    <row r="887" spans="1:2" x14ac:dyDescent="0.15">
      <c r="A887" s="194">
        <v>0.5</v>
      </c>
      <c r="B887" s="791">
        <v>6000</v>
      </c>
    </row>
    <row r="888" spans="1:2" x14ac:dyDescent="0.15">
      <c r="A888" s="190">
        <v>1</v>
      </c>
      <c r="B888" s="785">
        <v>33000</v>
      </c>
    </row>
    <row r="889" spans="1:2" x14ac:dyDescent="0.15">
      <c r="A889" s="190">
        <v>0.5</v>
      </c>
      <c r="B889" s="785">
        <v>13400</v>
      </c>
    </row>
    <row r="890" spans="1:2" x14ac:dyDescent="0.15">
      <c r="A890" s="190">
        <v>1</v>
      </c>
      <c r="B890" s="785">
        <v>23000</v>
      </c>
    </row>
    <row r="891" spans="1:2" x14ac:dyDescent="0.15">
      <c r="A891" s="190">
        <v>1</v>
      </c>
      <c r="B891" s="785">
        <v>22000</v>
      </c>
    </row>
    <row r="892" spans="1:2" x14ac:dyDescent="0.15">
      <c r="A892" s="190">
        <v>1</v>
      </c>
      <c r="B892" s="785">
        <v>23500</v>
      </c>
    </row>
    <row r="893" spans="1:2" x14ac:dyDescent="0.15">
      <c r="A893" s="190">
        <v>1</v>
      </c>
      <c r="B893" s="785">
        <v>22000</v>
      </c>
    </row>
    <row r="894" spans="1:2" x14ac:dyDescent="0.15">
      <c r="A894" s="190">
        <v>1</v>
      </c>
      <c r="B894" s="785">
        <v>28500</v>
      </c>
    </row>
    <row r="895" spans="1:2" x14ac:dyDescent="0.15">
      <c r="A895" s="190">
        <v>1</v>
      </c>
      <c r="B895" s="785">
        <v>22000</v>
      </c>
    </row>
    <row r="896" spans="1:2" x14ac:dyDescent="0.15">
      <c r="A896" s="190">
        <v>1</v>
      </c>
      <c r="B896" s="785">
        <v>15000</v>
      </c>
    </row>
    <row r="897" spans="1:2" x14ac:dyDescent="0.15">
      <c r="A897" s="190">
        <v>1</v>
      </c>
      <c r="B897" s="785">
        <v>16500</v>
      </c>
    </row>
    <row r="898" spans="1:2" x14ac:dyDescent="0.15">
      <c r="A898" s="194">
        <v>1</v>
      </c>
      <c r="B898" s="791">
        <v>14300</v>
      </c>
    </row>
    <row r="899" spans="1:2" x14ac:dyDescent="0.15">
      <c r="A899" s="190">
        <v>1</v>
      </c>
      <c r="B899" s="785">
        <v>41500</v>
      </c>
    </row>
    <row r="900" spans="1:2" x14ac:dyDescent="0.15">
      <c r="A900" s="190">
        <v>0.5</v>
      </c>
      <c r="B900" s="785">
        <v>36500</v>
      </c>
    </row>
    <row r="901" spans="1:2" x14ac:dyDescent="0.15">
      <c r="A901" s="194">
        <v>1</v>
      </c>
      <c r="B901" s="791">
        <v>22000</v>
      </c>
    </row>
    <row r="902" spans="1:2" x14ac:dyDescent="0.15">
      <c r="A902" s="190">
        <v>0.5</v>
      </c>
      <c r="B902" s="468">
        <v>11400</v>
      </c>
    </row>
    <row r="903" spans="1:2" x14ac:dyDescent="0.15">
      <c r="A903" s="190">
        <v>0.5</v>
      </c>
      <c r="B903" s="468">
        <v>8000</v>
      </c>
    </row>
    <row r="904" spans="1:2" x14ac:dyDescent="0.15">
      <c r="A904" s="756">
        <v>0.5</v>
      </c>
      <c r="B904" s="468">
        <v>11700</v>
      </c>
    </row>
    <row r="905" spans="1:2" x14ac:dyDescent="0.15">
      <c r="A905" s="194">
        <v>1</v>
      </c>
      <c r="B905" s="465">
        <v>13000</v>
      </c>
    </row>
    <row r="906" spans="1:2" x14ac:dyDescent="0.15">
      <c r="A906" s="190">
        <v>1</v>
      </c>
      <c r="B906" s="468">
        <v>26500</v>
      </c>
    </row>
    <row r="907" spans="1:2" x14ac:dyDescent="0.15">
      <c r="A907" s="190">
        <v>1</v>
      </c>
      <c r="B907" s="788">
        <v>18343</v>
      </c>
    </row>
    <row r="908" spans="1:2" x14ac:dyDescent="0.15">
      <c r="A908" s="192">
        <v>1</v>
      </c>
      <c r="B908" s="788">
        <v>17545</v>
      </c>
    </row>
    <row r="909" spans="1:2" x14ac:dyDescent="0.15">
      <c r="A909" s="190">
        <v>1</v>
      </c>
      <c r="B909" s="788">
        <v>21615</v>
      </c>
    </row>
    <row r="910" spans="1:2" x14ac:dyDescent="0.15">
      <c r="A910" s="192">
        <v>1</v>
      </c>
      <c r="B910" s="788">
        <v>17067</v>
      </c>
    </row>
    <row r="911" spans="1:2" x14ac:dyDescent="0.15">
      <c r="A911" s="192">
        <v>1</v>
      </c>
      <c r="B911" s="788">
        <v>22968</v>
      </c>
    </row>
    <row r="912" spans="1:2" x14ac:dyDescent="0.15">
      <c r="A912" s="194">
        <v>1</v>
      </c>
      <c r="B912" s="790">
        <v>18150</v>
      </c>
    </row>
    <row r="913" spans="1:2" x14ac:dyDescent="0.15">
      <c r="A913" s="190">
        <v>1</v>
      </c>
      <c r="B913" s="468">
        <v>23100</v>
      </c>
    </row>
    <row r="914" spans="1:2" x14ac:dyDescent="0.15">
      <c r="A914" s="190">
        <v>1</v>
      </c>
      <c r="B914" s="468">
        <v>28400</v>
      </c>
    </row>
    <row r="915" spans="1:2" x14ac:dyDescent="0.15">
      <c r="A915" s="190">
        <v>1</v>
      </c>
      <c r="B915" s="788">
        <v>20240</v>
      </c>
    </row>
    <row r="916" spans="1:2" x14ac:dyDescent="0.15">
      <c r="A916" s="190">
        <v>1</v>
      </c>
      <c r="B916" s="788">
        <v>20900</v>
      </c>
    </row>
    <row r="917" spans="1:2" x14ac:dyDescent="0.15">
      <c r="A917" s="190">
        <v>1</v>
      </c>
      <c r="B917" s="788">
        <v>20000</v>
      </c>
    </row>
    <row r="918" spans="1:2" x14ac:dyDescent="0.15">
      <c r="A918" s="190">
        <v>1</v>
      </c>
      <c r="B918" s="788">
        <v>20900</v>
      </c>
    </row>
    <row r="919" spans="1:2" x14ac:dyDescent="0.15">
      <c r="A919" s="190">
        <v>1</v>
      </c>
      <c r="B919" s="788">
        <v>19800</v>
      </c>
    </row>
    <row r="920" spans="1:2" x14ac:dyDescent="0.15">
      <c r="A920" s="190">
        <v>1</v>
      </c>
      <c r="B920" s="788">
        <v>20570</v>
      </c>
    </row>
    <row r="921" spans="1:2" x14ac:dyDescent="0.15">
      <c r="A921" s="190">
        <v>0.5</v>
      </c>
      <c r="B921" s="788">
        <v>20020</v>
      </c>
    </row>
    <row r="922" spans="1:2" x14ac:dyDescent="0.15">
      <c r="A922" s="190">
        <v>0.5</v>
      </c>
      <c r="B922" s="788">
        <v>10450</v>
      </c>
    </row>
    <row r="923" spans="1:2" x14ac:dyDescent="0.15">
      <c r="A923" s="190">
        <v>1</v>
      </c>
      <c r="B923" s="788">
        <v>22000</v>
      </c>
    </row>
    <row r="924" spans="1:2" x14ac:dyDescent="0.15">
      <c r="A924" s="190">
        <v>1</v>
      </c>
      <c r="B924" s="788">
        <v>15510</v>
      </c>
    </row>
    <row r="925" spans="1:2" x14ac:dyDescent="0.15">
      <c r="A925" s="190">
        <v>1</v>
      </c>
      <c r="B925" s="788">
        <v>17061</v>
      </c>
    </row>
    <row r="926" spans="1:2" x14ac:dyDescent="0.15">
      <c r="A926" s="190">
        <v>1</v>
      </c>
      <c r="B926" s="788">
        <v>24200</v>
      </c>
    </row>
    <row r="927" spans="1:2" x14ac:dyDescent="0.15">
      <c r="A927" s="190">
        <v>1</v>
      </c>
      <c r="B927" s="788">
        <v>18700</v>
      </c>
    </row>
    <row r="928" spans="1:2" x14ac:dyDescent="0.15">
      <c r="A928" s="190">
        <v>1</v>
      </c>
      <c r="B928" s="788">
        <v>18700</v>
      </c>
    </row>
    <row r="929" spans="1:2" x14ac:dyDescent="0.15">
      <c r="A929" s="190">
        <v>1</v>
      </c>
      <c r="B929" s="788">
        <v>14000</v>
      </c>
    </row>
    <row r="930" spans="1:2" x14ac:dyDescent="0.15">
      <c r="A930" s="194">
        <v>0.5</v>
      </c>
      <c r="B930" s="790">
        <v>9801</v>
      </c>
    </row>
    <row r="931" spans="1:2" x14ac:dyDescent="0.15">
      <c r="A931" s="190">
        <v>1</v>
      </c>
      <c r="B931" s="468">
        <v>25000</v>
      </c>
    </row>
    <row r="932" spans="1:2" x14ac:dyDescent="0.15">
      <c r="A932" s="190">
        <v>1</v>
      </c>
      <c r="B932" s="468">
        <v>16500</v>
      </c>
    </row>
    <row r="933" spans="1:2" x14ac:dyDescent="0.15">
      <c r="A933" s="190">
        <v>1</v>
      </c>
      <c r="B933" s="468">
        <v>16500</v>
      </c>
    </row>
    <row r="934" spans="1:2" x14ac:dyDescent="0.15">
      <c r="A934" s="190">
        <v>1</v>
      </c>
      <c r="B934" s="468">
        <v>22550</v>
      </c>
    </row>
    <row r="935" spans="1:2" x14ac:dyDescent="0.15">
      <c r="A935" s="190">
        <v>1</v>
      </c>
      <c r="B935" s="468">
        <v>22600</v>
      </c>
    </row>
    <row r="936" spans="1:2" x14ac:dyDescent="0.15">
      <c r="A936" s="190">
        <v>1</v>
      </c>
      <c r="B936" s="468">
        <v>18150</v>
      </c>
    </row>
    <row r="937" spans="1:2" x14ac:dyDescent="0.15">
      <c r="A937" s="190">
        <v>1</v>
      </c>
      <c r="B937" s="468">
        <v>19000</v>
      </c>
    </row>
    <row r="938" spans="1:2" x14ac:dyDescent="0.15">
      <c r="A938" s="190">
        <v>1</v>
      </c>
      <c r="B938" s="468">
        <v>19800</v>
      </c>
    </row>
    <row r="939" spans="1:2" x14ac:dyDescent="0.15">
      <c r="A939" s="190">
        <v>1</v>
      </c>
      <c r="B939" s="468">
        <v>17000</v>
      </c>
    </row>
    <row r="940" spans="1:2" x14ac:dyDescent="0.15">
      <c r="A940" s="190">
        <v>1</v>
      </c>
      <c r="B940" s="468">
        <v>29040</v>
      </c>
    </row>
    <row r="941" spans="1:2" x14ac:dyDescent="0.15">
      <c r="A941" s="190">
        <v>0.5</v>
      </c>
      <c r="B941" s="468">
        <v>14550</v>
      </c>
    </row>
    <row r="942" spans="1:2" x14ac:dyDescent="0.15">
      <c r="A942" s="190">
        <v>1</v>
      </c>
      <c r="B942" s="468">
        <v>15400</v>
      </c>
    </row>
    <row r="943" spans="1:2" x14ac:dyDescent="0.15">
      <c r="A943" s="190">
        <v>1</v>
      </c>
      <c r="B943" s="468">
        <v>18700</v>
      </c>
    </row>
    <row r="944" spans="1:2" x14ac:dyDescent="0.15">
      <c r="A944" s="190">
        <v>1</v>
      </c>
      <c r="B944" s="468">
        <v>22000</v>
      </c>
    </row>
    <row r="945" spans="1:2" x14ac:dyDescent="0.15">
      <c r="A945" s="194">
        <v>0.5</v>
      </c>
      <c r="B945" s="465">
        <v>9801</v>
      </c>
    </row>
    <row r="946" spans="1:2" x14ac:dyDescent="0.15">
      <c r="A946" s="190">
        <v>0.5</v>
      </c>
      <c r="B946" s="468">
        <v>10660</v>
      </c>
    </row>
    <row r="947" spans="1:2" x14ac:dyDescent="0.15">
      <c r="A947" s="190">
        <v>0.5</v>
      </c>
      <c r="B947" s="788">
        <v>11880</v>
      </c>
    </row>
    <row r="948" spans="1:2" x14ac:dyDescent="0.15">
      <c r="A948" s="190">
        <v>0.5</v>
      </c>
      <c r="B948" s="788">
        <v>9108</v>
      </c>
    </row>
    <row r="949" spans="1:2" x14ac:dyDescent="0.15">
      <c r="A949" s="222">
        <v>1</v>
      </c>
      <c r="B949" s="788">
        <v>16940</v>
      </c>
    </row>
    <row r="950" spans="1:2" x14ac:dyDescent="0.15">
      <c r="A950" s="194">
        <v>1</v>
      </c>
      <c r="B950" s="790">
        <v>15400</v>
      </c>
    </row>
    <row r="951" spans="1:2" x14ac:dyDescent="0.15">
      <c r="A951" s="190">
        <v>1</v>
      </c>
      <c r="B951" s="468">
        <v>24750</v>
      </c>
    </row>
    <row r="952" spans="1:2" x14ac:dyDescent="0.15">
      <c r="A952" s="190">
        <v>1</v>
      </c>
      <c r="B952" s="468">
        <v>22990</v>
      </c>
    </row>
    <row r="953" spans="1:2" x14ac:dyDescent="0.15">
      <c r="A953" s="190">
        <v>1</v>
      </c>
      <c r="B953" s="468">
        <v>20620</v>
      </c>
    </row>
    <row r="954" spans="1:2" x14ac:dyDescent="0.15">
      <c r="A954" s="222">
        <v>1</v>
      </c>
      <c r="B954" s="468">
        <v>22308</v>
      </c>
    </row>
    <row r="955" spans="1:2" x14ac:dyDescent="0.15">
      <c r="A955" s="190">
        <v>1</v>
      </c>
      <c r="B955" s="468">
        <v>24035</v>
      </c>
    </row>
    <row r="956" spans="1:2" x14ac:dyDescent="0.15">
      <c r="A956" s="190">
        <v>1</v>
      </c>
      <c r="B956" s="468">
        <v>19706</v>
      </c>
    </row>
    <row r="957" spans="1:2" x14ac:dyDescent="0.15">
      <c r="A957" s="222">
        <v>1</v>
      </c>
      <c r="B957" s="468">
        <v>17600</v>
      </c>
    </row>
    <row r="958" spans="1:2" x14ac:dyDescent="0.15">
      <c r="A958" s="216">
        <v>1</v>
      </c>
      <c r="B958" s="465">
        <v>17600</v>
      </c>
    </row>
    <row r="959" spans="1:2" x14ac:dyDescent="0.15">
      <c r="A959" s="190">
        <v>1</v>
      </c>
      <c r="B959" s="468">
        <v>36500</v>
      </c>
    </row>
    <row r="960" spans="1:2" x14ac:dyDescent="0.15">
      <c r="A960" s="190">
        <v>1</v>
      </c>
      <c r="B960" s="468">
        <v>36500</v>
      </c>
    </row>
    <row r="961" spans="1:2" x14ac:dyDescent="0.15">
      <c r="A961" s="190">
        <v>1</v>
      </c>
      <c r="B961" s="468">
        <v>27000</v>
      </c>
    </row>
    <row r="962" spans="1:2" x14ac:dyDescent="0.15">
      <c r="A962" s="190">
        <v>0.5</v>
      </c>
      <c r="B962" s="468">
        <v>16600</v>
      </c>
    </row>
    <row r="963" spans="1:2" x14ac:dyDescent="0.15">
      <c r="A963" s="190">
        <v>1</v>
      </c>
      <c r="B963" s="468">
        <v>25800</v>
      </c>
    </row>
    <row r="964" spans="1:2" x14ac:dyDescent="0.15">
      <c r="A964" s="190">
        <v>1</v>
      </c>
      <c r="B964" s="468">
        <v>24000</v>
      </c>
    </row>
    <row r="965" spans="1:2" x14ac:dyDescent="0.15">
      <c r="A965" s="459">
        <v>0.5</v>
      </c>
      <c r="B965" s="468">
        <v>19500</v>
      </c>
    </row>
    <row r="966" spans="1:2" x14ac:dyDescent="0.15">
      <c r="A966" s="190">
        <v>1</v>
      </c>
      <c r="B966" s="468">
        <v>23800</v>
      </c>
    </row>
    <row r="967" spans="1:2" x14ac:dyDescent="0.15">
      <c r="A967" s="595">
        <v>1</v>
      </c>
      <c r="B967" s="468">
        <v>38500</v>
      </c>
    </row>
    <row r="968" spans="1:2" x14ac:dyDescent="0.15">
      <c r="A968" s="190">
        <v>1</v>
      </c>
      <c r="B968" s="468">
        <v>26100</v>
      </c>
    </row>
    <row r="969" spans="1:2" x14ac:dyDescent="0.15">
      <c r="A969" s="190">
        <v>1</v>
      </c>
      <c r="B969" s="468">
        <v>18200</v>
      </c>
    </row>
    <row r="970" spans="1:2" x14ac:dyDescent="0.15">
      <c r="A970" s="190">
        <v>1</v>
      </c>
      <c r="B970" s="468">
        <v>20000</v>
      </c>
    </row>
    <row r="971" spans="1:2" x14ac:dyDescent="0.15">
      <c r="A971" s="190">
        <v>1</v>
      </c>
      <c r="B971" s="468">
        <v>24000</v>
      </c>
    </row>
    <row r="972" spans="1:2" x14ac:dyDescent="0.15">
      <c r="A972" s="190">
        <v>1</v>
      </c>
      <c r="B972" s="468">
        <v>19200</v>
      </c>
    </row>
    <row r="973" spans="1:2" x14ac:dyDescent="0.15">
      <c r="A973" s="190">
        <v>1</v>
      </c>
      <c r="B973" s="468">
        <v>18600</v>
      </c>
    </row>
    <row r="974" spans="1:2" x14ac:dyDescent="0.15">
      <c r="A974" s="190">
        <v>1</v>
      </c>
      <c r="B974" s="468">
        <v>21800</v>
      </c>
    </row>
    <row r="975" spans="1:2" x14ac:dyDescent="0.15">
      <c r="A975" s="190">
        <v>1</v>
      </c>
      <c r="B975" s="468">
        <v>14300</v>
      </c>
    </row>
    <row r="976" spans="1:2" x14ac:dyDescent="0.15">
      <c r="A976" s="190">
        <v>1</v>
      </c>
      <c r="B976" s="468">
        <v>27000</v>
      </c>
    </row>
    <row r="977" spans="1:2" x14ac:dyDescent="0.15">
      <c r="A977" s="190">
        <v>1</v>
      </c>
      <c r="B977" s="468">
        <v>22200</v>
      </c>
    </row>
    <row r="978" spans="1:2" x14ac:dyDescent="0.15">
      <c r="A978" s="194">
        <v>1</v>
      </c>
      <c r="B978" s="465">
        <v>24800</v>
      </c>
    </row>
    <row r="979" spans="1:2" x14ac:dyDescent="0.15">
      <c r="A979" s="190">
        <v>1</v>
      </c>
      <c r="B979" s="468">
        <v>18400</v>
      </c>
    </row>
    <row r="980" spans="1:2" x14ac:dyDescent="0.15">
      <c r="A980" s="190">
        <v>1</v>
      </c>
      <c r="B980" s="468">
        <v>13200</v>
      </c>
    </row>
    <row r="981" spans="1:2" x14ac:dyDescent="0.15">
      <c r="A981" s="194">
        <v>1</v>
      </c>
      <c r="B981" s="468">
        <v>22300</v>
      </c>
    </row>
    <row r="982" spans="1:2" x14ac:dyDescent="0.15">
      <c r="A982" s="190">
        <v>1</v>
      </c>
      <c r="B982" s="468">
        <v>38400</v>
      </c>
    </row>
    <row r="983" spans="1:2" x14ac:dyDescent="0.15">
      <c r="A983" s="190">
        <v>1</v>
      </c>
      <c r="B983" s="468">
        <v>30700</v>
      </c>
    </row>
    <row r="984" spans="1:2" x14ac:dyDescent="0.15">
      <c r="A984" s="190">
        <v>1</v>
      </c>
      <c r="B984" s="468">
        <v>18300</v>
      </c>
    </row>
    <row r="985" spans="1:2" x14ac:dyDescent="0.15">
      <c r="A985" s="755">
        <v>1</v>
      </c>
      <c r="B985" s="465">
        <v>11800</v>
      </c>
    </row>
    <row r="986" spans="1:2" x14ac:dyDescent="0.15">
      <c r="A986" s="190">
        <v>1</v>
      </c>
      <c r="B986" s="468">
        <v>21300</v>
      </c>
    </row>
    <row r="987" spans="1:2" x14ac:dyDescent="0.15">
      <c r="A987" s="190">
        <v>1</v>
      </c>
      <c r="B987" s="468">
        <v>24592</v>
      </c>
    </row>
    <row r="988" spans="1:2" x14ac:dyDescent="0.15">
      <c r="A988" s="190">
        <v>1</v>
      </c>
      <c r="B988" s="468">
        <v>21300</v>
      </c>
    </row>
    <row r="989" spans="1:2" x14ac:dyDescent="0.15">
      <c r="A989" s="190">
        <v>0.5</v>
      </c>
      <c r="B989" s="468">
        <v>15650</v>
      </c>
    </row>
    <row r="990" spans="1:2" x14ac:dyDescent="0.15">
      <c r="A990" s="190">
        <v>1</v>
      </c>
      <c r="B990" s="468">
        <v>12800</v>
      </c>
    </row>
    <row r="991" spans="1:2" x14ac:dyDescent="0.15">
      <c r="A991" s="190">
        <v>1</v>
      </c>
      <c r="B991" s="468">
        <v>18325</v>
      </c>
    </row>
    <row r="992" spans="1:2" x14ac:dyDescent="0.15">
      <c r="A992" s="190">
        <v>1</v>
      </c>
      <c r="B992" s="468">
        <v>17024</v>
      </c>
    </row>
    <row r="993" spans="1:2" x14ac:dyDescent="0.15">
      <c r="A993" s="192">
        <v>1</v>
      </c>
      <c r="B993" s="468">
        <v>15400</v>
      </c>
    </row>
    <row r="994" spans="1:2" x14ac:dyDescent="0.15">
      <c r="A994" s="192">
        <v>1</v>
      </c>
      <c r="B994" s="468">
        <v>15400</v>
      </c>
    </row>
    <row r="995" spans="1:2" x14ac:dyDescent="0.15">
      <c r="A995" s="192">
        <v>1</v>
      </c>
      <c r="B995" s="468">
        <v>15400</v>
      </c>
    </row>
    <row r="996" spans="1:2" x14ac:dyDescent="0.15">
      <c r="A996" s="194">
        <v>1</v>
      </c>
      <c r="B996" s="465">
        <v>16700</v>
      </c>
    </row>
    <row r="997" spans="1:2" x14ac:dyDescent="0.15">
      <c r="A997" s="190">
        <v>0.5</v>
      </c>
      <c r="B997" s="788">
        <v>8950</v>
      </c>
    </row>
    <row r="998" spans="1:2" x14ac:dyDescent="0.15">
      <c r="A998" s="190">
        <v>0.5</v>
      </c>
      <c r="B998" s="788">
        <v>8950</v>
      </c>
    </row>
    <row r="999" spans="1:2" x14ac:dyDescent="0.15">
      <c r="A999" s="190">
        <v>0.5</v>
      </c>
      <c r="B999" s="788">
        <v>8950</v>
      </c>
    </row>
    <row r="1000" spans="1:2" x14ac:dyDescent="0.15">
      <c r="A1000" s="190">
        <v>0.5</v>
      </c>
      <c r="B1000" s="788">
        <v>8950</v>
      </c>
    </row>
    <row r="1001" spans="1:2" x14ac:dyDescent="0.15">
      <c r="A1001" s="190">
        <v>0.5</v>
      </c>
      <c r="B1001" s="788">
        <v>8950</v>
      </c>
    </row>
    <row r="1002" spans="1:2" x14ac:dyDescent="0.15">
      <c r="A1002" s="190">
        <v>0.5</v>
      </c>
      <c r="B1002" s="788">
        <v>8950</v>
      </c>
    </row>
    <row r="1003" spans="1:2" x14ac:dyDescent="0.15">
      <c r="A1003" s="190">
        <v>0.5</v>
      </c>
      <c r="B1003" s="788">
        <v>8950</v>
      </c>
    </row>
    <row r="1004" spans="1:2" x14ac:dyDescent="0.15">
      <c r="A1004" s="190">
        <v>0.5</v>
      </c>
      <c r="B1004" s="788">
        <v>8950</v>
      </c>
    </row>
    <row r="1005" spans="1:2" x14ac:dyDescent="0.15">
      <c r="A1005" s="190">
        <v>0.5</v>
      </c>
      <c r="B1005" s="788">
        <v>8950</v>
      </c>
    </row>
    <row r="1006" spans="1:2" x14ac:dyDescent="0.15">
      <c r="A1006" s="190">
        <v>0.5</v>
      </c>
      <c r="B1006" s="788">
        <v>8950</v>
      </c>
    </row>
    <row r="1007" spans="1:2" x14ac:dyDescent="0.15">
      <c r="A1007" s="190">
        <v>0.5</v>
      </c>
      <c r="B1007" s="788">
        <v>8950</v>
      </c>
    </row>
    <row r="1008" spans="1:2" x14ac:dyDescent="0.15">
      <c r="A1008" s="190">
        <v>0.5</v>
      </c>
      <c r="B1008" s="788">
        <v>8950</v>
      </c>
    </row>
    <row r="1009" spans="1:2" x14ac:dyDescent="0.15">
      <c r="A1009" s="190">
        <v>0.5</v>
      </c>
      <c r="B1009" s="788">
        <v>8950</v>
      </c>
    </row>
    <row r="1010" spans="1:2" x14ac:dyDescent="0.15">
      <c r="A1010" s="190">
        <v>0.5</v>
      </c>
      <c r="B1010" s="788">
        <v>14850</v>
      </c>
    </row>
    <row r="1011" spans="1:2" x14ac:dyDescent="0.15">
      <c r="A1011" s="190">
        <v>0.5</v>
      </c>
      <c r="B1011" s="788">
        <v>8950</v>
      </c>
    </row>
    <row r="1012" spans="1:2" x14ac:dyDescent="0.15">
      <c r="A1012" s="190">
        <v>0.5</v>
      </c>
      <c r="B1012" s="788">
        <v>8950</v>
      </c>
    </row>
    <row r="1013" spans="1:2" x14ac:dyDescent="0.15">
      <c r="A1013" s="190">
        <v>0.5</v>
      </c>
      <c r="B1013" s="788">
        <v>8950</v>
      </c>
    </row>
    <row r="1014" spans="1:2" x14ac:dyDescent="0.15">
      <c r="A1014" s="190">
        <v>0.5</v>
      </c>
      <c r="B1014" s="788">
        <v>9800</v>
      </c>
    </row>
    <row r="1015" spans="1:2" x14ac:dyDescent="0.15">
      <c r="A1015" s="190">
        <v>0.5</v>
      </c>
      <c r="B1015" s="788">
        <v>8950</v>
      </c>
    </row>
    <row r="1016" spans="1:2" x14ac:dyDescent="0.15">
      <c r="A1016" s="190">
        <v>0.5</v>
      </c>
      <c r="B1016" s="788">
        <v>8950</v>
      </c>
    </row>
    <row r="1017" spans="1:2" x14ac:dyDescent="0.15">
      <c r="A1017" s="190">
        <v>0.5</v>
      </c>
      <c r="B1017" s="788">
        <v>8950</v>
      </c>
    </row>
    <row r="1018" spans="1:2" x14ac:dyDescent="0.15">
      <c r="A1018" s="190">
        <v>0.5</v>
      </c>
      <c r="B1018" s="788">
        <v>8950</v>
      </c>
    </row>
    <row r="1019" spans="1:2" x14ac:dyDescent="0.15">
      <c r="A1019" s="190">
        <v>0.5</v>
      </c>
      <c r="B1019" s="788">
        <v>8950</v>
      </c>
    </row>
    <row r="1020" spans="1:2" x14ac:dyDescent="0.15">
      <c r="A1020" s="190">
        <v>0.5</v>
      </c>
      <c r="B1020" s="788">
        <v>13900</v>
      </c>
    </row>
    <row r="1021" spans="1:2" x14ac:dyDescent="0.15">
      <c r="A1021" s="190">
        <v>0.5</v>
      </c>
      <c r="B1021" s="788">
        <v>8950</v>
      </c>
    </row>
    <row r="1022" spans="1:2" x14ac:dyDescent="0.15">
      <c r="A1022" s="190">
        <v>0.5</v>
      </c>
      <c r="B1022" s="788">
        <v>8950</v>
      </c>
    </row>
    <row r="1023" spans="1:2" x14ac:dyDescent="0.15">
      <c r="A1023" s="190">
        <v>0.5</v>
      </c>
      <c r="B1023" s="788">
        <v>8950</v>
      </c>
    </row>
    <row r="1024" spans="1:2" x14ac:dyDescent="0.15">
      <c r="A1024" s="190">
        <v>0.5</v>
      </c>
      <c r="B1024" s="788">
        <v>8950</v>
      </c>
    </row>
    <row r="1025" spans="1:2" x14ac:dyDescent="0.15">
      <c r="A1025" s="190">
        <v>0.5</v>
      </c>
      <c r="B1025" s="788">
        <v>8950</v>
      </c>
    </row>
    <row r="1026" spans="1:2" x14ac:dyDescent="0.15">
      <c r="A1026" s="190">
        <v>0.5</v>
      </c>
      <c r="B1026" s="788">
        <v>8950</v>
      </c>
    </row>
    <row r="1027" spans="1:2" x14ac:dyDescent="0.15">
      <c r="A1027" s="190">
        <v>1</v>
      </c>
      <c r="B1027" s="788">
        <v>9900</v>
      </c>
    </row>
    <row r="1028" spans="1:2" x14ac:dyDescent="0.15">
      <c r="A1028" s="190">
        <v>0.5</v>
      </c>
      <c r="B1028" s="788">
        <v>8950</v>
      </c>
    </row>
    <row r="1029" spans="1:2" x14ac:dyDescent="0.15">
      <c r="A1029" s="190">
        <v>0.5</v>
      </c>
      <c r="B1029" s="788">
        <v>8950</v>
      </c>
    </row>
    <row r="1030" spans="1:2" x14ac:dyDescent="0.15">
      <c r="A1030" s="190">
        <v>0.5</v>
      </c>
      <c r="B1030" s="788">
        <v>8950</v>
      </c>
    </row>
    <row r="1031" spans="1:2" x14ac:dyDescent="0.15">
      <c r="A1031" s="190">
        <v>0.5</v>
      </c>
      <c r="B1031" s="788">
        <v>8950</v>
      </c>
    </row>
    <row r="1032" spans="1:2" x14ac:dyDescent="0.15">
      <c r="A1032" s="194">
        <v>0.5</v>
      </c>
      <c r="B1032" s="790">
        <v>8950</v>
      </c>
    </row>
  </sheetData>
  <autoFilter ref="A2:A1032"/>
  <phoneticPr fontId="44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Q36"/>
  <sheetViews>
    <sheetView workbookViewId="0">
      <selection activeCell="G11" sqref="G11"/>
    </sheetView>
  </sheetViews>
  <sheetFormatPr baseColWidth="10" defaultColWidth="11.5" defaultRowHeight="13" x14ac:dyDescent="0.15"/>
  <cols>
    <col min="1" max="1" width="16.33203125" customWidth="1"/>
    <col min="2" max="2" width="14.6640625" bestFit="1" customWidth="1"/>
    <col min="3" max="4" width="8.6640625" customWidth="1"/>
    <col min="5" max="5" width="13.6640625" bestFit="1" customWidth="1"/>
    <col min="6" max="6" width="10.5" customWidth="1"/>
    <col min="7" max="7" width="10.83203125" customWidth="1"/>
    <col min="8" max="8" width="13.5" customWidth="1"/>
    <col min="9" max="9" width="12.1640625" customWidth="1"/>
  </cols>
  <sheetData>
    <row r="1" spans="1:9" ht="14" thickBot="1" x14ac:dyDescent="0.2"/>
    <row r="2" spans="1:9" ht="14" thickBot="1" x14ac:dyDescent="0.2">
      <c r="A2" s="440" t="s">
        <v>424</v>
      </c>
      <c r="B2" s="440" t="s">
        <v>425</v>
      </c>
      <c r="C2" s="441"/>
    </row>
    <row r="3" spans="1:9" ht="14" thickBot="1" x14ac:dyDescent="0.2">
      <c r="A3" s="441"/>
      <c r="B3" s="441"/>
      <c r="C3" s="441"/>
      <c r="E3" s="478"/>
      <c r="F3" s="759" t="s">
        <v>150</v>
      </c>
      <c r="G3" s="760" t="s">
        <v>151</v>
      </c>
      <c r="H3" s="761" t="s">
        <v>152</v>
      </c>
      <c r="I3" s="762" t="s">
        <v>153</v>
      </c>
    </row>
    <row r="4" spans="1:9" x14ac:dyDescent="0.15">
      <c r="A4" s="441"/>
      <c r="B4" s="441"/>
      <c r="C4" s="441"/>
      <c r="E4" s="763" t="s">
        <v>856</v>
      </c>
      <c r="F4" s="346">
        <v>906</v>
      </c>
      <c r="G4" s="346">
        <f>792.51+14.35+3</f>
        <v>809.86</v>
      </c>
      <c r="H4" s="765">
        <f>13079248/G4</f>
        <v>16150.011113031882</v>
      </c>
      <c r="I4" s="765">
        <f>(B6-B7-B8+B9)/(G4+G5-G6-G7)</f>
        <v>23383.303610445135</v>
      </c>
    </row>
    <row r="5" spans="1:9" x14ac:dyDescent="0.15">
      <c r="A5" s="441"/>
      <c r="B5" s="441"/>
      <c r="C5" s="441"/>
      <c r="E5" s="764" t="s">
        <v>436</v>
      </c>
      <c r="F5" s="428">
        <v>60</v>
      </c>
      <c r="G5" s="428">
        <v>57.45</v>
      </c>
      <c r="H5" s="428"/>
      <c r="I5" s="428"/>
    </row>
    <row r="6" spans="1:9" ht="24.75" customHeight="1" x14ac:dyDescent="0.15">
      <c r="A6" s="757" t="s">
        <v>154</v>
      </c>
      <c r="B6" s="758">
        <v>20130257</v>
      </c>
      <c r="C6" s="441"/>
      <c r="E6" s="764" t="s">
        <v>157</v>
      </c>
      <c r="F6" s="428">
        <v>17</v>
      </c>
      <c r="G6" s="428">
        <v>6.25</v>
      </c>
      <c r="H6" s="428">
        <f>180665/G6</f>
        <v>28906.400000000001</v>
      </c>
      <c r="I6" s="428"/>
    </row>
    <row r="7" spans="1:9" ht="25.5" customHeight="1" x14ac:dyDescent="0.15">
      <c r="A7" s="757" t="s">
        <v>157</v>
      </c>
      <c r="B7" s="758">
        <v>180665</v>
      </c>
      <c r="C7" s="441"/>
      <c r="E7" s="764" t="s">
        <v>249</v>
      </c>
      <c r="F7" s="428">
        <v>29</v>
      </c>
      <c r="G7" s="428">
        <v>14.35</v>
      </c>
      <c r="H7" s="766">
        <f>322960/14.35</f>
        <v>22505.923344947736</v>
      </c>
      <c r="I7" s="428"/>
    </row>
    <row r="8" spans="1:9" x14ac:dyDescent="0.15">
      <c r="A8" s="757" t="s">
        <v>155</v>
      </c>
      <c r="B8" s="758">
        <v>300715</v>
      </c>
      <c r="C8" s="441"/>
      <c r="E8" s="764" t="s">
        <v>250</v>
      </c>
      <c r="F8" s="428"/>
      <c r="G8" s="428">
        <v>368.33</v>
      </c>
      <c r="H8" s="428"/>
      <c r="I8" s="767">
        <f>21294+(1000000+322960+14200000/12)/G8</f>
        <v>28098.477868577997</v>
      </c>
    </row>
    <row r="9" spans="1:9" ht="24" customHeight="1" x14ac:dyDescent="0.15">
      <c r="A9" s="757" t="s">
        <v>156</v>
      </c>
      <c r="B9" s="758">
        <v>150000</v>
      </c>
      <c r="C9" s="441"/>
      <c r="E9" s="764" t="s">
        <v>251</v>
      </c>
      <c r="F9" s="428"/>
      <c r="G9" s="428"/>
      <c r="H9" s="428"/>
      <c r="I9" s="767">
        <v>21900</v>
      </c>
    </row>
    <row r="10" spans="1:9" x14ac:dyDescent="0.15">
      <c r="A10" s="757"/>
      <c r="B10" s="441"/>
      <c r="C10" s="441"/>
      <c r="E10" s="12"/>
    </row>
    <row r="11" spans="1:9" x14ac:dyDescent="0.15">
      <c r="A11" s="757"/>
      <c r="B11" s="441"/>
      <c r="C11" s="441"/>
    </row>
    <row r="12" spans="1:9" x14ac:dyDescent="0.15">
      <c r="A12" s="757"/>
      <c r="B12" s="441"/>
      <c r="C12" s="441"/>
    </row>
    <row r="13" spans="1:9" x14ac:dyDescent="0.15">
      <c r="A13" s="757"/>
      <c r="B13" s="441"/>
      <c r="C13" s="441"/>
    </row>
    <row r="14" spans="1:9" x14ac:dyDescent="0.15">
      <c r="A14" s="757"/>
      <c r="B14" s="441"/>
      <c r="C14" s="441"/>
    </row>
    <row r="15" spans="1:9" x14ac:dyDescent="0.15">
      <c r="A15" s="441"/>
      <c r="B15" s="441"/>
      <c r="C15" s="441"/>
    </row>
    <row r="16" spans="1:9" ht="14" x14ac:dyDescent="0.2">
      <c r="A16" s="437"/>
      <c r="B16" s="438"/>
      <c r="C16" s="437" t="s">
        <v>2080</v>
      </c>
      <c r="D16" t="s">
        <v>2079</v>
      </c>
      <c r="E16" s="434"/>
    </row>
    <row r="17" spans="1:17" x14ac:dyDescent="0.15">
      <c r="A17" s="1637">
        <v>20</v>
      </c>
      <c r="B17">
        <f ca="1">SUM(IF((LHEP_2016!$P$13:$P$1972&gt;=A17)*(LHEP_2016!$P$13:$P$1972&lt;A18),1,0))</f>
        <v>0</v>
      </c>
      <c r="C17" s="437">
        <v>20</v>
      </c>
      <c r="D17" s="434">
        <f ca="1">SUM(IF((LHEP_2016!$P$13:$P$1972&gt;=A17)*(LHEP_2016!$P$13:$P$1972&lt;A18),1,0)*LHEP_2016!$M$13:$M$1972)</f>
        <v>0</v>
      </c>
      <c r="E17" s="560"/>
      <c r="P17">
        <f t="shared" ref="P17:P31" si="0">A17+2.45</f>
        <v>22.45</v>
      </c>
      <c r="Q17">
        <f t="shared" ref="Q17:Q31" ca="1" si="1">D17*P17</f>
        <v>0</v>
      </c>
    </row>
    <row r="18" spans="1:17" x14ac:dyDescent="0.15">
      <c r="A18" s="1637">
        <f>A17+5</f>
        <v>25</v>
      </c>
      <c r="B18" s="438">
        <v>32.1</v>
      </c>
      <c r="C18" s="437">
        <v>25</v>
      </c>
      <c r="D18" s="434">
        <f t="array" aca="1" ref="D18" ca="1">SUM(IF((LHEP_2016!$P$13:$P$1972&gt;=A18)*(LHEP_2016!$P$13:$P$1972&lt;A19),1,0)*LHEP_2016!$M$13:$M$1972)</f>
        <v>83.582999999999998</v>
      </c>
      <c r="E18" s="560"/>
      <c r="P18">
        <f t="shared" si="0"/>
        <v>27.45</v>
      </c>
      <c r="Q18">
        <f t="shared" ca="1" si="1"/>
        <v>2294.3533499999999</v>
      </c>
    </row>
    <row r="19" spans="1:17" x14ac:dyDescent="0.15">
      <c r="A19" s="1637">
        <f t="shared" ref="A19:A30" si="2">A18+5</f>
        <v>30</v>
      </c>
      <c r="B19" s="438">
        <v>46.7</v>
      </c>
      <c r="C19" s="437">
        <v>30</v>
      </c>
      <c r="D19" s="434">
        <f t="array" aca="1" ref="D19" ca="1">SUM(IF((LHEP_2016!$P$13:$P$1972&gt;=A19)*(LHEP_2016!$P$13:$P$1972&lt;A20),1,0)*LHEP_2016!$M$13:$M$1972)</f>
        <v>88.375</v>
      </c>
      <c r="E19" s="560"/>
      <c r="P19">
        <f t="shared" si="0"/>
        <v>32.450000000000003</v>
      </c>
      <c r="Q19">
        <f t="shared" ca="1" si="1"/>
        <v>2867.7687500000002</v>
      </c>
    </row>
    <row r="20" spans="1:17" x14ac:dyDescent="0.15">
      <c r="A20" s="1637">
        <f t="shared" si="2"/>
        <v>35</v>
      </c>
      <c r="B20" s="438">
        <v>43.4</v>
      </c>
      <c r="C20" s="437">
        <v>35</v>
      </c>
      <c r="D20" s="434">
        <f t="array" aca="1" ref="D20" ca="1">SUM(IF((LHEP_2016!$P$13:$P$1972&gt;=A20)*(LHEP_2016!$P$13:$P$1972&lt;A21),1,0)*LHEP_2016!$M$13:$M$1972)</f>
        <v>60.6</v>
      </c>
      <c r="E20" s="560"/>
      <c r="P20">
        <f t="shared" si="0"/>
        <v>37.450000000000003</v>
      </c>
      <c r="Q20">
        <f t="shared" ca="1" si="1"/>
        <v>2269.4700000000003</v>
      </c>
    </row>
    <row r="21" spans="1:17" x14ac:dyDescent="0.15">
      <c r="A21" s="1637">
        <f t="shared" si="2"/>
        <v>40</v>
      </c>
      <c r="B21" s="438">
        <v>37.200000000000003</v>
      </c>
      <c r="C21" s="437">
        <v>40</v>
      </c>
      <c r="D21" s="434">
        <f t="array" aca="1" ref="D21" ca="1">SUM(IF((LHEP_2016!$P$13:$P$1972&gt;=A21)*(LHEP_2016!$P$13:$P$1972&lt;A22),1,0)*LHEP_2016!$M$13:$M$1972)</f>
        <v>63.6</v>
      </c>
      <c r="E21" s="560"/>
      <c r="P21">
        <f t="shared" si="0"/>
        <v>42.45</v>
      </c>
      <c r="Q21">
        <f t="shared" ca="1" si="1"/>
        <v>2699.82</v>
      </c>
    </row>
    <row r="22" spans="1:17" x14ac:dyDescent="0.15">
      <c r="A22" s="1637">
        <f t="shared" si="2"/>
        <v>45</v>
      </c>
      <c r="B22" s="438">
        <v>54.1</v>
      </c>
      <c r="C22" s="437">
        <v>45</v>
      </c>
      <c r="D22" s="434">
        <f t="array" aca="1" ref="D22" ca="1">SUM(IF((LHEP_2016!$P$13:$P$1972&gt;=A22)*(LHEP_2016!$P$13:$P$1972&lt;A23),1,0)*LHEP_2016!$M$13:$M$1972)</f>
        <v>60.75</v>
      </c>
      <c r="E22" s="560"/>
      <c r="P22">
        <f t="shared" si="0"/>
        <v>47.45</v>
      </c>
      <c r="Q22">
        <f t="shared" ca="1" si="1"/>
        <v>2882.5875000000001</v>
      </c>
    </row>
    <row r="23" spans="1:17" x14ac:dyDescent="0.15">
      <c r="A23" s="1637">
        <f t="shared" si="2"/>
        <v>50</v>
      </c>
      <c r="B23" s="438">
        <v>80.900000000000006</v>
      </c>
      <c r="C23" s="437">
        <v>50</v>
      </c>
      <c r="D23" s="434">
        <f t="array" aca="1" ref="D23" ca="1">SUM(IF((LHEP_2016!$P$13:$P$1972&gt;=A23)*(LHEP_2016!$P$13:$P$1972&lt;A24),1,0)*LHEP_2016!$M$13:$M$1972)</f>
        <v>83</v>
      </c>
      <c r="E23" s="560"/>
      <c r="P23">
        <f t="shared" si="0"/>
        <v>52.45</v>
      </c>
      <c r="Q23">
        <f t="shared" ca="1" si="1"/>
        <v>4353.3500000000004</v>
      </c>
    </row>
    <row r="24" spans="1:17" x14ac:dyDescent="0.15">
      <c r="A24" s="1637">
        <f t="shared" si="2"/>
        <v>55</v>
      </c>
      <c r="B24" s="438">
        <v>123.5</v>
      </c>
      <c r="C24" s="437">
        <v>55</v>
      </c>
      <c r="D24" s="434">
        <f t="array" aca="1" ref="D24" ca="1">SUM(IF((LHEP_2016!$P$13:$P$1972&gt;=A24)*(LHEP_2016!$P$13:$P$1972&lt;A25),1,0)*LHEP_2016!$M$13:$M$1972)</f>
        <v>103.33499999999999</v>
      </c>
      <c r="E24" s="560"/>
      <c r="P24">
        <f t="shared" si="0"/>
        <v>57.45</v>
      </c>
      <c r="Q24">
        <f t="shared" ca="1" si="1"/>
        <v>5936.5957499999995</v>
      </c>
    </row>
    <row r="25" spans="1:17" x14ac:dyDescent="0.15">
      <c r="A25" s="1637">
        <f t="shared" si="2"/>
        <v>60</v>
      </c>
      <c r="B25" s="438">
        <v>143.9</v>
      </c>
      <c r="C25" s="437">
        <v>60</v>
      </c>
      <c r="D25" s="434">
        <f t="array" aca="1" ref="D25" ca="1">SUM(IF((LHEP_2016!$P$13:$P$1972&gt;=A25)*(LHEP_2016!$P$13:$P$1972&lt;A26),1,0)*LHEP_2016!$M$13:$M$1972)</f>
        <v>128</v>
      </c>
      <c r="E25" s="560"/>
      <c r="P25">
        <f t="shared" si="0"/>
        <v>62.45</v>
      </c>
      <c r="Q25">
        <f t="shared" ca="1" si="1"/>
        <v>7993.6</v>
      </c>
    </row>
    <row r="26" spans="1:17" x14ac:dyDescent="0.15">
      <c r="A26" s="1637">
        <f t="shared" si="2"/>
        <v>65</v>
      </c>
      <c r="B26" s="438">
        <v>90.3</v>
      </c>
      <c r="C26" s="437">
        <v>65</v>
      </c>
      <c r="D26" s="434">
        <f t="array" aca="1" ref="D26" ca="1">SUM(IF((LHEP_2016!$P$13:$P$1972&gt;=A26)*(LHEP_2016!$P$13:$P$1972&lt;A27),1,0)*LHEP_2016!$M$13:$M$1972)</f>
        <v>123</v>
      </c>
      <c r="E26" s="560"/>
      <c r="G26">
        <v>3467435</v>
      </c>
      <c r="P26">
        <f t="shared" si="0"/>
        <v>67.45</v>
      </c>
      <c r="Q26">
        <f t="shared" ca="1" si="1"/>
        <v>8296.35</v>
      </c>
    </row>
    <row r="27" spans="1:17" x14ac:dyDescent="0.15">
      <c r="A27" s="1637">
        <f t="shared" si="2"/>
        <v>70</v>
      </c>
      <c r="B27" s="438">
        <v>100.8</v>
      </c>
      <c r="C27" s="437">
        <v>70</v>
      </c>
      <c r="D27" s="434">
        <f t="array" aca="1" ref="D27" ca="1">SUM(IF((LHEP_2016!$P$13:$P$1972&gt;=A27)*(LHEP_2016!$P$13:$P$1972&lt;A28),1,0)*LHEP_2016!$M$13:$M$1972)</f>
        <v>67</v>
      </c>
      <c r="E27" s="560"/>
      <c r="G27">
        <v>2312205</v>
      </c>
      <c r="P27">
        <f t="shared" si="0"/>
        <v>72.45</v>
      </c>
      <c r="Q27">
        <f t="shared" ca="1" si="1"/>
        <v>4854.1500000000005</v>
      </c>
    </row>
    <row r="28" spans="1:17" x14ac:dyDescent="0.15">
      <c r="A28" s="1637">
        <f t="shared" si="2"/>
        <v>75</v>
      </c>
      <c r="B28" s="438">
        <v>54.6</v>
      </c>
      <c r="C28" s="437">
        <v>75</v>
      </c>
      <c r="D28" s="434">
        <f t="array" aca="1" ref="D28" ca="1">SUM(IF((LHEP_2016!$P$13:$P$1972&gt;=A28)*(LHEP_2016!$P$13:$P$1972&lt;A29),1,0)*LHEP_2016!$M$13:$M$1972)</f>
        <v>54.5</v>
      </c>
      <c r="E28" s="560"/>
      <c r="G28">
        <v>1225532</v>
      </c>
      <c r="P28">
        <f t="shared" si="0"/>
        <v>77.45</v>
      </c>
      <c r="Q28">
        <f t="shared" ca="1" si="1"/>
        <v>4221.0250000000005</v>
      </c>
    </row>
    <row r="29" spans="1:17" x14ac:dyDescent="0.15">
      <c r="A29" s="1637">
        <f t="shared" si="2"/>
        <v>80</v>
      </c>
      <c r="B29" s="438">
        <v>22</v>
      </c>
      <c r="C29" s="437">
        <v>80</v>
      </c>
      <c r="D29" s="434">
        <f t="array" aca="1" ref="D29" ca="1">SUM(IF((LHEP_2016!$P$13:$P$1972&gt;=A29)*(LHEP_2016!$P$13:$P$1972&lt;A30),1,0)*LHEP_2016!$M$13:$M$1972)</f>
        <v>17.634</v>
      </c>
      <c r="E29" s="560"/>
      <c r="G29">
        <v>432961</v>
      </c>
      <c r="P29">
        <f t="shared" si="0"/>
        <v>82.45</v>
      </c>
      <c r="Q29">
        <f t="shared" ca="1" si="1"/>
        <v>1453.9233000000002</v>
      </c>
    </row>
    <row r="30" spans="1:17" ht="14" thickBot="1" x14ac:dyDescent="0.2">
      <c r="A30" s="1637">
        <f t="shared" si="2"/>
        <v>85</v>
      </c>
      <c r="B30" s="439">
        <v>1</v>
      </c>
      <c r="C30" s="439">
        <v>85</v>
      </c>
      <c r="D30" s="434">
        <f t="array" aca="1" ref="D30" ca="1">SUM(IF((LHEP_2016!$P$13:$P$1972&gt;=A30)*(LHEP_2016!$P$13:$P$1972&lt;A31),1,0)*LHEP_2016!$M$13:$M$1972)</f>
        <v>6.5</v>
      </c>
      <c r="E30" s="560"/>
      <c r="G30">
        <v>33340</v>
      </c>
      <c r="P30">
        <f t="shared" si="0"/>
        <v>87.45</v>
      </c>
      <c r="Q30">
        <f t="shared" ca="1" si="1"/>
        <v>568.42500000000007</v>
      </c>
    </row>
    <row r="31" spans="1:17" x14ac:dyDescent="0.15">
      <c r="A31" s="1637">
        <f>A30+5</f>
        <v>90</v>
      </c>
      <c r="P31">
        <f t="shared" si="0"/>
        <v>92.45</v>
      </c>
      <c r="Q31">
        <f t="shared" si="1"/>
        <v>0</v>
      </c>
    </row>
    <row r="32" spans="1:17" x14ac:dyDescent="0.15">
      <c r="B32">
        <f ca="1">SUM(B16:B31)</f>
        <v>830.5</v>
      </c>
      <c r="D32" s="434">
        <f ca="1">SUM(D17:D30)</f>
        <v>939.87700000000007</v>
      </c>
      <c r="E32" s="434">
        <f t="array" ref="E32">SUM((LHEP_2016!$M$13:$M$1972)*(LHEP_2016!$M$13:$M$1972&lt;=1)*(LHEP_2016!$H$13:$H$1972&gt;=10))</f>
        <v>985.5400000000003</v>
      </c>
    </row>
    <row r="33" spans="3:17" x14ac:dyDescent="0.15">
      <c r="D33" s="434">
        <f t="array" aca="1" ref="D33" ca="1">SUM(LHEP_2016!$P$13:$P$1972*LHEP_2016!$M$13:$M$1972)</f>
        <v>51421.602480555535</v>
      </c>
      <c r="E33" s="434">
        <f t="array" aca="1" ref="E33" ca="1">SUM((LHEP_2016!$P$13:$P$1972)*(LHEP_2016!$M$13:$M$1972)*(LHEP_2016!$H$13:$H$1972&gt;=10))</f>
        <v>51421.602480555535</v>
      </c>
      <c r="P33">
        <f ca="1">SUM(Q16:Q32)</f>
        <v>50691.418650000007</v>
      </c>
      <c r="Q33">
        <f ca="1">SUM(Q16:Q32)/D32</f>
        <v>53.934098451180319</v>
      </c>
    </row>
    <row r="34" spans="3:17" ht="15" x14ac:dyDescent="0.2">
      <c r="C34" s="1638" t="s">
        <v>2081</v>
      </c>
      <c r="D34" s="1639">
        <f ca="1">D33/D32</f>
        <v>54.710991417553075</v>
      </c>
      <c r="E34" s="1639">
        <f ca="1">E33/E32</f>
        <v>52.176068430054102</v>
      </c>
    </row>
    <row r="36" spans="3:17" x14ac:dyDescent="0.15">
      <c r="D36" s="63">
        <f ca="1">SUM(D25:D29)</f>
        <v>390.13400000000001</v>
      </c>
    </row>
  </sheetData>
  <autoFilter ref="A2:D34"/>
  <phoneticPr fontId="44" type="noConversion"/>
  <pageMargins left="0.7" right="0.7" top="0.75" bottom="0.75" header="0.3" footer="0.3"/>
  <pageSetup paperSize="9" scale="95" orientation="landscape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2:L1892"/>
  <sheetViews>
    <sheetView topLeftCell="A47" workbookViewId="0">
      <selection activeCell="L9" sqref="L9"/>
    </sheetView>
  </sheetViews>
  <sheetFormatPr baseColWidth="10" defaultColWidth="11.5" defaultRowHeight="13" x14ac:dyDescent="0.15"/>
  <cols>
    <col min="1" max="1" width="5.33203125" customWidth="1"/>
    <col min="2" max="2" width="26.5" customWidth="1"/>
    <col min="3" max="4" width="6.5" customWidth="1"/>
    <col min="5" max="5" width="8.1640625" customWidth="1"/>
    <col min="6" max="6" width="8.6640625" customWidth="1"/>
    <col min="7" max="7" width="12.5" customWidth="1"/>
    <col min="8" max="8" width="5.5" customWidth="1"/>
    <col min="9" max="9" width="8.6640625" customWidth="1"/>
    <col min="10" max="10" width="10.33203125" customWidth="1"/>
  </cols>
  <sheetData>
    <row r="2" spans="1:12" hidden="1" x14ac:dyDescent="0.15">
      <c r="E2" s="1928" t="s">
        <v>1184</v>
      </c>
      <c r="F2" s="1928"/>
      <c r="G2" s="1928"/>
      <c r="H2" s="8"/>
      <c r="I2" s="1927" t="s">
        <v>1548</v>
      </c>
      <c r="J2" s="1927"/>
      <c r="K2" s="8" t="s">
        <v>1551</v>
      </c>
    </row>
    <row r="3" spans="1:12" s="6" customFormat="1" hidden="1" x14ac:dyDescent="0.15">
      <c r="A3" s="165"/>
      <c r="B3" s="165"/>
      <c r="C3" s="65"/>
      <c r="D3" s="65"/>
      <c r="E3" s="312" t="s">
        <v>1547</v>
      </c>
      <c r="F3" s="74" t="s">
        <v>1552</v>
      </c>
      <c r="G3" s="74" t="s">
        <v>918</v>
      </c>
      <c r="H3" s="74"/>
      <c r="I3" s="7" t="s">
        <v>1549</v>
      </c>
      <c r="J3" s="7" t="s">
        <v>1550</v>
      </c>
    </row>
    <row r="4" spans="1:12" s="6" customFormat="1" hidden="1" x14ac:dyDescent="0.15">
      <c r="A4" s="165"/>
      <c r="B4" s="16" t="s">
        <v>1580</v>
      </c>
      <c r="C4" s="393"/>
      <c r="D4" s="65"/>
      <c r="E4" s="319">
        <v>15</v>
      </c>
      <c r="F4" s="76">
        <v>89.8</v>
      </c>
      <c r="G4" s="76">
        <v>103.6</v>
      </c>
      <c r="H4" s="76"/>
      <c r="I4" s="396">
        <v>954130</v>
      </c>
      <c r="J4" s="6">
        <f>I4*12</f>
        <v>11449560</v>
      </c>
      <c r="K4" s="403">
        <f>I4/13500</f>
        <v>70.6762962962963</v>
      </c>
    </row>
    <row r="5" spans="1:12" s="6" customFormat="1" hidden="1" x14ac:dyDescent="0.15">
      <c r="A5" s="165"/>
      <c r="B5" s="16" t="s">
        <v>1545</v>
      </c>
      <c r="C5" s="394"/>
      <c r="D5" s="65"/>
      <c r="E5" s="319">
        <v>0</v>
      </c>
      <c r="F5" s="76">
        <v>54.5</v>
      </c>
      <c r="G5" s="76">
        <v>54</v>
      </c>
      <c r="H5" s="76"/>
      <c r="I5" s="396">
        <v>415616</v>
      </c>
      <c r="J5" s="6">
        <f>I5*12</f>
        <v>4987392</v>
      </c>
      <c r="K5" s="403">
        <f>I5/13500</f>
        <v>30.786370370370371</v>
      </c>
    </row>
    <row r="6" spans="1:12" s="6" customFormat="1" hidden="1" x14ac:dyDescent="0.15">
      <c r="A6" s="397"/>
      <c r="B6" s="402" t="s">
        <v>1546</v>
      </c>
      <c r="C6" s="398"/>
      <c r="D6" s="72"/>
      <c r="E6" s="399">
        <v>0</v>
      </c>
      <c r="F6" s="400">
        <v>19.7</v>
      </c>
      <c r="G6" s="400">
        <v>19.7</v>
      </c>
      <c r="H6" s="72"/>
      <c r="I6" s="400">
        <v>145510</v>
      </c>
      <c r="J6" s="72">
        <f>I6*12</f>
        <v>1746120</v>
      </c>
      <c r="K6" s="404">
        <f>I6/13500</f>
        <v>10.778518518518519</v>
      </c>
    </row>
    <row r="7" spans="1:12" s="6" customFormat="1" hidden="1" x14ac:dyDescent="0.15">
      <c r="A7" s="165"/>
      <c r="B7" s="83"/>
      <c r="C7" s="74"/>
      <c r="D7" s="65"/>
      <c r="E7" s="401">
        <f>SUM(E4:E6)</f>
        <v>15</v>
      </c>
      <c r="F7" s="401">
        <f t="shared" ref="F7:K7" si="0">SUM(F4:F6)</f>
        <v>164</v>
      </c>
      <c r="G7" s="401">
        <f t="shared" si="0"/>
        <v>177.29999999999998</v>
      </c>
      <c r="H7" s="401"/>
      <c r="I7" s="401">
        <f t="shared" si="0"/>
        <v>1515256</v>
      </c>
      <c r="J7" s="401">
        <f t="shared" si="0"/>
        <v>18183072</v>
      </c>
      <c r="K7" s="405">
        <f t="shared" si="0"/>
        <v>112.2411851851852</v>
      </c>
    </row>
    <row r="8" spans="1:12" s="6" customFormat="1" x14ac:dyDescent="0.15">
      <c r="A8" s="165"/>
      <c r="B8" s="83"/>
      <c r="C8" s="76"/>
      <c r="D8" s="65"/>
      <c r="E8" s="183"/>
      <c r="F8" s="65"/>
      <c r="G8" s="65"/>
      <c r="H8" s="65"/>
    </row>
    <row r="9" spans="1:12" s="6" customFormat="1" x14ac:dyDescent="0.15">
      <c r="A9" s="165"/>
      <c r="B9" s="165" t="s">
        <v>1130</v>
      </c>
      <c r="C9" s="74"/>
      <c r="D9" s="65"/>
      <c r="E9" s="183"/>
      <c r="F9" s="65"/>
      <c r="G9" s="65"/>
      <c r="H9" s="65"/>
      <c r="L9" s="6">
        <v>1586400</v>
      </c>
    </row>
    <row r="10" spans="1:12" s="6" customFormat="1" x14ac:dyDescent="0.15">
      <c r="A10" s="165"/>
      <c r="B10" s="165" t="s">
        <v>358</v>
      </c>
      <c r="C10" s="74"/>
      <c r="D10" s="65"/>
      <c r="E10" s="320"/>
      <c r="F10" s="65"/>
      <c r="G10" s="65"/>
      <c r="H10" s="65"/>
      <c r="J10" s="396">
        <f>1562240+76000</f>
        <v>1638240</v>
      </c>
      <c r="L10" s="418">
        <f>L9-44370-62150</f>
        <v>1479880</v>
      </c>
    </row>
    <row r="11" spans="1:12" s="6" customFormat="1" x14ac:dyDescent="0.15">
      <c r="A11" s="165"/>
      <c r="B11" s="165"/>
      <c r="C11" s="74"/>
      <c r="D11" s="65"/>
      <c r="E11" s="320"/>
      <c r="F11" s="65"/>
      <c r="G11" s="65"/>
      <c r="H11" s="65"/>
    </row>
    <row r="12" spans="1:12" s="6" customFormat="1" x14ac:dyDescent="0.15">
      <c r="A12" s="165"/>
      <c r="B12" s="165" t="s">
        <v>1195</v>
      </c>
      <c r="C12" s="74"/>
      <c r="D12" s="65"/>
      <c r="E12" s="191"/>
      <c r="F12" s="65"/>
      <c r="G12" s="65"/>
      <c r="H12" s="65"/>
      <c r="J12" s="6">
        <v>180000</v>
      </c>
      <c r="L12" s="6">
        <v>180000</v>
      </c>
    </row>
    <row r="13" spans="1:12" s="6" customFormat="1" x14ac:dyDescent="0.15">
      <c r="A13" s="165"/>
      <c r="B13" s="165" t="s">
        <v>1504</v>
      </c>
      <c r="C13" s="74"/>
      <c r="D13" s="65"/>
      <c r="E13" s="191"/>
      <c r="F13" s="65"/>
      <c r="G13" s="65"/>
      <c r="H13" s="65"/>
      <c r="J13" s="6">
        <v>80000</v>
      </c>
      <c r="L13" s="6">
        <v>80000</v>
      </c>
    </row>
    <row r="14" spans="1:12" s="6" customFormat="1" ht="14" x14ac:dyDescent="0.15">
      <c r="A14" s="165"/>
      <c r="B14" s="395" t="s">
        <v>1196</v>
      </c>
      <c r="C14" s="145"/>
      <c r="D14" s="65"/>
      <c r="E14" s="191"/>
      <c r="F14" s="65"/>
      <c r="G14" s="65"/>
      <c r="H14" s="65"/>
      <c r="J14" s="6">
        <v>76000</v>
      </c>
      <c r="L14" s="6">
        <v>76000</v>
      </c>
    </row>
    <row r="15" spans="1:12" s="6" customFormat="1" x14ac:dyDescent="0.15">
      <c r="A15" s="165"/>
      <c r="B15" s="165" t="s">
        <v>1503</v>
      </c>
      <c r="C15" s="65"/>
      <c r="D15" s="65"/>
      <c r="E15" s="191"/>
      <c r="F15" s="65"/>
      <c r="G15" s="65"/>
      <c r="H15" s="65"/>
      <c r="J15" s="6">
        <v>160000</v>
      </c>
      <c r="L15" s="6">
        <v>160000</v>
      </c>
    </row>
    <row r="16" spans="1:12" s="6" customFormat="1" x14ac:dyDescent="0.15">
      <c r="A16" s="165"/>
      <c r="B16" s="165" t="s">
        <v>1197</v>
      </c>
      <c r="C16" s="65"/>
      <c r="D16" s="65"/>
      <c r="E16" s="320"/>
      <c r="F16" s="65"/>
      <c r="G16" s="65"/>
      <c r="H16" s="65"/>
      <c r="J16" s="6">
        <v>150000</v>
      </c>
      <c r="L16" s="6">
        <f>150000-3500</f>
        <v>146500</v>
      </c>
    </row>
    <row r="17" spans="1:12" s="6" customFormat="1" x14ac:dyDescent="0.15">
      <c r="A17" s="165"/>
      <c r="B17" s="83"/>
      <c r="C17" s="65"/>
      <c r="D17" s="65"/>
      <c r="E17" s="191"/>
      <c r="F17" s="65"/>
      <c r="G17" s="65"/>
      <c r="H17" s="65"/>
    </row>
    <row r="18" spans="1:12" s="6" customFormat="1" x14ac:dyDescent="0.15">
      <c r="A18" s="165"/>
      <c r="B18" s="393" t="s">
        <v>1038</v>
      </c>
      <c r="C18" s="60"/>
      <c r="D18" s="65"/>
      <c r="E18" s="191"/>
      <c r="F18" s="65"/>
      <c r="G18" s="65"/>
      <c r="H18" s="65"/>
      <c r="J18" s="396">
        <f>SUM(J12:J16)</f>
        <v>646000</v>
      </c>
      <c r="L18" s="396">
        <f>SUM(L12:L16)</f>
        <v>642500</v>
      </c>
    </row>
    <row r="19" spans="1:12" s="6" customFormat="1" x14ac:dyDescent="0.15">
      <c r="A19" s="165"/>
      <c r="B19" s="165" t="s">
        <v>1131</v>
      </c>
      <c r="C19" s="146"/>
      <c r="D19" s="65"/>
      <c r="E19" s="191"/>
      <c r="F19" s="65"/>
      <c r="G19" s="65"/>
      <c r="H19" s="65"/>
      <c r="J19" s="6">
        <v>145990</v>
      </c>
    </row>
    <row r="20" spans="1:12" s="6" customFormat="1" x14ac:dyDescent="0.15">
      <c r="A20" s="165"/>
      <c r="B20" s="165"/>
      <c r="C20" s="65"/>
      <c r="D20" s="65"/>
      <c r="E20" s="320"/>
      <c r="F20" s="65"/>
      <c r="G20" s="65"/>
      <c r="H20" s="65"/>
    </row>
    <row r="21" spans="1:12" s="6" customFormat="1" x14ac:dyDescent="0.15">
      <c r="A21" s="165"/>
      <c r="B21" s="413" t="s">
        <v>1314</v>
      </c>
      <c r="C21" s="414"/>
      <c r="D21" s="414"/>
      <c r="E21" s="415"/>
      <c r="F21" s="414"/>
      <c r="G21" s="414"/>
      <c r="H21" s="414"/>
      <c r="I21" s="416"/>
      <c r="J21" s="417">
        <f>J10-J18-J19</f>
        <v>846250</v>
      </c>
      <c r="L21" s="417">
        <f>L10-L18</f>
        <v>837380</v>
      </c>
    </row>
    <row r="22" spans="1:12" s="6" customFormat="1" x14ac:dyDescent="0.15">
      <c r="A22" s="165"/>
      <c r="B22" s="165"/>
      <c r="C22" s="65"/>
      <c r="D22" s="65"/>
      <c r="E22" s="191"/>
      <c r="F22" s="65"/>
      <c r="G22" s="65"/>
      <c r="H22" s="65"/>
    </row>
    <row r="23" spans="1:12" s="6" customFormat="1" x14ac:dyDescent="0.15">
      <c r="A23" s="165"/>
      <c r="B23" s="412" t="s">
        <v>1128</v>
      </c>
      <c r="C23" s="65"/>
      <c r="D23" s="65"/>
      <c r="E23" s="320"/>
      <c r="F23" s="65"/>
      <c r="G23" s="65"/>
      <c r="J23" s="406">
        <f>450000-23070</f>
        <v>426930</v>
      </c>
      <c r="L23" s="406">
        <f>450000-23070</f>
        <v>426930</v>
      </c>
    </row>
    <row r="24" spans="1:12" s="6" customFormat="1" x14ac:dyDescent="0.15">
      <c r="A24" s="165"/>
      <c r="B24" s="165"/>
      <c r="C24" s="65"/>
      <c r="D24" s="65"/>
      <c r="E24" s="191"/>
      <c r="F24" s="65"/>
      <c r="G24" s="65"/>
    </row>
    <row r="25" spans="1:12" s="6" customFormat="1" x14ac:dyDescent="0.15">
      <c r="A25" s="165"/>
      <c r="B25" s="407" t="s">
        <v>1129</v>
      </c>
      <c r="C25" s="408"/>
      <c r="D25" s="408"/>
      <c r="E25" s="409"/>
      <c r="F25" s="408"/>
      <c r="G25" s="408"/>
      <c r="H25" s="410"/>
      <c r="I25" s="410"/>
      <c r="J25" s="411">
        <f>J21-J23</f>
        <v>419320</v>
      </c>
      <c r="L25" s="411">
        <f>L21-L23</f>
        <v>410450</v>
      </c>
    </row>
    <row r="26" spans="1:12" s="6" customFormat="1" x14ac:dyDescent="0.15">
      <c r="A26" s="165"/>
      <c r="B26" s="165"/>
      <c r="C26" s="65"/>
      <c r="D26" s="65"/>
      <c r="E26" s="191"/>
      <c r="F26" s="65"/>
      <c r="G26" s="65"/>
      <c r="I26" s="6" t="s">
        <v>1484</v>
      </c>
    </row>
    <row r="27" spans="1:12" s="6" customFormat="1" x14ac:dyDescent="0.15">
      <c r="A27" s="165"/>
      <c r="B27" s="419" t="s">
        <v>1021</v>
      </c>
      <c r="C27" s="65"/>
      <c r="D27" s="65"/>
      <c r="E27" s="191"/>
      <c r="F27" s="65">
        <v>12000</v>
      </c>
      <c r="G27" s="65"/>
    </row>
    <row r="28" spans="1:12" s="6" customFormat="1" x14ac:dyDescent="0.15">
      <c r="A28" s="165"/>
      <c r="B28" s="419" t="s">
        <v>1133</v>
      </c>
      <c r="C28" s="65"/>
      <c r="D28" s="65"/>
      <c r="E28" s="191"/>
      <c r="F28" s="65">
        <v>77470</v>
      </c>
      <c r="G28" s="65"/>
    </row>
    <row r="29" spans="1:12" s="6" customFormat="1" x14ac:dyDescent="0.15">
      <c r="A29" s="165"/>
      <c r="B29" s="419" t="s">
        <v>1134</v>
      </c>
      <c r="C29" s="65"/>
      <c r="D29" s="65"/>
      <c r="E29" s="320"/>
      <c r="F29" s="65">
        <v>10800</v>
      </c>
      <c r="G29" s="65"/>
    </row>
    <row r="30" spans="1:12" s="6" customFormat="1" x14ac:dyDescent="0.15">
      <c r="A30" s="165"/>
      <c r="B30" s="419" t="s">
        <v>1135</v>
      </c>
      <c r="C30" s="65"/>
      <c r="D30" s="65"/>
      <c r="E30" s="320"/>
      <c r="F30" s="65">
        <v>4770</v>
      </c>
      <c r="G30" s="65"/>
      <c r="I30" s="6">
        <v>4770</v>
      </c>
    </row>
    <row r="31" spans="1:12" s="6" customFormat="1" x14ac:dyDescent="0.15">
      <c r="A31" s="165"/>
      <c r="B31" s="419" t="s">
        <v>1136</v>
      </c>
      <c r="C31" s="65"/>
      <c r="D31" s="65"/>
      <c r="E31" s="191"/>
      <c r="F31" s="65">
        <v>5900</v>
      </c>
      <c r="G31" s="65"/>
    </row>
    <row r="32" spans="1:12" s="6" customFormat="1" x14ac:dyDescent="0.15">
      <c r="A32" s="165"/>
      <c r="B32" s="419" t="s">
        <v>1137</v>
      </c>
      <c r="C32" s="65"/>
      <c r="D32" s="65"/>
      <c r="E32" s="191"/>
      <c r="F32" s="65">
        <v>7780</v>
      </c>
      <c r="G32" s="65"/>
    </row>
    <row r="33" spans="1:9" s="6" customFormat="1" x14ac:dyDescent="0.15">
      <c r="A33" s="165"/>
      <c r="B33" s="419" t="s">
        <v>1138</v>
      </c>
      <c r="C33" s="65"/>
      <c r="D33" s="65"/>
      <c r="E33" s="317"/>
      <c r="F33" s="65">
        <v>8200</v>
      </c>
      <c r="G33" s="65"/>
    </row>
    <row r="34" spans="1:9" s="6" customFormat="1" x14ac:dyDescent="0.15">
      <c r="A34" s="165"/>
      <c r="B34" s="419" t="s">
        <v>1139</v>
      </c>
      <c r="C34" s="65"/>
      <c r="D34" s="65"/>
      <c r="E34" s="191"/>
      <c r="F34" s="65">
        <v>58700</v>
      </c>
      <c r="G34" s="65"/>
    </row>
    <row r="35" spans="1:9" s="6" customFormat="1" x14ac:dyDescent="0.15">
      <c r="A35" s="165"/>
      <c r="B35" s="419" t="s">
        <v>1140</v>
      </c>
      <c r="C35" s="65"/>
      <c r="D35" s="65"/>
      <c r="E35" s="320"/>
      <c r="F35" s="65">
        <v>15250</v>
      </c>
      <c r="G35" s="65"/>
    </row>
    <row r="36" spans="1:9" s="6" customFormat="1" x14ac:dyDescent="0.15">
      <c r="A36" s="165"/>
      <c r="B36" s="419" t="s">
        <v>1019</v>
      </c>
      <c r="C36" s="65"/>
      <c r="D36" s="65"/>
      <c r="E36" s="320"/>
      <c r="F36" s="65">
        <v>4570</v>
      </c>
      <c r="G36" s="65"/>
    </row>
    <row r="37" spans="1:9" s="6" customFormat="1" x14ac:dyDescent="0.15">
      <c r="A37" s="165"/>
      <c r="B37" s="419" t="s">
        <v>1020</v>
      </c>
      <c r="C37" s="65"/>
      <c r="D37" s="65"/>
      <c r="E37" s="320"/>
      <c r="F37" s="65">
        <v>60000</v>
      </c>
      <c r="G37" s="65"/>
    </row>
    <row r="38" spans="1:9" s="6" customFormat="1" x14ac:dyDescent="0.15">
      <c r="A38" s="165"/>
      <c r="B38" s="165" t="s">
        <v>1482</v>
      </c>
      <c r="C38" s="65"/>
      <c r="D38" s="65"/>
      <c r="E38" s="193"/>
      <c r="F38" s="420">
        <f>SUM(F27:F37)</f>
        <v>265440</v>
      </c>
      <c r="G38" s="65"/>
    </row>
    <row r="39" spans="1:9" s="6" customFormat="1" x14ac:dyDescent="0.15">
      <c r="A39" s="165"/>
      <c r="B39" s="165" t="s">
        <v>1022</v>
      </c>
      <c r="C39" s="65"/>
      <c r="D39" s="65"/>
      <c r="E39" s="193"/>
      <c r="F39" s="65"/>
      <c r="G39" s="419" t="s">
        <v>1024</v>
      </c>
      <c r="I39" s="421">
        <v>7400</v>
      </c>
    </row>
    <row r="40" spans="1:9" s="6" customFormat="1" x14ac:dyDescent="0.15">
      <c r="A40" s="165"/>
      <c r="B40" s="165" t="s">
        <v>1023</v>
      </c>
      <c r="C40" s="65"/>
      <c r="D40" s="65"/>
      <c r="E40" s="193"/>
      <c r="F40" s="65">
        <v>53000</v>
      </c>
      <c r="G40" s="419" t="s">
        <v>688</v>
      </c>
      <c r="I40" s="6">
        <v>28200</v>
      </c>
    </row>
    <row r="41" spans="1:9" s="6" customFormat="1" x14ac:dyDescent="0.15">
      <c r="A41" s="165"/>
      <c r="B41" s="165" t="s">
        <v>1204</v>
      </c>
      <c r="C41" s="65"/>
      <c r="D41" s="65"/>
      <c r="E41" s="193"/>
      <c r="F41" s="65">
        <v>39700</v>
      </c>
      <c r="G41" s="65"/>
      <c r="I41" s="6">
        <v>25200</v>
      </c>
    </row>
    <row r="42" spans="1:9" s="6" customFormat="1" x14ac:dyDescent="0.15">
      <c r="A42" s="165"/>
      <c r="B42" s="165" t="s">
        <v>866</v>
      </c>
      <c r="C42" s="65"/>
      <c r="D42" s="65"/>
      <c r="E42" s="193"/>
      <c r="F42" s="65">
        <v>2000</v>
      </c>
      <c r="G42" s="65"/>
      <c r="I42" s="6">
        <v>2000</v>
      </c>
    </row>
    <row r="43" spans="1:9" s="6" customFormat="1" x14ac:dyDescent="0.15">
      <c r="A43" s="165"/>
      <c r="B43" s="165" t="s">
        <v>1205</v>
      </c>
      <c r="C43" s="65"/>
      <c r="D43" s="65"/>
      <c r="E43" s="320"/>
      <c r="F43" s="65">
        <v>20500</v>
      </c>
      <c r="G43" s="65"/>
      <c r="I43" s="6">
        <v>20500</v>
      </c>
    </row>
    <row r="44" spans="1:9" s="6" customFormat="1" x14ac:dyDescent="0.15">
      <c r="A44" s="165"/>
      <c r="B44" s="165" t="s">
        <v>862</v>
      </c>
      <c r="C44" s="65"/>
      <c r="D44" s="65"/>
      <c r="E44" s="191"/>
      <c r="F44" s="65">
        <v>23400</v>
      </c>
      <c r="G44" s="65"/>
    </row>
    <row r="45" spans="1:9" s="6" customFormat="1" x14ac:dyDescent="0.15">
      <c r="A45" s="165"/>
      <c r="B45" s="165" t="s">
        <v>863</v>
      </c>
      <c r="C45" s="65"/>
      <c r="D45" s="65"/>
      <c r="E45" s="193"/>
      <c r="F45" s="65">
        <v>48100</v>
      </c>
      <c r="G45" s="419" t="s">
        <v>864</v>
      </c>
    </row>
    <row r="46" spans="1:9" s="6" customFormat="1" x14ac:dyDescent="0.15">
      <c r="A46" s="165"/>
      <c r="B46" s="165" t="s">
        <v>865</v>
      </c>
      <c r="C46" s="65"/>
      <c r="D46" s="65"/>
      <c r="E46" s="320"/>
      <c r="F46" s="65">
        <v>22000</v>
      </c>
      <c r="G46" s="65"/>
    </row>
    <row r="47" spans="1:9" s="6" customFormat="1" x14ac:dyDescent="0.15">
      <c r="A47" s="165"/>
      <c r="B47" s="165"/>
      <c r="C47" s="65"/>
      <c r="D47" s="65"/>
      <c r="E47" s="320"/>
      <c r="F47" s="65">
        <f>SUM(F38:F46)</f>
        <v>474140</v>
      </c>
      <c r="G47" s="65"/>
    </row>
    <row r="48" spans="1:9" s="6" customFormat="1" x14ac:dyDescent="0.15">
      <c r="A48" s="165"/>
      <c r="B48" s="165"/>
      <c r="C48" s="65"/>
      <c r="D48" s="65"/>
      <c r="E48" s="320"/>
      <c r="F48" s="65"/>
      <c r="G48" s="65"/>
    </row>
    <row r="49" spans="1:7" s="6" customFormat="1" x14ac:dyDescent="0.15">
      <c r="A49" s="165"/>
      <c r="B49" s="165"/>
      <c r="C49" s="65"/>
      <c r="D49" s="65"/>
      <c r="E49" s="193"/>
      <c r="F49" s="65"/>
      <c r="G49" s="65"/>
    </row>
    <row r="50" spans="1:7" s="6" customFormat="1" x14ac:dyDescent="0.15">
      <c r="A50" s="165"/>
      <c r="B50" s="165"/>
      <c r="C50" s="65"/>
      <c r="D50" s="65"/>
      <c r="E50" s="193"/>
      <c r="F50" s="65"/>
      <c r="G50" s="65"/>
    </row>
    <row r="51" spans="1:7" s="6" customFormat="1" x14ac:dyDescent="0.15">
      <c r="A51" s="165"/>
      <c r="B51" s="165"/>
      <c r="C51" s="65"/>
      <c r="D51" s="65"/>
      <c r="E51" s="183"/>
      <c r="F51" s="65"/>
      <c r="G51" s="65"/>
    </row>
    <row r="52" spans="1:7" s="6" customFormat="1" x14ac:dyDescent="0.15">
      <c r="A52" s="165"/>
      <c r="B52" s="165"/>
      <c r="C52" s="65"/>
      <c r="D52" s="65"/>
      <c r="E52" s="183"/>
      <c r="F52" s="65"/>
      <c r="G52" s="65"/>
    </row>
    <row r="53" spans="1:7" s="6" customFormat="1" x14ac:dyDescent="0.15">
      <c r="A53" s="165"/>
      <c r="B53" s="165"/>
      <c r="C53" s="65"/>
      <c r="D53" s="65"/>
      <c r="E53" s="183"/>
      <c r="F53" s="65"/>
      <c r="G53" s="65"/>
    </row>
    <row r="54" spans="1:7" s="6" customFormat="1" x14ac:dyDescent="0.15">
      <c r="A54" s="165"/>
      <c r="B54" s="165"/>
      <c r="C54" s="65"/>
      <c r="D54" s="65"/>
      <c r="E54" s="183"/>
      <c r="F54" s="65"/>
      <c r="G54" s="65"/>
    </row>
    <row r="55" spans="1:7" s="6" customFormat="1" x14ac:dyDescent="0.15">
      <c r="A55" s="165"/>
      <c r="B55" s="165"/>
      <c r="C55" s="65"/>
      <c r="D55" s="65"/>
      <c r="E55" s="191"/>
      <c r="F55" s="65"/>
      <c r="G55" s="65"/>
    </row>
    <row r="56" spans="1:7" s="6" customFormat="1" x14ac:dyDescent="0.15">
      <c r="A56" s="165"/>
      <c r="B56" s="165"/>
      <c r="C56" s="65"/>
      <c r="D56" s="65"/>
      <c r="E56" s="191"/>
      <c r="F56" s="65"/>
      <c r="G56" s="65"/>
    </row>
    <row r="57" spans="1:7" s="6" customFormat="1" x14ac:dyDescent="0.15">
      <c r="A57" s="165"/>
      <c r="B57" s="165"/>
      <c r="C57" s="65"/>
      <c r="D57" s="65"/>
      <c r="E57" s="191"/>
      <c r="F57" s="65"/>
      <c r="G57" s="65"/>
    </row>
    <row r="58" spans="1:7" s="6" customFormat="1" x14ac:dyDescent="0.15">
      <c r="A58" s="165"/>
      <c r="B58" s="165"/>
      <c r="C58" s="65"/>
      <c r="D58" s="65"/>
      <c r="E58" s="191"/>
      <c r="F58" s="65"/>
      <c r="G58" s="65"/>
    </row>
    <row r="59" spans="1:7" s="6" customFormat="1" x14ac:dyDescent="0.15">
      <c r="A59" s="165"/>
      <c r="B59" s="165"/>
      <c r="C59" s="65"/>
      <c r="D59" s="65"/>
      <c r="E59" s="191"/>
      <c r="F59" s="65"/>
      <c r="G59" s="65"/>
    </row>
    <row r="60" spans="1:7" s="6" customFormat="1" x14ac:dyDescent="0.15">
      <c r="A60" s="165"/>
      <c r="B60" s="165"/>
      <c r="C60" s="65"/>
      <c r="D60" s="65"/>
      <c r="E60" s="320"/>
      <c r="F60" s="65"/>
      <c r="G60" s="65"/>
    </row>
    <row r="61" spans="1:7" s="6" customFormat="1" x14ac:dyDescent="0.15">
      <c r="A61" s="165"/>
      <c r="B61" s="165"/>
      <c r="C61" s="65"/>
      <c r="D61" s="65"/>
      <c r="E61" s="191"/>
      <c r="F61" s="65"/>
      <c r="G61" s="65"/>
    </row>
    <row r="62" spans="1:7" s="6" customFormat="1" x14ac:dyDescent="0.15">
      <c r="A62" s="165"/>
      <c r="B62" s="165"/>
      <c r="C62" s="65"/>
      <c r="D62" s="65"/>
      <c r="E62" s="191"/>
      <c r="F62" s="65"/>
      <c r="G62" s="65"/>
    </row>
    <row r="63" spans="1:7" s="6" customFormat="1" x14ac:dyDescent="0.15">
      <c r="A63" s="165"/>
      <c r="B63" s="165"/>
      <c r="C63" s="65"/>
      <c r="D63" s="65"/>
      <c r="E63" s="191"/>
      <c r="F63" s="65"/>
      <c r="G63" s="65"/>
    </row>
    <row r="64" spans="1:7" s="6" customFormat="1" x14ac:dyDescent="0.15">
      <c r="A64" s="165"/>
      <c r="B64" s="165"/>
      <c r="C64" s="65"/>
      <c r="D64" s="65"/>
      <c r="E64" s="193"/>
      <c r="F64" s="65"/>
      <c r="G64" s="65"/>
    </row>
    <row r="65" spans="1:7" s="6" customFormat="1" x14ac:dyDescent="0.15">
      <c r="A65" s="165"/>
      <c r="B65" s="165"/>
      <c r="C65" s="65"/>
      <c r="D65" s="65"/>
      <c r="E65" s="183"/>
      <c r="F65" s="65"/>
      <c r="G65" s="65"/>
    </row>
    <row r="66" spans="1:7" s="6" customFormat="1" x14ac:dyDescent="0.15">
      <c r="A66" s="165"/>
      <c r="B66" s="165"/>
      <c r="C66" s="65"/>
      <c r="D66" s="65"/>
      <c r="E66" s="183"/>
      <c r="F66" s="65"/>
      <c r="G66" s="65"/>
    </row>
    <row r="67" spans="1:7" s="6" customFormat="1" x14ac:dyDescent="0.15">
      <c r="A67" s="165"/>
      <c r="B67" s="165"/>
      <c r="C67" s="65"/>
      <c r="D67" s="65"/>
      <c r="E67" s="193"/>
      <c r="F67" s="65"/>
      <c r="G67" s="65"/>
    </row>
    <row r="68" spans="1:7" s="6" customFormat="1" x14ac:dyDescent="0.15">
      <c r="A68" s="165"/>
      <c r="B68" s="165"/>
      <c r="C68" s="65"/>
      <c r="D68" s="65"/>
      <c r="E68" s="193"/>
      <c r="F68" s="65"/>
      <c r="G68" s="65"/>
    </row>
    <row r="69" spans="1:7" s="6" customFormat="1" x14ac:dyDescent="0.15">
      <c r="A69" s="165"/>
      <c r="B69" s="165"/>
      <c r="C69" s="65"/>
      <c r="D69" s="65"/>
      <c r="E69" s="193"/>
      <c r="F69" s="65"/>
      <c r="G69" s="65"/>
    </row>
    <row r="70" spans="1:7" s="6" customFormat="1" x14ac:dyDescent="0.15">
      <c r="A70" s="165"/>
      <c r="B70" s="165"/>
      <c r="C70" s="65"/>
      <c r="D70" s="65"/>
      <c r="E70" s="193"/>
      <c r="F70" s="65"/>
      <c r="G70" s="65"/>
    </row>
    <row r="71" spans="1:7" s="6" customFormat="1" x14ac:dyDescent="0.15">
      <c r="A71" s="165"/>
      <c r="B71" s="165"/>
      <c r="C71" s="65"/>
      <c r="D71" s="65"/>
      <c r="E71" s="320"/>
      <c r="F71" s="65"/>
      <c r="G71" s="65"/>
    </row>
    <row r="72" spans="1:7" s="6" customFormat="1" x14ac:dyDescent="0.15">
      <c r="A72" s="165"/>
      <c r="B72" s="165"/>
      <c r="C72" s="65"/>
      <c r="D72" s="65"/>
      <c r="E72" s="320"/>
      <c r="F72" s="65"/>
      <c r="G72" s="65"/>
    </row>
    <row r="73" spans="1:7" s="6" customFormat="1" x14ac:dyDescent="0.15">
      <c r="A73" s="165"/>
      <c r="B73" s="165"/>
      <c r="C73" s="65"/>
      <c r="D73" s="65"/>
      <c r="E73" s="347"/>
      <c r="F73" s="65"/>
      <c r="G73" s="65"/>
    </row>
    <row r="74" spans="1:7" s="6" customFormat="1" x14ac:dyDescent="0.15">
      <c r="A74" s="165"/>
      <c r="B74" s="165"/>
      <c r="C74" s="65"/>
      <c r="D74" s="65"/>
      <c r="E74" s="320"/>
      <c r="F74" s="65"/>
      <c r="G74" s="65"/>
    </row>
    <row r="75" spans="1:7" s="6" customFormat="1" x14ac:dyDescent="0.15">
      <c r="A75" s="165"/>
      <c r="B75" s="165"/>
      <c r="C75" s="65"/>
      <c r="D75" s="65"/>
      <c r="E75" s="317"/>
      <c r="F75" s="65"/>
      <c r="G75" s="65"/>
    </row>
    <row r="76" spans="1:7" s="6" customFormat="1" x14ac:dyDescent="0.15">
      <c r="A76" s="165"/>
      <c r="B76" s="165"/>
      <c r="C76" s="65"/>
      <c r="D76" s="65"/>
      <c r="E76" s="191"/>
      <c r="F76" s="65"/>
      <c r="G76" s="65"/>
    </row>
    <row r="77" spans="1:7" s="6" customFormat="1" x14ac:dyDescent="0.15">
      <c r="A77" s="165"/>
      <c r="B77" s="165"/>
      <c r="C77" s="65"/>
      <c r="D77" s="65"/>
      <c r="E77" s="191"/>
      <c r="F77" s="65"/>
      <c r="G77" s="65"/>
    </row>
    <row r="78" spans="1:7" s="6" customFormat="1" x14ac:dyDescent="0.15">
      <c r="A78" s="165"/>
      <c r="B78" s="165"/>
      <c r="C78" s="65"/>
      <c r="D78" s="65"/>
      <c r="E78" s="320"/>
      <c r="F78" s="65"/>
      <c r="G78" s="65"/>
    </row>
    <row r="79" spans="1:7" s="6" customFormat="1" x14ac:dyDescent="0.15">
      <c r="A79" s="165"/>
      <c r="B79" s="165"/>
      <c r="C79" s="65"/>
      <c r="D79" s="65"/>
      <c r="E79" s="320"/>
      <c r="F79" s="65"/>
      <c r="G79" s="65"/>
    </row>
    <row r="80" spans="1:7" s="6" customFormat="1" x14ac:dyDescent="0.15">
      <c r="A80" s="165"/>
      <c r="B80" s="165"/>
      <c r="C80" s="65"/>
      <c r="D80" s="65"/>
      <c r="E80" s="320"/>
      <c r="F80" s="65"/>
      <c r="G80" s="65"/>
    </row>
    <row r="81" spans="1:7" s="6" customFormat="1" x14ac:dyDescent="0.15">
      <c r="A81" s="165"/>
      <c r="B81" s="165"/>
      <c r="C81" s="65"/>
      <c r="D81" s="65"/>
      <c r="E81" s="320"/>
      <c r="F81" s="65"/>
      <c r="G81" s="65"/>
    </row>
    <row r="82" spans="1:7" s="6" customFormat="1" x14ac:dyDescent="0.15">
      <c r="A82" s="165"/>
      <c r="B82" s="165"/>
      <c r="C82" s="65"/>
      <c r="D82" s="65"/>
      <c r="E82" s="320"/>
      <c r="F82" s="65"/>
      <c r="G82" s="65"/>
    </row>
    <row r="83" spans="1:7" s="6" customFormat="1" x14ac:dyDescent="0.15">
      <c r="A83" s="165"/>
      <c r="B83" s="165"/>
      <c r="C83" s="65"/>
      <c r="D83" s="65"/>
      <c r="E83" s="320"/>
      <c r="F83" s="65"/>
      <c r="G83" s="65"/>
    </row>
    <row r="84" spans="1:7" s="6" customFormat="1" x14ac:dyDescent="0.15">
      <c r="A84" s="165"/>
      <c r="B84" s="165"/>
      <c r="C84" s="65"/>
      <c r="D84" s="65"/>
      <c r="E84" s="320"/>
      <c r="F84" s="65"/>
      <c r="G84" s="65"/>
    </row>
    <row r="85" spans="1:7" s="6" customFormat="1" x14ac:dyDescent="0.15">
      <c r="A85" s="165"/>
      <c r="B85" s="165"/>
      <c r="C85" s="65"/>
      <c r="D85" s="65"/>
      <c r="E85" s="320"/>
      <c r="F85" s="65"/>
      <c r="G85" s="65"/>
    </row>
    <row r="86" spans="1:7" s="6" customFormat="1" x14ac:dyDescent="0.15">
      <c r="A86" s="165"/>
      <c r="B86" s="165"/>
      <c r="C86" s="65"/>
      <c r="D86" s="65"/>
      <c r="E86" s="320"/>
      <c r="F86" s="65"/>
      <c r="G86" s="65"/>
    </row>
    <row r="87" spans="1:7" s="6" customFormat="1" x14ac:dyDescent="0.15">
      <c r="A87" s="165"/>
      <c r="B87" s="165"/>
      <c r="C87" s="65"/>
      <c r="D87" s="65"/>
      <c r="E87" s="320"/>
      <c r="F87" s="65"/>
      <c r="G87" s="65"/>
    </row>
    <row r="88" spans="1:7" s="6" customFormat="1" x14ac:dyDescent="0.15">
      <c r="A88" s="165"/>
      <c r="B88" s="165"/>
      <c r="C88" s="65"/>
      <c r="D88" s="65"/>
      <c r="E88" s="191"/>
      <c r="F88" s="65"/>
      <c r="G88" s="65"/>
    </row>
    <row r="89" spans="1:7" s="6" customFormat="1" x14ac:dyDescent="0.15">
      <c r="A89" s="165"/>
      <c r="B89" s="165"/>
      <c r="C89" s="65"/>
      <c r="D89" s="65"/>
      <c r="E89" s="320"/>
      <c r="F89" s="65"/>
      <c r="G89" s="65"/>
    </row>
    <row r="90" spans="1:7" s="6" customFormat="1" x14ac:dyDescent="0.15">
      <c r="A90" s="165"/>
      <c r="B90" s="165"/>
      <c r="C90" s="65"/>
      <c r="D90" s="65"/>
      <c r="E90" s="191"/>
      <c r="F90" s="65"/>
      <c r="G90" s="65"/>
    </row>
    <row r="91" spans="1:7" s="6" customFormat="1" x14ac:dyDescent="0.15">
      <c r="A91" s="165"/>
      <c r="B91" s="165"/>
      <c r="C91" s="65"/>
      <c r="D91" s="65"/>
      <c r="E91" s="191"/>
      <c r="F91" s="65"/>
      <c r="G91" s="65"/>
    </row>
    <row r="92" spans="1:7" s="6" customFormat="1" x14ac:dyDescent="0.15">
      <c r="A92" s="165"/>
      <c r="B92" s="165"/>
      <c r="C92" s="65"/>
      <c r="D92" s="65"/>
      <c r="E92" s="320"/>
      <c r="F92" s="65"/>
      <c r="G92" s="65"/>
    </row>
    <row r="93" spans="1:7" s="6" customFormat="1" x14ac:dyDescent="0.15">
      <c r="A93" s="165"/>
      <c r="B93" s="165"/>
      <c r="C93" s="65"/>
      <c r="D93" s="65"/>
      <c r="E93" s="320"/>
      <c r="F93" s="65"/>
      <c r="G93" s="65"/>
    </row>
    <row r="94" spans="1:7" s="6" customFormat="1" x14ac:dyDescent="0.15">
      <c r="A94" s="165"/>
      <c r="B94" s="165"/>
      <c r="C94" s="65"/>
      <c r="D94" s="65"/>
      <c r="E94" s="320"/>
      <c r="F94" s="65"/>
      <c r="G94" s="65"/>
    </row>
    <row r="95" spans="1:7" s="6" customFormat="1" x14ac:dyDescent="0.15">
      <c r="A95" s="165"/>
      <c r="B95" s="165"/>
      <c r="C95" s="65"/>
      <c r="D95" s="65"/>
      <c r="E95" s="183"/>
      <c r="F95" s="65"/>
      <c r="G95" s="65"/>
    </row>
    <row r="96" spans="1:7" s="6" customFormat="1" x14ac:dyDescent="0.15">
      <c r="A96" s="165"/>
      <c r="B96" s="165"/>
      <c r="C96" s="65"/>
      <c r="D96" s="65"/>
      <c r="E96" s="320"/>
      <c r="F96" s="65"/>
      <c r="G96" s="65"/>
    </row>
    <row r="97" spans="1:7" s="6" customFormat="1" x14ac:dyDescent="0.15">
      <c r="A97" s="165"/>
      <c r="B97" s="165"/>
      <c r="C97" s="65"/>
      <c r="D97" s="65"/>
      <c r="E97" s="191"/>
      <c r="F97" s="65"/>
      <c r="G97" s="65"/>
    </row>
    <row r="98" spans="1:7" s="6" customFormat="1" x14ac:dyDescent="0.15">
      <c r="A98" s="165"/>
      <c r="B98" s="165"/>
      <c r="C98" s="65"/>
      <c r="D98" s="65"/>
      <c r="E98" s="317"/>
      <c r="F98" s="65"/>
      <c r="G98" s="65"/>
    </row>
    <row r="99" spans="1:7" s="6" customFormat="1" x14ac:dyDescent="0.15">
      <c r="A99" s="165"/>
      <c r="B99" s="165"/>
      <c r="C99" s="65"/>
      <c r="D99" s="65"/>
      <c r="E99" s="191"/>
      <c r="F99" s="65"/>
      <c r="G99" s="65"/>
    </row>
    <row r="100" spans="1:7" s="6" customFormat="1" x14ac:dyDescent="0.15">
      <c r="A100" s="165"/>
      <c r="B100" s="165"/>
      <c r="C100" s="65"/>
      <c r="D100" s="65"/>
      <c r="E100" s="193"/>
      <c r="F100" s="65"/>
      <c r="G100" s="65"/>
    </row>
    <row r="101" spans="1:7" s="6" customFormat="1" x14ac:dyDescent="0.15">
      <c r="A101" s="165"/>
      <c r="B101" s="165"/>
      <c r="C101" s="65"/>
      <c r="D101" s="65"/>
      <c r="E101" s="191"/>
      <c r="F101" s="65"/>
      <c r="G101" s="65"/>
    </row>
    <row r="102" spans="1:7" s="6" customFormat="1" x14ac:dyDescent="0.15">
      <c r="A102" s="165"/>
      <c r="B102" s="165"/>
      <c r="C102" s="65"/>
      <c r="D102" s="65"/>
      <c r="E102" s="320"/>
      <c r="F102" s="65"/>
      <c r="G102" s="65"/>
    </row>
    <row r="103" spans="1:7" s="6" customFormat="1" x14ac:dyDescent="0.15">
      <c r="A103" s="165"/>
      <c r="B103" s="165"/>
      <c r="C103" s="65"/>
      <c r="D103" s="65"/>
      <c r="E103" s="320"/>
      <c r="F103" s="65"/>
      <c r="G103" s="65"/>
    </row>
    <row r="104" spans="1:7" s="6" customFormat="1" x14ac:dyDescent="0.15">
      <c r="A104" s="165"/>
      <c r="B104" s="165"/>
      <c r="C104" s="65"/>
      <c r="D104" s="65"/>
      <c r="E104" s="320"/>
      <c r="F104" s="65"/>
      <c r="G104" s="65"/>
    </row>
    <row r="105" spans="1:7" s="6" customFormat="1" x14ac:dyDescent="0.15">
      <c r="A105" s="165"/>
      <c r="B105" s="165"/>
      <c r="C105" s="65"/>
      <c r="D105" s="65"/>
      <c r="E105" s="320"/>
      <c r="F105" s="65"/>
      <c r="G105" s="65"/>
    </row>
    <row r="106" spans="1:7" s="6" customFormat="1" x14ac:dyDescent="0.15">
      <c r="A106" s="165"/>
      <c r="B106" s="165"/>
      <c r="C106" s="65"/>
      <c r="D106" s="65"/>
      <c r="E106" s="65"/>
      <c r="F106" s="65"/>
      <c r="G106" s="65"/>
    </row>
    <row r="107" spans="1:7" s="6" customFormat="1" x14ac:dyDescent="0.15">
      <c r="A107" s="165"/>
      <c r="B107" s="165"/>
      <c r="C107" s="65"/>
      <c r="D107" s="65"/>
      <c r="E107" s="65"/>
      <c r="F107" s="65"/>
      <c r="G107" s="65"/>
    </row>
    <row r="108" spans="1:7" s="6" customFormat="1" x14ac:dyDescent="0.15">
      <c r="A108" s="165"/>
      <c r="B108" s="165"/>
      <c r="C108" s="65"/>
      <c r="D108" s="65"/>
      <c r="E108" s="65"/>
      <c r="F108" s="65"/>
      <c r="G108" s="65"/>
    </row>
    <row r="109" spans="1:7" s="6" customFormat="1" x14ac:dyDescent="0.15">
      <c r="A109" s="165"/>
      <c r="B109" s="165"/>
      <c r="C109" s="65"/>
      <c r="D109" s="65"/>
      <c r="E109" s="65"/>
      <c r="F109" s="65"/>
      <c r="G109" s="65"/>
    </row>
    <row r="110" spans="1:7" s="6" customFormat="1" x14ac:dyDescent="0.15">
      <c r="A110" s="165"/>
      <c r="B110" s="165"/>
      <c r="C110" s="65"/>
      <c r="D110" s="65"/>
      <c r="E110" s="65"/>
      <c r="F110" s="65"/>
      <c r="G110" s="65"/>
    </row>
    <row r="111" spans="1:7" s="6" customFormat="1" x14ac:dyDescent="0.15">
      <c r="A111" s="165"/>
      <c r="B111" s="165"/>
      <c r="C111" s="65"/>
      <c r="D111" s="65"/>
      <c r="E111" s="65"/>
      <c r="F111" s="65"/>
      <c r="G111" s="65"/>
    </row>
    <row r="112" spans="1:7" s="6" customFormat="1" x14ac:dyDescent="0.15">
      <c r="A112" s="165"/>
      <c r="B112" s="165"/>
      <c r="C112" s="65"/>
      <c r="D112" s="65"/>
      <c r="E112" s="65"/>
      <c r="F112" s="65"/>
      <c r="G112" s="65"/>
    </row>
    <row r="113" spans="1:7" s="6" customFormat="1" x14ac:dyDescent="0.15">
      <c r="A113" s="165"/>
      <c r="B113" s="165"/>
      <c r="C113" s="65"/>
      <c r="D113" s="65"/>
      <c r="E113" s="65"/>
      <c r="F113" s="65"/>
      <c r="G113" s="65"/>
    </row>
    <row r="114" spans="1:7" s="6" customFormat="1" x14ac:dyDescent="0.15">
      <c r="A114" s="165"/>
      <c r="B114" s="165"/>
      <c r="C114" s="65"/>
      <c r="D114" s="65"/>
      <c r="E114" s="65"/>
      <c r="F114" s="65"/>
      <c r="G114" s="65"/>
    </row>
    <row r="115" spans="1:7" s="6" customFormat="1" x14ac:dyDescent="0.15">
      <c r="A115" s="165"/>
      <c r="B115" s="165"/>
      <c r="C115" s="65"/>
      <c r="D115" s="65"/>
      <c r="E115" s="65"/>
      <c r="F115" s="65"/>
      <c r="G115" s="65"/>
    </row>
    <row r="116" spans="1:7" s="6" customFormat="1" x14ac:dyDescent="0.15">
      <c r="A116" s="165"/>
      <c r="B116" s="165"/>
      <c r="C116" s="65"/>
      <c r="D116" s="65"/>
      <c r="E116" s="65"/>
      <c r="F116" s="65"/>
      <c r="G116" s="65"/>
    </row>
    <row r="117" spans="1:7" s="6" customFormat="1" x14ac:dyDescent="0.15">
      <c r="A117" s="165"/>
      <c r="B117" s="165"/>
      <c r="C117" s="65"/>
      <c r="D117" s="65"/>
      <c r="E117" s="65"/>
      <c r="F117" s="65"/>
      <c r="G117" s="65"/>
    </row>
    <row r="118" spans="1:7" s="6" customFormat="1" x14ac:dyDescent="0.15">
      <c r="A118" s="165"/>
      <c r="B118" s="165"/>
      <c r="C118" s="65"/>
      <c r="D118" s="65"/>
      <c r="E118" s="65"/>
      <c r="F118" s="65"/>
      <c r="G118" s="65"/>
    </row>
    <row r="119" spans="1:7" s="6" customFormat="1" x14ac:dyDescent="0.15">
      <c r="A119" s="165"/>
      <c r="B119" s="165"/>
      <c r="C119" s="65"/>
      <c r="D119" s="65"/>
      <c r="E119" s="65"/>
      <c r="F119" s="65"/>
      <c r="G119" s="65"/>
    </row>
    <row r="120" spans="1:7" s="6" customFormat="1" x14ac:dyDescent="0.15">
      <c r="A120" s="165"/>
      <c r="B120" s="165"/>
      <c r="C120" s="65"/>
      <c r="D120" s="65"/>
      <c r="E120" s="65"/>
      <c r="F120" s="65"/>
      <c r="G120" s="65"/>
    </row>
    <row r="121" spans="1:7" s="6" customFormat="1" x14ac:dyDescent="0.15">
      <c r="A121" s="165"/>
      <c r="B121" s="165"/>
      <c r="C121" s="65"/>
      <c r="D121" s="65"/>
      <c r="E121" s="65"/>
      <c r="F121" s="65"/>
      <c r="G121" s="65"/>
    </row>
    <row r="122" spans="1:7" s="6" customFormat="1" x14ac:dyDescent="0.15">
      <c r="A122" s="165"/>
      <c r="B122" s="165"/>
      <c r="C122" s="65"/>
      <c r="D122" s="65"/>
      <c r="E122" s="65"/>
      <c r="F122" s="65"/>
      <c r="G122" s="65"/>
    </row>
    <row r="123" spans="1:7" s="6" customFormat="1" x14ac:dyDescent="0.15">
      <c r="A123" s="165"/>
      <c r="B123" s="165"/>
      <c r="C123" s="65"/>
      <c r="D123" s="65"/>
      <c r="E123" s="65"/>
      <c r="F123" s="65"/>
      <c r="G123" s="65"/>
    </row>
    <row r="124" spans="1:7" s="6" customFormat="1" x14ac:dyDescent="0.15">
      <c r="A124" s="165"/>
      <c r="B124" s="165"/>
      <c r="C124" s="65"/>
      <c r="D124" s="65"/>
      <c r="E124" s="65"/>
      <c r="F124" s="65"/>
      <c r="G124" s="65"/>
    </row>
    <row r="125" spans="1:7" s="6" customFormat="1" x14ac:dyDescent="0.15">
      <c r="A125" s="165"/>
      <c r="B125" s="165"/>
      <c r="C125" s="65"/>
      <c r="D125" s="65"/>
      <c r="E125" s="65"/>
      <c r="F125" s="65"/>
      <c r="G125" s="65"/>
    </row>
    <row r="126" spans="1:7" s="6" customFormat="1" x14ac:dyDescent="0.15">
      <c r="A126" s="165"/>
      <c r="B126" s="165"/>
      <c r="C126" s="65"/>
      <c r="D126" s="65"/>
      <c r="E126" s="65"/>
      <c r="F126" s="65"/>
      <c r="G126" s="65"/>
    </row>
    <row r="127" spans="1:7" s="6" customFormat="1" x14ac:dyDescent="0.15">
      <c r="A127" s="165"/>
      <c r="B127" s="165"/>
      <c r="C127" s="65"/>
      <c r="D127" s="65"/>
      <c r="E127" s="65"/>
      <c r="F127" s="65"/>
      <c r="G127" s="65"/>
    </row>
    <row r="128" spans="1:7" s="6" customFormat="1" x14ac:dyDescent="0.15">
      <c r="A128" s="165"/>
      <c r="B128" s="165"/>
      <c r="C128" s="65"/>
      <c r="D128" s="65"/>
      <c r="E128" s="65"/>
      <c r="F128" s="65"/>
      <c r="G128" s="65"/>
    </row>
    <row r="129" spans="1:7" s="6" customFormat="1" x14ac:dyDescent="0.15">
      <c r="A129" s="165"/>
      <c r="B129" s="165"/>
      <c r="C129" s="65"/>
      <c r="D129" s="65"/>
      <c r="E129" s="65"/>
      <c r="F129" s="65"/>
      <c r="G129" s="65"/>
    </row>
    <row r="130" spans="1:7" s="6" customFormat="1" x14ac:dyDescent="0.15">
      <c r="A130" s="165"/>
      <c r="B130" s="165"/>
      <c r="C130" s="65"/>
      <c r="D130" s="65"/>
      <c r="E130" s="65"/>
      <c r="F130" s="65"/>
      <c r="G130" s="65"/>
    </row>
    <row r="131" spans="1:7" s="6" customFormat="1" x14ac:dyDescent="0.15">
      <c r="A131" s="165"/>
      <c r="B131" s="165"/>
      <c r="C131" s="65"/>
      <c r="D131" s="65"/>
      <c r="E131" s="65"/>
      <c r="F131" s="65"/>
      <c r="G131" s="65"/>
    </row>
    <row r="132" spans="1:7" s="6" customFormat="1" x14ac:dyDescent="0.15">
      <c r="A132" s="165"/>
      <c r="B132" s="165"/>
      <c r="C132" s="65"/>
      <c r="D132" s="65"/>
      <c r="E132" s="65"/>
      <c r="F132" s="65"/>
      <c r="G132" s="65"/>
    </row>
    <row r="133" spans="1:7" s="6" customFormat="1" x14ac:dyDescent="0.15">
      <c r="A133" s="165"/>
      <c r="B133" s="165"/>
      <c r="C133" s="65"/>
      <c r="D133" s="65"/>
      <c r="E133" s="65"/>
      <c r="F133" s="65"/>
      <c r="G133" s="65"/>
    </row>
    <row r="134" spans="1:7" s="6" customFormat="1" x14ac:dyDescent="0.15">
      <c r="A134" s="165"/>
      <c r="B134" s="165"/>
      <c r="C134" s="65"/>
      <c r="D134" s="65"/>
      <c r="E134" s="65"/>
      <c r="F134" s="65"/>
      <c r="G134" s="65"/>
    </row>
    <row r="135" spans="1:7" x14ac:dyDescent="0.15">
      <c r="A135" s="66"/>
      <c r="B135" s="66"/>
      <c r="C135" s="65"/>
      <c r="D135" s="65"/>
      <c r="E135" s="65"/>
      <c r="F135" s="23"/>
      <c r="G135" s="23"/>
    </row>
    <row r="136" spans="1:7" x14ac:dyDescent="0.15">
      <c r="A136" s="66"/>
      <c r="B136" s="66"/>
      <c r="C136" s="65"/>
      <c r="D136" s="65"/>
      <c r="E136" s="65"/>
      <c r="F136" s="23"/>
      <c r="G136" s="23"/>
    </row>
    <row r="137" spans="1:7" x14ac:dyDescent="0.15">
      <c r="A137" s="66"/>
      <c r="B137" s="66"/>
      <c r="C137" s="65"/>
      <c r="D137" s="65"/>
      <c r="E137" s="65"/>
      <c r="F137" s="23"/>
      <c r="G137" s="23"/>
    </row>
    <row r="138" spans="1:7" x14ac:dyDescent="0.15">
      <c r="A138" s="66"/>
      <c r="B138" s="66"/>
      <c r="C138" s="65"/>
      <c r="D138" s="65"/>
      <c r="E138" s="65"/>
      <c r="F138" s="23"/>
      <c r="G138" s="23"/>
    </row>
    <row r="139" spans="1:7" x14ac:dyDescent="0.15">
      <c r="A139" s="66"/>
      <c r="B139" s="66"/>
      <c r="C139" s="65"/>
      <c r="D139" s="65"/>
      <c r="E139" s="65"/>
      <c r="F139" s="23"/>
      <c r="G139" s="23"/>
    </row>
    <row r="140" spans="1:7" x14ac:dyDescent="0.15">
      <c r="A140" s="66"/>
      <c r="B140" s="66"/>
      <c r="C140" s="65"/>
      <c r="D140" s="65"/>
      <c r="E140" s="65"/>
      <c r="F140" s="23"/>
      <c r="G140" s="23"/>
    </row>
    <row r="141" spans="1:7" x14ac:dyDescent="0.15">
      <c r="A141" s="66"/>
      <c r="B141" s="66"/>
      <c r="C141" s="65"/>
      <c r="D141" s="65"/>
      <c r="E141" s="65"/>
      <c r="F141" s="23"/>
      <c r="G141" s="23"/>
    </row>
    <row r="142" spans="1:7" x14ac:dyDescent="0.15">
      <c r="A142" s="66"/>
      <c r="B142" s="66"/>
      <c r="C142" s="65"/>
      <c r="D142" s="65"/>
      <c r="E142" s="65"/>
      <c r="F142" s="23"/>
      <c r="G142" s="23"/>
    </row>
    <row r="143" spans="1:7" x14ac:dyDescent="0.15">
      <c r="A143" s="66"/>
      <c r="B143" s="66"/>
      <c r="C143" s="65"/>
      <c r="D143" s="65"/>
      <c r="E143" s="65"/>
      <c r="F143" s="23"/>
      <c r="G143" s="23"/>
    </row>
    <row r="144" spans="1:7" x14ac:dyDescent="0.15">
      <c r="A144" s="66"/>
      <c r="B144" s="66"/>
      <c r="C144" s="65"/>
      <c r="D144" s="65"/>
      <c r="E144" s="65"/>
      <c r="F144" s="23"/>
      <c r="G144" s="23"/>
    </row>
    <row r="145" spans="1:7" x14ac:dyDescent="0.15">
      <c r="A145" s="66"/>
      <c r="B145" s="66"/>
      <c r="C145" s="65"/>
      <c r="D145" s="65"/>
      <c r="E145" s="65"/>
      <c r="F145" s="23"/>
      <c r="G145" s="23"/>
    </row>
    <row r="146" spans="1:7" x14ac:dyDescent="0.15">
      <c r="A146" s="66"/>
      <c r="B146" s="66"/>
      <c r="C146" s="65"/>
      <c r="D146" s="65"/>
      <c r="E146" s="65"/>
      <c r="F146" s="23"/>
      <c r="G146" s="23"/>
    </row>
    <row r="147" spans="1:7" x14ac:dyDescent="0.15">
      <c r="A147" s="66"/>
      <c r="B147" s="66"/>
      <c r="C147" s="65"/>
      <c r="D147" s="65"/>
      <c r="E147" s="65"/>
      <c r="F147" s="23"/>
      <c r="G147" s="23"/>
    </row>
    <row r="148" spans="1:7" x14ac:dyDescent="0.15">
      <c r="A148" s="66"/>
      <c r="B148" s="66"/>
      <c r="C148" s="65"/>
      <c r="D148" s="65"/>
      <c r="E148" s="65"/>
      <c r="F148" s="23"/>
      <c r="G148" s="23"/>
    </row>
    <row r="149" spans="1:7" x14ac:dyDescent="0.15">
      <c r="A149" s="66"/>
      <c r="B149" s="66"/>
      <c r="C149" s="65"/>
      <c r="D149" s="65"/>
      <c r="E149" s="65"/>
      <c r="F149" s="23"/>
      <c r="G149" s="23"/>
    </row>
    <row r="150" spans="1:7" x14ac:dyDescent="0.15">
      <c r="A150" s="66"/>
      <c r="B150" s="66"/>
      <c r="C150" s="65"/>
      <c r="D150" s="65"/>
      <c r="E150" s="65"/>
      <c r="F150" s="23"/>
      <c r="G150" s="23"/>
    </row>
    <row r="151" spans="1:7" x14ac:dyDescent="0.15">
      <c r="A151" s="66"/>
      <c r="B151" s="66"/>
      <c r="C151" s="65"/>
      <c r="D151" s="65"/>
      <c r="E151" s="65"/>
      <c r="F151" s="23"/>
      <c r="G151" s="23"/>
    </row>
    <row r="152" spans="1:7" x14ac:dyDescent="0.15">
      <c r="A152" s="66"/>
      <c r="B152" s="66"/>
      <c r="C152" s="65"/>
      <c r="D152" s="65"/>
      <c r="E152" s="65"/>
      <c r="F152" s="23"/>
      <c r="G152" s="23"/>
    </row>
    <row r="153" spans="1:7" x14ac:dyDescent="0.15">
      <c r="A153" s="66"/>
      <c r="B153" s="66"/>
      <c r="C153" s="65"/>
      <c r="D153" s="65"/>
      <c r="E153" s="65"/>
      <c r="F153" s="23"/>
      <c r="G153" s="23"/>
    </row>
    <row r="154" spans="1:7" x14ac:dyDescent="0.15">
      <c r="A154" s="66"/>
      <c r="B154" s="66"/>
      <c r="C154" s="65"/>
      <c r="D154" s="65"/>
      <c r="E154" s="65"/>
      <c r="F154" s="23"/>
      <c r="G154" s="23"/>
    </row>
    <row r="155" spans="1:7" x14ac:dyDescent="0.15">
      <c r="A155" s="66"/>
      <c r="B155" s="66"/>
      <c r="C155" s="65"/>
      <c r="D155" s="65"/>
      <c r="E155" s="65"/>
      <c r="F155" s="23"/>
      <c r="G155" s="23"/>
    </row>
    <row r="156" spans="1:7" x14ac:dyDescent="0.15">
      <c r="A156" s="66"/>
      <c r="B156" s="66"/>
      <c r="C156" s="65"/>
      <c r="D156" s="65"/>
      <c r="E156" s="65"/>
      <c r="F156" s="23"/>
      <c r="G156" s="23"/>
    </row>
    <row r="157" spans="1:7" x14ac:dyDescent="0.15">
      <c r="A157" s="66"/>
      <c r="B157" s="66"/>
      <c r="C157" s="65"/>
      <c r="D157" s="65"/>
      <c r="E157" s="65"/>
      <c r="F157" s="23"/>
      <c r="G157" s="23"/>
    </row>
    <row r="158" spans="1:7" x14ac:dyDescent="0.15">
      <c r="A158" s="66"/>
      <c r="B158" s="66"/>
      <c r="C158" s="65"/>
      <c r="D158" s="65"/>
      <c r="E158" s="65"/>
      <c r="F158" s="23"/>
      <c r="G158" s="23"/>
    </row>
    <row r="159" spans="1:7" x14ac:dyDescent="0.15">
      <c r="A159" s="66"/>
      <c r="B159" s="66"/>
      <c r="C159" s="65"/>
      <c r="D159" s="65"/>
      <c r="E159" s="65"/>
      <c r="F159" s="23"/>
      <c r="G159" s="23"/>
    </row>
    <row r="160" spans="1:7" x14ac:dyDescent="0.15">
      <c r="A160" s="66"/>
      <c r="B160" s="66"/>
      <c r="C160" s="65"/>
      <c r="D160" s="65"/>
      <c r="E160" s="65"/>
      <c r="F160" s="23"/>
      <c r="G160" s="23"/>
    </row>
    <row r="161" spans="1:7" x14ac:dyDescent="0.15">
      <c r="A161" s="66"/>
      <c r="B161" s="66"/>
      <c r="C161" s="65"/>
      <c r="D161" s="65"/>
      <c r="E161" s="65"/>
      <c r="F161" s="23"/>
      <c r="G161" s="23"/>
    </row>
    <row r="162" spans="1:7" x14ac:dyDescent="0.15">
      <c r="A162" s="66"/>
      <c r="B162" s="66"/>
      <c r="C162" s="65"/>
      <c r="D162" s="65"/>
      <c r="E162" s="65"/>
      <c r="F162" s="23"/>
      <c r="G162" s="23"/>
    </row>
    <row r="163" spans="1:7" x14ac:dyDescent="0.15">
      <c r="A163" s="66"/>
      <c r="B163" s="66"/>
      <c r="C163" s="65"/>
      <c r="D163" s="65"/>
      <c r="E163" s="65"/>
      <c r="F163" s="23"/>
      <c r="G163" s="23"/>
    </row>
    <row r="164" spans="1:7" x14ac:dyDescent="0.15">
      <c r="A164" s="66"/>
      <c r="B164" s="66"/>
      <c r="C164" s="65"/>
      <c r="D164" s="65"/>
      <c r="E164" s="65"/>
      <c r="F164" s="23"/>
      <c r="G164" s="23"/>
    </row>
    <row r="165" spans="1:7" x14ac:dyDescent="0.15">
      <c r="A165" s="66"/>
      <c r="B165" s="66"/>
      <c r="C165" s="65"/>
      <c r="D165" s="65"/>
      <c r="E165" s="65"/>
      <c r="F165" s="23"/>
      <c r="G165" s="23"/>
    </row>
    <row r="166" spans="1:7" x14ac:dyDescent="0.15">
      <c r="A166" s="66"/>
      <c r="B166" s="66"/>
      <c r="C166" s="65"/>
      <c r="D166" s="65"/>
      <c r="E166" s="65"/>
      <c r="F166" s="23"/>
      <c r="G166" s="23"/>
    </row>
    <row r="167" spans="1:7" x14ac:dyDescent="0.15">
      <c r="A167" s="66"/>
      <c r="B167" s="66"/>
      <c r="C167" s="65"/>
      <c r="D167" s="65"/>
      <c r="E167" s="65"/>
      <c r="F167" s="23"/>
      <c r="G167" s="23"/>
    </row>
    <row r="168" spans="1:7" x14ac:dyDescent="0.15">
      <c r="A168" s="66"/>
      <c r="B168" s="66"/>
      <c r="C168" s="65"/>
      <c r="D168" s="65"/>
      <c r="E168" s="65"/>
      <c r="F168" s="23"/>
      <c r="G168" s="23"/>
    </row>
    <row r="169" spans="1:7" x14ac:dyDescent="0.15">
      <c r="A169" s="66"/>
      <c r="B169" s="66"/>
      <c r="C169" s="65"/>
      <c r="D169" s="65"/>
      <c r="E169" s="65"/>
      <c r="F169" s="23"/>
      <c r="G169" s="23"/>
    </row>
    <row r="170" spans="1:7" x14ac:dyDescent="0.15">
      <c r="A170" s="66"/>
      <c r="B170" s="66"/>
      <c r="C170" s="65"/>
      <c r="D170" s="65"/>
      <c r="E170" s="65"/>
      <c r="F170" s="23"/>
      <c r="G170" s="23"/>
    </row>
    <row r="171" spans="1:7" x14ac:dyDescent="0.15">
      <c r="A171" s="66"/>
      <c r="B171" s="66"/>
      <c r="C171" s="65"/>
      <c r="D171" s="65"/>
      <c r="E171" s="65"/>
      <c r="F171" s="23"/>
      <c r="G171" s="23"/>
    </row>
    <row r="172" spans="1:7" x14ac:dyDescent="0.15">
      <c r="A172" s="66"/>
      <c r="B172" s="66"/>
      <c r="C172" s="65"/>
      <c r="D172" s="65"/>
      <c r="E172" s="65"/>
      <c r="F172" s="23"/>
      <c r="G172" s="23"/>
    </row>
    <row r="173" spans="1:7" x14ac:dyDescent="0.15">
      <c r="A173" s="66"/>
      <c r="B173" s="66"/>
      <c r="C173" s="65"/>
      <c r="D173" s="65"/>
      <c r="E173" s="65"/>
      <c r="F173" s="23"/>
      <c r="G173" s="23"/>
    </row>
    <row r="174" spans="1:7" x14ac:dyDescent="0.15">
      <c r="A174" s="66"/>
      <c r="B174" s="66"/>
      <c r="C174" s="65"/>
      <c r="D174" s="65"/>
      <c r="E174" s="65"/>
      <c r="F174" s="23"/>
      <c r="G174" s="23"/>
    </row>
    <row r="175" spans="1:7" x14ac:dyDescent="0.15">
      <c r="A175" s="66"/>
      <c r="B175" s="66"/>
      <c r="C175" s="65"/>
      <c r="D175" s="65"/>
      <c r="E175" s="65"/>
      <c r="F175" s="23"/>
      <c r="G175" s="23"/>
    </row>
    <row r="176" spans="1:7" x14ac:dyDescent="0.15">
      <c r="A176" s="66"/>
      <c r="B176" s="66"/>
      <c r="C176" s="65"/>
      <c r="D176" s="65"/>
      <c r="E176" s="65"/>
      <c r="F176" s="23"/>
      <c r="G176" s="23"/>
    </row>
    <row r="177" spans="1:7" x14ac:dyDescent="0.15">
      <c r="A177" s="66"/>
      <c r="B177" s="66"/>
      <c r="C177" s="65"/>
      <c r="D177" s="65"/>
      <c r="E177" s="65"/>
      <c r="F177" s="23"/>
      <c r="G177" s="23"/>
    </row>
    <row r="178" spans="1:7" x14ac:dyDescent="0.15">
      <c r="A178" s="66"/>
      <c r="B178" s="66"/>
      <c r="C178" s="65"/>
      <c r="D178" s="65"/>
      <c r="E178" s="65"/>
      <c r="F178" s="23"/>
      <c r="G178" s="23"/>
    </row>
    <row r="179" spans="1:7" x14ac:dyDescent="0.15">
      <c r="A179" s="66"/>
      <c r="B179" s="66"/>
      <c r="C179" s="65"/>
      <c r="D179" s="65"/>
      <c r="E179" s="65"/>
      <c r="F179" s="23"/>
      <c r="G179" s="23"/>
    </row>
    <row r="180" spans="1:7" x14ac:dyDescent="0.15">
      <c r="A180" s="66"/>
      <c r="B180" s="66"/>
      <c r="C180" s="65"/>
      <c r="D180" s="65"/>
      <c r="E180" s="65"/>
      <c r="F180" s="23"/>
      <c r="G180" s="23"/>
    </row>
    <row r="181" spans="1:7" x14ac:dyDescent="0.15">
      <c r="A181" s="66"/>
      <c r="B181" s="66"/>
      <c r="C181" s="65"/>
      <c r="D181" s="65"/>
      <c r="E181" s="65"/>
      <c r="F181" s="23"/>
      <c r="G181" s="23"/>
    </row>
    <row r="182" spans="1:7" x14ac:dyDescent="0.15">
      <c r="A182" s="66"/>
      <c r="B182" s="66"/>
      <c r="C182" s="65"/>
      <c r="D182" s="65"/>
      <c r="E182" s="65"/>
      <c r="F182" s="23"/>
      <c r="G182" s="23"/>
    </row>
    <row r="183" spans="1:7" x14ac:dyDescent="0.15">
      <c r="A183" s="66"/>
      <c r="B183" s="66"/>
      <c r="C183" s="65"/>
      <c r="D183" s="65"/>
      <c r="E183" s="65"/>
      <c r="F183" s="23"/>
      <c r="G183" s="23"/>
    </row>
    <row r="184" spans="1:7" x14ac:dyDescent="0.15">
      <c r="A184" s="66"/>
      <c r="B184" s="66"/>
      <c r="C184" s="65"/>
      <c r="D184" s="65"/>
      <c r="E184" s="65"/>
      <c r="F184" s="23"/>
      <c r="G184" s="23"/>
    </row>
    <row r="185" spans="1:7" x14ac:dyDescent="0.15">
      <c r="A185" s="66"/>
      <c r="B185" s="66"/>
      <c r="C185" s="65"/>
      <c r="D185" s="65"/>
      <c r="E185" s="65"/>
      <c r="F185" s="23"/>
      <c r="G185" s="23"/>
    </row>
    <row r="186" spans="1:7" x14ac:dyDescent="0.15">
      <c r="A186" s="66"/>
      <c r="B186" s="66"/>
      <c r="C186" s="65"/>
      <c r="D186" s="65"/>
      <c r="E186" s="65"/>
      <c r="F186" s="23"/>
      <c r="G186" s="23"/>
    </row>
    <row r="187" spans="1:7" x14ac:dyDescent="0.15">
      <c r="A187" s="66"/>
      <c r="B187" s="66"/>
      <c r="C187" s="65"/>
      <c r="D187" s="65"/>
      <c r="E187" s="65"/>
      <c r="F187" s="23"/>
      <c r="G187" s="23"/>
    </row>
    <row r="188" spans="1:7" x14ac:dyDescent="0.15">
      <c r="A188" s="66"/>
      <c r="B188" s="66"/>
      <c r="C188" s="65"/>
      <c r="D188" s="65"/>
      <c r="E188" s="65"/>
      <c r="F188" s="23"/>
      <c r="G188" s="23"/>
    </row>
    <row r="189" spans="1:7" x14ac:dyDescent="0.15">
      <c r="A189" s="66"/>
      <c r="B189" s="66"/>
      <c r="C189" s="65"/>
      <c r="D189" s="65"/>
      <c r="E189" s="65"/>
      <c r="F189" s="23"/>
      <c r="G189" s="23"/>
    </row>
    <row r="190" spans="1:7" x14ac:dyDescent="0.15">
      <c r="A190" s="66"/>
      <c r="B190" s="66"/>
      <c r="C190" s="65"/>
      <c r="D190" s="65"/>
      <c r="E190" s="65"/>
      <c r="F190" s="23"/>
      <c r="G190" s="23"/>
    </row>
    <row r="191" spans="1:7" x14ac:dyDescent="0.15">
      <c r="A191" s="66"/>
      <c r="B191" s="66"/>
      <c r="C191" s="65"/>
      <c r="D191" s="65"/>
      <c r="E191" s="65"/>
      <c r="F191" s="23"/>
      <c r="G191" s="23"/>
    </row>
    <row r="192" spans="1:7" x14ac:dyDescent="0.15">
      <c r="A192" s="66"/>
      <c r="B192" s="66"/>
      <c r="C192" s="65"/>
      <c r="D192" s="65"/>
      <c r="E192" s="65"/>
      <c r="F192" s="23"/>
      <c r="G192" s="23"/>
    </row>
    <row r="193" spans="1:7" x14ac:dyDescent="0.15">
      <c r="A193" s="66"/>
      <c r="B193" s="66"/>
      <c r="C193" s="65"/>
      <c r="D193" s="65"/>
      <c r="E193" s="65"/>
      <c r="F193" s="23"/>
      <c r="G193" s="23"/>
    </row>
    <row r="194" spans="1:7" x14ac:dyDescent="0.15">
      <c r="A194" s="66"/>
      <c r="B194" s="66"/>
      <c r="C194" s="65"/>
      <c r="D194" s="65"/>
      <c r="E194" s="65"/>
      <c r="F194" s="23"/>
      <c r="G194" s="23"/>
    </row>
    <row r="195" spans="1:7" x14ac:dyDescent="0.15">
      <c r="A195" s="66"/>
      <c r="B195" s="66"/>
      <c r="C195" s="65"/>
      <c r="D195" s="65"/>
      <c r="E195" s="65"/>
      <c r="F195" s="23"/>
      <c r="G195" s="23"/>
    </row>
    <row r="196" spans="1:7" x14ac:dyDescent="0.15">
      <c r="A196" s="66"/>
      <c r="B196" s="66"/>
      <c r="C196" s="65"/>
      <c r="D196" s="65"/>
      <c r="E196" s="65"/>
      <c r="F196" s="23"/>
      <c r="G196" s="23"/>
    </row>
    <row r="197" spans="1:7" x14ac:dyDescent="0.15">
      <c r="A197" s="66"/>
      <c r="B197" s="66"/>
      <c r="C197" s="65"/>
      <c r="D197" s="65"/>
      <c r="E197" s="65"/>
      <c r="F197" s="23"/>
      <c r="G197" s="23"/>
    </row>
    <row r="198" spans="1:7" x14ac:dyDescent="0.15">
      <c r="A198" s="66"/>
      <c r="B198" s="66"/>
      <c r="C198" s="65"/>
      <c r="D198" s="65"/>
      <c r="E198" s="65"/>
      <c r="F198" s="23"/>
      <c r="G198" s="23"/>
    </row>
    <row r="199" spans="1:7" x14ac:dyDescent="0.15">
      <c r="A199" s="66"/>
      <c r="B199" s="66"/>
      <c r="C199" s="65"/>
      <c r="D199" s="65"/>
      <c r="E199" s="65"/>
      <c r="F199" s="23"/>
      <c r="G199" s="23"/>
    </row>
    <row r="200" spans="1:7" x14ac:dyDescent="0.15">
      <c r="A200" s="66"/>
      <c r="B200" s="66"/>
      <c r="C200" s="65"/>
      <c r="D200" s="65"/>
      <c r="E200" s="65"/>
      <c r="F200" s="23"/>
      <c r="G200" s="23"/>
    </row>
    <row r="201" spans="1:7" x14ac:dyDescent="0.15">
      <c r="A201" s="66"/>
      <c r="B201" s="66"/>
      <c r="C201" s="65"/>
      <c r="D201" s="65"/>
      <c r="E201" s="65"/>
      <c r="F201" s="23"/>
      <c r="G201" s="23"/>
    </row>
    <row r="202" spans="1:7" x14ac:dyDescent="0.15">
      <c r="A202" s="66"/>
      <c r="B202" s="66"/>
      <c r="C202" s="65"/>
      <c r="D202" s="65"/>
      <c r="E202" s="65"/>
      <c r="F202" s="23"/>
      <c r="G202" s="23"/>
    </row>
    <row r="203" spans="1:7" x14ac:dyDescent="0.15">
      <c r="A203" s="66"/>
      <c r="B203" s="66"/>
      <c r="C203" s="65"/>
      <c r="D203" s="65"/>
      <c r="E203" s="65"/>
      <c r="F203" s="23"/>
      <c r="G203" s="23"/>
    </row>
    <row r="204" spans="1:7" x14ac:dyDescent="0.15">
      <c r="A204" s="66"/>
      <c r="B204" s="66"/>
      <c r="C204" s="65"/>
      <c r="D204" s="65"/>
      <c r="E204" s="65"/>
      <c r="F204" s="23"/>
      <c r="G204" s="23"/>
    </row>
    <row r="205" spans="1:7" x14ac:dyDescent="0.15">
      <c r="A205" s="66"/>
      <c r="B205" s="66"/>
      <c r="C205" s="65"/>
      <c r="D205" s="65"/>
      <c r="E205" s="65"/>
      <c r="F205" s="23"/>
      <c r="G205" s="23"/>
    </row>
    <row r="206" spans="1:7" x14ac:dyDescent="0.15">
      <c r="A206" s="66"/>
      <c r="B206" s="66"/>
      <c r="C206" s="65"/>
      <c r="D206" s="65"/>
      <c r="E206" s="65"/>
      <c r="F206" s="23"/>
      <c r="G206" s="23"/>
    </row>
    <row r="207" spans="1:7" x14ac:dyDescent="0.15">
      <c r="A207" s="66"/>
      <c r="B207" s="66"/>
      <c r="C207" s="65"/>
      <c r="D207" s="65"/>
      <c r="E207" s="65"/>
      <c r="F207" s="23"/>
      <c r="G207" s="23"/>
    </row>
    <row r="208" spans="1:7" x14ac:dyDescent="0.15">
      <c r="A208" s="66"/>
      <c r="B208" s="66"/>
      <c r="C208" s="65"/>
      <c r="D208" s="65"/>
      <c r="E208" s="65"/>
      <c r="F208" s="23"/>
      <c r="G208" s="23"/>
    </row>
    <row r="209" spans="1:7" x14ac:dyDescent="0.15">
      <c r="A209" s="66"/>
      <c r="B209" s="66"/>
      <c r="C209" s="65"/>
      <c r="D209" s="65"/>
      <c r="E209" s="65"/>
      <c r="F209" s="23"/>
      <c r="G209" s="23"/>
    </row>
    <row r="210" spans="1:7" x14ac:dyDescent="0.15">
      <c r="A210" s="66"/>
      <c r="B210" s="66"/>
      <c r="C210" s="65"/>
      <c r="D210" s="65"/>
      <c r="E210" s="65"/>
      <c r="F210" s="23"/>
      <c r="G210" s="23"/>
    </row>
    <row r="211" spans="1:7" x14ac:dyDescent="0.15">
      <c r="A211" s="66"/>
      <c r="B211" s="66"/>
      <c r="C211" s="65"/>
      <c r="D211" s="65"/>
      <c r="E211" s="65"/>
      <c r="F211" s="23"/>
      <c r="G211" s="23"/>
    </row>
    <row r="212" spans="1:7" x14ac:dyDescent="0.15">
      <c r="A212" s="66"/>
      <c r="B212" s="66"/>
      <c r="C212" s="65"/>
      <c r="D212" s="65"/>
      <c r="E212" s="65"/>
      <c r="F212" s="23"/>
      <c r="G212" s="23"/>
    </row>
    <row r="213" spans="1:7" x14ac:dyDescent="0.15">
      <c r="A213" s="66"/>
      <c r="B213" s="66"/>
      <c r="C213" s="65"/>
      <c r="D213" s="65"/>
      <c r="E213" s="65"/>
      <c r="F213" s="23"/>
      <c r="G213" s="23"/>
    </row>
    <row r="214" spans="1:7" x14ac:dyDescent="0.15">
      <c r="A214" s="66"/>
      <c r="B214" s="66"/>
      <c r="C214" s="65"/>
      <c r="D214" s="65"/>
      <c r="E214" s="65"/>
      <c r="F214" s="23"/>
      <c r="G214" s="23"/>
    </row>
    <row r="215" spans="1:7" x14ac:dyDescent="0.15">
      <c r="A215" s="66"/>
      <c r="B215" s="66"/>
      <c r="C215" s="65"/>
      <c r="D215" s="65"/>
      <c r="E215" s="65"/>
      <c r="F215" s="23"/>
      <c r="G215" s="23"/>
    </row>
    <row r="216" spans="1:7" x14ac:dyDescent="0.15">
      <c r="A216" s="66"/>
      <c r="B216" s="66"/>
      <c r="C216" s="65"/>
      <c r="D216" s="65"/>
      <c r="E216" s="65"/>
      <c r="F216" s="23"/>
      <c r="G216" s="23"/>
    </row>
    <row r="217" spans="1:7" x14ac:dyDescent="0.15">
      <c r="A217" s="66"/>
      <c r="B217" s="66"/>
      <c r="C217" s="65"/>
      <c r="D217" s="65"/>
      <c r="E217" s="65"/>
      <c r="F217" s="23"/>
      <c r="G217" s="23"/>
    </row>
    <row r="218" spans="1:7" x14ac:dyDescent="0.15">
      <c r="A218" s="66"/>
      <c r="B218" s="66"/>
      <c r="C218" s="65"/>
      <c r="D218" s="65"/>
      <c r="E218" s="65"/>
      <c r="F218" s="23"/>
      <c r="G218" s="23"/>
    </row>
    <row r="219" spans="1:7" x14ac:dyDescent="0.15">
      <c r="A219" s="66"/>
      <c r="B219" s="66"/>
      <c r="C219" s="65"/>
      <c r="D219" s="65"/>
      <c r="E219" s="65"/>
      <c r="F219" s="23"/>
      <c r="G219" s="23"/>
    </row>
    <row r="220" spans="1:7" x14ac:dyDescent="0.15">
      <c r="A220" s="66"/>
      <c r="B220" s="66"/>
      <c r="C220" s="65"/>
      <c r="D220" s="65"/>
      <c r="E220" s="65"/>
      <c r="F220" s="23"/>
      <c r="G220" s="23"/>
    </row>
    <row r="221" spans="1:7" x14ac:dyDescent="0.15">
      <c r="A221" s="66"/>
      <c r="B221" s="66"/>
      <c r="C221" s="65"/>
      <c r="D221" s="65"/>
      <c r="E221" s="65"/>
      <c r="F221" s="23"/>
      <c r="G221" s="23"/>
    </row>
    <row r="222" spans="1:7" x14ac:dyDescent="0.15">
      <c r="A222" s="66"/>
      <c r="B222" s="66"/>
      <c r="C222" s="65"/>
      <c r="D222" s="65"/>
      <c r="E222" s="65"/>
      <c r="F222" s="23"/>
      <c r="G222" s="23"/>
    </row>
    <row r="223" spans="1:7" x14ac:dyDescent="0.15">
      <c r="A223" s="66"/>
      <c r="B223" s="66"/>
      <c r="C223" s="65"/>
      <c r="D223" s="65"/>
      <c r="E223" s="65"/>
      <c r="F223" s="23"/>
      <c r="G223" s="23"/>
    </row>
    <row r="224" spans="1:7" x14ac:dyDescent="0.15">
      <c r="A224" s="66"/>
      <c r="B224" s="66"/>
      <c r="C224" s="65"/>
      <c r="D224" s="65"/>
      <c r="E224" s="65"/>
      <c r="F224" s="23"/>
      <c r="G224" s="23"/>
    </row>
    <row r="225" spans="1:7" x14ac:dyDescent="0.15">
      <c r="A225" s="66"/>
      <c r="B225" s="66"/>
      <c r="C225" s="65"/>
      <c r="D225" s="65"/>
      <c r="E225" s="65"/>
      <c r="F225" s="23"/>
      <c r="G225" s="23"/>
    </row>
    <row r="226" spans="1:7" x14ac:dyDescent="0.15">
      <c r="A226" s="66"/>
      <c r="B226" s="66"/>
      <c r="C226" s="65"/>
      <c r="D226" s="65"/>
      <c r="E226" s="65"/>
      <c r="F226" s="23"/>
      <c r="G226" s="23"/>
    </row>
    <row r="227" spans="1:7" x14ac:dyDescent="0.15">
      <c r="A227" s="66"/>
      <c r="B227" s="66"/>
      <c r="C227" s="65"/>
      <c r="D227" s="65"/>
      <c r="E227" s="65"/>
      <c r="F227" s="23"/>
      <c r="G227" s="23"/>
    </row>
    <row r="228" spans="1:7" x14ac:dyDescent="0.15">
      <c r="A228" s="66"/>
      <c r="B228" s="66"/>
      <c r="C228" s="65"/>
      <c r="D228" s="65"/>
      <c r="E228" s="65"/>
      <c r="F228" s="23"/>
      <c r="G228" s="23"/>
    </row>
    <row r="229" spans="1:7" x14ac:dyDescent="0.15">
      <c r="A229" s="66"/>
      <c r="B229" s="66"/>
      <c r="C229" s="65"/>
      <c r="D229" s="65"/>
      <c r="E229" s="65"/>
      <c r="F229" s="23"/>
      <c r="G229" s="23"/>
    </row>
    <row r="230" spans="1:7" x14ac:dyDescent="0.15">
      <c r="A230" s="66"/>
      <c r="B230" s="66"/>
      <c r="C230" s="65"/>
      <c r="D230" s="65"/>
      <c r="E230" s="65"/>
      <c r="F230" s="23"/>
      <c r="G230" s="23"/>
    </row>
    <row r="231" spans="1:7" x14ac:dyDescent="0.15">
      <c r="A231" s="66"/>
      <c r="B231" s="66"/>
      <c r="C231" s="65"/>
      <c r="D231" s="65"/>
      <c r="E231" s="65"/>
      <c r="F231" s="23"/>
      <c r="G231" s="23"/>
    </row>
    <row r="232" spans="1:7" x14ac:dyDescent="0.15">
      <c r="A232" s="66"/>
      <c r="B232" s="66"/>
      <c r="C232" s="65"/>
      <c r="D232" s="65"/>
      <c r="E232" s="65"/>
      <c r="F232" s="23"/>
      <c r="G232" s="23"/>
    </row>
    <row r="233" spans="1:7" x14ac:dyDescent="0.15">
      <c r="A233" s="66"/>
      <c r="B233" s="66"/>
      <c r="C233" s="65"/>
      <c r="D233" s="65"/>
      <c r="E233" s="65"/>
      <c r="F233" s="23"/>
      <c r="G233" s="23"/>
    </row>
    <row r="234" spans="1:7" x14ac:dyDescent="0.15">
      <c r="A234" s="66"/>
      <c r="B234" s="66"/>
      <c r="C234" s="65"/>
      <c r="D234" s="65"/>
      <c r="E234" s="65"/>
      <c r="F234" s="23"/>
      <c r="G234" s="23"/>
    </row>
    <row r="235" spans="1:7" x14ac:dyDescent="0.15">
      <c r="A235" s="66"/>
      <c r="B235" s="66"/>
      <c r="C235" s="65"/>
      <c r="D235" s="65"/>
      <c r="E235" s="65"/>
      <c r="F235" s="23"/>
      <c r="G235" s="23"/>
    </row>
    <row r="236" spans="1:7" x14ac:dyDescent="0.15">
      <c r="A236" s="66"/>
      <c r="B236" s="66"/>
      <c r="C236" s="65"/>
      <c r="D236" s="65"/>
      <c r="E236" s="65"/>
      <c r="F236" s="23"/>
      <c r="G236" s="23"/>
    </row>
    <row r="237" spans="1:7" x14ac:dyDescent="0.15">
      <c r="A237" s="66"/>
      <c r="B237" s="66"/>
      <c r="C237" s="65"/>
      <c r="D237" s="65"/>
      <c r="E237" s="65"/>
      <c r="F237" s="23"/>
      <c r="G237" s="23"/>
    </row>
    <row r="238" spans="1:7" x14ac:dyDescent="0.15">
      <c r="A238" s="66"/>
      <c r="B238" s="66"/>
      <c r="C238" s="65"/>
      <c r="D238" s="65"/>
      <c r="E238" s="65"/>
      <c r="F238" s="23"/>
      <c r="G238" s="23"/>
    </row>
    <row r="239" spans="1:7" x14ac:dyDescent="0.15">
      <c r="A239" s="66"/>
      <c r="B239" s="66"/>
      <c r="C239" s="65"/>
      <c r="D239" s="65"/>
      <c r="E239" s="65"/>
      <c r="F239" s="23"/>
      <c r="G239" s="23"/>
    </row>
    <row r="240" spans="1:7" x14ac:dyDescent="0.15">
      <c r="A240" s="66"/>
      <c r="B240" s="66"/>
      <c r="C240" s="65"/>
      <c r="D240" s="65"/>
      <c r="E240" s="65"/>
      <c r="F240" s="23"/>
      <c r="G240" s="23"/>
    </row>
    <row r="241" spans="1:7" x14ac:dyDescent="0.15">
      <c r="A241" s="66"/>
      <c r="B241" s="66"/>
      <c r="C241" s="65"/>
      <c r="D241" s="65"/>
      <c r="E241" s="65"/>
      <c r="F241" s="23"/>
      <c r="G241" s="23"/>
    </row>
    <row r="242" spans="1:7" x14ac:dyDescent="0.15">
      <c r="A242" s="66"/>
      <c r="B242" s="66"/>
      <c r="C242" s="65"/>
      <c r="D242" s="65"/>
      <c r="E242" s="65"/>
      <c r="F242" s="23"/>
      <c r="G242" s="23"/>
    </row>
    <row r="243" spans="1:7" x14ac:dyDescent="0.15">
      <c r="A243" s="66"/>
      <c r="B243" s="66"/>
      <c r="C243" s="65"/>
      <c r="D243" s="65"/>
      <c r="E243" s="65"/>
      <c r="F243" s="23"/>
      <c r="G243" s="23"/>
    </row>
    <row r="244" spans="1:7" x14ac:dyDescent="0.15">
      <c r="A244" s="66"/>
      <c r="B244" s="66"/>
      <c r="C244" s="65"/>
      <c r="D244" s="65"/>
      <c r="E244" s="65"/>
      <c r="F244" s="23"/>
      <c r="G244" s="23"/>
    </row>
    <row r="245" spans="1:7" x14ac:dyDescent="0.15">
      <c r="A245" s="66"/>
      <c r="B245" s="66"/>
      <c r="C245" s="65"/>
      <c r="D245" s="65"/>
      <c r="E245" s="65"/>
      <c r="F245" s="23"/>
      <c r="G245" s="23"/>
    </row>
    <row r="246" spans="1:7" x14ac:dyDescent="0.15">
      <c r="A246" s="66"/>
      <c r="B246" s="66"/>
      <c r="C246" s="65"/>
      <c r="D246" s="65"/>
      <c r="E246" s="65"/>
      <c r="F246" s="23"/>
      <c r="G246" s="23"/>
    </row>
    <row r="247" spans="1:7" x14ac:dyDescent="0.15">
      <c r="A247" s="66"/>
      <c r="B247" s="66"/>
      <c r="C247" s="65"/>
      <c r="D247" s="65"/>
      <c r="E247" s="65"/>
      <c r="F247" s="23"/>
      <c r="G247" s="23"/>
    </row>
    <row r="248" spans="1:7" x14ac:dyDescent="0.15">
      <c r="A248" s="66"/>
      <c r="B248" s="66"/>
      <c r="C248" s="65"/>
      <c r="D248" s="65"/>
      <c r="E248" s="65"/>
      <c r="F248" s="23"/>
      <c r="G248" s="23"/>
    </row>
    <row r="249" spans="1:7" x14ac:dyDescent="0.15">
      <c r="A249" s="66"/>
      <c r="B249" s="66"/>
      <c r="C249" s="65"/>
      <c r="D249" s="65"/>
      <c r="E249" s="65"/>
      <c r="F249" s="23"/>
      <c r="G249" s="23"/>
    </row>
    <row r="250" spans="1:7" x14ac:dyDescent="0.15">
      <c r="A250" s="66"/>
      <c r="B250" s="66"/>
      <c r="C250" s="65"/>
      <c r="D250" s="65"/>
      <c r="E250" s="65"/>
      <c r="F250" s="23"/>
      <c r="G250" s="23"/>
    </row>
    <row r="251" spans="1:7" x14ac:dyDescent="0.15">
      <c r="A251" s="66"/>
      <c r="B251" s="66"/>
      <c r="C251" s="65"/>
      <c r="D251" s="65"/>
      <c r="E251" s="65"/>
      <c r="F251" s="23"/>
      <c r="G251" s="23"/>
    </row>
    <row r="252" spans="1:7" x14ac:dyDescent="0.15">
      <c r="A252" s="66"/>
      <c r="B252" s="66"/>
      <c r="C252" s="65"/>
      <c r="D252" s="65"/>
      <c r="E252" s="65"/>
      <c r="F252" s="23"/>
      <c r="G252" s="23"/>
    </row>
    <row r="253" spans="1:7" x14ac:dyDescent="0.15">
      <c r="A253" s="66"/>
      <c r="B253" s="66"/>
      <c r="C253" s="65"/>
      <c r="D253" s="65"/>
      <c r="E253" s="65"/>
      <c r="F253" s="23"/>
      <c r="G253" s="23"/>
    </row>
    <row r="254" spans="1:7" x14ac:dyDescent="0.15">
      <c r="A254" s="66"/>
      <c r="B254" s="66"/>
      <c r="C254" s="65"/>
      <c r="D254" s="65"/>
      <c r="E254" s="65"/>
      <c r="F254" s="23"/>
      <c r="G254" s="23"/>
    </row>
    <row r="255" spans="1:7" x14ac:dyDescent="0.15">
      <c r="A255" s="66"/>
      <c r="B255" s="66"/>
      <c r="C255" s="65"/>
      <c r="D255" s="65"/>
      <c r="E255" s="65"/>
      <c r="F255" s="23"/>
      <c r="G255" s="23"/>
    </row>
    <row r="256" spans="1:7" x14ac:dyDescent="0.15">
      <c r="A256" s="66"/>
      <c r="B256" s="66"/>
      <c r="C256" s="65"/>
      <c r="D256" s="65"/>
      <c r="E256" s="65"/>
      <c r="F256" s="23"/>
      <c r="G256" s="23"/>
    </row>
    <row r="257" spans="1:7" x14ac:dyDescent="0.15">
      <c r="A257" s="66"/>
      <c r="B257" s="66"/>
      <c r="C257" s="65"/>
      <c r="D257" s="65"/>
      <c r="E257" s="65"/>
      <c r="F257" s="23"/>
      <c r="G257" s="23"/>
    </row>
    <row r="258" spans="1:7" x14ac:dyDescent="0.15">
      <c r="A258" s="66"/>
      <c r="B258" s="66"/>
      <c r="C258" s="65"/>
      <c r="D258" s="65"/>
      <c r="E258" s="65"/>
      <c r="F258" s="23"/>
      <c r="G258" s="23"/>
    </row>
    <row r="259" spans="1:7" x14ac:dyDescent="0.15">
      <c r="A259" s="66"/>
      <c r="B259" s="66"/>
      <c r="C259" s="65"/>
      <c r="D259" s="65"/>
      <c r="E259" s="65"/>
      <c r="F259" s="23"/>
      <c r="G259" s="23"/>
    </row>
    <row r="260" spans="1:7" x14ac:dyDescent="0.15">
      <c r="A260" s="66"/>
      <c r="B260" s="66"/>
      <c r="C260" s="65"/>
      <c r="D260" s="65"/>
      <c r="E260" s="65"/>
      <c r="F260" s="23"/>
      <c r="G260" s="23"/>
    </row>
    <row r="261" spans="1:7" x14ac:dyDescent="0.15">
      <c r="A261" s="66"/>
      <c r="B261" s="66"/>
      <c r="C261" s="65"/>
      <c r="D261" s="65"/>
      <c r="E261" s="65"/>
      <c r="F261" s="23"/>
      <c r="G261" s="23"/>
    </row>
    <row r="262" spans="1:7" x14ac:dyDescent="0.15">
      <c r="A262" s="66"/>
      <c r="B262" s="66"/>
      <c r="C262" s="65"/>
      <c r="D262" s="65"/>
      <c r="E262" s="65"/>
      <c r="F262" s="23"/>
      <c r="G262" s="23"/>
    </row>
    <row r="263" spans="1:7" x14ac:dyDescent="0.15">
      <c r="A263" s="66"/>
      <c r="B263" s="66"/>
      <c r="C263" s="65"/>
      <c r="D263" s="65"/>
      <c r="E263" s="65"/>
      <c r="F263" s="23"/>
      <c r="G263" s="23"/>
    </row>
    <row r="264" spans="1:7" x14ac:dyDescent="0.15">
      <c r="A264" s="66"/>
      <c r="B264" s="66"/>
      <c r="C264" s="65"/>
      <c r="D264" s="65"/>
      <c r="E264" s="65"/>
      <c r="F264" s="23"/>
      <c r="G264" s="23"/>
    </row>
    <row r="265" spans="1:7" x14ac:dyDescent="0.15">
      <c r="A265" s="66"/>
      <c r="B265" s="66"/>
      <c r="C265" s="65"/>
      <c r="D265" s="65"/>
      <c r="E265" s="65"/>
      <c r="F265" s="23"/>
      <c r="G265" s="23"/>
    </row>
    <row r="266" spans="1:7" x14ac:dyDescent="0.15">
      <c r="A266" s="66"/>
      <c r="B266" s="66"/>
      <c r="C266" s="65"/>
      <c r="D266" s="65"/>
      <c r="E266" s="65"/>
      <c r="F266" s="23"/>
      <c r="G266" s="23"/>
    </row>
    <row r="267" spans="1:7" x14ac:dyDescent="0.15">
      <c r="A267" s="66"/>
      <c r="B267" s="66"/>
      <c r="C267" s="65"/>
      <c r="D267" s="65"/>
      <c r="E267" s="65"/>
      <c r="F267" s="23"/>
      <c r="G267" s="23"/>
    </row>
    <row r="268" spans="1:7" x14ac:dyDescent="0.15">
      <c r="A268" s="66"/>
      <c r="B268" s="66"/>
      <c r="C268" s="65"/>
      <c r="D268" s="65"/>
      <c r="E268" s="65"/>
      <c r="F268" s="23"/>
      <c r="G268" s="23"/>
    </row>
    <row r="269" spans="1:7" x14ac:dyDescent="0.15">
      <c r="A269" s="66"/>
      <c r="B269" s="66"/>
      <c r="C269" s="65"/>
      <c r="D269" s="65"/>
      <c r="E269" s="65"/>
      <c r="F269" s="23"/>
      <c r="G269" s="23"/>
    </row>
    <row r="270" spans="1:7" x14ac:dyDescent="0.15">
      <c r="A270" s="66"/>
      <c r="B270" s="66"/>
      <c r="C270" s="65"/>
      <c r="D270" s="65"/>
      <c r="E270" s="65"/>
      <c r="F270" s="23"/>
      <c r="G270" s="23"/>
    </row>
    <row r="271" spans="1:7" x14ac:dyDescent="0.15">
      <c r="A271" s="66"/>
      <c r="B271" s="66"/>
      <c r="C271" s="65"/>
      <c r="D271" s="65"/>
      <c r="E271" s="65"/>
      <c r="F271" s="23"/>
      <c r="G271" s="23"/>
    </row>
    <row r="272" spans="1:7" x14ac:dyDescent="0.15">
      <c r="A272" s="66"/>
      <c r="B272" s="66"/>
      <c r="C272" s="65"/>
      <c r="D272" s="65"/>
      <c r="E272" s="65"/>
      <c r="F272" s="23"/>
      <c r="G272" s="23"/>
    </row>
    <row r="273" spans="1:7" x14ac:dyDescent="0.15">
      <c r="A273" s="66"/>
      <c r="B273" s="66"/>
      <c r="C273" s="65"/>
      <c r="D273" s="65"/>
      <c r="E273" s="65"/>
      <c r="F273" s="23"/>
      <c r="G273" s="23"/>
    </row>
    <row r="274" spans="1:7" x14ac:dyDescent="0.15">
      <c r="A274" s="66"/>
      <c r="B274" s="66"/>
      <c r="C274" s="65"/>
      <c r="D274" s="65"/>
      <c r="E274" s="65"/>
      <c r="F274" s="23"/>
      <c r="G274" s="23"/>
    </row>
    <row r="275" spans="1:7" x14ac:dyDescent="0.15">
      <c r="A275" s="66"/>
      <c r="B275" s="66"/>
      <c r="C275" s="65"/>
      <c r="D275" s="65"/>
      <c r="E275" s="65"/>
      <c r="F275" s="23"/>
      <c r="G275" s="23"/>
    </row>
    <row r="276" spans="1:7" x14ac:dyDescent="0.15">
      <c r="A276" s="66"/>
      <c r="B276" s="66"/>
      <c r="C276" s="65"/>
      <c r="D276" s="65"/>
      <c r="E276" s="65"/>
      <c r="F276" s="23"/>
      <c r="G276" s="23"/>
    </row>
    <row r="277" spans="1:7" x14ac:dyDescent="0.15">
      <c r="A277" s="66"/>
      <c r="B277" s="66"/>
      <c r="C277" s="65"/>
      <c r="D277" s="65"/>
      <c r="E277" s="65"/>
      <c r="F277" s="23"/>
      <c r="G277" s="23"/>
    </row>
    <row r="278" spans="1:7" x14ac:dyDescent="0.15">
      <c r="A278" s="66"/>
      <c r="B278" s="66"/>
      <c r="C278" s="65"/>
      <c r="D278" s="65"/>
      <c r="E278" s="65"/>
      <c r="F278" s="23"/>
      <c r="G278" s="23"/>
    </row>
    <row r="279" spans="1:7" x14ac:dyDescent="0.15">
      <c r="A279" s="66"/>
      <c r="B279" s="66"/>
      <c r="C279" s="65"/>
      <c r="D279" s="65"/>
      <c r="E279" s="65"/>
      <c r="F279" s="23"/>
      <c r="G279" s="23"/>
    </row>
    <row r="280" spans="1:7" x14ac:dyDescent="0.15">
      <c r="A280" s="66"/>
      <c r="B280" s="66"/>
      <c r="C280" s="65"/>
      <c r="D280" s="65"/>
      <c r="E280" s="65"/>
      <c r="F280" s="23"/>
      <c r="G280" s="23"/>
    </row>
    <row r="281" spans="1:7" x14ac:dyDescent="0.15">
      <c r="A281" s="66"/>
      <c r="B281" s="66"/>
      <c r="C281" s="65"/>
      <c r="D281" s="65"/>
      <c r="E281" s="65"/>
      <c r="F281" s="23"/>
      <c r="G281" s="23"/>
    </row>
    <row r="282" spans="1:7" x14ac:dyDescent="0.15">
      <c r="A282" s="66"/>
      <c r="B282" s="66"/>
      <c r="C282" s="65"/>
      <c r="D282" s="65"/>
      <c r="E282" s="65"/>
      <c r="F282" s="23"/>
      <c r="G282" s="23"/>
    </row>
    <row r="283" spans="1:7" x14ac:dyDescent="0.15">
      <c r="A283" s="66"/>
      <c r="B283" s="66"/>
      <c r="C283" s="65"/>
      <c r="D283" s="65"/>
      <c r="E283" s="65"/>
      <c r="F283" s="23"/>
      <c r="G283" s="23"/>
    </row>
    <row r="284" spans="1:7" x14ac:dyDescent="0.15">
      <c r="A284" s="66"/>
      <c r="B284" s="66"/>
      <c r="C284" s="65"/>
      <c r="D284" s="65"/>
      <c r="E284" s="65"/>
      <c r="F284" s="23"/>
      <c r="G284" s="23"/>
    </row>
    <row r="285" spans="1:7" x14ac:dyDescent="0.15">
      <c r="A285" s="66"/>
      <c r="B285" s="66"/>
      <c r="C285" s="65"/>
      <c r="D285" s="65"/>
      <c r="E285" s="65"/>
      <c r="F285" s="23"/>
      <c r="G285" s="23"/>
    </row>
    <row r="286" spans="1:7" x14ac:dyDescent="0.15">
      <c r="A286" s="66"/>
      <c r="B286" s="66"/>
      <c r="C286" s="65"/>
      <c r="D286" s="65"/>
      <c r="E286" s="65"/>
      <c r="F286" s="23"/>
      <c r="G286" s="23"/>
    </row>
    <row r="287" spans="1:7" x14ac:dyDescent="0.15">
      <c r="A287" s="66"/>
      <c r="B287" s="66"/>
      <c r="C287" s="65"/>
      <c r="D287" s="65"/>
      <c r="E287" s="65"/>
      <c r="F287" s="23"/>
      <c r="G287" s="23"/>
    </row>
    <row r="288" spans="1:7" x14ac:dyDescent="0.15">
      <c r="A288" s="66"/>
      <c r="B288" s="66"/>
      <c r="C288" s="65"/>
      <c r="D288" s="65"/>
      <c r="E288" s="65"/>
      <c r="F288" s="23"/>
      <c r="G288" s="23"/>
    </row>
    <row r="289" spans="1:7" x14ac:dyDescent="0.15">
      <c r="A289" s="66"/>
      <c r="B289" s="66"/>
      <c r="C289" s="65"/>
      <c r="D289" s="65"/>
      <c r="E289" s="65"/>
      <c r="F289" s="23"/>
      <c r="G289" s="23"/>
    </row>
    <row r="290" spans="1:7" x14ac:dyDescent="0.15">
      <c r="A290" s="66"/>
      <c r="B290" s="66"/>
      <c r="C290" s="65"/>
      <c r="D290" s="65"/>
      <c r="E290" s="65"/>
      <c r="F290" s="23"/>
      <c r="G290" s="23"/>
    </row>
    <row r="291" spans="1:7" x14ac:dyDescent="0.15">
      <c r="A291" s="66"/>
      <c r="B291" s="66"/>
      <c r="C291" s="65"/>
      <c r="D291" s="65"/>
      <c r="E291" s="65"/>
      <c r="F291" s="23"/>
      <c r="G291" s="23"/>
    </row>
    <row r="292" spans="1:7" x14ac:dyDescent="0.15">
      <c r="A292" s="66"/>
      <c r="B292" s="66"/>
      <c r="C292" s="65"/>
      <c r="D292" s="65"/>
      <c r="E292" s="65"/>
      <c r="F292" s="23"/>
      <c r="G292" s="23"/>
    </row>
    <row r="293" spans="1:7" x14ac:dyDescent="0.15">
      <c r="A293" s="66"/>
      <c r="B293" s="66"/>
      <c r="C293" s="65"/>
      <c r="D293" s="65"/>
      <c r="E293" s="65"/>
      <c r="F293" s="23"/>
      <c r="G293" s="23"/>
    </row>
    <row r="294" spans="1:7" x14ac:dyDescent="0.15">
      <c r="A294" s="66"/>
      <c r="B294" s="66"/>
      <c r="C294" s="65"/>
      <c r="D294" s="65"/>
      <c r="E294" s="65"/>
      <c r="F294" s="23"/>
      <c r="G294" s="23"/>
    </row>
    <row r="295" spans="1:7" x14ac:dyDescent="0.15">
      <c r="A295" s="66"/>
      <c r="B295" s="66"/>
      <c r="C295" s="65"/>
      <c r="D295" s="65"/>
      <c r="E295" s="65"/>
      <c r="F295" s="23"/>
      <c r="G295" s="23"/>
    </row>
    <row r="296" spans="1:7" x14ac:dyDescent="0.15">
      <c r="A296" s="66"/>
      <c r="B296" s="66"/>
      <c r="C296" s="65"/>
      <c r="D296" s="65"/>
      <c r="E296" s="65"/>
      <c r="F296" s="23"/>
      <c r="G296" s="23"/>
    </row>
    <row r="297" spans="1:7" x14ac:dyDescent="0.15">
      <c r="A297" s="66"/>
      <c r="B297" s="66"/>
      <c r="C297" s="65"/>
      <c r="D297" s="65"/>
      <c r="E297" s="65"/>
      <c r="F297" s="23"/>
      <c r="G297" s="23"/>
    </row>
    <row r="298" spans="1:7" x14ac:dyDescent="0.15">
      <c r="A298" s="66"/>
      <c r="B298" s="66"/>
      <c r="C298" s="65"/>
      <c r="D298" s="65"/>
      <c r="E298" s="65"/>
      <c r="F298" s="23"/>
      <c r="G298" s="23"/>
    </row>
    <row r="299" spans="1:7" x14ac:dyDescent="0.15">
      <c r="A299" s="66"/>
      <c r="B299" s="66"/>
      <c r="C299" s="65"/>
      <c r="D299" s="65"/>
      <c r="E299" s="65"/>
      <c r="F299" s="23"/>
      <c r="G299" s="23"/>
    </row>
    <row r="300" spans="1:7" x14ac:dyDescent="0.15">
      <c r="A300" s="66"/>
      <c r="B300" s="66"/>
      <c r="C300" s="65"/>
      <c r="D300" s="65"/>
      <c r="E300" s="65"/>
      <c r="F300" s="23"/>
      <c r="G300" s="23"/>
    </row>
    <row r="301" spans="1:7" x14ac:dyDescent="0.15">
      <c r="A301" s="66"/>
      <c r="B301" s="66"/>
      <c r="C301" s="65"/>
      <c r="D301" s="65"/>
      <c r="E301" s="65"/>
      <c r="F301" s="23"/>
      <c r="G301" s="23"/>
    </row>
    <row r="302" spans="1:7" x14ac:dyDescent="0.15">
      <c r="A302" s="66"/>
      <c r="B302" s="66"/>
      <c r="C302" s="65"/>
      <c r="D302" s="65"/>
      <c r="E302" s="65"/>
      <c r="F302" s="23"/>
      <c r="G302" s="23"/>
    </row>
    <row r="303" spans="1:7" x14ac:dyDescent="0.15">
      <c r="A303" s="66"/>
      <c r="B303" s="66"/>
      <c r="C303" s="65"/>
      <c r="D303" s="65"/>
      <c r="E303" s="65"/>
      <c r="F303" s="23"/>
      <c r="G303" s="23"/>
    </row>
    <row r="304" spans="1:7" x14ac:dyDescent="0.15">
      <c r="A304" s="66"/>
      <c r="B304" s="66"/>
      <c r="C304" s="65"/>
      <c r="D304" s="65"/>
      <c r="E304" s="65"/>
      <c r="F304" s="23"/>
      <c r="G304" s="23"/>
    </row>
    <row r="305" spans="1:7" x14ac:dyDescent="0.15">
      <c r="A305" s="66"/>
      <c r="B305" s="66"/>
      <c r="C305" s="65"/>
      <c r="D305" s="65"/>
      <c r="E305" s="65"/>
      <c r="F305" s="23"/>
      <c r="G305" s="23"/>
    </row>
    <row r="306" spans="1:7" x14ac:dyDescent="0.15">
      <c r="A306" s="66"/>
      <c r="B306" s="66"/>
      <c r="C306" s="65"/>
      <c r="D306" s="65"/>
      <c r="E306" s="65"/>
      <c r="F306" s="23"/>
      <c r="G306" s="23"/>
    </row>
    <row r="307" spans="1:7" x14ac:dyDescent="0.15">
      <c r="A307" s="66"/>
      <c r="B307" s="66"/>
      <c r="C307" s="65"/>
      <c r="D307" s="65"/>
      <c r="E307" s="65"/>
      <c r="F307" s="23"/>
      <c r="G307" s="23"/>
    </row>
    <row r="308" spans="1:7" x14ac:dyDescent="0.15">
      <c r="A308" s="66"/>
      <c r="B308" s="66"/>
      <c r="C308" s="65"/>
      <c r="D308" s="65"/>
      <c r="E308" s="65"/>
      <c r="F308" s="23"/>
      <c r="G308" s="23"/>
    </row>
    <row r="309" spans="1:7" x14ac:dyDescent="0.15">
      <c r="A309" s="66"/>
      <c r="B309" s="66"/>
      <c r="C309" s="65"/>
      <c r="D309" s="65"/>
      <c r="E309" s="65"/>
      <c r="F309" s="23"/>
      <c r="G309" s="23"/>
    </row>
    <row r="310" spans="1:7" x14ac:dyDescent="0.15">
      <c r="A310" s="66"/>
      <c r="B310" s="66"/>
      <c r="C310" s="65"/>
      <c r="D310" s="65"/>
      <c r="E310" s="65"/>
      <c r="F310" s="23"/>
      <c r="G310" s="23"/>
    </row>
    <row r="311" spans="1:7" x14ac:dyDescent="0.15">
      <c r="A311" s="66"/>
      <c r="B311" s="66"/>
      <c r="C311" s="65"/>
      <c r="D311" s="65"/>
      <c r="E311" s="65"/>
      <c r="F311" s="23"/>
      <c r="G311" s="23"/>
    </row>
    <row r="312" spans="1:7" x14ac:dyDescent="0.15">
      <c r="A312" s="66"/>
      <c r="B312" s="66"/>
      <c r="C312" s="65"/>
      <c r="D312" s="65"/>
      <c r="E312" s="65"/>
      <c r="F312" s="23"/>
      <c r="G312" s="23"/>
    </row>
    <row r="313" spans="1:7" x14ac:dyDescent="0.15">
      <c r="A313" s="66"/>
      <c r="B313" s="66"/>
      <c r="C313" s="65"/>
      <c r="D313" s="65"/>
      <c r="E313" s="65"/>
      <c r="F313" s="23"/>
      <c r="G313" s="23"/>
    </row>
    <row r="314" spans="1:7" x14ac:dyDescent="0.15">
      <c r="A314" s="66"/>
      <c r="B314" s="66"/>
      <c r="C314" s="65"/>
      <c r="D314" s="65"/>
      <c r="E314" s="65"/>
      <c r="F314" s="23"/>
      <c r="G314" s="23"/>
    </row>
    <row r="315" spans="1:7" x14ac:dyDescent="0.15">
      <c r="A315" s="66"/>
      <c r="B315" s="66"/>
      <c r="C315" s="65"/>
      <c r="D315" s="65"/>
      <c r="E315" s="65"/>
      <c r="F315" s="23"/>
      <c r="G315" s="23"/>
    </row>
    <row r="316" spans="1:7" x14ac:dyDescent="0.15">
      <c r="A316" s="66"/>
      <c r="B316" s="66"/>
      <c r="C316" s="65"/>
      <c r="D316" s="65"/>
      <c r="E316" s="65"/>
      <c r="F316" s="23"/>
      <c r="G316" s="23"/>
    </row>
    <row r="317" spans="1:7" x14ac:dyDescent="0.15">
      <c r="A317" s="66"/>
      <c r="B317" s="66"/>
      <c r="C317" s="65"/>
      <c r="D317" s="65"/>
      <c r="E317" s="65"/>
      <c r="F317" s="23"/>
      <c r="G317" s="23"/>
    </row>
    <row r="318" spans="1:7" x14ac:dyDescent="0.15">
      <c r="A318" s="66"/>
      <c r="B318" s="66"/>
      <c r="C318" s="65"/>
      <c r="D318" s="65"/>
      <c r="E318" s="65"/>
      <c r="F318" s="23"/>
      <c r="G318" s="23"/>
    </row>
    <row r="319" spans="1:7" x14ac:dyDescent="0.15">
      <c r="A319" s="66"/>
      <c r="B319" s="66"/>
      <c r="C319" s="65"/>
      <c r="D319" s="65"/>
      <c r="E319" s="65"/>
      <c r="F319" s="23"/>
      <c r="G319" s="23"/>
    </row>
    <row r="320" spans="1:7" x14ac:dyDescent="0.15">
      <c r="A320" s="66"/>
      <c r="B320" s="66"/>
      <c r="C320" s="65"/>
      <c r="D320" s="65"/>
      <c r="E320" s="65"/>
      <c r="F320" s="23"/>
      <c r="G320" s="23"/>
    </row>
    <row r="321" spans="1:7" x14ac:dyDescent="0.15">
      <c r="A321" s="66"/>
      <c r="B321" s="66"/>
      <c r="C321" s="65"/>
      <c r="D321" s="65"/>
      <c r="E321" s="65"/>
      <c r="F321" s="23"/>
      <c r="G321" s="23"/>
    </row>
    <row r="322" spans="1:7" x14ac:dyDescent="0.15">
      <c r="A322" s="66"/>
      <c r="B322" s="66"/>
      <c r="C322" s="65"/>
      <c r="D322" s="65"/>
      <c r="E322" s="65"/>
      <c r="F322" s="23"/>
      <c r="G322" s="23"/>
    </row>
    <row r="323" spans="1:7" x14ac:dyDescent="0.15">
      <c r="A323" s="66"/>
      <c r="B323" s="66"/>
      <c r="C323" s="65"/>
      <c r="D323" s="65"/>
      <c r="E323" s="65"/>
      <c r="F323" s="23"/>
      <c r="G323" s="23"/>
    </row>
    <row r="324" spans="1:7" x14ac:dyDescent="0.15">
      <c r="A324" s="66"/>
      <c r="B324" s="66"/>
      <c r="C324" s="65"/>
      <c r="D324" s="65"/>
      <c r="E324" s="65"/>
      <c r="F324" s="23"/>
      <c r="G324" s="23"/>
    </row>
    <row r="325" spans="1:7" x14ac:dyDescent="0.15">
      <c r="A325" s="66"/>
      <c r="B325" s="66"/>
      <c r="C325" s="65"/>
      <c r="D325" s="65"/>
      <c r="E325" s="65"/>
      <c r="F325" s="23"/>
      <c r="G325" s="23"/>
    </row>
    <row r="326" spans="1:7" x14ac:dyDescent="0.15">
      <c r="A326" s="66"/>
      <c r="B326" s="66"/>
      <c r="C326" s="65"/>
      <c r="D326" s="65"/>
      <c r="E326" s="65"/>
      <c r="F326" s="23"/>
      <c r="G326" s="23"/>
    </row>
    <row r="327" spans="1:7" x14ac:dyDescent="0.15">
      <c r="A327" s="66"/>
      <c r="B327" s="66"/>
      <c r="C327" s="65"/>
      <c r="D327" s="65"/>
      <c r="E327" s="65"/>
      <c r="F327" s="23"/>
      <c r="G327" s="23"/>
    </row>
    <row r="328" spans="1:7" x14ac:dyDescent="0.15">
      <c r="A328" s="66"/>
      <c r="B328" s="66"/>
      <c r="C328" s="65"/>
      <c r="D328" s="65"/>
      <c r="E328" s="65"/>
      <c r="F328" s="23"/>
      <c r="G328" s="23"/>
    </row>
    <row r="329" spans="1:7" x14ac:dyDescent="0.15">
      <c r="A329" s="66"/>
      <c r="B329" s="66"/>
      <c r="C329" s="65"/>
      <c r="D329" s="65"/>
      <c r="E329" s="65"/>
      <c r="F329" s="23"/>
      <c r="G329" s="23"/>
    </row>
    <row r="330" spans="1:7" x14ac:dyDescent="0.15">
      <c r="A330" s="66"/>
      <c r="B330" s="66"/>
      <c r="C330" s="65"/>
      <c r="D330" s="65"/>
      <c r="E330" s="65"/>
      <c r="F330" s="23"/>
      <c r="G330" s="23"/>
    </row>
    <row r="331" spans="1:7" x14ac:dyDescent="0.15">
      <c r="A331" s="66"/>
      <c r="B331" s="66"/>
      <c r="C331" s="65"/>
      <c r="D331" s="65"/>
      <c r="E331" s="65"/>
      <c r="F331" s="23"/>
      <c r="G331" s="23"/>
    </row>
    <row r="332" spans="1:7" x14ac:dyDescent="0.15">
      <c r="A332" s="66"/>
      <c r="B332" s="66"/>
      <c r="C332" s="65"/>
      <c r="D332" s="65"/>
      <c r="E332" s="65"/>
      <c r="F332" s="23"/>
      <c r="G332" s="23"/>
    </row>
    <row r="333" spans="1:7" x14ac:dyDescent="0.15">
      <c r="A333" s="66"/>
      <c r="B333" s="66"/>
      <c r="C333" s="65"/>
      <c r="D333" s="65"/>
      <c r="E333" s="65"/>
      <c r="F333" s="23"/>
      <c r="G333" s="23"/>
    </row>
    <row r="334" spans="1:7" x14ac:dyDescent="0.15">
      <c r="A334" s="66"/>
      <c r="B334" s="66"/>
      <c r="C334" s="65"/>
      <c r="D334" s="65"/>
      <c r="E334" s="65"/>
      <c r="F334" s="23"/>
      <c r="G334" s="23"/>
    </row>
    <row r="335" spans="1:7" x14ac:dyDescent="0.15">
      <c r="A335" s="66"/>
      <c r="B335" s="66"/>
      <c r="C335" s="65"/>
      <c r="D335" s="65"/>
      <c r="E335" s="65"/>
      <c r="F335" s="23"/>
      <c r="G335" s="23"/>
    </row>
    <row r="336" spans="1:7" x14ac:dyDescent="0.15">
      <c r="A336" s="66"/>
      <c r="B336" s="66"/>
      <c r="C336" s="65"/>
      <c r="D336" s="65"/>
      <c r="E336" s="65"/>
      <c r="F336" s="23"/>
      <c r="G336" s="23"/>
    </row>
    <row r="337" spans="1:7" x14ac:dyDescent="0.15">
      <c r="A337" s="66"/>
      <c r="B337" s="66"/>
      <c r="C337" s="65"/>
      <c r="D337" s="65"/>
      <c r="E337" s="65"/>
      <c r="F337" s="23"/>
      <c r="G337" s="23"/>
    </row>
    <row r="338" spans="1:7" x14ac:dyDescent="0.15">
      <c r="A338" s="66"/>
      <c r="B338" s="66"/>
      <c r="C338" s="65"/>
      <c r="D338" s="65"/>
      <c r="E338" s="65"/>
      <c r="F338" s="23"/>
      <c r="G338" s="23"/>
    </row>
    <row r="339" spans="1:7" x14ac:dyDescent="0.15">
      <c r="A339" s="66"/>
      <c r="B339" s="66"/>
      <c r="C339" s="65"/>
      <c r="D339" s="65"/>
      <c r="E339" s="65"/>
      <c r="F339" s="23"/>
      <c r="G339" s="23"/>
    </row>
    <row r="340" spans="1:7" x14ac:dyDescent="0.15">
      <c r="A340" s="66"/>
      <c r="B340" s="66"/>
      <c r="C340" s="65"/>
      <c r="D340" s="65"/>
      <c r="E340" s="65"/>
      <c r="F340" s="23"/>
      <c r="G340" s="23"/>
    </row>
    <row r="341" spans="1:7" x14ac:dyDescent="0.15">
      <c r="A341" s="66"/>
      <c r="B341" s="66"/>
      <c r="C341" s="65"/>
      <c r="D341" s="65"/>
      <c r="E341" s="65"/>
      <c r="F341" s="23"/>
      <c r="G341" s="23"/>
    </row>
    <row r="342" spans="1:7" x14ac:dyDescent="0.15">
      <c r="A342" s="66"/>
      <c r="B342" s="66"/>
      <c r="C342" s="65"/>
      <c r="D342" s="65"/>
      <c r="E342" s="65"/>
      <c r="F342" s="23"/>
      <c r="G342" s="23"/>
    </row>
    <row r="343" spans="1:7" x14ac:dyDescent="0.15">
      <c r="A343" s="66"/>
      <c r="B343" s="66"/>
      <c r="C343" s="65"/>
      <c r="D343" s="65"/>
      <c r="E343" s="65"/>
      <c r="F343" s="23"/>
      <c r="G343" s="23"/>
    </row>
    <row r="344" spans="1:7" x14ac:dyDescent="0.15">
      <c r="A344" s="66"/>
      <c r="B344" s="66"/>
      <c r="C344" s="65"/>
      <c r="D344" s="65"/>
      <c r="E344" s="65"/>
      <c r="F344" s="23"/>
      <c r="G344" s="23"/>
    </row>
    <row r="345" spans="1:7" x14ac:dyDescent="0.15">
      <c r="A345" s="66"/>
      <c r="B345" s="66"/>
      <c r="C345" s="65"/>
      <c r="D345" s="65"/>
      <c r="E345" s="65"/>
      <c r="F345" s="23"/>
      <c r="G345" s="23"/>
    </row>
    <row r="346" spans="1:7" x14ac:dyDescent="0.15">
      <c r="A346" s="66"/>
      <c r="B346" s="66"/>
      <c r="C346" s="65"/>
      <c r="D346" s="65"/>
      <c r="E346" s="65"/>
      <c r="F346" s="23"/>
      <c r="G346" s="23"/>
    </row>
    <row r="347" spans="1:7" x14ac:dyDescent="0.15">
      <c r="A347" s="66"/>
      <c r="B347" s="66"/>
      <c r="C347" s="65"/>
      <c r="D347" s="65"/>
      <c r="E347" s="65"/>
      <c r="F347" s="23"/>
      <c r="G347" s="23"/>
    </row>
    <row r="348" spans="1:7" x14ac:dyDescent="0.15">
      <c r="A348" s="66"/>
      <c r="B348" s="66"/>
      <c r="C348" s="65"/>
      <c r="D348" s="65"/>
      <c r="E348" s="65"/>
      <c r="F348" s="23"/>
      <c r="G348" s="23"/>
    </row>
    <row r="349" spans="1:7" x14ac:dyDescent="0.15">
      <c r="A349" s="66"/>
      <c r="B349" s="66"/>
      <c r="C349" s="65"/>
      <c r="D349" s="65"/>
      <c r="E349" s="65"/>
      <c r="F349" s="23"/>
      <c r="G349" s="23"/>
    </row>
    <row r="350" spans="1:7" x14ac:dyDescent="0.15">
      <c r="A350" s="66"/>
      <c r="B350" s="66"/>
      <c r="C350" s="65"/>
      <c r="D350" s="65"/>
      <c r="E350" s="65"/>
      <c r="F350" s="23"/>
      <c r="G350" s="23"/>
    </row>
    <row r="351" spans="1:7" x14ac:dyDescent="0.15">
      <c r="A351" s="66"/>
      <c r="B351" s="66"/>
      <c r="C351" s="65"/>
      <c r="D351" s="65"/>
      <c r="E351" s="65"/>
      <c r="F351" s="23"/>
      <c r="G351" s="23"/>
    </row>
    <row r="352" spans="1:7" x14ac:dyDescent="0.15">
      <c r="A352" s="66"/>
      <c r="B352" s="66"/>
      <c r="C352" s="65"/>
      <c r="D352" s="65"/>
      <c r="E352" s="65"/>
      <c r="F352" s="23"/>
      <c r="G352" s="23"/>
    </row>
    <row r="353" spans="1:7" x14ac:dyDescent="0.15">
      <c r="A353" s="66"/>
      <c r="B353" s="66"/>
      <c r="C353" s="65"/>
      <c r="D353" s="65"/>
      <c r="E353" s="65"/>
      <c r="F353" s="23"/>
      <c r="G353" s="23"/>
    </row>
    <row r="354" spans="1:7" x14ac:dyDescent="0.15">
      <c r="A354" s="66"/>
      <c r="B354" s="66"/>
      <c r="C354" s="65"/>
      <c r="D354" s="65"/>
      <c r="E354" s="65"/>
      <c r="F354" s="23"/>
      <c r="G354" s="23"/>
    </row>
    <row r="355" spans="1:7" x14ac:dyDescent="0.15">
      <c r="A355" s="66"/>
      <c r="B355" s="66"/>
      <c r="C355" s="65"/>
      <c r="D355" s="65"/>
      <c r="E355" s="65"/>
      <c r="F355" s="23"/>
      <c r="G355" s="23"/>
    </row>
    <row r="356" spans="1:7" x14ac:dyDescent="0.15">
      <c r="A356" s="66"/>
      <c r="B356" s="66"/>
      <c r="C356" s="65"/>
      <c r="D356" s="65"/>
      <c r="E356" s="65"/>
      <c r="F356" s="23"/>
      <c r="G356" s="23"/>
    </row>
    <row r="357" spans="1:7" x14ac:dyDescent="0.15">
      <c r="A357" s="66"/>
      <c r="B357" s="66"/>
      <c r="C357" s="65"/>
      <c r="D357" s="65"/>
      <c r="E357" s="65"/>
      <c r="F357" s="23"/>
      <c r="G357" s="23"/>
    </row>
    <row r="358" spans="1:7" x14ac:dyDescent="0.15">
      <c r="A358" s="66"/>
      <c r="B358" s="66"/>
      <c r="C358" s="65"/>
      <c r="D358" s="65"/>
      <c r="E358" s="65"/>
      <c r="F358" s="23"/>
      <c r="G358" s="23"/>
    </row>
    <row r="359" spans="1:7" x14ac:dyDescent="0.15">
      <c r="A359" s="66"/>
      <c r="B359" s="66"/>
      <c r="C359" s="65"/>
      <c r="D359" s="65"/>
      <c r="E359" s="65"/>
      <c r="F359" s="23"/>
      <c r="G359" s="23"/>
    </row>
    <row r="360" spans="1:7" x14ac:dyDescent="0.15">
      <c r="A360" s="66"/>
      <c r="B360" s="66"/>
      <c r="C360" s="65"/>
      <c r="D360" s="65"/>
      <c r="E360" s="65"/>
      <c r="F360" s="23"/>
      <c r="G360" s="23"/>
    </row>
    <row r="361" spans="1:7" x14ac:dyDescent="0.15">
      <c r="A361" s="66"/>
      <c r="B361" s="66"/>
      <c r="C361" s="65"/>
      <c r="D361" s="65"/>
      <c r="E361" s="65"/>
      <c r="F361" s="23"/>
      <c r="G361" s="23"/>
    </row>
    <row r="362" spans="1:7" x14ac:dyDescent="0.15">
      <c r="A362" s="66"/>
      <c r="B362" s="66"/>
      <c r="C362" s="65"/>
      <c r="D362" s="65"/>
      <c r="E362" s="65"/>
      <c r="F362" s="23"/>
      <c r="G362" s="23"/>
    </row>
    <row r="363" spans="1:7" x14ac:dyDescent="0.15">
      <c r="A363" s="66"/>
      <c r="B363" s="66"/>
      <c r="C363" s="65"/>
      <c r="D363" s="65"/>
      <c r="E363" s="65"/>
      <c r="F363" s="23"/>
      <c r="G363" s="23"/>
    </row>
    <row r="364" spans="1:7" x14ac:dyDescent="0.15">
      <c r="A364" s="66"/>
      <c r="B364" s="66"/>
      <c r="C364" s="65"/>
      <c r="D364" s="65"/>
      <c r="E364" s="65"/>
      <c r="F364" s="23"/>
      <c r="G364" s="23"/>
    </row>
    <row r="365" spans="1:7" x14ac:dyDescent="0.15">
      <c r="A365" s="66"/>
      <c r="B365" s="66"/>
      <c r="C365" s="65"/>
      <c r="D365" s="65"/>
      <c r="E365" s="65"/>
      <c r="F365" s="23"/>
      <c r="G365" s="23"/>
    </row>
    <row r="366" spans="1:7" x14ac:dyDescent="0.15">
      <c r="A366" s="66"/>
      <c r="B366" s="66"/>
      <c r="C366" s="65"/>
      <c r="D366" s="65"/>
      <c r="E366" s="65"/>
      <c r="F366" s="23"/>
      <c r="G366" s="23"/>
    </row>
    <row r="367" spans="1:7" x14ac:dyDescent="0.15">
      <c r="A367" s="66"/>
      <c r="B367" s="66"/>
      <c r="C367" s="65"/>
      <c r="D367" s="65"/>
      <c r="E367" s="65"/>
      <c r="F367" s="23"/>
      <c r="G367" s="23"/>
    </row>
    <row r="368" spans="1:7" x14ac:dyDescent="0.15">
      <c r="A368" s="66"/>
      <c r="B368" s="66"/>
      <c r="C368" s="65"/>
      <c r="D368" s="65"/>
      <c r="E368" s="65"/>
      <c r="F368" s="23"/>
      <c r="G368" s="23"/>
    </row>
    <row r="369" spans="1:7" x14ac:dyDescent="0.15">
      <c r="A369" s="66"/>
      <c r="B369" s="66"/>
      <c r="C369" s="65"/>
      <c r="D369" s="65"/>
      <c r="E369" s="65"/>
      <c r="F369" s="23"/>
      <c r="G369" s="23"/>
    </row>
    <row r="370" spans="1:7" x14ac:dyDescent="0.15">
      <c r="A370" s="66"/>
      <c r="B370" s="66"/>
      <c r="C370" s="65"/>
      <c r="D370" s="65"/>
      <c r="E370" s="65"/>
      <c r="F370" s="23"/>
      <c r="G370" s="23"/>
    </row>
    <row r="371" spans="1:7" x14ac:dyDescent="0.15">
      <c r="A371" s="66"/>
      <c r="B371" s="66"/>
      <c r="C371" s="65"/>
      <c r="D371" s="65"/>
      <c r="E371" s="65"/>
      <c r="F371" s="23"/>
      <c r="G371" s="23"/>
    </row>
    <row r="372" spans="1:7" x14ac:dyDescent="0.15">
      <c r="A372" s="66"/>
      <c r="B372" s="66"/>
      <c r="C372" s="65"/>
      <c r="D372" s="65"/>
      <c r="E372" s="65"/>
      <c r="F372" s="23"/>
      <c r="G372" s="23"/>
    </row>
    <row r="373" spans="1:7" x14ac:dyDescent="0.15">
      <c r="A373" s="66"/>
      <c r="B373" s="66"/>
      <c r="C373" s="65"/>
      <c r="D373" s="65"/>
      <c r="E373" s="65"/>
      <c r="F373" s="23"/>
      <c r="G373" s="23"/>
    </row>
    <row r="374" spans="1:7" x14ac:dyDescent="0.15">
      <c r="A374" s="66"/>
      <c r="B374" s="66"/>
      <c r="C374" s="65"/>
      <c r="D374" s="65"/>
      <c r="E374" s="65"/>
      <c r="F374" s="23"/>
      <c r="G374" s="23"/>
    </row>
    <row r="375" spans="1:7" x14ac:dyDescent="0.15">
      <c r="A375" s="66"/>
      <c r="B375" s="66"/>
      <c r="C375" s="65"/>
      <c r="D375" s="65"/>
      <c r="E375" s="65"/>
      <c r="F375" s="23"/>
      <c r="G375" s="23"/>
    </row>
    <row r="376" spans="1:7" x14ac:dyDescent="0.15">
      <c r="A376" s="66"/>
      <c r="B376" s="66"/>
      <c r="C376" s="65"/>
      <c r="D376" s="65"/>
      <c r="E376" s="65"/>
      <c r="F376" s="23"/>
      <c r="G376" s="23"/>
    </row>
    <row r="377" spans="1:7" x14ac:dyDescent="0.15">
      <c r="A377" s="66"/>
      <c r="B377" s="66"/>
      <c r="C377" s="65"/>
      <c r="D377" s="65"/>
      <c r="E377" s="65"/>
      <c r="F377" s="23"/>
      <c r="G377" s="23"/>
    </row>
    <row r="378" spans="1:7" x14ac:dyDescent="0.15">
      <c r="A378" s="66"/>
      <c r="B378" s="66"/>
      <c r="C378" s="65"/>
      <c r="D378" s="65"/>
      <c r="E378" s="65"/>
      <c r="F378" s="23"/>
      <c r="G378" s="23"/>
    </row>
    <row r="379" spans="1:7" x14ac:dyDescent="0.15">
      <c r="A379" s="66"/>
      <c r="B379" s="66"/>
      <c r="C379" s="65"/>
      <c r="D379" s="65"/>
      <c r="E379" s="65"/>
      <c r="F379" s="23"/>
      <c r="G379" s="23"/>
    </row>
    <row r="380" spans="1:7" x14ac:dyDescent="0.15">
      <c r="A380" s="66"/>
      <c r="B380" s="66"/>
      <c r="C380" s="65"/>
      <c r="D380" s="65"/>
      <c r="E380" s="65"/>
      <c r="F380" s="23"/>
      <c r="G380" s="23"/>
    </row>
    <row r="381" spans="1:7" x14ac:dyDescent="0.15">
      <c r="A381" s="66"/>
      <c r="B381" s="66"/>
      <c r="C381" s="65"/>
      <c r="D381" s="65"/>
      <c r="E381" s="65"/>
      <c r="F381" s="23"/>
      <c r="G381" s="23"/>
    </row>
    <row r="382" spans="1:7" x14ac:dyDescent="0.15">
      <c r="A382" s="66"/>
      <c r="B382" s="66"/>
      <c r="C382" s="65"/>
      <c r="D382" s="65"/>
      <c r="E382" s="65"/>
      <c r="F382" s="23"/>
      <c r="G382" s="23"/>
    </row>
    <row r="383" spans="1:7" x14ac:dyDescent="0.15">
      <c r="A383" s="66"/>
      <c r="B383" s="66"/>
      <c r="C383" s="65"/>
      <c r="D383" s="65"/>
      <c r="E383" s="65"/>
      <c r="F383" s="23"/>
      <c r="G383" s="23"/>
    </row>
    <row r="384" spans="1:7" x14ac:dyDescent="0.15">
      <c r="A384" s="66"/>
      <c r="B384" s="66"/>
      <c r="C384" s="65"/>
      <c r="D384" s="65"/>
      <c r="E384" s="65"/>
      <c r="F384" s="23"/>
      <c r="G384" s="23"/>
    </row>
    <row r="385" spans="1:7" x14ac:dyDescent="0.15">
      <c r="A385" s="66"/>
      <c r="B385" s="66"/>
      <c r="C385" s="65"/>
      <c r="D385" s="65"/>
      <c r="E385" s="65"/>
      <c r="F385" s="23"/>
      <c r="G385" s="23"/>
    </row>
    <row r="386" spans="1:7" x14ac:dyDescent="0.15">
      <c r="A386" s="66"/>
      <c r="B386" s="66"/>
      <c r="C386" s="65"/>
      <c r="D386" s="65"/>
      <c r="E386" s="65"/>
      <c r="F386" s="23"/>
      <c r="G386" s="23"/>
    </row>
    <row r="387" spans="1:7" x14ac:dyDescent="0.15">
      <c r="A387" s="66"/>
      <c r="B387" s="66"/>
      <c r="C387" s="65"/>
      <c r="D387" s="65"/>
      <c r="E387" s="65"/>
      <c r="F387" s="23"/>
      <c r="G387" s="23"/>
    </row>
    <row r="388" spans="1:7" x14ac:dyDescent="0.15">
      <c r="A388" s="66"/>
      <c r="B388" s="66"/>
      <c r="C388" s="65"/>
      <c r="D388" s="65"/>
      <c r="E388" s="65"/>
      <c r="F388" s="23"/>
      <c r="G388" s="23"/>
    </row>
    <row r="389" spans="1:7" x14ac:dyDescent="0.15">
      <c r="A389" s="66"/>
      <c r="B389" s="66"/>
      <c r="C389" s="65"/>
      <c r="D389" s="65"/>
      <c r="E389" s="65"/>
      <c r="F389" s="23"/>
      <c r="G389" s="23"/>
    </row>
    <row r="390" spans="1:7" x14ac:dyDescent="0.15">
      <c r="A390" s="66"/>
      <c r="B390" s="66"/>
      <c r="C390" s="65"/>
      <c r="D390" s="65"/>
      <c r="E390" s="65"/>
      <c r="F390" s="23"/>
      <c r="G390" s="23"/>
    </row>
    <row r="391" spans="1:7" x14ac:dyDescent="0.15">
      <c r="A391" s="66"/>
      <c r="B391" s="66"/>
      <c r="C391" s="65"/>
      <c r="D391" s="65"/>
      <c r="E391" s="65"/>
      <c r="F391" s="23"/>
      <c r="G391" s="23"/>
    </row>
    <row r="392" spans="1:7" x14ac:dyDescent="0.15">
      <c r="A392" s="66"/>
      <c r="B392" s="66"/>
      <c r="C392" s="65"/>
      <c r="D392" s="65"/>
      <c r="E392" s="65"/>
      <c r="F392" s="23"/>
      <c r="G392" s="23"/>
    </row>
    <row r="393" spans="1:7" x14ac:dyDescent="0.15">
      <c r="A393" s="66"/>
      <c r="B393" s="66"/>
      <c r="C393" s="65"/>
      <c r="D393" s="65"/>
      <c r="E393" s="65"/>
      <c r="F393" s="23"/>
      <c r="G393" s="23"/>
    </row>
    <row r="394" spans="1:7" x14ac:dyDescent="0.15">
      <c r="A394" s="66"/>
      <c r="B394" s="66"/>
      <c r="C394" s="65"/>
      <c r="D394" s="65"/>
      <c r="E394" s="65"/>
      <c r="F394" s="23"/>
      <c r="G394" s="23"/>
    </row>
    <row r="395" spans="1:7" x14ac:dyDescent="0.15">
      <c r="A395" s="66"/>
      <c r="B395" s="66"/>
      <c r="C395" s="65"/>
      <c r="D395" s="65"/>
      <c r="E395" s="65"/>
      <c r="F395" s="23"/>
      <c r="G395" s="23"/>
    </row>
    <row r="396" spans="1:7" x14ac:dyDescent="0.15">
      <c r="A396" s="66"/>
      <c r="B396" s="66"/>
      <c r="C396" s="65"/>
      <c r="D396" s="65"/>
      <c r="E396" s="65"/>
      <c r="F396" s="23"/>
      <c r="G396" s="23"/>
    </row>
    <row r="397" spans="1:7" x14ac:dyDescent="0.15">
      <c r="A397" s="66"/>
      <c r="B397" s="66"/>
      <c r="C397" s="65"/>
      <c r="D397" s="65"/>
      <c r="E397" s="65"/>
      <c r="F397" s="23"/>
      <c r="G397" s="23"/>
    </row>
    <row r="398" spans="1:7" x14ac:dyDescent="0.15">
      <c r="A398" s="66"/>
      <c r="B398" s="66"/>
      <c r="C398" s="65"/>
      <c r="D398" s="65"/>
      <c r="E398" s="65"/>
      <c r="F398" s="23"/>
      <c r="G398" s="23"/>
    </row>
    <row r="399" spans="1:7" x14ac:dyDescent="0.15">
      <c r="A399" s="66"/>
      <c r="B399" s="66"/>
      <c r="C399" s="65"/>
      <c r="D399" s="65"/>
      <c r="E399" s="65"/>
      <c r="F399" s="23"/>
      <c r="G399" s="23"/>
    </row>
    <row r="400" spans="1:7" x14ac:dyDescent="0.15">
      <c r="A400" s="66"/>
      <c r="B400" s="66"/>
      <c r="C400" s="65"/>
      <c r="D400" s="65"/>
      <c r="E400" s="65"/>
      <c r="F400" s="23"/>
      <c r="G400" s="23"/>
    </row>
    <row r="401" spans="1:7" x14ac:dyDescent="0.15">
      <c r="A401" s="66"/>
      <c r="B401" s="66"/>
      <c r="C401" s="65"/>
      <c r="D401" s="65"/>
      <c r="E401" s="65"/>
      <c r="F401" s="23"/>
      <c r="G401" s="23"/>
    </row>
    <row r="402" spans="1:7" x14ac:dyDescent="0.15">
      <c r="A402" s="66"/>
      <c r="B402" s="66"/>
      <c r="C402" s="65"/>
      <c r="D402" s="65"/>
      <c r="E402" s="65"/>
      <c r="F402" s="23"/>
      <c r="G402" s="23"/>
    </row>
    <row r="403" spans="1:7" x14ac:dyDescent="0.15">
      <c r="A403" s="66"/>
      <c r="B403" s="66"/>
      <c r="C403" s="65"/>
      <c r="D403" s="65"/>
      <c r="E403" s="65"/>
      <c r="F403" s="23"/>
      <c r="G403" s="23"/>
    </row>
    <row r="404" spans="1:7" x14ac:dyDescent="0.15">
      <c r="A404" s="66"/>
      <c r="B404" s="66"/>
      <c r="C404" s="65"/>
      <c r="D404" s="65"/>
      <c r="E404" s="65"/>
      <c r="F404" s="23"/>
      <c r="G404" s="23"/>
    </row>
    <row r="405" spans="1:7" x14ac:dyDescent="0.15">
      <c r="A405" s="66"/>
      <c r="B405" s="66"/>
      <c r="C405" s="65"/>
      <c r="D405" s="65"/>
      <c r="E405" s="65"/>
      <c r="F405" s="23"/>
      <c r="G405" s="23"/>
    </row>
    <row r="406" spans="1:7" x14ac:dyDescent="0.15">
      <c r="A406" s="66"/>
      <c r="B406" s="66"/>
      <c r="C406" s="65"/>
      <c r="D406" s="65"/>
      <c r="E406" s="65"/>
      <c r="F406" s="23"/>
      <c r="G406" s="23"/>
    </row>
    <row r="407" spans="1:7" x14ac:dyDescent="0.15">
      <c r="A407" s="66"/>
      <c r="B407" s="66"/>
      <c r="C407" s="65"/>
      <c r="D407" s="65"/>
      <c r="E407" s="65"/>
      <c r="F407" s="23"/>
      <c r="G407" s="23"/>
    </row>
    <row r="408" spans="1:7" x14ac:dyDescent="0.15">
      <c r="A408" s="66"/>
      <c r="B408" s="66"/>
      <c r="C408" s="65"/>
      <c r="D408" s="65"/>
      <c r="E408" s="65"/>
      <c r="F408" s="23"/>
      <c r="G408" s="23"/>
    </row>
    <row r="409" spans="1:7" x14ac:dyDescent="0.15">
      <c r="A409" s="66"/>
      <c r="B409" s="66"/>
      <c r="C409" s="65"/>
      <c r="D409" s="65"/>
      <c r="E409" s="65"/>
      <c r="F409" s="23"/>
      <c r="G409" s="23"/>
    </row>
    <row r="410" spans="1:7" x14ac:dyDescent="0.15">
      <c r="A410" s="66"/>
      <c r="B410" s="66"/>
      <c r="C410" s="65"/>
      <c r="D410" s="65"/>
      <c r="E410" s="65"/>
      <c r="F410" s="23"/>
      <c r="G410" s="23"/>
    </row>
    <row r="411" spans="1:7" x14ac:dyDescent="0.15">
      <c r="A411" s="66"/>
      <c r="B411" s="66"/>
      <c r="C411" s="65"/>
      <c r="D411" s="65"/>
      <c r="E411" s="65"/>
      <c r="F411" s="23"/>
      <c r="G411" s="23"/>
    </row>
    <row r="412" spans="1:7" x14ac:dyDescent="0.15">
      <c r="A412" s="66"/>
      <c r="B412" s="66"/>
      <c r="C412" s="65"/>
      <c r="D412" s="65"/>
      <c r="E412" s="65"/>
      <c r="F412" s="23"/>
      <c r="G412" s="23"/>
    </row>
    <row r="413" spans="1:7" x14ac:dyDescent="0.15">
      <c r="A413" s="66"/>
      <c r="B413" s="66"/>
      <c r="C413" s="65"/>
      <c r="D413" s="65"/>
      <c r="E413" s="65"/>
      <c r="F413" s="23"/>
      <c r="G413" s="23"/>
    </row>
    <row r="414" spans="1:7" x14ac:dyDescent="0.15">
      <c r="A414" s="66"/>
      <c r="B414" s="66"/>
      <c r="C414" s="65"/>
      <c r="D414" s="65"/>
      <c r="E414" s="65"/>
      <c r="F414" s="23"/>
      <c r="G414" s="23"/>
    </row>
    <row r="415" spans="1:7" x14ac:dyDescent="0.15">
      <c r="A415" s="66"/>
      <c r="B415" s="66"/>
      <c r="C415" s="65"/>
      <c r="D415" s="65"/>
      <c r="E415" s="65"/>
      <c r="F415" s="23"/>
      <c r="G415" s="23"/>
    </row>
    <row r="416" spans="1:7" x14ac:dyDescent="0.15">
      <c r="A416" s="66"/>
      <c r="B416" s="66"/>
      <c r="C416" s="65"/>
      <c r="D416" s="65"/>
      <c r="E416" s="65"/>
      <c r="F416" s="23"/>
      <c r="G416" s="23"/>
    </row>
    <row r="417" spans="1:7" x14ac:dyDescent="0.15">
      <c r="A417" s="66"/>
      <c r="B417" s="66"/>
      <c r="C417" s="65"/>
      <c r="D417" s="65"/>
      <c r="E417" s="65"/>
      <c r="F417" s="23"/>
      <c r="G417" s="23"/>
    </row>
    <row r="418" spans="1:7" x14ac:dyDescent="0.15">
      <c r="A418" s="66"/>
      <c r="B418" s="66"/>
      <c r="C418" s="65"/>
      <c r="D418" s="65"/>
      <c r="E418" s="65"/>
      <c r="F418" s="23"/>
      <c r="G418" s="23"/>
    </row>
    <row r="419" spans="1:7" x14ac:dyDescent="0.15">
      <c r="A419" s="66"/>
      <c r="B419" s="66"/>
      <c r="C419" s="65"/>
      <c r="D419" s="65"/>
      <c r="E419" s="65"/>
      <c r="F419" s="23"/>
      <c r="G419" s="23"/>
    </row>
    <row r="420" spans="1:7" x14ac:dyDescent="0.15">
      <c r="A420" s="66"/>
      <c r="B420" s="66"/>
      <c r="C420" s="65"/>
      <c r="D420" s="65"/>
      <c r="E420" s="65"/>
      <c r="F420" s="23"/>
      <c r="G420" s="23"/>
    </row>
    <row r="421" spans="1:7" x14ac:dyDescent="0.15">
      <c r="A421" s="66"/>
      <c r="B421" s="66"/>
      <c r="C421" s="65"/>
      <c r="D421" s="65"/>
      <c r="E421" s="65"/>
      <c r="F421" s="23"/>
      <c r="G421" s="23"/>
    </row>
    <row r="422" spans="1:7" x14ac:dyDescent="0.15">
      <c r="A422" s="66"/>
      <c r="B422" s="66"/>
      <c r="C422" s="65"/>
      <c r="D422" s="65"/>
      <c r="E422" s="65"/>
      <c r="F422" s="23"/>
      <c r="G422" s="23"/>
    </row>
    <row r="423" spans="1:7" x14ac:dyDescent="0.15">
      <c r="A423" s="66"/>
      <c r="B423" s="66"/>
      <c r="C423" s="65"/>
      <c r="D423" s="65"/>
      <c r="E423" s="65"/>
      <c r="F423" s="23"/>
      <c r="G423" s="23"/>
    </row>
    <row r="424" spans="1:7" x14ac:dyDescent="0.15">
      <c r="A424" s="66"/>
      <c r="B424" s="66"/>
      <c r="C424" s="65"/>
      <c r="D424" s="65"/>
      <c r="E424" s="65"/>
      <c r="F424" s="23"/>
      <c r="G424" s="23"/>
    </row>
    <row r="425" spans="1:7" x14ac:dyDescent="0.15">
      <c r="A425" s="66"/>
      <c r="B425" s="66"/>
      <c r="C425" s="65"/>
      <c r="D425" s="65"/>
      <c r="E425" s="65"/>
      <c r="F425" s="23"/>
      <c r="G425" s="23"/>
    </row>
    <row r="426" spans="1:7" x14ac:dyDescent="0.15">
      <c r="A426" s="66"/>
      <c r="B426" s="66"/>
      <c r="C426" s="65"/>
      <c r="D426" s="65"/>
      <c r="E426" s="65"/>
      <c r="F426" s="23"/>
      <c r="G426" s="23"/>
    </row>
    <row r="427" spans="1:7" x14ac:dyDescent="0.15">
      <c r="A427" s="66"/>
      <c r="B427" s="66"/>
      <c r="C427" s="65"/>
      <c r="D427" s="65"/>
      <c r="E427" s="65"/>
      <c r="F427" s="23"/>
      <c r="G427" s="23"/>
    </row>
    <row r="428" spans="1:7" x14ac:dyDescent="0.15">
      <c r="A428" s="66"/>
      <c r="B428" s="66"/>
      <c r="C428" s="65"/>
      <c r="D428" s="65"/>
      <c r="E428" s="65"/>
      <c r="F428" s="23"/>
      <c r="G428" s="23"/>
    </row>
    <row r="429" spans="1:7" x14ac:dyDescent="0.15">
      <c r="A429" s="66"/>
      <c r="B429" s="66"/>
      <c r="C429" s="65"/>
      <c r="D429" s="65"/>
      <c r="E429" s="65"/>
      <c r="F429" s="23"/>
      <c r="G429" s="23"/>
    </row>
    <row r="430" spans="1:7" x14ac:dyDescent="0.15">
      <c r="A430" s="66"/>
      <c r="B430" s="66"/>
      <c r="C430" s="65"/>
      <c r="D430" s="65"/>
      <c r="E430" s="65"/>
      <c r="F430" s="23"/>
      <c r="G430" s="23"/>
    </row>
    <row r="431" spans="1:7" x14ac:dyDescent="0.15">
      <c r="A431" s="66"/>
      <c r="B431" s="66"/>
      <c r="C431" s="65"/>
      <c r="D431" s="65"/>
      <c r="E431" s="65"/>
      <c r="F431" s="23"/>
      <c r="G431" s="23"/>
    </row>
    <row r="432" spans="1:7" x14ac:dyDescent="0.15">
      <c r="A432" s="66"/>
      <c r="B432" s="66"/>
      <c r="C432" s="65"/>
      <c r="D432" s="65"/>
      <c r="E432" s="65"/>
      <c r="F432" s="23"/>
      <c r="G432" s="23"/>
    </row>
    <row r="433" spans="1:7" x14ac:dyDescent="0.15">
      <c r="A433" s="66"/>
      <c r="B433" s="66"/>
      <c r="C433" s="65"/>
      <c r="D433" s="65"/>
      <c r="E433" s="65"/>
      <c r="F433" s="23"/>
      <c r="G433" s="23"/>
    </row>
    <row r="434" spans="1:7" x14ac:dyDescent="0.15">
      <c r="A434" s="66"/>
      <c r="B434" s="66"/>
      <c r="C434" s="65"/>
      <c r="D434" s="65"/>
      <c r="E434" s="65"/>
      <c r="F434" s="23"/>
      <c r="G434" s="23"/>
    </row>
    <row r="435" spans="1:7" x14ac:dyDescent="0.15">
      <c r="A435" s="66"/>
      <c r="B435" s="66"/>
      <c r="C435" s="65"/>
      <c r="D435" s="65"/>
      <c r="E435" s="65"/>
      <c r="F435" s="23"/>
      <c r="G435" s="23"/>
    </row>
    <row r="436" spans="1:7" x14ac:dyDescent="0.15">
      <c r="A436" s="66"/>
      <c r="B436" s="66"/>
      <c r="C436" s="65"/>
      <c r="D436" s="65"/>
      <c r="E436" s="65"/>
      <c r="F436" s="23"/>
      <c r="G436" s="23"/>
    </row>
    <row r="437" spans="1:7" x14ac:dyDescent="0.15">
      <c r="A437" s="66"/>
      <c r="B437" s="66"/>
      <c r="C437" s="65"/>
      <c r="D437" s="65"/>
      <c r="E437" s="65"/>
      <c r="F437" s="23"/>
      <c r="G437" s="23"/>
    </row>
    <row r="438" spans="1:7" x14ac:dyDescent="0.15">
      <c r="A438" s="66"/>
      <c r="B438" s="66"/>
      <c r="C438" s="65"/>
      <c r="D438" s="65"/>
      <c r="E438" s="65"/>
      <c r="F438" s="23"/>
      <c r="G438" s="23"/>
    </row>
    <row r="439" spans="1:7" x14ac:dyDescent="0.15">
      <c r="A439" s="66"/>
      <c r="B439" s="66"/>
      <c r="C439" s="65"/>
      <c r="D439" s="65"/>
      <c r="E439" s="65"/>
      <c r="F439" s="23"/>
      <c r="G439" s="23"/>
    </row>
    <row r="440" spans="1:7" x14ac:dyDescent="0.15">
      <c r="A440" s="66"/>
      <c r="B440" s="66"/>
      <c r="C440" s="65"/>
      <c r="D440" s="65"/>
      <c r="E440" s="65"/>
      <c r="F440" s="23"/>
      <c r="G440" s="23"/>
    </row>
    <row r="441" spans="1:7" x14ac:dyDescent="0.15">
      <c r="A441" s="66"/>
      <c r="B441" s="66"/>
      <c r="C441" s="65"/>
      <c r="D441" s="65"/>
      <c r="E441" s="65"/>
      <c r="F441" s="23"/>
      <c r="G441" s="23"/>
    </row>
    <row r="442" spans="1:7" x14ac:dyDescent="0.15">
      <c r="A442" s="66"/>
      <c r="B442" s="66"/>
      <c r="C442" s="65"/>
      <c r="D442" s="65"/>
      <c r="E442" s="65"/>
      <c r="F442" s="23"/>
      <c r="G442" s="23"/>
    </row>
    <row r="443" spans="1:7" x14ac:dyDescent="0.15">
      <c r="A443" s="66"/>
      <c r="B443" s="66"/>
      <c r="C443" s="65"/>
      <c r="D443" s="65"/>
      <c r="E443" s="65"/>
      <c r="F443" s="23"/>
      <c r="G443" s="23"/>
    </row>
    <row r="444" spans="1:7" x14ac:dyDescent="0.15">
      <c r="A444" s="66"/>
      <c r="B444" s="66"/>
      <c r="C444" s="65"/>
      <c r="D444" s="65"/>
      <c r="E444" s="65"/>
      <c r="F444" s="23"/>
      <c r="G444" s="23"/>
    </row>
    <row r="445" spans="1:7" x14ac:dyDescent="0.15">
      <c r="A445" s="66"/>
      <c r="B445" s="66"/>
      <c r="C445" s="65"/>
      <c r="D445" s="65"/>
      <c r="E445" s="65"/>
      <c r="F445" s="23"/>
      <c r="G445" s="23"/>
    </row>
    <row r="446" spans="1:7" x14ac:dyDescent="0.15">
      <c r="A446" s="66"/>
      <c r="B446" s="66"/>
      <c r="C446" s="65"/>
      <c r="D446" s="65"/>
      <c r="E446" s="65"/>
      <c r="F446" s="23"/>
      <c r="G446" s="23"/>
    </row>
    <row r="447" spans="1:7" x14ac:dyDescent="0.15">
      <c r="A447" s="66"/>
      <c r="B447" s="66"/>
      <c r="C447" s="65"/>
      <c r="D447" s="65"/>
      <c r="E447" s="65"/>
      <c r="F447" s="23"/>
      <c r="G447" s="23"/>
    </row>
    <row r="448" spans="1:7" x14ac:dyDescent="0.15">
      <c r="A448" s="66"/>
      <c r="B448" s="66"/>
      <c r="C448" s="65"/>
      <c r="D448" s="65"/>
      <c r="E448" s="65"/>
      <c r="F448" s="23"/>
      <c r="G448" s="23"/>
    </row>
    <row r="449" spans="1:7" x14ac:dyDescent="0.15">
      <c r="A449" s="66"/>
      <c r="B449" s="66"/>
      <c r="C449" s="65"/>
      <c r="D449" s="65"/>
      <c r="E449" s="65"/>
      <c r="F449" s="23"/>
      <c r="G449" s="23"/>
    </row>
    <row r="450" spans="1:7" x14ac:dyDescent="0.15">
      <c r="A450" s="66"/>
      <c r="B450" s="66"/>
      <c r="C450" s="65"/>
      <c r="D450" s="65"/>
      <c r="E450" s="65"/>
      <c r="F450" s="23"/>
      <c r="G450" s="23"/>
    </row>
    <row r="451" spans="1:7" x14ac:dyDescent="0.15">
      <c r="A451" s="66"/>
      <c r="B451" s="66"/>
      <c r="C451" s="65"/>
      <c r="D451" s="65"/>
      <c r="E451" s="65"/>
      <c r="F451" s="23"/>
      <c r="G451" s="23"/>
    </row>
    <row r="452" spans="1:7" x14ac:dyDescent="0.15">
      <c r="A452" s="66"/>
      <c r="B452" s="66"/>
      <c r="C452" s="65"/>
      <c r="D452" s="65"/>
      <c r="E452" s="65"/>
      <c r="F452" s="23"/>
      <c r="G452" s="23"/>
    </row>
    <row r="453" spans="1:7" x14ac:dyDescent="0.15">
      <c r="A453" s="66"/>
      <c r="B453" s="66"/>
      <c r="C453" s="65"/>
      <c r="D453" s="65"/>
      <c r="E453" s="65"/>
      <c r="F453" s="23"/>
      <c r="G453" s="23"/>
    </row>
    <row r="454" spans="1:7" x14ac:dyDescent="0.15">
      <c r="A454" s="66"/>
      <c r="B454" s="66"/>
      <c r="C454" s="65"/>
      <c r="D454" s="65"/>
      <c r="E454" s="65"/>
      <c r="F454" s="23"/>
      <c r="G454" s="23"/>
    </row>
    <row r="455" spans="1:7" x14ac:dyDescent="0.15">
      <c r="A455" s="66"/>
      <c r="B455" s="66"/>
      <c r="C455" s="65"/>
      <c r="D455" s="65"/>
      <c r="E455" s="65"/>
      <c r="F455" s="23"/>
      <c r="G455" s="23"/>
    </row>
    <row r="456" spans="1:7" x14ac:dyDescent="0.15">
      <c r="A456" s="66"/>
      <c r="B456" s="66"/>
      <c r="C456" s="65"/>
      <c r="D456" s="65"/>
      <c r="E456" s="65"/>
      <c r="F456" s="23"/>
      <c r="G456" s="23"/>
    </row>
    <row r="457" spans="1:7" x14ac:dyDescent="0.15">
      <c r="A457" s="66"/>
      <c r="B457" s="66"/>
      <c r="C457" s="65"/>
      <c r="D457" s="65"/>
      <c r="E457" s="65"/>
      <c r="F457" s="23"/>
      <c r="G457" s="23"/>
    </row>
    <row r="458" spans="1:7" x14ac:dyDescent="0.15">
      <c r="A458" s="66"/>
      <c r="B458" s="66"/>
      <c r="C458" s="65"/>
      <c r="D458" s="65"/>
      <c r="E458" s="65"/>
      <c r="F458" s="23"/>
      <c r="G458" s="23"/>
    </row>
    <row r="459" spans="1:7" x14ac:dyDescent="0.15">
      <c r="A459" s="66"/>
      <c r="B459" s="66"/>
      <c r="C459" s="65"/>
      <c r="D459" s="65"/>
      <c r="E459" s="65"/>
      <c r="F459" s="23"/>
      <c r="G459" s="23"/>
    </row>
    <row r="460" spans="1:7" x14ac:dyDescent="0.15">
      <c r="A460" s="66"/>
      <c r="B460" s="66"/>
      <c r="C460" s="65"/>
      <c r="D460" s="65"/>
      <c r="E460" s="65"/>
      <c r="F460" s="23"/>
      <c r="G460" s="23"/>
    </row>
    <row r="461" spans="1:7" x14ac:dyDescent="0.15">
      <c r="A461" s="66"/>
      <c r="B461" s="66"/>
      <c r="C461" s="65"/>
      <c r="D461" s="65"/>
      <c r="E461" s="65"/>
      <c r="F461" s="23"/>
      <c r="G461" s="23"/>
    </row>
    <row r="462" spans="1:7" x14ac:dyDescent="0.15">
      <c r="A462" s="66"/>
      <c r="B462" s="66"/>
      <c r="C462" s="65"/>
      <c r="D462" s="65"/>
      <c r="E462" s="65"/>
      <c r="F462" s="23"/>
      <c r="G462" s="23"/>
    </row>
    <row r="463" spans="1:7" x14ac:dyDescent="0.15">
      <c r="A463" s="66"/>
      <c r="B463" s="66"/>
      <c r="C463" s="65"/>
      <c r="D463" s="65"/>
      <c r="E463" s="65"/>
      <c r="F463" s="23"/>
      <c r="G463" s="23"/>
    </row>
    <row r="464" spans="1:7" x14ac:dyDescent="0.15">
      <c r="A464" s="66"/>
      <c r="B464" s="66"/>
      <c r="C464" s="65"/>
      <c r="D464" s="65"/>
      <c r="E464" s="65"/>
      <c r="F464" s="23"/>
      <c r="G464" s="23"/>
    </row>
    <row r="465" spans="1:7" x14ac:dyDescent="0.15">
      <c r="A465" s="66"/>
      <c r="B465" s="66"/>
      <c r="C465" s="65"/>
      <c r="D465" s="65"/>
      <c r="E465" s="65"/>
      <c r="F465" s="23"/>
      <c r="G465" s="23"/>
    </row>
    <row r="466" spans="1:7" x14ac:dyDescent="0.15">
      <c r="A466" s="66"/>
      <c r="B466" s="66"/>
      <c r="C466" s="65"/>
      <c r="D466" s="65"/>
      <c r="E466" s="65"/>
      <c r="F466" s="23"/>
      <c r="G466" s="23"/>
    </row>
    <row r="467" spans="1:7" x14ac:dyDescent="0.15">
      <c r="A467" s="66"/>
      <c r="B467" s="66"/>
      <c r="C467" s="65"/>
      <c r="D467" s="65"/>
      <c r="E467" s="65"/>
      <c r="F467" s="23"/>
      <c r="G467" s="23"/>
    </row>
    <row r="468" spans="1:7" x14ac:dyDescent="0.15">
      <c r="A468" s="66"/>
      <c r="B468" s="66"/>
      <c r="C468" s="65"/>
      <c r="D468" s="65"/>
      <c r="E468" s="65"/>
      <c r="F468" s="23"/>
      <c r="G468" s="23"/>
    </row>
    <row r="469" spans="1:7" x14ac:dyDescent="0.15">
      <c r="A469" s="66"/>
      <c r="B469" s="66"/>
      <c r="C469" s="65"/>
      <c r="D469" s="65"/>
      <c r="E469" s="65"/>
      <c r="F469" s="23"/>
      <c r="G469" s="23"/>
    </row>
    <row r="470" spans="1:7" x14ac:dyDescent="0.15">
      <c r="A470" s="66"/>
      <c r="B470" s="66"/>
      <c r="C470" s="65"/>
      <c r="D470" s="65"/>
      <c r="E470" s="65"/>
      <c r="F470" s="23"/>
      <c r="G470" s="23"/>
    </row>
    <row r="471" spans="1:7" x14ac:dyDescent="0.15">
      <c r="A471" s="66"/>
      <c r="B471" s="66"/>
      <c r="C471" s="65"/>
      <c r="D471" s="65"/>
      <c r="E471" s="65"/>
      <c r="F471" s="23"/>
      <c r="G471" s="23"/>
    </row>
    <row r="472" spans="1:7" x14ac:dyDescent="0.15">
      <c r="A472" s="66"/>
      <c r="B472" s="66"/>
      <c r="C472" s="65"/>
      <c r="D472" s="65"/>
      <c r="E472" s="65"/>
      <c r="F472" s="23"/>
      <c r="G472" s="23"/>
    </row>
    <row r="473" spans="1:7" x14ac:dyDescent="0.15">
      <c r="A473" s="66"/>
      <c r="B473" s="66"/>
      <c r="C473" s="65"/>
      <c r="D473" s="65"/>
      <c r="E473" s="65"/>
      <c r="F473" s="23"/>
      <c r="G473" s="23"/>
    </row>
    <row r="474" spans="1:7" x14ac:dyDescent="0.15">
      <c r="A474" s="66"/>
      <c r="B474" s="66"/>
      <c r="C474" s="65"/>
      <c r="D474" s="65"/>
      <c r="E474" s="65"/>
      <c r="F474" s="23"/>
      <c r="G474" s="23"/>
    </row>
    <row r="475" spans="1:7" x14ac:dyDescent="0.15">
      <c r="A475" s="66"/>
      <c r="B475" s="66"/>
      <c r="C475" s="65"/>
      <c r="D475" s="65"/>
      <c r="E475" s="65"/>
      <c r="F475" s="23"/>
      <c r="G475" s="23"/>
    </row>
    <row r="476" spans="1:7" x14ac:dyDescent="0.15">
      <c r="A476" s="66"/>
      <c r="B476" s="66"/>
      <c r="C476" s="65"/>
      <c r="D476" s="65"/>
      <c r="E476" s="65"/>
      <c r="F476" s="23"/>
      <c r="G476" s="23"/>
    </row>
    <row r="477" spans="1:7" x14ac:dyDescent="0.15">
      <c r="A477" s="66"/>
      <c r="B477" s="66"/>
      <c r="C477" s="65"/>
      <c r="D477" s="65"/>
      <c r="E477" s="65"/>
      <c r="F477" s="23"/>
      <c r="G477" s="23"/>
    </row>
    <row r="478" spans="1:7" x14ac:dyDescent="0.15">
      <c r="A478" s="66"/>
      <c r="B478" s="66"/>
      <c r="C478" s="65"/>
      <c r="D478" s="65"/>
      <c r="E478" s="65"/>
      <c r="F478" s="23"/>
      <c r="G478" s="23"/>
    </row>
    <row r="479" spans="1:7" x14ac:dyDescent="0.15">
      <c r="A479" s="66"/>
      <c r="B479" s="66"/>
      <c r="C479" s="65"/>
      <c r="D479" s="65"/>
      <c r="E479" s="65"/>
      <c r="F479" s="23"/>
      <c r="G479" s="23"/>
    </row>
    <row r="480" spans="1:7" x14ac:dyDescent="0.15">
      <c r="A480" s="66"/>
      <c r="B480" s="66"/>
      <c r="C480" s="65"/>
      <c r="D480" s="65"/>
      <c r="E480" s="65"/>
      <c r="F480" s="23"/>
      <c r="G480" s="23"/>
    </row>
    <row r="481" spans="1:7" x14ac:dyDescent="0.15">
      <c r="A481" s="66"/>
      <c r="B481" s="66"/>
      <c r="C481" s="65"/>
      <c r="D481" s="65"/>
      <c r="E481" s="65"/>
      <c r="F481" s="23"/>
      <c r="G481" s="23"/>
    </row>
    <row r="482" spans="1:7" x14ac:dyDescent="0.15">
      <c r="A482" s="66"/>
      <c r="B482" s="66"/>
      <c r="C482" s="65"/>
      <c r="D482" s="65"/>
      <c r="E482" s="65"/>
      <c r="F482" s="23"/>
      <c r="G482" s="23"/>
    </row>
    <row r="483" spans="1:7" x14ac:dyDescent="0.15">
      <c r="A483" s="66"/>
      <c r="B483" s="66"/>
      <c r="C483" s="65"/>
      <c r="D483" s="65"/>
      <c r="E483" s="65"/>
      <c r="F483" s="23"/>
      <c r="G483" s="23"/>
    </row>
    <row r="484" spans="1:7" x14ac:dyDescent="0.15">
      <c r="A484" s="66"/>
      <c r="B484" s="66"/>
      <c r="C484" s="65"/>
      <c r="D484" s="65"/>
      <c r="E484" s="65"/>
      <c r="F484" s="23"/>
      <c r="G484" s="23"/>
    </row>
    <row r="485" spans="1:7" x14ac:dyDescent="0.15">
      <c r="A485" s="66"/>
      <c r="B485" s="66"/>
      <c r="C485" s="65"/>
      <c r="D485" s="65"/>
      <c r="E485" s="65"/>
      <c r="F485" s="23"/>
      <c r="G485" s="23"/>
    </row>
    <row r="486" spans="1:7" x14ac:dyDescent="0.15">
      <c r="A486" s="66"/>
      <c r="B486" s="66"/>
      <c r="C486" s="65"/>
      <c r="D486" s="65"/>
      <c r="E486" s="65"/>
      <c r="F486" s="23"/>
      <c r="G486" s="23"/>
    </row>
    <row r="487" spans="1:7" x14ac:dyDescent="0.15">
      <c r="A487" s="66"/>
      <c r="B487" s="66"/>
      <c r="C487" s="65"/>
      <c r="D487" s="65"/>
      <c r="E487" s="65"/>
      <c r="F487" s="23"/>
      <c r="G487" s="23"/>
    </row>
    <row r="488" spans="1:7" x14ac:dyDescent="0.15">
      <c r="A488" s="66"/>
      <c r="B488" s="66"/>
      <c r="C488" s="65"/>
      <c r="D488" s="65"/>
      <c r="E488" s="65"/>
      <c r="F488" s="23"/>
      <c r="G488" s="23"/>
    </row>
    <row r="489" spans="1:7" x14ac:dyDescent="0.15">
      <c r="A489" s="66"/>
      <c r="B489" s="66"/>
      <c r="C489" s="65"/>
      <c r="D489" s="65"/>
      <c r="E489" s="65"/>
      <c r="F489" s="23"/>
      <c r="G489" s="23"/>
    </row>
    <row r="490" spans="1:7" x14ac:dyDescent="0.15">
      <c r="A490" s="66"/>
      <c r="B490" s="66"/>
      <c r="C490" s="65"/>
      <c r="D490" s="65"/>
      <c r="E490" s="65"/>
      <c r="F490" s="23"/>
      <c r="G490" s="23"/>
    </row>
    <row r="491" spans="1:7" x14ac:dyDescent="0.15">
      <c r="A491" s="66"/>
      <c r="B491" s="66"/>
      <c r="C491" s="65"/>
      <c r="D491" s="65"/>
      <c r="E491" s="65"/>
      <c r="F491" s="23"/>
      <c r="G491" s="23"/>
    </row>
    <row r="492" spans="1:7" x14ac:dyDescent="0.15">
      <c r="A492" s="66"/>
      <c r="B492" s="66"/>
      <c r="C492" s="65"/>
      <c r="D492" s="65"/>
      <c r="E492" s="65"/>
      <c r="F492" s="23"/>
      <c r="G492" s="23"/>
    </row>
    <row r="493" spans="1:7" x14ac:dyDescent="0.15">
      <c r="A493" s="66"/>
      <c r="B493" s="66"/>
      <c r="C493" s="65"/>
      <c r="D493" s="65"/>
      <c r="E493" s="65"/>
      <c r="F493" s="23"/>
      <c r="G493" s="23"/>
    </row>
    <row r="494" spans="1:7" x14ac:dyDescent="0.15">
      <c r="A494" s="66"/>
      <c r="B494" s="66"/>
      <c r="C494" s="65"/>
      <c r="D494" s="65"/>
      <c r="E494" s="65"/>
      <c r="F494" s="23"/>
      <c r="G494" s="23"/>
    </row>
    <row r="495" spans="1:7" x14ac:dyDescent="0.15">
      <c r="A495" s="66"/>
      <c r="B495" s="66"/>
      <c r="C495" s="65"/>
      <c r="D495" s="65"/>
      <c r="E495" s="65"/>
      <c r="F495" s="23"/>
      <c r="G495" s="23"/>
    </row>
    <row r="496" spans="1:7" x14ac:dyDescent="0.15">
      <c r="A496" s="66"/>
      <c r="B496" s="66"/>
      <c r="C496" s="65"/>
      <c r="D496" s="65"/>
      <c r="E496" s="65"/>
      <c r="F496" s="23"/>
      <c r="G496" s="23"/>
    </row>
    <row r="497" spans="1:7" x14ac:dyDescent="0.15">
      <c r="A497" s="66"/>
      <c r="B497" s="66"/>
      <c r="C497" s="65"/>
      <c r="D497" s="65"/>
      <c r="E497" s="65"/>
      <c r="F497" s="23"/>
      <c r="G497" s="23"/>
    </row>
    <row r="498" spans="1:7" x14ac:dyDescent="0.15">
      <c r="A498" s="66"/>
      <c r="B498" s="66"/>
      <c r="C498" s="65"/>
      <c r="D498" s="65"/>
      <c r="E498" s="65"/>
      <c r="F498" s="23"/>
      <c r="G498" s="23"/>
    </row>
    <row r="499" spans="1:7" x14ac:dyDescent="0.15">
      <c r="A499" s="66"/>
      <c r="B499" s="66"/>
      <c r="C499" s="65"/>
      <c r="D499" s="65"/>
      <c r="E499" s="65"/>
      <c r="F499" s="23"/>
      <c r="G499" s="23"/>
    </row>
    <row r="500" spans="1:7" x14ac:dyDescent="0.15">
      <c r="A500" s="66"/>
      <c r="B500" s="66"/>
      <c r="C500" s="65"/>
      <c r="D500" s="65"/>
      <c r="E500" s="65"/>
      <c r="F500" s="23"/>
      <c r="G500" s="23"/>
    </row>
    <row r="501" spans="1:7" x14ac:dyDescent="0.15">
      <c r="A501" s="66"/>
      <c r="B501" s="66"/>
      <c r="C501" s="65"/>
      <c r="D501" s="65"/>
      <c r="E501" s="65"/>
      <c r="F501" s="23"/>
      <c r="G501" s="23"/>
    </row>
    <row r="502" spans="1:7" x14ac:dyDescent="0.15">
      <c r="A502" s="66"/>
      <c r="B502" s="66"/>
      <c r="C502" s="65"/>
      <c r="D502" s="65"/>
      <c r="E502" s="65"/>
      <c r="F502" s="23"/>
      <c r="G502" s="23"/>
    </row>
    <row r="503" spans="1:7" x14ac:dyDescent="0.15">
      <c r="A503" s="66"/>
      <c r="B503" s="66"/>
      <c r="C503" s="65"/>
      <c r="D503" s="65"/>
      <c r="E503" s="65"/>
      <c r="F503" s="23"/>
      <c r="G503" s="23"/>
    </row>
    <row r="504" spans="1:7" x14ac:dyDescent="0.15">
      <c r="A504" s="66"/>
      <c r="B504" s="66"/>
      <c r="C504" s="65"/>
      <c r="D504" s="65"/>
      <c r="E504" s="65"/>
      <c r="F504" s="23"/>
      <c r="G504" s="23"/>
    </row>
    <row r="505" spans="1:7" x14ac:dyDescent="0.15">
      <c r="A505" s="66"/>
      <c r="B505" s="66"/>
      <c r="C505" s="65"/>
      <c r="D505" s="65"/>
      <c r="E505" s="65"/>
      <c r="F505" s="23"/>
      <c r="G505" s="23"/>
    </row>
    <row r="506" spans="1:7" x14ac:dyDescent="0.15">
      <c r="A506" s="66"/>
      <c r="B506" s="66"/>
      <c r="C506" s="65"/>
      <c r="D506" s="65"/>
      <c r="E506" s="65"/>
      <c r="F506" s="23"/>
      <c r="G506" s="23"/>
    </row>
    <row r="507" spans="1:7" x14ac:dyDescent="0.15">
      <c r="A507" s="66"/>
      <c r="B507" s="66"/>
      <c r="C507" s="65"/>
      <c r="D507" s="65"/>
      <c r="E507" s="65"/>
      <c r="F507" s="23"/>
      <c r="G507" s="23"/>
    </row>
    <row r="508" spans="1:7" x14ac:dyDescent="0.15">
      <c r="A508" s="66"/>
      <c r="B508" s="66"/>
      <c r="C508" s="65"/>
      <c r="D508" s="65"/>
      <c r="E508" s="65"/>
      <c r="F508" s="23"/>
      <c r="G508" s="23"/>
    </row>
    <row r="509" spans="1:7" x14ac:dyDescent="0.15">
      <c r="A509" s="66"/>
      <c r="B509" s="66"/>
      <c r="C509" s="65"/>
      <c r="D509" s="65"/>
      <c r="E509" s="65"/>
      <c r="F509" s="23"/>
      <c r="G509" s="23"/>
    </row>
    <row r="510" spans="1:7" x14ac:dyDescent="0.15">
      <c r="A510" s="66"/>
      <c r="B510" s="66"/>
      <c r="C510" s="65"/>
      <c r="D510" s="65"/>
      <c r="E510" s="65"/>
      <c r="F510" s="23"/>
      <c r="G510" s="23"/>
    </row>
    <row r="511" spans="1:7" x14ac:dyDescent="0.15">
      <c r="A511" s="66"/>
      <c r="B511" s="66"/>
      <c r="C511" s="65"/>
      <c r="D511" s="65"/>
      <c r="E511" s="65"/>
      <c r="F511" s="23"/>
      <c r="G511" s="23"/>
    </row>
    <row r="512" spans="1:7" x14ac:dyDescent="0.15">
      <c r="A512" s="66"/>
      <c r="B512" s="66"/>
      <c r="C512" s="65"/>
      <c r="D512" s="65"/>
      <c r="E512" s="65"/>
      <c r="F512" s="23"/>
      <c r="G512" s="23"/>
    </row>
    <row r="513" spans="1:7" x14ac:dyDescent="0.15">
      <c r="A513" s="66"/>
      <c r="B513" s="66"/>
      <c r="C513" s="65"/>
      <c r="D513" s="65"/>
      <c r="E513" s="65"/>
      <c r="F513" s="23"/>
      <c r="G513" s="23"/>
    </row>
    <row r="514" spans="1:7" x14ac:dyDescent="0.15">
      <c r="A514" s="66"/>
      <c r="B514" s="66"/>
      <c r="C514" s="65"/>
      <c r="D514" s="65"/>
      <c r="E514" s="65"/>
      <c r="F514" s="23"/>
      <c r="G514" s="23"/>
    </row>
    <row r="515" spans="1:7" x14ac:dyDescent="0.15">
      <c r="A515" s="66"/>
      <c r="B515" s="66"/>
      <c r="C515" s="65"/>
      <c r="D515" s="65"/>
      <c r="E515" s="65"/>
      <c r="F515" s="23"/>
      <c r="G515" s="23"/>
    </row>
    <row r="516" spans="1:7" x14ac:dyDescent="0.15">
      <c r="A516" s="66"/>
      <c r="B516" s="66"/>
      <c r="C516" s="65"/>
      <c r="D516" s="65"/>
      <c r="E516" s="65"/>
      <c r="F516" s="23"/>
      <c r="G516" s="23"/>
    </row>
    <row r="517" spans="1:7" x14ac:dyDescent="0.15">
      <c r="A517" s="66"/>
      <c r="B517" s="66"/>
      <c r="C517" s="65"/>
      <c r="D517" s="65"/>
      <c r="E517" s="65"/>
      <c r="F517" s="23"/>
      <c r="G517" s="23"/>
    </row>
    <row r="518" spans="1:7" x14ac:dyDescent="0.15">
      <c r="A518" s="66"/>
      <c r="B518" s="66"/>
      <c r="C518" s="65"/>
      <c r="D518" s="65"/>
      <c r="E518" s="65"/>
      <c r="F518" s="23"/>
      <c r="G518" s="23"/>
    </row>
    <row r="519" spans="1:7" x14ac:dyDescent="0.15">
      <c r="A519" s="66"/>
      <c r="B519" s="66"/>
      <c r="C519" s="65"/>
      <c r="D519" s="65"/>
      <c r="E519" s="65"/>
      <c r="F519" s="23"/>
      <c r="G519" s="23"/>
    </row>
    <row r="520" spans="1:7" x14ac:dyDescent="0.15">
      <c r="A520" s="66"/>
      <c r="B520" s="66"/>
      <c r="C520" s="65"/>
      <c r="D520" s="65"/>
      <c r="E520" s="65"/>
      <c r="F520" s="23"/>
      <c r="G520" s="23"/>
    </row>
    <row r="521" spans="1:7" x14ac:dyDescent="0.15">
      <c r="A521" s="66"/>
      <c r="B521" s="66"/>
      <c r="C521" s="65"/>
      <c r="D521" s="65"/>
      <c r="E521" s="65"/>
      <c r="F521" s="23"/>
      <c r="G521" s="23"/>
    </row>
    <row r="522" spans="1:7" x14ac:dyDescent="0.15">
      <c r="A522" s="66"/>
      <c r="B522" s="66"/>
      <c r="C522" s="65"/>
      <c r="D522" s="65"/>
      <c r="E522" s="65"/>
      <c r="F522" s="23"/>
      <c r="G522" s="23"/>
    </row>
    <row r="523" spans="1:7" x14ac:dyDescent="0.15">
      <c r="A523" s="66"/>
      <c r="B523" s="66"/>
      <c r="C523" s="65"/>
      <c r="D523" s="65"/>
      <c r="E523" s="65"/>
      <c r="F523" s="23"/>
      <c r="G523" s="23"/>
    </row>
    <row r="524" spans="1:7" x14ac:dyDescent="0.15">
      <c r="A524" s="66"/>
      <c r="B524" s="66"/>
      <c r="C524" s="65"/>
      <c r="D524" s="65"/>
      <c r="E524" s="65"/>
      <c r="F524" s="23"/>
      <c r="G524" s="23"/>
    </row>
    <row r="525" spans="1:7" x14ac:dyDescent="0.15">
      <c r="A525" s="66"/>
      <c r="B525" s="66"/>
      <c r="C525" s="65"/>
      <c r="D525" s="65"/>
      <c r="E525" s="65"/>
      <c r="F525" s="23"/>
      <c r="G525" s="23"/>
    </row>
    <row r="526" spans="1:7" x14ac:dyDescent="0.15">
      <c r="A526" s="66"/>
      <c r="B526" s="66"/>
      <c r="C526" s="65"/>
      <c r="D526" s="65"/>
      <c r="E526" s="65"/>
      <c r="F526" s="23"/>
      <c r="G526" s="23"/>
    </row>
    <row r="527" spans="1:7" x14ac:dyDescent="0.15">
      <c r="A527" s="66"/>
      <c r="B527" s="66"/>
      <c r="C527" s="65"/>
      <c r="D527" s="65"/>
      <c r="E527" s="65"/>
      <c r="F527" s="23"/>
      <c r="G527" s="23"/>
    </row>
    <row r="528" spans="1:7" x14ac:dyDescent="0.15">
      <c r="A528" s="66"/>
      <c r="B528" s="66"/>
      <c r="C528" s="65"/>
      <c r="D528" s="65"/>
      <c r="E528" s="65"/>
      <c r="F528" s="23"/>
      <c r="G528" s="23"/>
    </row>
    <row r="529" spans="1:7" x14ac:dyDescent="0.15">
      <c r="A529" s="66"/>
      <c r="B529" s="66"/>
      <c r="C529" s="65"/>
      <c r="D529" s="65"/>
      <c r="E529" s="65"/>
      <c r="F529" s="23"/>
      <c r="G529" s="23"/>
    </row>
    <row r="530" spans="1:7" x14ac:dyDescent="0.15">
      <c r="A530" s="66"/>
      <c r="B530" s="66"/>
      <c r="C530" s="65"/>
      <c r="D530" s="65"/>
      <c r="E530" s="65"/>
      <c r="F530" s="23"/>
      <c r="G530" s="23"/>
    </row>
    <row r="531" spans="1:7" x14ac:dyDescent="0.15">
      <c r="A531" s="66"/>
      <c r="B531" s="66"/>
      <c r="C531" s="65"/>
      <c r="D531" s="65"/>
      <c r="E531" s="65"/>
      <c r="F531" s="23"/>
      <c r="G531" s="23"/>
    </row>
    <row r="532" spans="1:7" x14ac:dyDescent="0.15">
      <c r="A532" s="66"/>
      <c r="B532" s="66"/>
      <c r="C532" s="65"/>
      <c r="D532" s="65"/>
      <c r="E532" s="65"/>
      <c r="F532" s="23"/>
      <c r="G532" s="23"/>
    </row>
    <row r="533" spans="1:7" x14ac:dyDescent="0.15">
      <c r="A533" s="66"/>
      <c r="B533" s="66"/>
      <c r="C533" s="65"/>
      <c r="D533" s="65"/>
      <c r="E533" s="65"/>
      <c r="F533" s="23"/>
      <c r="G533" s="23"/>
    </row>
    <row r="534" spans="1:7" x14ac:dyDescent="0.15">
      <c r="A534" s="66"/>
      <c r="B534" s="66"/>
      <c r="C534" s="65"/>
      <c r="D534" s="65"/>
      <c r="E534" s="65"/>
      <c r="F534" s="23"/>
      <c r="G534" s="23"/>
    </row>
    <row r="535" spans="1:7" x14ac:dyDescent="0.15">
      <c r="A535" s="66"/>
      <c r="B535" s="66"/>
      <c r="C535" s="65"/>
      <c r="D535" s="65"/>
      <c r="E535" s="65"/>
      <c r="F535" s="23"/>
      <c r="G535" s="23"/>
    </row>
    <row r="536" spans="1:7" x14ac:dyDescent="0.15">
      <c r="A536" s="66"/>
      <c r="B536" s="66"/>
      <c r="C536" s="65"/>
      <c r="D536" s="65"/>
      <c r="E536" s="65"/>
      <c r="F536" s="23"/>
      <c r="G536" s="23"/>
    </row>
    <row r="537" spans="1:7" x14ac:dyDescent="0.15">
      <c r="A537" s="66"/>
      <c r="B537" s="66"/>
      <c r="C537" s="65"/>
      <c r="D537" s="65"/>
      <c r="E537" s="65"/>
      <c r="F537" s="23"/>
      <c r="G537" s="23"/>
    </row>
    <row r="538" spans="1:7" x14ac:dyDescent="0.15">
      <c r="A538" s="66"/>
      <c r="B538" s="66"/>
      <c r="C538" s="65"/>
      <c r="D538" s="65"/>
      <c r="E538" s="65"/>
      <c r="F538" s="23"/>
      <c r="G538" s="23"/>
    </row>
    <row r="539" spans="1:7" x14ac:dyDescent="0.15">
      <c r="A539" s="66"/>
      <c r="B539" s="66"/>
      <c r="C539" s="65"/>
      <c r="D539" s="65"/>
      <c r="E539" s="65"/>
      <c r="F539" s="23"/>
      <c r="G539" s="23"/>
    </row>
    <row r="540" spans="1:7" x14ac:dyDescent="0.15">
      <c r="A540" s="66"/>
      <c r="B540" s="66"/>
      <c r="C540" s="65"/>
      <c r="D540" s="65"/>
      <c r="E540" s="65"/>
      <c r="F540" s="23"/>
      <c r="G540" s="23"/>
    </row>
    <row r="541" spans="1:7" x14ac:dyDescent="0.15">
      <c r="A541" s="66"/>
      <c r="B541" s="66"/>
      <c r="C541" s="65"/>
      <c r="D541" s="65"/>
      <c r="E541" s="65"/>
      <c r="F541" s="23"/>
      <c r="G541" s="23"/>
    </row>
    <row r="542" spans="1:7" x14ac:dyDescent="0.15">
      <c r="A542" s="66"/>
      <c r="B542" s="66"/>
      <c r="C542" s="65"/>
      <c r="D542" s="65"/>
      <c r="E542" s="65"/>
      <c r="F542" s="23"/>
      <c r="G542" s="23"/>
    </row>
    <row r="543" spans="1:7" x14ac:dyDescent="0.15">
      <c r="A543" s="66"/>
      <c r="B543" s="66"/>
      <c r="C543" s="65"/>
      <c r="D543" s="65"/>
      <c r="E543" s="65"/>
      <c r="F543" s="23"/>
      <c r="G543" s="23"/>
    </row>
    <row r="544" spans="1:7" x14ac:dyDescent="0.15">
      <c r="A544" s="66"/>
      <c r="B544" s="66"/>
      <c r="C544" s="65"/>
      <c r="D544" s="65"/>
      <c r="E544" s="65"/>
      <c r="F544" s="23"/>
      <c r="G544" s="23"/>
    </row>
    <row r="545" spans="1:7" x14ac:dyDescent="0.15">
      <c r="A545" s="66"/>
      <c r="B545" s="66"/>
      <c r="C545" s="65"/>
      <c r="D545" s="65"/>
      <c r="E545" s="65"/>
      <c r="F545" s="23"/>
      <c r="G545" s="23"/>
    </row>
    <row r="546" spans="1:7" x14ac:dyDescent="0.15">
      <c r="A546" s="66"/>
      <c r="B546" s="66"/>
      <c r="C546" s="65"/>
      <c r="D546" s="65"/>
      <c r="E546" s="65"/>
      <c r="F546" s="23"/>
      <c r="G546" s="23"/>
    </row>
    <row r="547" spans="1:7" x14ac:dyDescent="0.15">
      <c r="A547" s="66"/>
      <c r="B547" s="66"/>
      <c r="C547" s="65"/>
      <c r="D547" s="65"/>
      <c r="E547" s="65"/>
      <c r="F547" s="23"/>
      <c r="G547" s="23"/>
    </row>
    <row r="548" spans="1:7" x14ac:dyDescent="0.15">
      <c r="A548" s="66"/>
      <c r="B548" s="66"/>
      <c r="C548" s="65"/>
      <c r="D548" s="65"/>
      <c r="E548" s="65"/>
      <c r="F548" s="23"/>
      <c r="G548" s="23"/>
    </row>
    <row r="549" spans="1:7" x14ac:dyDescent="0.15">
      <c r="A549" s="66"/>
      <c r="B549" s="66"/>
      <c r="C549" s="65"/>
      <c r="D549" s="65"/>
      <c r="E549" s="65"/>
      <c r="F549" s="23"/>
      <c r="G549" s="23"/>
    </row>
    <row r="550" spans="1:7" x14ac:dyDescent="0.15">
      <c r="A550" s="66"/>
      <c r="B550" s="66"/>
      <c r="C550" s="65"/>
      <c r="D550" s="65"/>
      <c r="E550" s="65"/>
      <c r="F550" s="23"/>
      <c r="G550" s="23"/>
    </row>
    <row r="551" spans="1:7" x14ac:dyDescent="0.15">
      <c r="A551" s="66"/>
      <c r="B551" s="66"/>
      <c r="C551" s="65"/>
      <c r="D551" s="65"/>
      <c r="E551" s="65"/>
      <c r="F551" s="23"/>
      <c r="G551" s="23"/>
    </row>
    <row r="552" spans="1:7" x14ac:dyDescent="0.15">
      <c r="A552" s="66"/>
      <c r="B552" s="66"/>
      <c r="C552" s="65"/>
      <c r="D552" s="65"/>
      <c r="E552" s="65"/>
      <c r="F552" s="23"/>
      <c r="G552" s="23"/>
    </row>
    <row r="553" spans="1:7" x14ac:dyDescent="0.15">
      <c r="A553" s="66"/>
      <c r="B553" s="66"/>
      <c r="C553" s="65"/>
      <c r="D553" s="65"/>
      <c r="E553" s="65"/>
      <c r="F553" s="23"/>
      <c r="G553" s="23"/>
    </row>
    <row r="554" spans="1:7" x14ac:dyDescent="0.15">
      <c r="A554" s="66"/>
      <c r="B554" s="66"/>
      <c r="C554" s="65"/>
      <c r="D554" s="65"/>
      <c r="E554" s="65"/>
      <c r="F554" s="23"/>
      <c r="G554" s="23"/>
    </row>
    <row r="555" spans="1:7" x14ac:dyDescent="0.15">
      <c r="A555" s="66"/>
      <c r="B555" s="66"/>
      <c r="C555" s="65"/>
      <c r="D555" s="65"/>
      <c r="E555" s="65"/>
      <c r="F555" s="23"/>
      <c r="G555" s="23"/>
    </row>
    <row r="556" spans="1:7" x14ac:dyDescent="0.15">
      <c r="A556" s="66"/>
      <c r="B556" s="66"/>
      <c r="C556" s="65"/>
      <c r="D556" s="65"/>
      <c r="E556" s="65"/>
      <c r="F556" s="23"/>
      <c r="G556" s="23"/>
    </row>
    <row r="557" spans="1:7" x14ac:dyDescent="0.15">
      <c r="A557" s="66"/>
      <c r="B557" s="66"/>
      <c r="C557" s="65"/>
      <c r="D557" s="65"/>
      <c r="E557" s="65"/>
      <c r="F557" s="23"/>
      <c r="G557" s="23"/>
    </row>
    <row r="558" spans="1:7" x14ac:dyDescent="0.15">
      <c r="A558" s="66"/>
      <c r="B558" s="66"/>
      <c r="C558" s="65"/>
      <c r="D558" s="65"/>
      <c r="E558" s="65"/>
      <c r="F558" s="23"/>
      <c r="G558" s="23"/>
    </row>
    <row r="559" spans="1:7" x14ac:dyDescent="0.15">
      <c r="A559" s="66"/>
      <c r="B559" s="66"/>
      <c r="C559" s="65"/>
      <c r="D559" s="65"/>
      <c r="E559" s="65"/>
      <c r="F559" s="23"/>
      <c r="G559" s="23"/>
    </row>
    <row r="560" spans="1:7" x14ac:dyDescent="0.15">
      <c r="A560" s="66"/>
      <c r="B560" s="66"/>
      <c r="C560" s="65"/>
      <c r="D560" s="65"/>
      <c r="E560" s="65"/>
      <c r="F560" s="23"/>
      <c r="G560" s="23"/>
    </row>
    <row r="561" spans="1:7" x14ac:dyDescent="0.15">
      <c r="A561" s="66"/>
      <c r="B561" s="66"/>
      <c r="C561" s="65"/>
      <c r="D561" s="65"/>
      <c r="E561" s="65"/>
      <c r="F561" s="23"/>
      <c r="G561" s="23"/>
    </row>
    <row r="562" spans="1:7" x14ac:dyDescent="0.15">
      <c r="A562" s="66"/>
      <c r="B562" s="66"/>
      <c r="C562" s="65"/>
      <c r="D562" s="65"/>
      <c r="E562" s="65"/>
      <c r="F562" s="23"/>
      <c r="G562" s="23"/>
    </row>
    <row r="563" spans="1:7" x14ac:dyDescent="0.15">
      <c r="A563" s="66"/>
      <c r="B563" s="66"/>
      <c r="C563" s="65"/>
      <c r="D563" s="65"/>
      <c r="E563" s="65"/>
      <c r="F563" s="23"/>
      <c r="G563" s="23"/>
    </row>
    <row r="564" spans="1:7" x14ac:dyDescent="0.15">
      <c r="A564" s="66"/>
      <c r="B564" s="66"/>
      <c r="C564" s="65"/>
      <c r="D564" s="65"/>
      <c r="E564" s="65"/>
      <c r="F564" s="23"/>
      <c r="G564" s="23"/>
    </row>
    <row r="565" spans="1:7" x14ac:dyDescent="0.15">
      <c r="A565" s="66"/>
      <c r="B565" s="66"/>
      <c r="C565" s="65"/>
      <c r="D565" s="65"/>
      <c r="E565" s="65"/>
      <c r="F565" s="23"/>
      <c r="G565" s="23"/>
    </row>
    <row r="566" spans="1:7" x14ac:dyDescent="0.15">
      <c r="A566" s="66"/>
      <c r="B566" s="66"/>
      <c r="C566" s="65"/>
      <c r="D566" s="65"/>
      <c r="E566" s="65"/>
      <c r="F566" s="23"/>
      <c r="G566" s="23"/>
    </row>
    <row r="567" spans="1:7" x14ac:dyDescent="0.15">
      <c r="A567" s="66"/>
      <c r="B567" s="66"/>
      <c r="C567" s="65"/>
      <c r="D567" s="65"/>
      <c r="E567" s="65"/>
      <c r="F567" s="23"/>
      <c r="G567" s="23"/>
    </row>
    <row r="568" spans="1:7" x14ac:dyDescent="0.15">
      <c r="A568" s="66"/>
      <c r="B568" s="66"/>
      <c r="C568" s="65"/>
      <c r="D568" s="65"/>
      <c r="E568" s="65"/>
      <c r="F568" s="23"/>
      <c r="G568" s="23"/>
    </row>
    <row r="569" spans="1:7" x14ac:dyDescent="0.15">
      <c r="A569" s="66"/>
      <c r="B569" s="66"/>
      <c r="C569" s="65"/>
      <c r="D569" s="65"/>
      <c r="E569" s="65"/>
      <c r="F569" s="23"/>
      <c r="G569" s="23"/>
    </row>
    <row r="570" spans="1:7" x14ac:dyDescent="0.15">
      <c r="A570" s="66"/>
      <c r="B570" s="66"/>
      <c r="C570" s="65"/>
      <c r="D570" s="65"/>
      <c r="E570" s="65"/>
      <c r="F570" s="23"/>
      <c r="G570" s="23"/>
    </row>
    <row r="571" spans="1:7" x14ac:dyDescent="0.15">
      <c r="A571" s="66"/>
      <c r="B571" s="66"/>
      <c r="C571" s="65"/>
      <c r="D571" s="65"/>
      <c r="E571" s="65"/>
      <c r="F571" s="23"/>
      <c r="G571" s="23"/>
    </row>
    <row r="572" spans="1:7" x14ac:dyDescent="0.15">
      <c r="A572" s="66"/>
      <c r="B572" s="66"/>
      <c r="C572" s="65"/>
      <c r="D572" s="65"/>
      <c r="E572" s="65"/>
      <c r="F572" s="23"/>
      <c r="G572" s="23"/>
    </row>
    <row r="573" spans="1:7" x14ac:dyDescent="0.15">
      <c r="A573" s="66"/>
      <c r="B573" s="66"/>
      <c r="C573" s="65"/>
      <c r="D573" s="65"/>
      <c r="E573" s="65"/>
      <c r="F573" s="23"/>
      <c r="G573" s="23"/>
    </row>
    <row r="574" spans="1:7" x14ac:dyDescent="0.15">
      <c r="A574" s="66"/>
      <c r="B574" s="66"/>
      <c r="C574" s="65"/>
      <c r="D574" s="65"/>
      <c r="E574" s="65"/>
      <c r="F574" s="23"/>
      <c r="G574" s="23"/>
    </row>
    <row r="575" spans="1:7" x14ac:dyDescent="0.15">
      <c r="A575" s="66"/>
      <c r="B575" s="66"/>
      <c r="C575" s="65"/>
      <c r="D575" s="65"/>
      <c r="E575" s="65"/>
      <c r="F575" s="23"/>
      <c r="G575" s="23"/>
    </row>
    <row r="576" spans="1:7" x14ac:dyDescent="0.15">
      <c r="A576" s="66"/>
      <c r="B576" s="66"/>
      <c r="C576" s="65"/>
      <c r="D576" s="65"/>
      <c r="E576" s="65"/>
      <c r="F576" s="23"/>
      <c r="G576" s="23"/>
    </row>
    <row r="577" spans="1:7" x14ac:dyDescent="0.15">
      <c r="A577" s="66"/>
      <c r="B577" s="66"/>
      <c r="C577" s="65"/>
      <c r="D577" s="65"/>
      <c r="E577" s="65"/>
      <c r="F577" s="23"/>
      <c r="G577" s="23"/>
    </row>
    <row r="578" spans="1:7" x14ac:dyDescent="0.15">
      <c r="A578" s="66"/>
      <c r="B578" s="66"/>
      <c r="C578" s="65"/>
      <c r="D578" s="65"/>
      <c r="E578" s="65"/>
      <c r="F578" s="23"/>
      <c r="G578" s="23"/>
    </row>
    <row r="579" spans="1:7" x14ac:dyDescent="0.15">
      <c r="A579" s="66"/>
      <c r="B579" s="66"/>
      <c r="C579" s="65"/>
      <c r="D579" s="65"/>
      <c r="E579" s="65"/>
      <c r="F579" s="23"/>
      <c r="G579" s="23"/>
    </row>
    <row r="580" spans="1:7" x14ac:dyDescent="0.15">
      <c r="A580" s="66"/>
      <c r="B580" s="66"/>
      <c r="C580" s="65"/>
      <c r="D580" s="65"/>
      <c r="E580" s="65"/>
      <c r="F580" s="23"/>
      <c r="G580" s="23"/>
    </row>
    <row r="581" spans="1:7" x14ac:dyDescent="0.15">
      <c r="A581" s="66"/>
      <c r="B581" s="66"/>
      <c r="C581" s="65"/>
      <c r="D581" s="65"/>
      <c r="E581" s="65"/>
      <c r="F581" s="23"/>
      <c r="G581" s="23"/>
    </row>
    <row r="582" spans="1:7" x14ac:dyDescent="0.15">
      <c r="A582" s="66"/>
      <c r="B582" s="66"/>
      <c r="C582" s="65"/>
      <c r="D582" s="65"/>
      <c r="E582" s="65"/>
      <c r="F582" s="23"/>
      <c r="G582" s="23"/>
    </row>
    <row r="583" spans="1:7" x14ac:dyDescent="0.15">
      <c r="A583" s="66"/>
      <c r="B583" s="66"/>
      <c r="C583" s="65"/>
      <c r="D583" s="65"/>
      <c r="E583" s="65"/>
      <c r="F583" s="23"/>
      <c r="G583" s="23"/>
    </row>
    <row r="584" spans="1:7" x14ac:dyDescent="0.15">
      <c r="A584" s="66"/>
      <c r="B584" s="66"/>
      <c r="C584" s="65"/>
      <c r="D584" s="65"/>
      <c r="E584" s="65"/>
      <c r="F584" s="23"/>
      <c r="G584" s="23"/>
    </row>
    <row r="585" spans="1:7" x14ac:dyDescent="0.15">
      <c r="A585" s="66"/>
      <c r="B585" s="66"/>
      <c r="C585" s="65"/>
      <c r="D585" s="65"/>
      <c r="E585" s="65"/>
      <c r="F585" s="23"/>
      <c r="G585" s="23"/>
    </row>
    <row r="586" spans="1:7" x14ac:dyDescent="0.15">
      <c r="A586" s="66"/>
      <c r="B586" s="66"/>
      <c r="C586" s="65"/>
      <c r="D586" s="65"/>
      <c r="E586" s="65"/>
      <c r="F586" s="23"/>
      <c r="G586" s="23"/>
    </row>
    <row r="587" spans="1:7" x14ac:dyDescent="0.15">
      <c r="A587" s="66"/>
      <c r="B587" s="66"/>
      <c r="C587" s="65"/>
      <c r="D587" s="65"/>
      <c r="E587" s="65"/>
      <c r="F587" s="23"/>
      <c r="G587" s="23"/>
    </row>
    <row r="588" spans="1:7" x14ac:dyDescent="0.15">
      <c r="A588" s="66"/>
      <c r="B588" s="66"/>
      <c r="C588" s="65"/>
      <c r="D588" s="65"/>
      <c r="E588" s="65"/>
      <c r="F588" s="23"/>
      <c r="G588" s="23"/>
    </row>
    <row r="589" spans="1:7" x14ac:dyDescent="0.15">
      <c r="A589" s="66"/>
      <c r="B589" s="66"/>
      <c r="C589" s="65"/>
      <c r="D589" s="65"/>
      <c r="E589" s="65"/>
      <c r="F589" s="23"/>
      <c r="G589" s="23"/>
    </row>
    <row r="590" spans="1:7" x14ac:dyDescent="0.15">
      <c r="A590" s="66"/>
      <c r="B590" s="66"/>
      <c r="C590" s="65"/>
      <c r="D590" s="65"/>
      <c r="E590" s="65"/>
      <c r="F590" s="23"/>
      <c r="G590" s="23"/>
    </row>
    <row r="591" spans="1:7" x14ac:dyDescent="0.15">
      <c r="A591" s="66"/>
      <c r="B591" s="66"/>
      <c r="C591" s="65"/>
      <c r="D591" s="65"/>
      <c r="E591" s="65"/>
      <c r="F591" s="23"/>
      <c r="G591" s="23"/>
    </row>
    <row r="592" spans="1:7" x14ac:dyDescent="0.15">
      <c r="A592" s="66"/>
      <c r="B592" s="66"/>
      <c r="C592" s="65"/>
      <c r="D592" s="65"/>
      <c r="E592" s="65"/>
      <c r="F592" s="23"/>
      <c r="G592" s="23"/>
    </row>
    <row r="593" spans="1:7" x14ac:dyDescent="0.15">
      <c r="A593" s="66"/>
      <c r="B593" s="66"/>
      <c r="C593" s="65"/>
      <c r="D593" s="65"/>
      <c r="E593" s="65"/>
      <c r="F593" s="23"/>
      <c r="G593" s="23"/>
    </row>
    <row r="594" spans="1:7" x14ac:dyDescent="0.15">
      <c r="A594" s="66"/>
      <c r="B594" s="66"/>
      <c r="C594" s="65"/>
      <c r="D594" s="65"/>
      <c r="E594" s="65"/>
      <c r="F594" s="23"/>
      <c r="G594" s="23"/>
    </row>
    <row r="595" spans="1:7" x14ac:dyDescent="0.15">
      <c r="A595" s="66"/>
      <c r="B595" s="66"/>
      <c r="C595" s="65"/>
      <c r="D595" s="65"/>
      <c r="E595" s="65"/>
      <c r="F595" s="23"/>
      <c r="G595" s="23"/>
    </row>
    <row r="596" spans="1:7" x14ac:dyDescent="0.15">
      <c r="A596" s="66"/>
      <c r="B596" s="66"/>
      <c r="C596" s="65"/>
      <c r="D596" s="65"/>
      <c r="E596" s="65"/>
      <c r="F596" s="23"/>
      <c r="G596" s="23"/>
    </row>
    <row r="597" spans="1:7" x14ac:dyDescent="0.15">
      <c r="A597" s="66"/>
      <c r="B597" s="66"/>
      <c r="C597" s="65"/>
      <c r="D597" s="65"/>
      <c r="E597" s="65"/>
      <c r="F597" s="23"/>
      <c r="G597" s="23"/>
    </row>
    <row r="598" spans="1:7" x14ac:dyDescent="0.15">
      <c r="A598" s="66"/>
      <c r="B598" s="66"/>
      <c r="C598" s="65"/>
      <c r="D598" s="65"/>
      <c r="E598" s="65"/>
      <c r="F598" s="23"/>
      <c r="G598" s="23"/>
    </row>
    <row r="599" spans="1:7" x14ac:dyDescent="0.15">
      <c r="A599" s="66"/>
      <c r="B599" s="66"/>
      <c r="C599" s="65"/>
      <c r="D599" s="65"/>
      <c r="E599" s="65"/>
      <c r="F599" s="23"/>
      <c r="G599" s="23"/>
    </row>
    <row r="600" spans="1:7" x14ac:dyDescent="0.15">
      <c r="A600" s="66"/>
      <c r="B600" s="66"/>
      <c r="C600" s="65"/>
      <c r="D600" s="65"/>
      <c r="E600" s="65"/>
      <c r="F600" s="23"/>
      <c r="G600" s="23"/>
    </row>
    <row r="601" spans="1:7" x14ac:dyDescent="0.15">
      <c r="A601" s="66"/>
      <c r="B601" s="66"/>
      <c r="C601" s="65"/>
      <c r="D601" s="65"/>
      <c r="E601" s="65"/>
      <c r="F601" s="23"/>
      <c r="G601" s="23"/>
    </row>
    <row r="602" spans="1:7" x14ac:dyDescent="0.15">
      <c r="A602" s="66"/>
      <c r="B602" s="66"/>
      <c r="C602" s="65"/>
      <c r="D602" s="65"/>
      <c r="E602" s="65"/>
      <c r="F602" s="23"/>
      <c r="G602" s="23"/>
    </row>
    <row r="603" spans="1:7" x14ac:dyDescent="0.15">
      <c r="A603" s="66"/>
      <c r="B603" s="66"/>
      <c r="C603" s="65"/>
      <c r="D603" s="65"/>
      <c r="E603" s="65"/>
      <c r="F603" s="23"/>
      <c r="G603" s="23"/>
    </row>
    <row r="604" spans="1:7" x14ac:dyDescent="0.15">
      <c r="A604" s="66"/>
      <c r="B604" s="66"/>
      <c r="C604" s="65"/>
      <c r="D604" s="65"/>
      <c r="E604" s="65"/>
      <c r="F604" s="23"/>
      <c r="G604" s="23"/>
    </row>
    <row r="605" spans="1:7" x14ac:dyDescent="0.15">
      <c r="A605" s="66"/>
      <c r="B605" s="66"/>
      <c r="C605" s="65"/>
      <c r="D605" s="65"/>
      <c r="E605" s="65"/>
      <c r="F605" s="23"/>
      <c r="G605" s="23"/>
    </row>
    <row r="606" spans="1:7" x14ac:dyDescent="0.15">
      <c r="A606" s="66"/>
      <c r="B606" s="66"/>
      <c r="C606" s="65"/>
      <c r="D606" s="65"/>
      <c r="E606" s="65"/>
      <c r="F606" s="23"/>
      <c r="G606" s="23"/>
    </row>
    <row r="607" spans="1:7" x14ac:dyDescent="0.15">
      <c r="A607" s="66"/>
      <c r="B607" s="66"/>
      <c r="C607" s="65"/>
      <c r="D607" s="65"/>
      <c r="E607" s="65"/>
      <c r="F607" s="23"/>
      <c r="G607" s="23"/>
    </row>
    <row r="608" spans="1:7" x14ac:dyDescent="0.15">
      <c r="A608" s="66"/>
      <c r="B608" s="66"/>
      <c r="C608" s="65"/>
      <c r="D608" s="65"/>
      <c r="E608" s="65"/>
      <c r="F608" s="23"/>
      <c r="G608" s="23"/>
    </row>
    <row r="609" spans="1:7" x14ac:dyDescent="0.15">
      <c r="A609" s="66"/>
      <c r="B609" s="66"/>
      <c r="C609" s="65"/>
      <c r="D609" s="65"/>
      <c r="E609" s="65"/>
      <c r="F609" s="23"/>
      <c r="G609" s="23"/>
    </row>
    <row r="610" spans="1:7" x14ac:dyDescent="0.15">
      <c r="A610" s="66"/>
      <c r="B610" s="66"/>
      <c r="C610" s="65"/>
      <c r="D610" s="65"/>
      <c r="E610" s="65"/>
      <c r="F610" s="23"/>
      <c r="G610" s="23"/>
    </row>
    <row r="611" spans="1:7" x14ac:dyDescent="0.15">
      <c r="A611" s="66"/>
      <c r="B611" s="66"/>
      <c r="C611" s="65"/>
      <c r="D611" s="65"/>
      <c r="E611" s="65"/>
      <c r="F611" s="23"/>
      <c r="G611" s="23"/>
    </row>
    <row r="612" spans="1:7" x14ac:dyDescent="0.15">
      <c r="A612" s="66"/>
      <c r="B612" s="66"/>
      <c r="C612" s="65"/>
      <c r="D612" s="65"/>
      <c r="E612" s="65"/>
      <c r="F612" s="23"/>
      <c r="G612" s="23"/>
    </row>
    <row r="613" spans="1:7" x14ac:dyDescent="0.15">
      <c r="A613" s="66"/>
      <c r="B613" s="66"/>
      <c r="C613" s="65"/>
      <c r="D613" s="65"/>
      <c r="E613" s="65"/>
      <c r="F613" s="23"/>
      <c r="G613" s="23"/>
    </row>
    <row r="614" spans="1:7" x14ac:dyDescent="0.15">
      <c r="A614" s="66"/>
      <c r="B614" s="66"/>
      <c r="C614" s="65"/>
      <c r="D614" s="65"/>
      <c r="E614" s="65"/>
      <c r="F614" s="23"/>
      <c r="G614" s="23"/>
    </row>
    <row r="615" spans="1:7" x14ac:dyDescent="0.15">
      <c r="A615" s="66"/>
      <c r="B615" s="66"/>
      <c r="C615" s="65"/>
      <c r="D615" s="65"/>
      <c r="E615" s="65"/>
      <c r="F615" s="23"/>
      <c r="G615" s="23"/>
    </row>
    <row r="616" spans="1:7" x14ac:dyDescent="0.15">
      <c r="A616" s="66"/>
      <c r="B616" s="66"/>
      <c r="C616" s="65"/>
      <c r="D616" s="65"/>
      <c r="E616" s="65"/>
      <c r="F616" s="23"/>
      <c r="G616" s="23"/>
    </row>
    <row r="617" spans="1:7" x14ac:dyDescent="0.15">
      <c r="A617" s="66"/>
      <c r="B617" s="66"/>
      <c r="C617" s="65"/>
      <c r="D617" s="65"/>
      <c r="E617" s="65"/>
      <c r="F617" s="23"/>
      <c r="G617" s="23"/>
    </row>
    <row r="618" spans="1:7" x14ac:dyDescent="0.15">
      <c r="A618" s="66"/>
      <c r="B618" s="66"/>
      <c r="C618" s="65"/>
      <c r="D618" s="65"/>
      <c r="E618" s="65"/>
      <c r="F618" s="23"/>
      <c r="G618" s="23"/>
    </row>
    <row r="619" spans="1:7" x14ac:dyDescent="0.15">
      <c r="A619" s="66"/>
      <c r="B619" s="66"/>
      <c r="C619" s="65"/>
      <c r="D619" s="65"/>
      <c r="E619" s="65"/>
      <c r="F619" s="23"/>
      <c r="G619" s="23"/>
    </row>
    <row r="620" spans="1:7" x14ac:dyDescent="0.15">
      <c r="A620" s="66"/>
      <c r="B620" s="66"/>
      <c r="C620" s="65"/>
      <c r="D620" s="65"/>
      <c r="E620" s="65"/>
      <c r="F620" s="23"/>
      <c r="G620" s="23"/>
    </row>
    <row r="621" spans="1:7" x14ac:dyDescent="0.15">
      <c r="A621" s="66"/>
      <c r="B621" s="66"/>
      <c r="C621" s="65"/>
      <c r="D621" s="65"/>
      <c r="E621" s="65"/>
      <c r="F621" s="23"/>
      <c r="G621" s="23"/>
    </row>
    <row r="622" spans="1:7" x14ac:dyDescent="0.15">
      <c r="A622" s="66"/>
      <c r="B622" s="66"/>
      <c r="C622" s="65"/>
      <c r="D622" s="65"/>
      <c r="E622" s="65"/>
      <c r="F622" s="23"/>
      <c r="G622" s="23"/>
    </row>
    <row r="623" spans="1:7" x14ac:dyDescent="0.15">
      <c r="A623" s="66"/>
      <c r="B623" s="66"/>
      <c r="C623" s="65"/>
      <c r="D623" s="65"/>
      <c r="E623" s="65"/>
      <c r="F623" s="23"/>
      <c r="G623" s="23"/>
    </row>
    <row r="624" spans="1:7" x14ac:dyDescent="0.15">
      <c r="A624" s="66"/>
      <c r="B624" s="66"/>
      <c r="C624" s="65"/>
      <c r="D624" s="65"/>
      <c r="E624" s="65"/>
      <c r="F624" s="23"/>
      <c r="G624" s="23"/>
    </row>
    <row r="625" spans="1:7" x14ac:dyDescent="0.15">
      <c r="A625" s="66"/>
      <c r="B625" s="66"/>
      <c r="C625" s="65"/>
      <c r="D625" s="65"/>
      <c r="E625" s="65"/>
      <c r="F625" s="23"/>
      <c r="G625" s="23"/>
    </row>
    <row r="626" spans="1:7" x14ac:dyDescent="0.15">
      <c r="A626" s="66"/>
      <c r="B626" s="66"/>
      <c r="C626" s="65"/>
      <c r="D626" s="65"/>
      <c r="E626" s="65"/>
      <c r="F626" s="23"/>
      <c r="G626" s="23"/>
    </row>
    <row r="627" spans="1:7" x14ac:dyDescent="0.15">
      <c r="A627" s="66"/>
      <c r="B627" s="66"/>
      <c r="C627" s="65"/>
      <c r="D627" s="65"/>
      <c r="E627" s="65"/>
      <c r="F627" s="23"/>
      <c r="G627" s="23"/>
    </row>
    <row r="628" spans="1:7" x14ac:dyDescent="0.15">
      <c r="A628" s="66"/>
      <c r="B628" s="66"/>
      <c r="C628" s="65"/>
      <c r="D628" s="65"/>
      <c r="E628" s="65"/>
      <c r="F628" s="23"/>
      <c r="G628" s="23"/>
    </row>
    <row r="629" spans="1:7" x14ac:dyDescent="0.15">
      <c r="A629" s="66"/>
      <c r="B629" s="66"/>
      <c r="C629" s="65"/>
      <c r="D629" s="65"/>
      <c r="E629" s="65"/>
      <c r="F629" s="23"/>
      <c r="G629" s="23"/>
    </row>
    <row r="630" spans="1:7" x14ac:dyDescent="0.15">
      <c r="A630" s="66"/>
      <c r="B630" s="66"/>
      <c r="C630" s="65"/>
      <c r="D630" s="65"/>
      <c r="E630" s="65"/>
      <c r="F630" s="23"/>
      <c r="G630" s="23"/>
    </row>
    <row r="631" spans="1:7" x14ac:dyDescent="0.15">
      <c r="A631" s="66"/>
      <c r="B631" s="66"/>
      <c r="C631" s="65"/>
      <c r="D631" s="65"/>
      <c r="E631" s="65"/>
      <c r="F631" s="23"/>
      <c r="G631" s="23"/>
    </row>
    <row r="632" spans="1:7" x14ac:dyDescent="0.15">
      <c r="A632" s="66"/>
      <c r="B632" s="66"/>
      <c r="C632" s="65"/>
      <c r="D632" s="65"/>
      <c r="E632" s="65"/>
      <c r="F632" s="23"/>
      <c r="G632" s="23"/>
    </row>
    <row r="633" spans="1:7" x14ac:dyDescent="0.15">
      <c r="A633" s="66"/>
      <c r="B633" s="66"/>
      <c r="C633" s="65"/>
      <c r="D633" s="65"/>
      <c r="E633" s="65"/>
      <c r="F633" s="23"/>
      <c r="G633" s="23"/>
    </row>
    <row r="634" spans="1:7" x14ac:dyDescent="0.15">
      <c r="A634" s="66"/>
      <c r="B634" s="66"/>
      <c r="C634" s="65"/>
      <c r="D634" s="65"/>
      <c r="E634" s="65"/>
      <c r="F634" s="23"/>
      <c r="G634" s="23"/>
    </row>
    <row r="635" spans="1:7" x14ac:dyDescent="0.15">
      <c r="A635" s="66"/>
      <c r="B635" s="66"/>
      <c r="C635" s="65"/>
      <c r="D635" s="65"/>
      <c r="E635" s="65"/>
      <c r="F635" s="23"/>
      <c r="G635" s="23"/>
    </row>
    <row r="636" spans="1:7" x14ac:dyDescent="0.15">
      <c r="A636" s="66"/>
      <c r="B636" s="66"/>
      <c r="C636" s="65"/>
      <c r="D636" s="65"/>
      <c r="E636" s="65"/>
      <c r="F636" s="23"/>
      <c r="G636" s="23"/>
    </row>
    <row r="637" spans="1:7" x14ac:dyDescent="0.15">
      <c r="A637" s="66"/>
      <c r="B637" s="66"/>
      <c r="C637" s="65"/>
      <c r="D637" s="65"/>
      <c r="E637" s="65"/>
      <c r="F637" s="23"/>
      <c r="G637" s="23"/>
    </row>
    <row r="638" spans="1:7" x14ac:dyDescent="0.15">
      <c r="A638" s="66"/>
      <c r="B638" s="66"/>
      <c r="C638" s="65"/>
      <c r="D638" s="65"/>
      <c r="E638" s="65"/>
      <c r="F638" s="23"/>
      <c r="G638" s="23"/>
    </row>
    <row r="639" spans="1:7" x14ac:dyDescent="0.15">
      <c r="A639" s="66"/>
      <c r="B639" s="66"/>
      <c r="C639" s="65"/>
      <c r="D639" s="65"/>
      <c r="E639" s="65"/>
      <c r="F639" s="23"/>
      <c r="G639" s="23"/>
    </row>
    <row r="640" spans="1:7" x14ac:dyDescent="0.15">
      <c r="A640" s="66"/>
      <c r="B640" s="66"/>
      <c r="C640" s="65"/>
      <c r="D640" s="65"/>
      <c r="E640" s="65"/>
      <c r="F640" s="23"/>
      <c r="G640" s="23"/>
    </row>
    <row r="641" spans="1:7" x14ac:dyDescent="0.15">
      <c r="A641" s="66"/>
      <c r="B641" s="66"/>
      <c r="C641" s="65"/>
      <c r="D641" s="65"/>
      <c r="E641" s="65"/>
      <c r="F641" s="23"/>
      <c r="G641" s="23"/>
    </row>
    <row r="642" spans="1:7" x14ac:dyDescent="0.15">
      <c r="A642" s="66"/>
      <c r="B642" s="66"/>
      <c r="C642" s="65"/>
      <c r="D642" s="65"/>
      <c r="E642" s="65"/>
      <c r="F642" s="23"/>
      <c r="G642" s="23"/>
    </row>
    <row r="643" spans="1:7" x14ac:dyDescent="0.15">
      <c r="A643" s="66"/>
      <c r="B643" s="66"/>
      <c r="C643" s="65"/>
      <c r="D643" s="65"/>
      <c r="E643" s="65"/>
      <c r="F643" s="23"/>
      <c r="G643" s="23"/>
    </row>
    <row r="644" spans="1:7" x14ac:dyDescent="0.15">
      <c r="A644" s="66"/>
      <c r="B644" s="66"/>
      <c r="C644" s="65"/>
      <c r="D644" s="65"/>
      <c r="E644" s="65"/>
      <c r="F644" s="23"/>
      <c r="G644" s="23"/>
    </row>
    <row r="645" spans="1:7" x14ac:dyDescent="0.15">
      <c r="A645" s="66"/>
      <c r="B645" s="66"/>
      <c r="C645" s="65"/>
      <c r="D645" s="65"/>
      <c r="E645" s="65"/>
      <c r="F645" s="23"/>
      <c r="G645" s="23"/>
    </row>
    <row r="646" spans="1:7" x14ac:dyDescent="0.15">
      <c r="A646" s="66"/>
      <c r="B646" s="66"/>
      <c r="C646" s="65"/>
      <c r="D646" s="65"/>
      <c r="E646" s="65"/>
      <c r="F646" s="23"/>
      <c r="G646" s="23"/>
    </row>
    <row r="647" spans="1:7" x14ac:dyDescent="0.15">
      <c r="A647" s="66"/>
      <c r="B647" s="66"/>
      <c r="C647" s="65"/>
      <c r="D647" s="65"/>
      <c r="E647" s="65"/>
      <c r="F647" s="23"/>
      <c r="G647" s="23"/>
    </row>
    <row r="648" spans="1:7" x14ac:dyDescent="0.15">
      <c r="A648" s="66"/>
      <c r="B648" s="66"/>
      <c r="C648" s="65"/>
      <c r="D648" s="65"/>
      <c r="E648" s="65"/>
      <c r="F648" s="23"/>
      <c r="G648" s="23"/>
    </row>
    <row r="649" spans="1:7" x14ac:dyDescent="0.15">
      <c r="A649" s="66"/>
      <c r="B649" s="66"/>
      <c r="C649" s="65"/>
      <c r="D649" s="65"/>
      <c r="E649" s="65"/>
      <c r="F649" s="23"/>
      <c r="G649" s="23"/>
    </row>
    <row r="650" spans="1:7" x14ac:dyDescent="0.15">
      <c r="A650" s="66"/>
      <c r="B650" s="66"/>
      <c r="C650" s="65"/>
      <c r="D650" s="65"/>
      <c r="E650" s="65"/>
      <c r="F650" s="23"/>
      <c r="G650" s="23"/>
    </row>
    <row r="651" spans="1:7" x14ac:dyDescent="0.15">
      <c r="A651" s="66"/>
      <c r="B651" s="66"/>
      <c r="C651" s="65"/>
      <c r="D651" s="65"/>
      <c r="E651" s="65"/>
      <c r="F651" s="23"/>
      <c r="G651" s="23"/>
    </row>
    <row r="652" spans="1:7" x14ac:dyDescent="0.15">
      <c r="A652" s="66"/>
      <c r="B652" s="66"/>
      <c r="C652" s="65"/>
      <c r="D652" s="65"/>
      <c r="E652" s="65"/>
      <c r="F652" s="23"/>
      <c r="G652" s="23"/>
    </row>
    <row r="653" spans="1:7" x14ac:dyDescent="0.15">
      <c r="A653" s="66"/>
      <c r="B653" s="66"/>
      <c r="C653" s="65"/>
      <c r="D653" s="65"/>
      <c r="E653" s="65"/>
      <c r="F653" s="23"/>
      <c r="G653" s="23"/>
    </row>
    <row r="654" spans="1:7" x14ac:dyDescent="0.15">
      <c r="A654" s="66"/>
      <c r="B654" s="66"/>
      <c r="C654" s="65"/>
      <c r="D654" s="65"/>
      <c r="E654" s="65"/>
      <c r="F654" s="23"/>
      <c r="G654" s="23"/>
    </row>
    <row r="655" spans="1:7" x14ac:dyDescent="0.15">
      <c r="A655" s="66"/>
      <c r="B655" s="66"/>
      <c r="C655" s="65"/>
      <c r="D655" s="65"/>
      <c r="E655" s="65"/>
      <c r="F655" s="23"/>
      <c r="G655" s="23"/>
    </row>
    <row r="656" spans="1:7" x14ac:dyDescent="0.15">
      <c r="A656" s="66"/>
      <c r="B656" s="66"/>
      <c r="C656" s="65"/>
      <c r="D656" s="65"/>
      <c r="E656" s="65"/>
      <c r="F656" s="23"/>
      <c r="G656" s="23"/>
    </row>
    <row r="657" spans="1:7" x14ac:dyDescent="0.15">
      <c r="A657" s="66"/>
      <c r="B657" s="66"/>
      <c r="C657" s="65"/>
      <c r="D657" s="65"/>
      <c r="E657" s="65"/>
      <c r="F657" s="23"/>
      <c r="G657" s="23"/>
    </row>
    <row r="658" spans="1:7" x14ac:dyDescent="0.15">
      <c r="A658" s="66"/>
      <c r="B658" s="66"/>
      <c r="C658" s="65"/>
      <c r="D658" s="65"/>
      <c r="E658" s="65"/>
      <c r="F658" s="23"/>
      <c r="G658" s="23"/>
    </row>
    <row r="659" spans="1:7" x14ac:dyDescent="0.15">
      <c r="A659" s="66"/>
      <c r="B659" s="66"/>
      <c r="C659" s="65"/>
      <c r="D659" s="65"/>
      <c r="E659" s="65"/>
      <c r="F659" s="23"/>
      <c r="G659" s="23"/>
    </row>
    <row r="660" spans="1:7" x14ac:dyDescent="0.15">
      <c r="A660" s="66"/>
      <c r="B660" s="66"/>
      <c r="C660" s="65"/>
      <c r="D660" s="65"/>
      <c r="E660" s="65"/>
      <c r="F660" s="23"/>
      <c r="G660" s="23"/>
    </row>
    <row r="661" spans="1:7" x14ac:dyDescent="0.15">
      <c r="A661" s="66"/>
      <c r="B661" s="66"/>
      <c r="C661" s="65"/>
      <c r="D661" s="65"/>
      <c r="E661" s="65"/>
      <c r="F661" s="23"/>
      <c r="G661" s="23"/>
    </row>
    <row r="662" spans="1:7" x14ac:dyDescent="0.15">
      <c r="A662" s="66"/>
      <c r="B662" s="66"/>
      <c r="C662" s="65"/>
      <c r="D662" s="65"/>
      <c r="E662" s="65"/>
      <c r="F662" s="23"/>
      <c r="G662" s="23"/>
    </row>
    <row r="663" spans="1:7" x14ac:dyDescent="0.15">
      <c r="A663" s="66"/>
      <c r="B663" s="66"/>
      <c r="C663" s="65"/>
      <c r="D663" s="65"/>
      <c r="E663" s="65"/>
      <c r="F663" s="23"/>
      <c r="G663" s="23"/>
    </row>
    <row r="664" spans="1:7" x14ac:dyDescent="0.15">
      <c r="A664" s="66"/>
      <c r="B664" s="66"/>
      <c r="C664" s="65"/>
      <c r="D664" s="65"/>
      <c r="E664" s="65"/>
      <c r="F664" s="23"/>
      <c r="G664" s="23"/>
    </row>
    <row r="665" spans="1:7" x14ac:dyDescent="0.15">
      <c r="A665" s="66"/>
      <c r="B665" s="66"/>
      <c r="C665" s="65"/>
      <c r="D665" s="65"/>
      <c r="E665" s="65"/>
      <c r="F665" s="23"/>
      <c r="G665" s="23"/>
    </row>
    <row r="666" spans="1:7" x14ac:dyDescent="0.15">
      <c r="A666" s="66"/>
      <c r="B666" s="66"/>
      <c r="C666" s="65"/>
      <c r="D666" s="65"/>
      <c r="E666" s="65"/>
      <c r="F666" s="23"/>
      <c r="G666" s="23"/>
    </row>
    <row r="667" spans="1:7" x14ac:dyDescent="0.15">
      <c r="A667" s="66"/>
      <c r="B667" s="66"/>
      <c r="C667" s="65"/>
      <c r="D667" s="65"/>
      <c r="E667" s="65"/>
      <c r="F667" s="23"/>
      <c r="G667" s="23"/>
    </row>
    <row r="668" spans="1:7" x14ac:dyDescent="0.15">
      <c r="A668" s="66"/>
      <c r="B668" s="66"/>
      <c r="C668" s="65"/>
      <c r="D668" s="65"/>
      <c r="E668" s="65"/>
      <c r="F668" s="23"/>
      <c r="G668" s="23"/>
    </row>
    <row r="669" spans="1:7" x14ac:dyDescent="0.15">
      <c r="A669" s="66"/>
      <c r="B669" s="66"/>
      <c r="C669" s="65"/>
      <c r="D669" s="65"/>
      <c r="E669" s="65"/>
      <c r="F669" s="23"/>
      <c r="G669" s="23"/>
    </row>
    <row r="670" spans="1:7" x14ac:dyDescent="0.15">
      <c r="A670" s="66"/>
      <c r="B670" s="66"/>
      <c r="C670" s="65"/>
      <c r="D670" s="65"/>
      <c r="E670" s="65"/>
      <c r="F670" s="23"/>
      <c r="G670" s="23"/>
    </row>
    <row r="671" spans="1:7" x14ac:dyDescent="0.15">
      <c r="A671" s="66"/>
      <c r="B671" s="66"/>
      <c r="C671" s="65"/>
      <c r="D671" s="65"/>
      <c r="E671" s="65"/>
      <c r="F671" s="23"/>
      <c r="G671" s="23"/>
    </row>
    <row r="672" spans="1:7" x14ac:dyDescent="0.15">
      <c r="A672" s="66"/>
      <c r="B672" s="66"/>
      <c r="C672" s="65"/>
      <c r="D672" s="65"/>
      <c r="E672" s="65"/>
      <c r="F672" s="23"/>
      <c r="G672" s="23"/>
    </row>
    <row r="673" spans="1:7" x14ac:dyDescent="0.15">
      <c r="A673" s="66"/>
      <c r="B673" s="66"/>
      <c r="C673" s="65"/>
      <c r="D673" s="65"/>
      <c r="E673" s="65"/>
      <c r="F673" s="23"/>
      <c r="G673" s="23"/>
    </row>
    <row r="674" spans="1:7" x14ac:dyDescent="0.15">
      <c r="A674" s="66"/>
      <c r="B674" s="66"/>
      <c r="C674" s="65"/>
      <c r="D674" s="65"/>
      <c r="E674" s="65"/>
      <c r="F674" s="23"/>
      <c r="G674" s="23"/>
    </row>
    <row r="675" spans="1:7" x14ac:dyDescent="0.15">
      <c r="A675" s="66"/>
      <c r="B675" s="66"/>
      <c r="C675" s="65"/>
      <c r="D675" s="65"/>
      <c r="E675" s="65"/>
      <c r="F675" s="23"/>
      <c r="G675" s="23"/>
    </row>
    <row r="676" spans="1:7" x14ac:dyDescent="0.15">
      <c r="A676" s="66"/>
      <c r="B676" s="66"/>
      <c r="C676" s="65"/>
      <c r="D676" s="65"/>
      <c r="E676" s="65"/>
      <c r="F676" s="23"/>
      <c r="G676" s="23"/>
    </row>
    <row r="677" spans="1:7" x14ac:dyDescent="0.15">
      <c r="A677" s="66"/>
      <c r="B677" s="66"/>
      <c r="C677" s="65"/>
      <c r="D677" s="65"/>
      <c r="E677" s="65"/>
      <c r="F677" s="23"/>
      <c r="G677" s="23"/>
    </row>
    <row r="678" spans="1:7" x14ac:dyDescent="0.15">
      <c r="A678" s="66"/>
      <c r="B678" s="66"/>
      <c r="C678" s="65"/>
      <c r="D678" s="65"/>
      <c r="E678" s="65"/>
      <c r="F678" s="23"/>
      <c r="G678" s="23"/>
    </row>
    <row r="679" spans="1:7" x14ac:dyDescent="0.15">
      <c r="A679" s="66"/>
      <c r="B679" s="66"/>
      <c r="C679" s="65"/>
      <c r="D679" s="65"/>
      <c r="E679" s="65"/>
      <c r="F679" s="23"/>
      <c r="G679" s="23"/>
    </row>
    <row r="680" spans="1:7" x14ac:dyDescent="0.15">
      <c r="A680" s="66"/>
      <c r="B680" s="66"/>
      <c r="C680" s="65"/>
      <c r="D680" s="65"/>
      <c r="E680" s="65"/>
      <c r="F680" s="23"/>
      <c r="G680" s="23"/>
    </row>
    <row r="681" spans="1:7" x14ac:dyDescent="0.15">
      <c r="A681" s="66"/>
      <c r="B681" s="66"/>
      <c r="C681" s="65"/>
      <c r="D681" s="65"/>
      <c r="E681" s="65"/>
      <c r="F681" s="23"/>
      <c r="G681" s="23"/>
    </row>
    <row r="682" spans="1:7" x14ac:dyDescent="0.15">
      <c r="A682" s="66"/>
      <c r="B682" s="66"/>
      <c r="C682" s="65"/>
      <c r="D682" s="65"/>
      <c r="E682" s="65"/>
      <c r="F682" s="23"/>
      <c r="G682" s="23"/>
    </row>
    <row r="683" spans="1:7" x14ac:dyDescent="0.15">
      <c r="A683" s="66"/>
      <c r="B683" s="66"/>
      <c r="C683" s="65"/>
      <c r="D683" s="65"/>
      <c r="E683" s="65"/>
      <c r="F683" s="23"/>
      <c r="G683" s="23"/>
    </row>
    <row r="684" spans="1:7" x14ac:dyDescent="0.15">
      <c r="A684" s="66"/>
      <c r="B684" s="66"/>
      <c r="C684" s="65"/>
      <c r="D684" s="65"/>
      <c r="E684" s="65"/>
      <c r="F684" s="23"/>
      <c r="G684" s="23"/>
    </row>
    <row r="685" spans="1:7" x14ac:dyDescent="0.15">
      <c r="A685" s="66"/>
      <c r="B685" s="66"/>
      <c r="C685" s="65"/>
      <c r="D685" s="65"/>
      <c r="E685" s="65"/>
      <c r="F685" s="23"/>
      <c r="G685" s="23"/>
    </row>
    <row r="686" spans="1:7" x14ac:dyDescent="0.15">
      <c r="A686" s="66"/>
      <c r="B686" s="66"/>
      <c r="C686" s="65"/>
      <c r="D686" s="65"/>
      <c r="E686" s="65"/>
      <c r="F686" s="23"/>
      <c r="G686" s="23"/>
    </row>
    <row r="687" spans="1:7" x14ac:dyDescent="0.15">
      <c r="A687" s="66"/>
      <c r="B687" s="66"/>
      <c r="C687" s="65"/>
      <c r="D687" s="65"/>
      <c r="E687" s="65"/>
      <c r="F687" s="23"/>
      <c r="G687" s="23"/>
    </row>
    <row r="688" spans="1:7" x14ac:dyDescent="0.15">
      <c r="A688" s="66"/>
      <c r="B688" s="66"/>
      <c r="C688" s="65"/>
      <c r="D688" s="65"/>
      <c r="E688" s="65"/>
      <c r="F688" s="23"/>
      <c r="G688" s="23"/>
    </row>
    <row r="689" spans="1:7" x14ac:dyDescent="0.15">
      <c r="A689" s="66"/>
      <c r="B689" s="66"/>
      <c r="C689" s="65"/>
      <c r="D689" s="65"/>
      <c r="E689" s="65"/>
      <c r="F689" s="23"/>
      <c r="G689" s="23"/>
    </row>
    <row r="690" spans="1:7" x14ac:dyDescent="0.15">
      <c r="A690" s="66"/>
      <c r="B690" s="66"/>
      <c r="C690" s="65"/>
      <c r="D690" s="65"/>
      <c r="E690" s="65"/>
      <c r="F690" s="23"/>
      <c r="G690" s="23"/>
    </row>
    <row r="691" spans="1:7" x14ac:dyDescent="0.15">
      <c r="A691" s="66"/>
      <c r="B691" s="66"/>
      <c r="C691" s="65"/>
      <c r="D691" s="65"/>
      <c r="E691" s="65"/>
      <c r="F691" s="23"/>
      <c r="G691" s="23"/>
    </row>
    <row r="692" spans="1:7" x14ac:dyDescent="0.15">
      <c r="A692" s="66"/>
      <c r="B692" s="66"/>
      <c r="C692" s="65"/>
      <c r="D692" s="65"/>
      <c r="E692" s="65"/>
      <c r="F692" s="23"/>
      <c r="G692" s="23"/>
    </row>
    <row r="693" spans="1:7" x14ac:dyDescent="0.15">
      <c r="A693" s="66"/>
      <c r="B693" s="66"/>
      <c r="C693" s="65"/>
      <c r="D693" s="65"/>
      <c r="E693" s="65"/>
      <c r="F693" s="23"/>
      <c r="G693" s="23"/>
    </row>
    <row r="694" spans="1:7" x14ac:dyDescent="0.15">
      <c r="A694" s="66"/>
      <c r="B694" s="66"/>
      <c r="C694" s="65"/>
      <c r="D694" s="65"/>
      <c r="E694" s="65"/>
      <c r="F694" s="23"/>
      <c r="G694" s="23"/>
    </row>
    <row r="695" spans="1:7" x14ac:dyDescent="0.15">
      <c r="A695" s="66"/>
      <c r="B695" s="66"/>
      <c r="C695" s="65"/>
      <c r="D695" s="65"/>
      <c r="E695" s="65"/>
      <c r="F695" s="23"/>
      <c r="G695" s="23"/>
    </row>
    <row r="696" spans="1:7" x14ac:dyDescent="0.15">
      <c r="A696" s="66"/>
      <c r="B696" s="66"/>
      <c r="C696" s="65"/>
      <c r="D696" s="65"/>
      <c r="E696" s="65"/>
      <c r="F696" s="23"/>
      <c r="G696" s="23"/>
    </row>
    <row r="697" spans="1:7" x14ac:dyDescent="0.15">
      <c r="A697" s="66"/>
      <c r="B697" s="66"/>
      <c r="C697" s="65"/>
      <c r="D697" s="65"/>
      <c r="E697" s="65"/>
      <c r="F697" s="23"/>
      <c r="G697" s="23"/>
    </row>
    <row r="698" spans="1:7" x14ac:dyDescent="0.15">
      <c r="A698" s="66"/>
      <c r="B698" s="66"/>
      <c r="C698" s="65"/>
      <c r="D698" s="65"/>
      <c r="E698" s="65"/>
      <c r="F698" s="23"/>
      <c r="G698" s="23"/>
    </row>
    <row r="699" spans="1:7" x14ac:dyDescent="0.15">
      <c r="A699" s="66"/>
      <c r="B699" s="66"/>
      <c r="C699" s="65"/>
      <c r="D699" s="65"/>
      <c r="E699" s="65"/>
      <c r="F699" s="23"/>
      <c r="G699" s="23"/>
    </row>
    <row r="700" spans="1:7" x14ac:dyDescent="0.15">
      <c r="A700" s="66"/>
      <c r="B700" s="66"/>
      <c r="C700" s="65"/>
      <c r="D700" s="65"/>
      <c r="E700" s="65"/>
      <c r="F700" s="23"/>
      <c r="G700" s="23"/>
    </row>
    <row r="701" spans="1:7" x14ac:dyDescent="0.15">
      <c r="A701" s="66"/>
      <c r="B701" s="66"/>
      <c r="C701" s="65"/>
      <c r="D701" s="65"/>
      <c r="E701" s="65"/>
      <c r="F701" s="23"/>
      <c r="G701" s="23"/>
    </row>
    <row r="702" spans="1:7" x14ac:dyDescent="0.15">
      <c r="A702" s="66"/>
      <c r="B702" s="66"/>
      <c r="C702" s="65"/>
      <c r="D702" s="65"/>
      <c r="E702" s="65"/>
      <c r="F702" s="23"/>
      <c r="G702" s="23"/>
    </row>
    <row r="703" spans="1:7" x14ac:dyDescent="0.15">
      <c r="A703" s="66"/>
      <c r="B703" s="66"/>
      <c r="C703" s="65"/>
      <c r="D703" s="65"/>
      <c r="E703" s="65"/>
      <c r="F703" s="23"/>
      <c r="G703" s="23"/>
    </row>
    <row r="704" spans="1:7" x14ac:dyDescent="0.15">
      <c r="A704" s="66"/>
      <c r="B704" s="66"/>
      <c r="C704" s="65"/>
      <c r="D704" s="65"/>
      <c r="E704" s="65"/>
      <c r="F704" s="23"/>
      <c r="G704" s="23"/>
    </row>
    <row r="705" spans="1:7" x14ac:dyDescent="0.15">
      <c r="A705" s="66"/>
      <c r="B705" s="66"/>
      <c r="C705" s="65"/>
      <c r="D705" s="65"/>
      <c r="E705" s="65"/>
      <c r="F705" s="23"/>
      <c r="G705" s="23"/>
    </row>
    <row r="706" spans="1:7" x14ac:dyDescent="0.15">
      <c r="A706" s="66"/>
      <c r="B706" s="66"/>
      <c r="C706" s="65"/>
      <c r="D706" s="65"/>
      <c r="E706" s="65"/>
      <c r="F706" s="23"/>
      <c r="G706" s="23"/>
    </row>
    <row r="707" spans="1:7" x14ac:dyDescent="0.15">
      <c r="A707" s="66"/>
      <c r="B707" s="66"/>
      <c r="C707" s="65"/>
      <c r="D707" s="65"/>
      <c r="E707" s="65"/>
      <c r="F707" s="23"/>
      <c r="G707" s="23"/>
    </row>
    <row r="708" spans="1:7" x14ac:dyDescent="0.15">
      <c r="A708" s="66"/>
      <c r="B708" s="66"/>
      <c r="C708" s="65"/>
      <c r="D708" s="65"/>
      <c r="E708" s="65"/>
      <c r="F708" s="23"/>
      <c r="G708" s="23"/>
    </row>
    <row r="709" spans="1:7" x14ac:dyDescent="0.15">
      <c r="A709" s="66"/>
      <c r="B709" s="66"/>
      <c r="C709" s="65"/>
      <c r="D709" s="65"/>
      <c r="E709" s="65"/>
      <c r="F709" s="23"/>
      <c r="G709" s="23"/>
    </row>
    <row r="710" spans="1:7" x14ac:dyDescent="0.15">
      <c r="A710" s="66"/>
      <c r="B710" s="66"/>
      <c r="C710" s="65"/>
      <c r="D710" s="65"/>
      <c r="E710" s="65"/>
      <c r="F710" s="23"/>
      <c r="G710" s="23"/>
    </row>
    <row r="711" spans="1:7" x14ac:dyDescent="0.15">
      <c r="A711" s="66"/>
      <c r="B711" s="66"/>
      <c r="C711" s="65"/>
      <c r="D711" s="65"/>
      <c r="E711" s="65"/>
      <c r="F711" s="23"/>
      <c r="G711" s="23"/>
    </row>
    <row r="712" spans="1:7" x14ac:dyDescent="0.15">
      <c r="A712" s="66"/>
      <c r="B712" s="66"/>
      <c r="C712" s="65"/>
      <c r="D712" s="65"/>
      <c r="E712" s="65"/>
      <c r="F712" s="23"/>
      <c r="G712" s="23"/>
    </row>
    <row r="713" spans="1:7" x14ac:dyDescent="0.15">
      <c r="A713" s="66"/>
      <c r="B713" s="66"/>
      <c r="C713" s="65"/>
      <c r="D713" s="65"/>
      <c r="E713" s="65"/>
      <c r="F713" s="23"/>
      <c r="G713" s="23"/>
    </row>
    <row r="714" spans="1:7" x14ac:dyDescent="0.15">
      <c r="A714" s="66"/>
      <c r="B714" s="66"/>
      <c r="C714" s="65"/>
      <c r="D714" s="65"/>
      <c r="E714" s="65"/>
      <c r="F714" s="23"/>
      <c r="G714" s="23"/>
    </row>
    <row r="715" spans="1:7" x14ac:dyDescent="0.15">
      <c r="A715" s="66"/>
      <c r="B715" s="66"/>
      <c r="C715" s="65"/>
      <c r="D715" s="65"/>
      <c r="E715" s="65"/>
      <c r="F715" s="23"/>
      <c r="G715" s="23"/>
    </row>
    <row r="716" spans="1:7" x14ac:dyDescent="0.15">
      <c r="A716" s="66"/>
      <c r="B716" s="66"/>
      <c r="C716" s="65"/>
      <c r="D716" s="65"/>
      <c r="E716" s="65"/>
      <c r="F716" s="23"/>
      <c r="G716" s="23"/>
    </row>
    <row r="717" spans="1:7" x14ac:dyDescent="0.15">
      <c r="A717" s="66"/>
      <c r="B717" s="66"/>
      <c r="C717" s="65"/>
      <c r="D717" s="65"/>
      <c r="E717" s="65"/>
      <c r="F717" s="23"/>
      <c r="G717" s="23"/>
    </row>
    <row r="718" spans="1:7" x14ac:dyDescent="0.15">
      <c r="A718" s="66"/>
      <c r="B718" s="66"/>
      <c r="C718" s="65"/>
      <c r="D718" s="65"/>
      <c r="E718" s="65"/>
      <c r="F718" s="23"/>
      <c r="G718" s="23"/>
    </row>
    <row r="719" spans="1:7" x14ac:dyDescent="0.15">
      <c r="A719" s="66"/>
      <c r="B719" s="66"/>
      <c r="C719" s="65"/>
      <c r="D719" s="65"/>
      <c r="E719" s="65"/>
      <c r="F719" s="23"/>
      <c r="G719" s="23"/>
    </row>
    <row r="720" spans="1:7" x14ac:dyDescent="0.15">
      <c r="A720" s="66"/>
      <c r="B720" s="66"/>
      <c r="C720" s="65"/>
      <c r="D720" s="65"/>
      <c r="E720" s="65"/>
      <c r="F720" s="23"/>
      <c r="G720" s="23"/>
    </row>
    <row r="721" spans="1:7" x14ac:dyDescent="0.15">
      <c r="A721" s="66"/>
      <c r="B721" s="66"/>
      <c r="C721" s="65"/>
      <c r="D721" s="65"/>
      <c r="E721" s="65"/>
      <c r="F721" s="23"/>
      <c r="G721" s="23"/>
    </row>
    <row r="722" spans="1:7" x14ac:dyDescent="0.15">
      <c r="A722" s="66"/>
      <c r="B722" s="66"/>
      <c r="C722" s="65"/>
      <c r="D722" s="65"/>
      <c r="E722" s="65"/>
      <c r="F722" s="23"/>
      <c r="G722" s="23"/>
    </row>
    <row r="723" spans="1:7" x14ac:dyDescent="0.15">
      <c r="A723" s="66"/>
      <c r="B723" s="66"/>
      <c r="C723" s="65"/>
      <c r="D723" s="65"/>
      <c r="E723" s="65"/>
      <c r="F723" s="23"/>
      <c r="G723" s="23"/>
    </row>
    <row r="724" spans="1:7" x14ac:dyDescent="0.15">
      <c r="A724" s="66"/>
      <c r="B724" s="66"/>
      <c r="C724" s="65"/>
      <c r="D724" s="65"/>
      <c r="E724" s="65"/>
      <c r="F724" s="23"/>
      <c r="G724" s="23"/>
    </row>
    <row r="725" spans="1:7" x14ac:dyDescent="0.15">
      <c r="A725" s="66"/>
      <c r="B725" s="66"/>
      <c r="C725" s="65"/>
      <c r="D725" s="65"/>
      <c r="E725" s="65"/>
      <c r="F725" s="23"/>
      <c r="G725" s="23"/>
    </row>
    <row r="726" spans="1:7" x14ac:dyDescent="0.15">
      <c r="A726" s="66"/>
      <c r="B726" s="66"/>
      <c r="C726" s="65"/>
      <c r="D726" s="65"/>
      <c r="E726" s="65"/>
      <c r="F726" s="23"/>
      <c r="G726" s="23"/>
    </row>
    <row r="727" spans="1:7" x14ac:dyDescent="0.15">
      <c r="A727" s="66"/>
      <c r="B727" s="66"/>
      <c r="C727" s="65"/>
      <c r="D727" s="65"/>
      <c r="E727" s="65"/>
      <c r="F727" s="23"/>
      <c r="G727" s="23"/>
    </row>
    <row r="728" spans="1:7" x14ac:dyDescent="0.15">
      <c r="A728" s="66"/>
      <c r="B728" s="66"/>
      <c r="C728" s="65"/>
      <c r="D728" s="65"/>
      <c r="E728" s="65"/>
      <c r="F728" s="23"/>
      <c r="G728" s="23"/>
    </row>
    <row r="729" spans="1:7" x14ac:dyDescent="0.15">
      <c r="A729" s="66"/>
      <c r="B729" s="66"/>
      <c r="C729" s="65"/>
      <c r="D729" s="65"/>
      <c r="E729" s="65"/>
      <c r="F729" s="23"/>
      <c r="G729" s="23"/>
    </row>
    <row r="730" spans="1:7" x14ac:dyDescent="0.15">
      <c r="A730" s="66"/>
      <c r="B730" s="66"/>
      <c r="C730" s="65"/>
      <c r="D730" s="65"/>
      <c r="E730" s="65"/>
      <c r="F730" s="23"/>
      <c r="G730" s="23"/>
    </row>
    <row r="731" spans="1:7" x14ac:dyDescent="0.15">
      <c r="A731" s="66"/>
      <c r="B731" s="66"/>
      <c r="C731" s="65"/>
      <c r="D731" s="65"/>
      <c r="E731" s="65"/>
      <c r="F731" s="23"/>
      <c r="G731" s="23"/>
    </row>
    <row r="732" spans="1:7" x14ac:dyDescent="0.15">
      <c r="A732" s="66"/>
      <c r="B732" s="66"/>
      <c r="C732" s="65"/>
      <c r="D732" s="65"/>
      <c r="E732" s="65"/>
      <c r="F732" s="23"/>
      <c r="G732" s="23"/>
    </row>
    <row r="733" spans="1:7" x14ac:dyDescent="0.15">
      <c r="A733" s="66"/>
      <c r="B733" s="66"/>
      <c r="C733" s="65"/>
      <c r="D733" s="65"/>
      <c r="E733" s="65"/>
      <c r="F733" s="23"/>
      <c r="G733" s="23"/>
    </row>
    <row r="734" spans="1:7" x14ac:dyDescent="0.15">
      <c r="A734" s="66"/>
      <c r="B734" s="66"/>
      <c r="C734" s="65"/>
      <c r="D734" s="65"/>
      <c r="E734" s="65"/>
      <c r="F734" s="23"/>
      <c r="G734" s="23"/>
    </row>
    <row r="735" spans="1:7" x14ac:dyDescent="0.15">
      <c r="A735" s="66"/>
      <c r="B735" s="66"/>
      <c r="C735" s="65"/>
      <c r="D735" s="65"/>
      <c r="E735" s="65"/>
      <c r="F735" s="23"/>
      <c r="G735" s="23"/>
    </row>
    <row r="736" spans="1:7" x14ac:dyDescent="0.15">
      <c r="A736" s="66"/>
      <c r="B736" s="66"/>
      <c r="C736" s="65"/>
      <c r="D736" s="65"/>
      <c r="E736" s="65"/>
      <c r="F736" s="23"/>
      <c r="G736" s="23"/>
    </row>
    <row r="737" spans="1:7" x14ac:dyDescent="0.15">
      <c r="A737" s="66"/>
      <c r="B737" s="66"/>
      <c r="C737" s="65"/>
      <c r="D737" s="65"/>
      <c r="E737" s="65"/>
      <c r="F737" s="23"/>
      <c r="G737" s="23"/>
    </row>
    <row r="738" spans="1:7" x14ac:dyDescent="0.15">
      <c r="A738" s="66"/>
      <c r="B738" s="66"/>
      <c r="C738" s="65"/>
      <c r="D738" s="65"/>
      <c r="E738" s="65"/>
      <c r="F738" s="23"/>
      <c r="G738" s="23"/>
    </row>
    <row r="739" spans="1:7" x14ac:dyDescent="0.15">
      <c r="A739" s="66"/>
      <c r="B739" s="66"/>
      <c r="C739" s="65"/>
      <c r="D739" s="65"/>
      <c r="E739" s="65"/>
      <c r="F739" s="23"/>
      <c r="G739" s="23"/>
    </row>
    <row r="740" spans="1:7" x14ac:dyDescent="0.15">
      <c r="A740" s="66"/>
      <c r="B740" s="66"/>
      <c r="C740" s="65"/>
      <c r="D740" s="65"/>
      <c r="E740" s="65"/>
      <c r="F740" s="23"/>
      <c r="G740" s="23"/>
    </row>
    <row r="741" spans="1:7" x14ac:dyDescent="0.15">
      <c r="A741" s="66"/>
      <c r="B741" s="66"/>
      <c r="C741" s="65"/>
      <c r="D741" s="65"/>
      <c r="E741" s="65"/>
      <c r="F741" s="23"/>
      <c r="G741" s="23"/>
    </row>
    <row r="742" spans="1:7" x14ac:dyDescent="0.15">
      <c r="A742" s="66"/>
      <c r="B742" s="66"/>
      <c r="C742" s="65"/>
      <c r="D742" s="65"/>
      <c r="E742" s="65"/>
      <c r="F742" s="23"/>
      <c r="G742" s="23"/>
    </row>
    <row r="743" spans="1:7" x14ac:dyDescent="0.15">
      <c r="A743" s="66"/>
      <c r="B743" s="66"/>
      <c r="C743" s="65"/>
      <c r="D743" s="65"/>
      <c r="E743" s="65"/>
      <c r="F743" s="23"/>
      <c r="G743" s="23"/>
    </row>
    <row r="744" spans="1:7" x14ac:dyDescent="0.15">
      <c r="A744" s="66"/>
      <c r="B744" s="66"/>
      <c r="C744" s="65"/>
      <c r="D744" s="65"/>
      <c r="E744" s="65"/>
      <c r="F744" s="23"/>
      <c r="G744" s="23"/>
    </row>
    <row r="745" spans="1:7" x14ac:dyDescent="0.15">
      <c r="A745" s="66"/>
      <c r="B745" s="66"/>
      <c r="C745" s="65"/>
      <c r="D745" s="65"/>
      <c r="E745" s="65"/>
      <c r="F745" s="23"/>
      <c r="G745" s="23"/>
    </row>
    <row r="746" spans="1:7" x14ac:dyDescent="0.15">
      <c r="A746" s="66"/>
      <c r="B746" s="66"/>
      <c r="C746" s="65"/>
      <c r="D746" s="65"/>
      <c r="E746" s="65"/>
      <c r="F746" s="23"/>
      <c r="G746" s="23"/>
    </row>
    <row r="747" spans="1:7" x14ac:dyDescent="0.15">
      <c r="A747" s="66"/>
      <c r="B747" s="66"/>
      <c r="C747" s="65"/>
      <c r="D747" s="65"/>
      <c r="E747" s="65"/>
      <c r="F747" s="23"/>
      <c r="G747" s="23"/>
    </row>
    <row r="748" spans="1:7" x14ac:dyDescent="0.15">
      <c r="A748" s="66"/>
      <c r="B748" s="66"/>
      <c r="C748" s="65"/>
      <c r="D748" s="65"/>
      <c r="E748" s="65"/>
      <c r="F748" s="23"/>
      <c r="G748" s="23"/>
    </row>
    <row r="749" spans="1:7" x14ac:dyDescent="0.15">
      <c r="A749" s="66"/>
      <c r="B749" s="66"/>
      <c r="C749" s="65"/>
      <c r="D749" s="65"/>
      <c r="E749" s="65"/>
      <c r="F749" s="23"/>
      <c r="G749" s="23"/>
    </row>
    <row r="750" spans="1:7" x14ac:dyDescent="0.15">
      <c r="A750" s="66"/>
      <c r="B750" s="66"/>
      <c r="C750" s="65"/>
      <c r="D750" s="65"/>
      <c r="E750" s="65"/>
      <c r="F750" s="23"/>
      <c r="G750" s="23"/>
    </row>
    <row r="751" spans="1:7" x14ac:dyDescent="0.15">
      <c r="A751" s="66"/>
      <c r="B751" s="66"/>
      <c r="C751" s="65"/>
      <c r="D751" s="65"/>
      <c r="E751" s="65"/>
      <c r="F751" s="23"/>
      <c r="G751" s="23"/>
    </row>
    <row r="752" spans="1:7" x14ac:dyDescent="0.15">
      <c r="A752" s="66"/>
      <c r="B752" s="66"/>
      <c r="C752" s="65"/>
      <c r="D752" s="65"/>
      <c r="E752" s="65"/>
      <c r="F752" s="23"/>
      <c r="G752" s="23"/>
    </row>
    <row r="753" spans="1:7" x14ac:dyDescent="0.15">
      <c r="A753" s="66"/>
      <c r="B753" s="66"/>
      <c r="C753" s="65"/>
      <c r="D753" s="65"/>
      <c r="E753" s="65"/>
      <c r="F753" s="23"/>
      <c r="G753" s="23"/>
    </row>
    <row r="754" spans="1:7" x14ac:dyDescent="0.15">
      <c r="A754" s="66"/>
      <c r="B754" s="66"/>
      <c r="C754" s="65"/>
      <c r="D754" s="65"/>
      <c r="E754" s="65"/>
      <c r="F754" s="23"/>
      <c r="G754" s="23"/>
    </row>
    <row r="755" spans="1:7" x14ac:dyDescent="0.15">
      <c r="A755" s="66"/>
      <c r="B755" s="66"/>
      <c r="C755" s="65"/>
      <c r="D755" s="65"/>
      <c r="E755" s="65"/>
      <c r="F755" s="23"/>
      <c r="G755" s="23"/>
    </row>
    <row r="756" spans="1:7" x14ac:dyDescent="0.15">
      <c r="A756" s="66"/>
      <c r="B756" s="66"/>
      <c r="C756" s="65"/>
      <c r="D756" s="65"/>
      <c r="E756" s="65"/>
      <c r="F756" s="23"/>
      <c r="G756" s="23"/>
    </row>
    <row r="757" spans="1:7" x14ac:dyDescent="0.15">
      <c r="A757" s="66"/>
      <c r="B757" s="66"/>
      <c r="C757" s="65"/>
      <c r="D757" s="65"/>
      <c r="E757" s="65"/>
      <c r="F757" s="23"/>
      <c r="G757" s="23"/>
    </row>
    <row r="758" spans="1:7" x14ac:dyDescent="0.15">
      <c r="A758" s="66"/>
      <c r="B758" s="66"/>
      <c r="C758" s="65"/>
      <c r="D758" s="65"/>
      <c r="E758" s="65"/>
      <c r="F758" s="23"/>
      <c r="G758" s="23"/>
    </row>
    <row r="759" spans="1:7" x14ac:dyDescent="0.15">
      <c r="A759" s="66"/>
      <c r="B759" s="66"/>
      <c r="C759" s="65"/>
      <c r="D759" s="65"/>
      <c r="E759" s="65"/>
      <c r="F759" s="23"/>
      <c r="G759" s="23"/>
    </row>
    <row r="760" spans="1:7" x14ac:dyDescent="0.15">
      <c r="A760" s="66"/>
      <c r="B760" s="66"/>
      <c r="C760" s="65"/>
      <c r="D760" s="65"/>
      <c r="E760" s="65"/>
      <c r="F760" s="23"/>
      <c r="G760" s="23"/>
    </row>
    <row r="761" spans="1:7" x14ac:dyDescent="0.15">
      <c r="A761" s="66"/>
      <c r="B761" s="66"/>
      <c r="C761" s="65"/>
      <c r="D761" s="65"/>
      <c r="E761" s="65"/>
      <c r="F761" s="23"/>
      <c r="G761" s="23"/>
    </row>
    <row r="762" spans="1:7" x14ac:dyDescent="0.15">
      <c r="A762" s="66"/>
      <c r="B762" s="66"/>
      <c r="C762" s="65"/>
      <c r="D762" s="65"/>
      <c r="E762" s="65"/>
      <c r="F762" s="23"/>
      <c r="G762" s="23"/>
    </row>
    <row r="763" spans="1:7" x14ac:dyDescent="0.15">
      <c r="A763" s="66"/>
      <c r="B763" s="66"/>
      <c r="C763" s="65"/>
      <c r="D763" s="65"/>
      <c r="E763" s="65"/>
      <c r="F763" s="23"/>
      <c r="G763" s="23"/>
    </row>
    <row r="764" spans="1:7" x14ac:dyDescent="0.15">
      <c r="A764" s="66"/>
      <c r="B764" s="66"/>
      <c r="C764" s="65"/>
      <c r="D764" s="65"/>
      <c r="E764" s="65"/>
      <c r="F764" s="23"/>
      <c r="G764" s="23"/>
    </row>
    <row r="765" spans="1:7" x14ac:dyDescent="0.15">
      <c r="A765" s="66"/>
      <c r="B765" s="66"/>
      <c r="C765" s="65"/>
      <c r="D765" s="65"/>
      <c r="E765" s="65"/>
      <c r="F765" s="23"/>
      <c r="G765" s="23"/>
    </row>
    <row r="766" spans="1:7" x14ac:dyDescent="0.15">
      <c r="A766" s="66"/>
      <c r="B766" s="66"/>
      <c r="C766" s="65"/>
      <c r="D766" s="65"/>
      <c r="E766" s="65"/>
      <c r="F766" s="23"/>
      <c r="G766" s="23"/>
    </row>
    <row r="767" spans="1:7" x14ac:dyDescent="0.15">
      <c r="A767" s="66"/>
      <c r="B767" s="66"/>
      <c r="C767" s="65"/>
      <c r="D767" s="65"/>
      <c r="E767" s="65"/>
      <c r="F767" s="23"/>
      <c r="G767" s="23"/>
    </row>
    <row r="768" spans="1:7" x14ac:dyDescent="0.15">
      <c r="A768" s="66"/>
      <c r="B768" s="66"/>
      <c r="C768" s="65"/>
      <c r="D768" s="65"/>
      <c r="E768" s="65"/>
      <c r="F768" s="23"/>
      <c r="G768" s="23"/>
    </row>
    <row r="769" spans="1:7" x14ac:dyDescent="0.15">
      <c r="A769" s="66"/>
      <c r="B769" s="66"/>
      <c r="C769" s="65"/>
      <c r="D769" s="65"/>
      <c r="E769" s="65"/>
      <c r="F769" s="23"/>
      <c r="G769" s="23"/>
    </row>
    <row r="770" spans="1:7" x14ac:dyDescent="0.15">
      <c r="A770" s="66"/>
      <c r="B770" s="66"/>
      <c r="C770" s="65"/>
      <c r="D770" s="65"/>
      <c r="E770" s="65"/>
      <c r="F770" s="23"/>
      <c r="G770" s="23"/>
    </row>
    <row r="771" spans="1:7" x14ac:dyDescent="0.15">
      <c r="A771" s="66"/>
      <c r="B771" s="66"/>
      <c r="C771" s="65"/>
      <c r="D771" s="65"/>
      <c r="E771" s="65"/>
      <c r="F771" s="23"/>
      <c r="G771" s="23"/>
    </row>
    <row r="772" spans="1:7" x14ac:dyDescent="0.15">
      <c r="A772" s="66"/>
      <c r="B772" s="66"/>
      <c r="C772" s="65"/>
      <c r="D772" s="65"/>
      <c r="E772" s="65"/>
      <c r="F772" s="23"/>
      <c r="G772" s="23"/>
    </row>
    <row r="773" spans="1:7" x14ac:dyDescent="0.15">
      <c r="A773" s="66"/>
      <c r="B773" s="66"/>
      <c r="C773" s="65"/>
      <c r="D773" s="65"/>
      <c r="E773" s="65"/>
      <c r="F773" s="23"/>
      <c r="G773" s="23"/>
    </row>
    <row r="774" spans="1:7" x14ac:dyDescent="0.15">
      <c r="A774" s="66"/>
      <c r="B774" s="66"/>
      <c r="C774" s="65"/>
      <c r="D774" s="65"/>
      <c r="E774" s="65"/>
      <c r="F774" s="23"/>
      <c r="G774" s="23"/>
    </row>
    <row r="775" spans="1:7" x14ac:dyDescent="0.15">
      <c r="A775" s="66"/>
      <c r="B775" s="66"/>
      <c r="C775" s="65"/>
      <c r="D775" s="65"/>
      <c r="E775" s="65"/>
      <c r="F775" s="23"/>
      <c r="G775" s="23"/>
    </row>
    <row r="776" spans="1:7" x14ac:dyDescent="0.15">
      <c r="A776" s="66"/>
      <c r="B776" s="66"/>
      <c r="C776" s="65"/>
      <c r="D776" s="65"/>
      <c r="E776" s="65"/>
      <c r="F776" s="23"/>
      <c r="G776" s="23"/>
    </row>
    <row r="777" spans="1:7" x14ac:dyDescent="0.15">
      <c r="A777" s="66"/>
      <c r="B777" s="66"/>
      <c r="C777" s="65"/>
      <c r="D777" s="65"/>
      <c r="E777" s="65"/>
      <c r="F777" s="23"/>
      <c r="G777" s="23"/>
    </row>
    <row r="778" spans="1:7" x14ac:dyDescent="0.15">
      <c r="A778" s="66"/>
      <c r="B778" s="66"/>
      <c r="C778" s="65"/>
      <c r="D778" s="65"/>
      <c r="E778" s="65"/>
      <c r="F778" s="23"/>
      <c r="G778" s="23"/>
    </row>
    <row r="779" spans="1:7" x14ac:dyDescent="0.15">
      <c r="A779" s="66"/>
      <c r="B779" s="66"/>
      <c r="C779" s="65"/>
      <c r="D779" s="65"/>
      <c r="E779" s="65"/>
      <c r="F779" s="23"/>
      <c r="G779" s="23"/>
    </row>
    <row r="780" spans="1:7" x14ac:dyDescent="0.15">
      <c r="A780" s="66"/>
      <c r="B780" s="66"/>
      <c r="C780" s="65"/>
      <c r="D780" s="65"/>
      <c r="E780" s="65"/>
      <c r="F780" s="23"/>
      <c r="G780" s="23"/>
    </row>
    <row r="781" spans="1:7" x14ac:dyDescent="0.15">
      <c r="A781" s="66"/>
      <c r="B781" s="66"/>
      <c r="C781" s="65"/>
      <c r="D781" s="65"/>
      <c r="E781" s="65"/>
      <c r="F781" s="23"/>
      <c r="G781" s="23"/>
    </row>
    <row r="782" spans="1:7" x14ac:dyDescent="0.15">
      <c r="A782" s="66"/>
      <c r="B782" s="66"/>
      <c r="C782" s="65"/>
      <c r="D782" s="65"/>
      <c r="E782" s="65"/>
      <c r="F782" s="23"/>
      <c r="G782" s="23"/>
    </row>
    <row r="783" spans="1:7" x14ac:dyDescent="0.15">
      <c r="A783" s="66"/>
      <c r="B783" s="66"/>
      <c r="C783" s="65"/>
      <c r="D783" s="65"/>
      <c r="E783" s="65"/>
      <c r="F783" s="23"/>
      <c r="G783" s="23"/>
    </row>
    <row r="784" spans="1:7" x14ac:dyDescent="0.15">
      <c r="A784" s="66"/>
      <c r="B784" s="66"/>
      <c r="C784" s="65"/>
      <c r="D784" s="65"/>
      <c r="E784" s="65"/>
      <c r="F784" s="23"/>
      <c r="G784" s="23"/>
    </row>
    <row r="785" spans="1:7" x14ac:dyDescent="0.15">
      <c r="A785" s="66"/>
      <c r="B785" s="66"/>
      <c r="C785" s="65"/>
      <c r="D785" s="65"/>
      <c r="E785" s="65"/>
      <c r="F785" s="23"/>
      <c r="G785" s="23"/>
    </row>
    <row r="786" spans="1:7" x14ac:dyDescent="0.15">
      <c r="A786" s="66"/>
      <c r="B786" s="66"/>
      <c r="C786" s="65"/>
      <c r="D786" s="65"/>
      <c r="E786" s="65"/>
      <c r="F786" s="23"/>
      <c r="G786" s="23"/>
    </row>
    <row r="787" spans="1:7" x14ac:dyDescent="0.15">
      <c r="A787" s="66"/>
      <c r="B787" s="66"/>
      <c r="C787" s="65"/>
      <c r="D787" s="65"/>
      <c r="E787" s="65"/>
      <c r="F787" s="23"/>
      <c r="G787" s="23"/>
    </row>
    <row r="788" spans="1:7" x14ac:dyDescent="0.15">
      <c r="A788" s="66"/>
      <c r="B788" s="66"/>
      <c r="C788" s="65"/>
      <c r="D788" s="65"/>
      <c r="E788" s="65"/>
      <c r="F788" s="23"/>
      <c r="G788" s="23"/>
    </row>
    <row r="789" spans="1:7" x14ac:dyDescent="0.15">
      <c r="A789" s="66"/>
      <c r="B789" s="66"/>
      <c r="C789" s="65"/>
      <c r="D789" s="65"/>
      <c r="E789" s="65"/>
      <c r="F789" s="23"/>
      <c r="G789" s="23"/>
    </row>
    <row r="790" spans="1:7" x14ac:dyDescent="0.15">
      <c r="A790" s="66"/>
      <c r="B790" s="66"/>
      <c r="C790" s="65"/>
      <c r="D790" s="65"/>
      <c r="E790" s="65"/>
      <c r="F790" s="23"/>
      <c r="G790" s="23"/>
    </row>
    <row r="791" spans="1:7" x14ac:dyDescent="0.15">
      <c r="A791" s="66"/>
      <c r="B791" s="66"/>
      <c r="C791" s="65"/>
      <c r="D791" s="65"/>
      <c r="E791" s="65"/>
      <c r="F791" s="23"/>
      <c r="G791" s="23"/>
    </row>
    <row r="792" spans="1:7" x14ac:dyDescent="0.15">
      <c r="A792" s="66"/>
      <c r="B792" s="66"/>
      <c r="C792" s="65"/>
      <c r="D792" s="65"/>
      <c r="E792" s="65"/>
      <c r="F792" s="23"/>
      <c r="G792" s="23"/>
    </row>
    <row r="793" spans="1:7" x14ac:dyDescent="0.15">
      <c r="A793" s="66"/>
      <c r="B793" s="66"/>
      <c r="C793" s="65"/>
      <c r="D793" s="65"/>
      <c r="E793" s="65"/>
      <c r="F793" s="23"/>
      <c r="G793" s="23"/>
    </row>
    <row r="794" spans="1:7" x14ac:dyDescent="0.15">
      <c r="A794" s="66"/>
      <c r="B794" s="66"/>
      <c r="C794" s="65"/>
      <c r="D794" s="65"/>
      <c r="E794" s="65"/>
      <c r="F794" s="23"/>
      <c r="G794" s="23"/>
    </row>
    <row r="795" spans="1:7" x14ac:dyDescent="0.15">
      <c r="A795" s="66"/>
      <c r="B795" s="66"/>
      <c r="C795" s="65"/>
      <c r="D795" s="65"/>
      <c r="E795" s="65"/>
      <c r="F795" s="23"/>
      <c r="G795" s="23"/>
    </row>
    <row r="796" spans="1:7" x14ac:dyDescent="0.15">
      <c r="A796" s="66"/>
      <c r="B796" s="66"/>
      <c r="C796" s="65"/>
      <c r="D796" s="65"/>
      <c r="E796" s="65"/>
      <c r="F796" s="23"/>
      <c r="G796" s="23"/>
    </row>
    <row r="797" spans="1:7" x14ac:dyDescent="0.15">
      <c r="A797" s="66"/>
      <c r="B797" s="66"/>
      <c r="C797" s="65"/>
      <c r="D797" s="65"/>
      <c r="E797" s="65"/>
      <c r="F797" s="23"/>
      <c r="G797" s="23"/>
    </row>
    <row r="798" spans="1:7" x14ac:dyDescent="0.15">
      <c r="A798" s="66"/>
      <c r="B798" s="66"/>
      <c r="C798" s="65"/>
      <c r="D798" s="65"/>
      <c r="E798" s="65"/>
      <c r="F798" s="23"/>
      <c r="G798" s="23"/>
    </row>
    <row r="799" spans="1:7" x14ac:dyDescent="0.15">
      <c r="A799" s="66"/>
      <c r="B799" s="66"/>
      <c r="C799" s="65"/>
      <c r="D799" s="65"/>
      <c r="E799" s="65"/>
      <c r="F799" s="23"/>
      <c r="G799" s="23"/>
    </row>
    <row r="800" spans="1:7" x14ac:dyDescent="0.15">
      <c r="A800" s="66"/>
      <c r="B800" s="66"/>
      <c r="C800" s="65"/>
      <c r="D800" s="65"/>
      <c r="E800" s="65"/>
      <c r="F800" s="23"/>
      <c r="G800" s="23"/>
    </row>
    <row r="801" spans="1:7" x14ac:dyDescent="0.15">
      <c r="A801" s="66"/>
      <c r="B801" s="66"/>
      <c r="C801" s="65"/>
      <c r="D801" s="65"/>
      <c r="E801" s="65"/>
      <c r="F801" s="23"/>
      <c r="G801" s="23"/>
    </row>
    <row r="802" spans="1:7" x14ac:dyDescent="0.15">
      <c r="A802" s="66"/>
      <c r="B802" s="66"/>
      <c r="C802" s="65"/>
      <c r="D802" s="65"/>
      <c r="E802" s="65"/>
      <c r="F802" s="23"/>
      <c r="G802" s="23"/>
    </row>
    <row r="803" spans="1:7" x14ac:dyDescent="0.15">
      <c r="A803" s="66"/>
      <c r="B803" s="66"/>
      <c r="C803" s="65"/>
      <c r="D803" s="65"/>
      <c r="E803" s="65"/>
      <c r="F803" s="23"/>
      <c r="G803" s="23"/>
    </row>
    <row r="804" spans="1:7" x14ac:dyDescent="0.15">
      <c r="A804" s="66"/>
      <c r="B804" s="66"/>
      <c r="C804" s="65"/>
      <c r="D804" s="65"/>
      <c r="E804" s="65"/>
      <c r="F804" s="23"/>
      <c r="G804" s="23"/>
    </row>
    <row r="805" spans="1:7" x14ac:dyDescent="0.15">
      <c r="A805" s="66"/>
      <c r="B805" s="66"/>
      <c r="C805" s="65"/>
      <c r="D805" s="65"/>
      <c r="E805" s="65"/>
      <c r="F805" s="23"/>
      <c r="G805" s="23"/>
    </row>
    <row r="806" spans="1:7" x14ac:dyDescent="0.15">
      <c r="A806" s="66"/>
      <c r="B806" s="66"/>
      <c r="C806" s="65"/>
      <c r="D806" s="65"/>
      <c r="E806" s="65"/>
      <c r="F806" s="23"/>
      <c r="G806" s="23"/>
    </row>
    <row r="807" spans="1:7" x14ac:dyDescent="0.15">
      <c r="A807" s="66"/>
      <c r="B807" s="66"/>
      <c r="C807" s="65"/>
      <c r="D807" s="65"/>
      <c r="E807" s="65"/>
      <c r="F807" s="23"/>
      <c r="G807" s="23"/>
    </row>
    <row r="808" spans="1:7" x14ac:dyDescent="0.15">
      <c r="A808" s="66"/>
      <c r="B808" s="66"/>
      <c r="C808" s="65"/>
      <c r="D808" s="65"/>
      <c r="E808" s="65"/>
      <c r="F808" s="23"/>
      <c r="G808" s="23"/>
    </row>
    <row r="809" spans="1:7" x14ac:dyDescent="0.15">
      <c r="A809" s="66"/>
      <c r="B809" s="66"/>
      <c r="C809" s="65"/>
      <c r="D809" s="65"/>
      <c r="E809" s="65"/>
      <c r="F809" s="23"/>
      <c r="G809" s="23"/>
    </row>
    <row r="810" spans="1:7" x14ac:dyDescent="0.15">
      <c r="A810" s="66"/>
      <c r="B810" s="66"/>
      <c r="C810" s="65"/>
      <c r="D810" s="65"/>
      <c r="E810" s="65"/>
      <c r="F810" s="23"/>
      <c r="G810" s="23"/>
    </row>
    <row r="811" spans="1:7" x14ac:dyDescent="0.15">
      <c r="A811" s="66"/>
      <c r="B811" s="66"/>
      <c r="C811" s="65"/>
      <c r="D811" s="65"/>
      <c r="E811" s="65"/>
      <c r="F811" s="23"/>
      <c r="G811" s="23"/>
    </row>
    <row r="812" spans="1:7" x14ac:dyDescent="0.15">
      <c r="A812" s="66"/>
      <c r="B812" s="66"/>
      <c r="C812" s="65"/>
      <c r="D812" s="65"/>
      <c r="E812" s="65"/>
      <c r="F812" s="23"/>
      <c r="G812" s="23"/>
    </row>
    <row r="813" spans="1:7" x14ac:dyDescent="0.15">
      <c r="A813" s="66"/>
      <c r="B813" s="66"/>
      <c r="C813" s="65"/>
      <c r="D813" s="65"/>
      <c r="E813" s="65"/>
      <c r="F813" s="23"/>
      <c r="G813" s="23"/>
    </row>
    <row r="814" spans="1:7" x14ac:dyDescent="0.15">
      <c r="A814" s="66"/>
      <c r="B814" s="66"/>
      <c r="C814" s="65"/>
      <c r="D814" s="65"/>
      <c r="E814" s="65"/>
      <c r="F814" s="23"/>
      <c r="G814" s="23"/>
    </row>
    <row r="815" spans="1:7" x14ac:dyDescent="0.15">
      <c r="A815" s="66"/>
      <c r="B815" s="66"/>
      <c r="C815" s="65"/>
      <c r="D815" s="65"/>
      <c r="E815" s="65"/>
      <c r="F815" s="23"/>
      <c r="G815" s="23"/>
    </row>
    <row r="816" spans="1:7" x14ac:dyDescent="0.15">
      <c r="A816" s="66"/>
      <c r="B816" s="66"/>
      <c r="C816" s="65"/>
      <c r="D816" s="65"/>
      <c r="E816" s="65"/>
      <c r="F816" s="23"/>
      <c r="G816" s="23"/>
    </row>
    <row r="817" spans="1:7" x14ac:dyDescent="0.15">
      <c r="A817" s="66"/>
      <c r="B817" s="66"/>
      <c r="C817" s="65"/>
      <c r="D817" s="65"/>
      <c r="E817" s="65"/>
      <c r="F817" s="23"/>
      <c r="G817" s="23"/>
    </row>
    <row r="818" spans="1:7" x14ac:dyDescent="0.15">
      <c r="A818" s="66"/>
      <c r="B818" s="66"/>
      <c r="C818" s="65"/>
      <c r="D818" s="65"/>
      <c r="E818" s="65"/>
      <c r="F818" s="23"/>
      <c r="G818" s="23"/>
    </row>
    <row r="819" spans="1:7" x14ac:dyDescent="0.15">
      <c r="A819" s="66"/>
      <c r="B819" s="66"/>
      <c r="C819" s="65"/>
      <c r="D819" s="65"/>
      <c r="E819" s="65"/>
      <c r="F819" s="23"/>
      <c r="G819" s="23"/>
    </row>
    <row r="820" spans="1:7" x14ac:dyDescent="0.15">
      <c r="A820" s="66"/>
      <c r="B820" s="66"/>
      <c r="C820" s="65"/>
      <c r="D820" s="65"/>
      <c r="E820" s="65"/>
      <c r="F820" s="23"/>
      <c r="G820" s="23"/>
    </row>
    <row r="821" spans="1:7" x14ac:dyDescent="0.15">
      <c r="A821" s="66"/>
      <c r="B821" s="66"/>
      <c r="C821" s="65"/>
      <c r="D821" s="65"/>
      <c r="E821" s="65"/>
      <c r="F821" s="23"/>
      <c r="G821" s="23"/>
    </row>
    <row r="822" spans="1:7" x14ac:dyDescent="0.15">
      <c r="A822" s="66"/>
      <c r="B822" s="66"/>
      <c r="C822" s="65"/>
      <c r="D822" s="65"/>
      <c r="E822" s="65"/>
      <c r="F822" s="23"/>
      <c r="G822" s="23"/>
    </row>
    <row r="823" spans="1:7" x14ac:dyDescent="0.15">
      <c r="A823" s="66"/>
      <c r="B823" s="66"/>
      <c r="C823" s="65"/>
      <c r="D823" s="65"/>
      <c r="E823" s="65"/>
      <c r="F823" s="23"/>
      <c r="G823" s="23"/>
    </row>
    <row r="824" spans="1:7" x14ac:dyDescent="0.15">
      <c r="A824" s="66"/>
      <c r="B824" s="66"/>
      <c r="C824" s="65"/>
      <c r="D824" s="65"/>
      <c r="E824" s="65"/>
      <c r="F824" s="23"/>
      <c r="G824" s="23"/>
    </row>
    <row r="825" spans="1:7" x14ac:dyDescent="0.15">
      <c r="A825" s="66"/>
      <c r="B825" s="66"/>
      <c r="C825" s="65"/>
      <c r="D825" s="65"/>
      <c r="E825" s="65"/>
      <c r="F825" s="23"/>
      <c r="G825" s="23"/>
    </row>
    <row r="826" spans="1:7" x14ac:dyDescent="0.15">
      <c r="A826" s="66"/>
      <c r="B826" s="66"/>
      <c r="C826" s="65"/>
      <c r="D826" s="65"/>
      <c r="E826" s="65"/>
      <c r="F826" s="23"/>
      <c r="G826" s="23"/>
    </row>
    <row r="827" spans="1:7" x14ac:dyDescent="0.15">
      <c r="A827" s="66"/>
      <c r="B827" s="66"/>
      <c r="C827" s="65"/>
      <c r="D827" s="65"/>
      <c r="E827" s="65"/>
      <c r="F827" s="23"/>
      <c r="G827" s="23"/>
    </row>
    <row r="828" spans="1:7" x14ac:dyDescent="0.15">
      <c r="A828" s="66"/>
      <c r="B828" s="66"/>
      <c r="C828" s="65"/>
      <c r="D828" s="65"/>
      <c r="E828" s="65"/>
      <c r="F828" s="23"/>
      <c r="G828" s="23"/>
    </row>
    <row r="829" spans="1:7" x14ac:dyDescent="0.15">
      <c r="A829" s="66"/>
      <c r="B829" s="66"/>
      <c r="C829" s="65"/>
      <c r="D829" s="65"/>
      <c r="E829" s="65"/>
      <c r="F829" s="23"/>
      <c r="G829" s="23"/>
    </row>
    <row r="830" spans="1:7" x14ac:dyDescent="0.15">
      <c r="A830" s="66"/>
      <c r="B830" s="66"/>
      <c r="C830" s="65"/>
      <c r="D830" s="65"/>
      <c r="E830" s="65"/>
      <c r="F830" s="23"/>
      <c r="G830" s="23"/>
    </row>
    <row r="831" spans="1:7" x14ac:dyDescent="0.15">
      <c r="A831" s="66"/>
      <c r="B831" s="66"/>
      <c r="C831" s="65"/>
      <c r="D831" s="65"/>
      <c r="E831" s="65"/>
      <c r="F831" s="23"/>
      <c r="G831" s="23"/>
    </row>
    <row r="832" spans="1:7" x14ac:dyDescent="0.15">
      <c r="A832" s="66"/>
      <c r="B832" s="66"/>
      <c r="C832" s="65"/>
      <c r="D832" s="65"/>
      <c r="E832" s="65"/>
      <c r="F832" s="23"/>
      <c r="G832" s="23"/>
    </row>
    <row r="833" spans="1:7" x14ac:dyDescent="0.15">
      <c r="A833" s="66"/>
      <c r="B833" s="66"/>
      <c r="C833" s="65"/>
      <c r="D833" s="65"/>
      <c r="E833" s="65"/>
      <c r="F833" s="23"/>
      <c r="G833" s="23"/>
    </row>
    <row r="834" spans="1:7" x14ac:dyDescent="0.15">
      <c r="A834" s="66"/>
      <c r="B834" s="66"/>
      <c r="C834" s="65"/>
      <c r="D834" s="65"/>
      <c r="E834" s="65"/>
      <c r="F834" s="23"/>
      <c r="G834" s="23"/>
    </row>
    <row r="835" spans="1:7" x14ac:dyDescent="0.15">
      <c r="A835" s="66"/>
      <c r="B835" s="66"/>
      <c r="C835" s="65"/>
      <c r="D835" s="65"/>
      <c r="E835" s="65"/>
      <c r="F835" s="23"/>
      <c r="G835" s="23"/>
    </row>
    <row r="836" spans="1:7" x14ac:dyDescent="0.15">
      <c r="A836" s="66"/>
      <c r="B836" s="66"/>
      <c r="C836" s="65"/>
      <c r="D836" s="65"/>
      <c r="E836" s="65"/>
      <c r="F836" s="23"/>
      <c r="G836" s="23"/>
    </row>
    <row r="837" spans="1:7" x14ac:dyDescent="0.15">
      <c r="A837" s="66"/>
      <c r="B837" s="66"/>
      <c r="C837" s="65"/>
      <c r="D837" s="65"/>
      <c r="E837" s="65"/>
      <c r="F837" s="23"/>
      <c r="G837" s="23"/>
    </row>
    <row r="838" spans="1:7" x14ac:dyDescent="0.15">
      <c r="A838" s="66"/>
      <c r="B838" s="66"/>
      <c r="C838" s="65"/>
      <c r="D838" s="65"/>
      <c r="E838" s="65"/>
      <c r="F838" s="23"/>
      <c r="G838" s="23"/>
    </row>
    <row r="839" spans="1:7" x14ac:dyDescent="0.15">
      <c r="A839" s="66"/>
      <c r="B839" s="66"/>
      <c r="C839" s="65"/>
      <c r="D839" s="65"/>
      <c r="E839" s="65"/>
      <c r="F839" s="23"/>
      <c r="G839" s="23"/>
    </row>
    <row r="840" spans="1:7" x14ac:dyDescent="0.15">
      <c r="A840" s="66"/>
      <c r="B840" s="66"/>
      <c r="C840" s="65"/>
      <c r="D840" s="65"/>
      <c r="E840" s="65"/>
      <c r="F840" s="23"/>
      <c r="G840" s="23"/>
    </row>
    <row r="841" spans="1:7" x14ac:dyDescent="0.15">
      <c r="A841" s="66"/>
      <c r="B841" s="66"/>
      <c r="C841" s="65"/>
      <c r="D841" s="65"/>
      <c r="E841" s="65"/>
      <c r="F841" s="23"/>
      <c r="G841" s="23"/>
    </row>
    <row r="842" spans="1:7" x14ac:dyDescent="0.15">
      <c r="A842" s="66"/>
      <c r="B842" s="66"/>
      <c r="C842" s="65"/>
      <c r="D842" s="65"/>
      <c r="E842" s="65"/>
      <c r="F842" s="23"/>
      <c r="G842" s="23"/>
    </row>
    <row r="843" spans="1:7" x14ac:dyDescent="0.15">
      <c r="A843" s="66"/>
      <c r="B843" s="66"/>
      <c r="C843" s="65"/>
      <c r="D843" s="65"/>
      <c r="E843" s="65"/>
      <c r="F843" s="23"/>
      <c r="G843" s="23"/>
    </row>
    <row r="844" spans="1:7" x14ac:dyDescent="0.15">
      <c r="A844" s="66"/>
      <c r="B844" s="66"/>
      <c r="C844" s="65"/>
      <c r="D844" s="65"/>
      <c r="E844" s="65"/>
      <c r="F844" s="23"/>
      <c r="G844" s="23"/>
    </row>
    <row r="845" spans="1:7" x14ac:dyDescent="0.15">
      <c r="A845" s="66"/>
      <c r="B845" s="66"/>
      <c r="C845" s="65"/>
      <c r="D845" s="65"/>
      <c r="E845" s="65"/>
      <c r="F845" s="23"/>
      <c r="G845" s="23"/>
    </row>
    <row r="846" spans="1:7" x14ac:dyDescent="0.15">
      <c r="A846" s="66"/>
      <c r="B846" s="66"/>
      <c r="C846" s="65"/>
      <c r="D846" s="65"/>
      <c r="E846" s="65"/>
      <c r="F846" s="23"/>
      <c r="G846" s="23"/>
    </row>
    <row r="847" spans="1:7" x14ac:dyDescent="0.15">
      <c r="A847" s="66"/>
      <c r="B847" s="66"/>
      <c r="C847" s="65"/>
      <c r="D847" s="65"/>
      <c r="E847" s="65"/>
      <c r="F847" s="23"/>
      <c r="G847" s="23"/>
    </row>
    <row r="848" spans="1:7" x14ac:dyDescent="0.15">
      <c r="A848" s="66"/>
      <c r="B848" s="66"/>
      <c r="C848" s="65"/>
      <c r="D848" s="65"/>
      <c r="E848" s="65"/>
      <c r="F848" s="23"/>
      <c r="G848" s="23"/>
    </row>
    <row r="849" spans="1:7" x14ac:dyDescent="0.15">
      <c r="A849" s="66"/>
      <c r="B849" s="66"/>
      <c r="C849" s="65"/>
      <c r="D849" s="65"/>
      <c r="E849" s="65"/>
      <c r="F849" s="23"/>
      <c r="G849" s="23"/>
    </row>
    <row r="850" spans="1:7" x14ac:dyDescent="0.15">
      <c r="A850" s="66"/>
      <c r="B850" s="66"/>
      <c r="C850" s="65"/>
      <c r="D850" s="65"/>
      <c r="E850" s="65"/>
      <c r="F850" s="23"/>
      <c r="G850" s="23"/>
    </row>
    <row r="851" spans="1:7" x14ac:dyDescent="0.15">
      <c r="A851" s="66"/>
      <c r="B851" s="66"/>
      <c r="C851" s="65"/>
      <c r="D851" s="65"/>
      <c r="E851" s="65"/>
      <c r="F851" s="23"/>
      <c r="G851" s="23"/>
    </row>
    <row r="852" spans="1:7" x14ac:dyDescent="0.15">
      <c r="A852" s="66"/>
      <c r="B852" s="66"/>
      <c r="C852" s="65"/>
      <c r="D852" s="65"/>
      <c r="E852" s="65"/>
      <c r="F852" s="23"/>
      <c r="G852" s="23"/>
    </row>
    <row r="853" spans="1:7" x14ac:dyDescent="0.15">
      <c r="A853" s="66"/>
      <c r="B853" s="66"/>
      <c r="C853" s="65"/>
      <c r="D853" s="65"/>
      <c r="E853" s="65"/>
      <c r="F853" s="23"/>
      <c r="G853" s="23"/>
    </row>
    <row r="854" spans="1:7" x14ac:dyDescent="0.15">
      <c r="A854" s="66"/>
      <c r="B854" s="66"/>
      <c r="C854" s="65"/>
      <c r="D854" s="65"/>
      <c r="E854" s="65"/>
      <c r="F854" s="23"/>
      <c r="G854" s="23"/>
    </row>
    <row r="855" spans="1:7" x14ac:dyDescent="0.15">
      <c r="A855" s="66"/>
      <c r="B855" s="66"/>
      <c r="C855" s="65"/>
      <c r="D855" s="65"/>
      <c r="E855" s="65"/>
      <c r="F855" s="23"/>
      <c r="G855" s="23"/>
    </row>
    <row r="856" spans="1:7" x14ac:dyDescent="0.15">
      <c r="A856" s="66"/>
      <c r="B856" s="66"/>
      <c r="C856" s="65"/>
      <c r="D856" s="65"/>
      <c r="E856" s="65"/>
      <c r="F856" s="23"/>
      <c r="G856" s="23"/>
    </row>
    <row r="857" spans="1:7" x14ac:dyDescent="0.15">
      <c r="A857" s="66"/>
      <c r="B857" s="66"/>
      <c r="C857" s="65"/>
      <c r="D857" s="65"/>
      <c r="E857" s="65"/>
      <c r="F857" s="23"/>
      <c r="G857" s="23"/>
    </row>
    <row r="858" spans="1:7" x14ac:dyDescent="0.15">
      <c r="A858" s="66"/>
      <c r="B858" s="66"/>
      <c r="C858" s="65"/>
      <c r="D858" s="65"/>
      <c r="E858" s="65"/>
      <c r="F858" s="23"/>
      <c r="G858" s="23"/>
    </row>
    <row r="859" spans="1:7" x14ac:dyDescent="0.15">
      <c r="A859" s="66"/>
      <c r="B859" s="66"/>
      <c r="C859" s="65"/>
      <c r="D859" s="65"/>
      <c r="E859" s="65"/>
      <c r="F859" s="23"/>
      <c r="G859" s="23"/>
    </row>
    <row r="860" spans="1:7" x14ac:dyDescent="0.15">
      <c r="A860" s="66"/>
      <c r="B860" s="66"/>
      <c r="C860" s="65"/>
      <c r="D860" s="65"/>
      <c r="E860" s="65"/>
      <c r="F860" s="23"/>
      <c r="G860" s="23"/>
    </row>
    <row r="861" spans="1:7" x14ac:dyDescent="0.15">
      <c r="A861" s="66"/>
      <c r="B861" s="66"/>
      <c r="C861" s="65"/>
      <c r="D861" s="65"/>
      <c r="E861" s="65"/>
      <c r="F861" s="23"/>
      <c r="G861" s="23"/>
    </row>
    <row r="862" spans="1:7" x14ac:dyDescent="0.15">
      <c r="A862" s="66"/>
      <c r="B862" s="66"/>
      <c r="C862" s="65"/>
      <c r="D862" s="65"/>
      <c r="E862" s="65"/>
      <c r="F862" s="23"/>
      <c r="G862" s="23"/>
    </row>
    <row r="863" spans="1:7" x14ac:dyDescent="0.15">
      <c r="A863" s="66"/>
      <c r="B863" s="66"/>
      <c r="C863" s="65"/>
      <c r="D863" s="65"/>
      <c r="E863" s="65"/>
      <c r="F863" s="23"/>
      <c r="G863" s="23"/>
    </row>
    <row r="864" spans="1:7" x14ac:dyDescent="0.15">
      <c r="A864" s="66"/>
      <c r="B864" s="66"/>
      <c r="C864" s="65"/>
      <c r="D864" s="65"/>
      <c r="E864" s="65"/>
      <c r="F864" s="23"/>
      <c r="G864" s="23"/>
    </row>
    <row r="865" spans="1:7" x14ac:dyDescent="0.15">
      <c r="A865" s="66"/>
      <c r="B865" s="66"/>
      <c r="C865" s="65"/>
      <c r="D865" s="65"/>
      <c r="E865" s="65"/>
      <c r="F865" s="23"/>
      <c r="G865" s="23"/>
    </row>
    <row r="866" spans="1:7" x14ac:dyDescent="0.15">
      <c r="A866" s="66"/>
      <c r="B866" s="66"/>
      <c r="C866" s="65"/>
      <c r="D866" s="65"/>
      <c r="E866" s="65"/>
      <c r="F866" s="23"/>
      <c r="G866" s="23"/>
    </row>
    <row r="867" spans="1:7" x14ac:dyDescent="0.15">
      <c r="A867" s="66"/>
      <c r="B867" s="66"/>
      <c r="C867" s="65"/>
      <c r="D867" s="65"/>
      <c r="E867" s="65"/>
      <c r="F867" s="23"/>
      <c r="G867" s="23"/>
    </row>
    <row r="868" spans="1:7" x14ac:dyDescent="0.15">
      <c r="A868" s="66"/>
      <c r="B868" s="66"/>
      <c r="C868" s="65"/>
      <c r="D868" s="65"/>
      <c r="E868" s="65"/>
      <c r="F868" s="23"/>
      <c r="G868" s="23"/>
    </row>
    <row r="869" spans="1:7" x14ac:dyDescent="0.15">
      <c r="A869" s="66"/>
      <c r="B869" s="66"/>
      <c r="C869" s="65"/>
      <c r="D869" s="65"/>
      <c r="E869" s="65"/>
      <c r="F869" s="23"/>
      <c r="G869" s="23"/>
    </row>
    <row r="870" spans="1:7" x14ac:dyDescent="0.15">
      <c r="A870" s="66"/>
      <c r="B870" s="66"/>
      <c r="C870" s="65"/>
      <c r="D870" s="65"/>
      <c r="E870" s="65"/>
      <c r="F870" s="23"/>
      <c r="G870" s="23"/>
    </row>
    <row r="871" spans="1:7" x14ac:dyDescent="0.15">
      <c r="A871" s="66"/>
      <c r="B871" s="66"/>
      <c r="C871" s="65"/>
      <c r="D871" s="65"/>
      <c r="E871" s="65"/>
      <c r="F871" s="23"/>
      <c r="G871" s="23"/>
    </row>
    <row r="872" spans="1:7" x14ac:dyDescent="0.15">
      <c r="A872" s="66"/>
      <c r="B872" s="66"/>
      <c r="C872" s="65"/>
      <c r="D872" s="65"/>
      <c r="E872" s="65"/>
      <c r="F872" s="23"/>
      <c r="G872" s="23"/>
    </row>
    <row r="873" spans="1:7" x14ac:dyDescent="0.15">
      <c r="A873" s="66"/>
      <c r="B873" s="66"/>
      <c r="C873" s="65"/>
      <c r="D873" s="65"/>
      <c r="E873" s="65"/>
      <c r="F873" s="23"/>
      <c r="G873" s="23"/>
    </row>
    <row r="874" spans="1:7" x14ac:dyDescent="0.15">
      <c r="A874" s="66"/>
      <c r="B874" s="66"/>
      <c r="C874" s="65"/>
      <c r="D874" s="65"/>
      <c r="E874" s="65"/>
      <c r="F874" s="23"/>
      <c r="G874" s="23"/>
    </row>
    <row r="875" spans="1:7" x14ac:dyDescent="0.15">
      <c r="A875" s="66"/>
      <c r="B875" s="66"/>
      <c r="C875" s="65"/>
      <c r="D875" s="65"/>
      <c r="E875" s="65"/>
      <c r="F875" s="23"/>
      <c r="G875" s="23"/>
    </row>
    <row r="876" spans="1:7" x14ac:dyDescent="0.15">
      <c r="A876" s="66"/>
      <c r="B876" s="66"/>
      <c r="C876" s="65"/>
      <c r="D876" s="65"/>
      <c r="E876" s="65"/>
      <c r="F876" s="23"/>
      <c r="G876" s="23"/>
    </row>
    <row r="877" spans="1:7" x14ac:dyDescent="0.15">
      <c r="A877" s="66"/>
      <c r="B877" s="66"/>
      <c r="C877" s="65"/>
      <c r="D877" s="65"/>
      <c r="E877" s="65"/>
      <c r="F877" s="23"/>
      <c r="G877" s="23"/>
    </row>
    <row r="878" spans="1:7" x14ac:dyDescent="0.15">
      <c r="A878" s="66"/>
      <c r="B878" s="66"/>
      <c r="C878" s="65"/>
      <c r="D878" s="65"/>
      <c r="E878" s="65"/>
      <c r="F878" s="23"/>
      <c r="G878" s="23"/>
    </row>
    <row r="879" spans="1:7" x14ac:dyDescent="0.15">
      <c r="A879" s="66"/>
      <c r="B879" s="66"/>
      <c r="C879" s="65"/>
      <c r="D879" s="65"/>
      <c r="E879" s="65"/>
      <c r="F879" s="23"/>
      <c r="G879" s="23"/>
    </row>
    <row r="880" spans="1:7" x14ac:dyDescent="0.15">
      <c r="A880" s="66"/>
      <c r="B880" s="66"/>
      <c r="C880" s="65"/>
      <c r="D880" s="65"/>
      <c r="E880" s="65"/>
      <c r="F880" s="23"/>
      <c r="G880" s="23"/>
    </row>
    <row r="881" spans="1:7" x14ac:dyDescent="0.15">
      <c r="A881" s="66"/>
      <c r="B881" s="66"/>
      <c r="C881" s="65"/>
      <c r="D881" s="65"/>
      <c r="E881" s="65"/>
      <c r="F881" s="23"/>
      <c r="G881" s="23"/>
    </row>
    <row r="882" spans="1:7" x14ac:dyDescent="0.15">
      <c r="A882" s="66"/>
      <c r="B882" s="66"/>
      <c r="C882" s="65"/>
      <c r="D882" s="65"/>
      <c r="E882" s="65"/>
      <c r="F882" s="23"/>
      <c r="G882" s="23"/>
    </row>
    <row r="883" spans="1:7" x14ac:dyDescent="0.15">
      <c r="A883" s="66"/>
      <c r="B883" s="66"/>
      <c r="C883" s="65"/>
      <c r="D883" s="65"/>
      <c r="E883" s="65"/>
      <c r="F883" s="23"/>
      <c r="G883" s="23"/>
    </row>
    <row r="884" spans="1:7" x14ac:dyDescent="0.15">
      <c r="A884" s="66"/>
      <c r="B884" s="66"/>
      <c r="C884" s="65"/>
      <c r="D884" s="65"/>
      <c r="E884" s="65"/>
      <c r="F884" s="23"/>
      <c r="G884" s="23"/>
    </row>
    <row r="885" spans="1:7" x14ac:dyDescent="0.15">
      <c r="A885" s="66"/>
      <c r="B885" s="66"/>
      <c r="C885" s="65"/>
      <c r="D885" s="65"/>
      <c r="E885" s="65"/>
      <c r="F885" s="23"/>
      <c r="G885" s="23"/>
    </row>
    <row r="886" spans="1:7" x14ac:dyDescent="0.15">
      <c r="A886" s="66"/>
      <c r="B886" s="66"/>
      <c r="C886" s="65"/>
      <c r="D886" s="65"/>
      <c r="E886" s="65"/>
      <c r="F886" s="23"/>
      <c r="G886" s="23"/>
    </row>
    <row r="887" spans="1:7" x14ac:dyDescent="0.15">
      <c r="A887" s="66"/>
      <c r="B887" s="66"/>
      <c r="C887" s="65"/>
      <c r="D887" s="65"/>
      <c r="E887" s="65"/>
      <c r="F887" s="23"/>
      <c r="G887" s="23"/>
    </row>
    <row r="888" spans="1:7" x14ac:dyDescent="0.15">
      <c r="A888" s="66"/>
      <c r="B888" s="66"/>
      <c r="C888" s="65"/>
      <c r="D888" s="65"/>
      <c r="E888" s="65"/>
      <c r="F888" s="23"/>
      <c r="G888" s="23"/>
    </row>
    <row r="889" spans="1:7" x14ac:dyDescent="0.15">
      <c r="A889" s="66"/>
      <c r="B889" s="66"/>
      <c r="C889" s="65"/>
      <c r="D889" s="65"/>
      <c r="E889" s="65"/>
      <c r="F889" s="23"/>
      <c r="G889" s="23"/>
    </row>
    <row r="890" spans="1:7" x14ac:dyDescent="0.15">
      <c r="A890" s="66"/>
      <c r="B890" s="66"/>
      <c r="C890" s="65"/>
      <c r="D890" s="65"/>
      <c r="E890" s="65"/>
      <c r="F890" s="23"/>
      <c r="G890" s="23"/>
    </row>
    <row r="891" spans="1:7" x14ac:dyDescent="0.15">
      <c r="A891" s="66"/>
      <c r="B891" s="66"/>
      <c r="C891" s="65"/>
      <c r="D891" s="65"/>
      <c r="E891" s="65"/>
      <c r="F891" s="23"/>
      <c r="G891" s="23"/>
    </row>
    <row r="892" spans="1:7" x14ac:dyDescent="0.15">
      <c r="A892" s="66"/>
      <c r="B892" s="66"/>
      <c r="C892" s="65"/>
      <c r="D892" s="65"/>
      <c r="E892" s="65"/>
      <c r="F892" s="23"/>
      <c r="G892" s="23"/>
    </row>
    <row r="893" spans="1:7" x14ac:dyDescent="0.15">
      <c r="A893" s="66"/>
      <c r="B893" s="66"/>
      <c r="C893" s="65"/>
      <c r="D893" s="65"/>
      <c r="E893" s="65"/>
      <c r="F893" s="23"/>
      <c r="G893" s="23"/>
    </row>
    <row r="894" spans="1:7" x14ac:dyDescent="0.15">
      <c r="A894" s="66"/>
      <c r="B894" s="66"/>
      <c r="C894" s="65"/>
      <c r="D894" s="65"/>
      <c r="E894" s="65"/>
      <c r="F894" s="23"/>
      <c r="G894" s="23"/>
    </row>
    <row r="895" spans="1:7" x14ac:dyDescent="0.15">
      <c r="A895" s="66"/>
      <c r="B895" s="66"/>
      <c r="C895" s="65"/>
      <c r="D895" s="65"/>
      <c r="E895" s="65"/>
      <c r="F895" s="23"/>
      <c r="G895" s="23"/>
    </row>
    <row r="896" spans="1:7" x14ac:dyDescent="0.15">
      <c r="A896" s="66"/>
      <c r="B896" s="66"/>
      <c r="C896" s="65"/>
      <c r="D896" s="65"/>
      <c r="E896" s="65"/>
      <c r="F896" s="23"/>
      <c r="G896" s="23"/>
    </row>
    <row r="897" spans="1:7" x14ac:dyDescent="0.15">
      <c r="A897" s="66"/>
      <c r="B897" s="66"/>
      <c r="C897" s="65"/>
      <c r="D897" s="65"/>
      <c r="E897" s="65"/>
      <c r="F897" s="23"/>
      <c r="G897" s="23"/>
    </row>
    <row r="898" spans="1:7" x14ac:dyDescent="0.15">
      <c r="A898" s="66"/>
      <c r="B898" s="66"/>
      <c r="C898" s="65"/>
      <c r="D898" s="65"/>
      <c r="E898" s="65"/>
      <c r="F898" s="23"/>
      <c r="G898" s="23"/>
    </row>
    <row r="899" spans="1:7" x14ac:dyDescent="0.15">
      <c r="A899" s="66"/>
      <c r="B899" s="66"/>
      <c r="C899" s="65"/>
      <c r="D899" s="65"/>
      <c r="E899" s="65"/>
      <c r="F899" s="23"/>
      <c r="G899" s="23"/>
    </row>
    <row r="900" spans="1:7" x14ac:dyDescent="0.15">
      <c r="A900" s="66"/>
      <c r="B900" s="66"/>
      <c r="C900" s="65"/>
      <c r="D900" s="65"/>
      <c r="E900" s="65"/>
      <c r="F900" s="23"/>
      <c r="G900" s="23"/>
    </row>
    <row r="901" spans="1:7" x14ac:dyDescent="0.15">
      <c r="A901" s="66"/>
      <c r="B901" s="66"/>
      <c r="C901" s="65"/>
      <c r="D901" s="65"/>
      <c r="E901" s="65"/>
      <c r="F901" s="23"/>
      <c r="G901" s="23"/>
    </row>
    <row r="902" spans="1:7" x14ac:dyDescent="0.15">
      <c r="A902" s="66"/>
      <c r="B902" s="66"/>
      <c r="C902" s="65"/>
      <c r="D902" s="65"/>
      <c r="E902" s="65"/>
      <c r="F902" s="23"/>
      <c r="G902" s="23"/>
    </row>
    <row r="903" spans="1:7" x14ac:dyDescent="0.15">
      <c r="A903" s="66"/>
      <c r="B903" s="66"/>
      <c r="C903" s="65"/>
      <c r="D903" s="65"/>
      <c r="E903" s="65"/>
      <c r="F903" s="23"/>
      <c r="G903" s="23"/>
    </row>
    <row r="904" spans="1:7" x14ac:dyDescent="0.15">
      <c r="A904" s="66"/>
      <c r="B904" s="66"/>
      <c r="C904" s="65"/>
      <c r="D904" s="65"/>
      <c r="E904" s="65"/>
      <c r="F904" s="23"/>
      <c r="G904" s="23"/>
    </row>
    <row r="905" spans="1:7" x14ac:dyDescent="0.15">
      <c r="A905" s="66"/>
      <c r="B905" s="66"/>
      <c r="C905" s="65"/>
      <c r="D905" s="65"/>
      <c r="E905" s="65"/>
      <c r="F905" s="23"/>
      <c r="G905" s="23"/>
    </row>
    <row r="906" spans="1:7" x14ac:dyDescent="0.15">
      <c r="A906" s="66"/>
      <c r="B906" s="66"/>
      <c r="C906" s="65"/>
      <c r="D906" s="65"/>
      <c r="E906" s="65"/>
      <c r="F906" s="23"/>
      <c r="G906" s="23"/>
    </row>
    <row r="907" spans="1:7" x14ac:dyDescent="0.15">
      <c r="A907" s="66"/>
      <c r="B907" s="66"/>
      <c r="C907" s="65"/>
      <c r="D907" s="65"/>
      <c r="E907" s="65"/>
      <c r="F907" s="23"/>
      <c r="G907" s="23"/>
    </row>
    <row r="908" spans="1:7" x14ac:dyDescent="0.15">
      <c r="A908" s="66"/>
      <c r="B908" s="66"/>
      <c r="C908" s="65"/>
      <c r="D908" s="65"/>
      <c r="E908" s="65"/>
      <c r="F908" s="23"/>
      <c r="G908" s="23"/>
    </row>
    <row r="909" spans="1:7" x14ac:dyDescent="0.15">
      <c r="A909" s="66"/>
      <c r="B909" s="66"/>
      <c r="C909" s="65"/>
      <c r="D909" s="65"/>
      <c r="E909" s="65"/>
      <c r="F909" s="23"/>
      <c r="G909" s="23"/>
    </row>
    <row r="910" spans="1:7" x14ac:dyDescent="0.15">
      <c r="A910" s="66"/>
      <c r="B910" s="66"/>
      <c r="C910" s="65"/>
      <c r="D910" s="65"/>
      <c r="E910" s="65"/>
      <c r="F910" s="23"/>
      <c r="G910" s="23"/>
    </row>
    <row r="911" spans="1:7" x14ac:dyDescent="0.15">
      <c r="A911" s="66"/>
      <c r="B911" s="66"/>
      <c r="C911" s="65"/>
      <c r="D911" s="65"/>
      <c r="E911" s="65"/>
      <c r="F911" s="23"/>
      <c r="G911" s="23"/>
    </row>
    <row r="912" spans="1:7" x14ac:dyDescent="0.15">
      <c r="A912" s="66"/>
      <c r="B912" s="66"/>
      <c r="C912" s="65"/>
      <c r="D912" s="65"/>
      <c r="E912" s="65"/>
      <c r="F912" s="23"/>
      <c r="G912" s="23"/>
    </row>
    <row r="913" spans="1:7" x14ac:dyDescent="0.15">
      <c r="A913" s="66"/>
      <c r="B913" s="66"/>
      <c r="C913" s="65"/>
      <c r="D913" s="65"/>
      <c r="E913" s="65"/>
      <c r="F913" s="23"/>
      <c r="G913" s="23"/>
    </row>
    <row r="914" spans="1:7" x14ac:dyDescent="0.15">
      <c r="A914" s="66"/>
      <c r="B914" s="66"/>
      <c r="C914" s="65"/>
      <c r="D914" s="65"/>
      <c r="E914" s="65"/>
      <c r="F914" s="23"/>
      <c r="G914" s="23"/>
    </row>
    <row r="915" spans="1:7" x14ac:dyDescent="0.15">
      <c r="A915" s="66"/>
      <c r="B915" s="66"/>
      <c r="C915" s="65"/>
      <c r="D915" s="65"/>
      <c r="E915" s="65"/>
      <c r="F915" s="23"/>
      <c r="G915" s="23"/>
    </row>
    <row r="916" spans="1:7" x14ac:dyDescent="0.15">
      <c r="A916" s="66"/>
      <c r="B916" s="66"/>
      <c r="C916" s="65"/>
      <c r="D916" s="65"/>
      <c r="E916" s="65"/>
      <c r="F916" s="23"/>
      <c r="G916" s="23"/>
    </row>
    <row r="917" spans="1:7" x14ac:dyDescent="0.15">
      <c r="A917" s="66"/>
      <c r="B917" s="66"/>
      <c r="C917" s="65"/>
      <c r="D917" s="65"/>
      <c r="E917" s="65"/>
      <c r="F917" s="23"/>
      <c r="G917" s="23"/>
    </row>
    <row r="918" spans="1:7" x14ac:dyDescent="0.15">
      <c r="A918" s="66"/>
      <c r="B918" s="66"/>
      <c r="C918" s="65"/>
      <c r="D918" s="65"/>
      <c r="E918" s="65"/>
      <c r="F918" s="23"/>
      <c r="G918" s="23"/>
    </row>
    <row r="919" spans="1:7" x14ac:dyDescent="0.15">
      <c r="A919" s="66"/>
      <c r="B919" s="66"/>
      <c r="C919" s="65"/>
      <c r="D919" s="65"/>
      <c r="E919" s="65"/>
      <c r="F919" s="23"/>
      <c r="G919" s="23"/>
    </row>
    <row r="920" spans="1:7" x14ac:dyDescent="0.15">
      <c r="A920" s="66"/>
      <c r="B920" s="66"/>
      <c r="C920" s="65"/>
      <c r="D920" s="65"/>
      <c r="E920" s="65"/>
      <c r="F920" s="23"/>
      <c r="G920" s="23"/>
    </row>
    <row r="921" spans="1:7" x14ac:dyDescent="0.15">
      <c r="A921" s="66"/>
      <c r="B921" s="66"/>
      <c r="C921" s="65"/>
      <c r="D921" s="65"/>
      <c r="E921" s="65"/>
      <c r="F921" s="23"/>
      <c r="G921" s="23"/>
    </row>
    <row r="922" spans="1:7" x14ac:dyDescent="0.15">
      <c r="A922" s="66"/>
      <c r="B922" s="66"/>
      <c r="C922" s="65"/>
      <c r="D922" s="65"/>
      <c r="E922" s="65"/>
      <c r="F922" s="23"/>
      <c r="G922" s="23"/>
    </row>
    <row r="923" spans="1:7" x14ac:dyDescent="0.15">
      <c r="A923" s="66"/>
      <c r="B923" s="66"/>
      <c r="C923" s="65"/>
      <c r="D923" s="65"/>
      <c r="E923" s="65"/>
      <c r="F923" s="23"/>
      <c r="G923" s="23"/>
    </row>
    <row r="924" spans="1:7" x14ac:dyDescent="0.15">
      <c r="A924" s="66"/>
      <c r="B924" s="66"/>
      <c r="C924" s="65"/>
      <c r="D924" s="65"/>
      <c r="E924" s="65"/>
      <c r="F924" s="23"/>
      <c r="G924" s="23"/>
    </row>
    <row r="925" spans="1:7" x14ac:dyDescent="0.15">
      <c r="A925" s="66"/>
      <c r="B925" s="66"/>
      <c r="C925" s="65"/>
      <c r="D925" s="65"/>
      <c r="E925" s="65"/>
      <c r="F925" s="23"/>
      <c r="G925" s="23"/>
    </row>
    <row r="926" spans="1:7" x14ac:dyDescent="0.15">
      <c r="A926" s="66"/>
      <c r="B926" s="66"/>
      <c r="C926" s="65"/>
      <c r="D926" s="65"/>
      <c r="E926" s="65"/>
      <c r="F926" s="23"/>
      <c r="G926" s="23"/>
    </row>
    <row r="927" spans="1:7" x14ac:dyDescent="0.15">
      <c r="A927" s="66"/>
      <c r="B927" s="66"/>
      <c r="C927" s="65"/>
      <c r="D927" s="65"/>
      <c r="E927" s="65"/>
      <c r="F927" s="23"/>
      <c r="G927" s="23"/>
    </row>
    <row r="928" spans="1:7" x14ac:dyDescent="0.15">
      <c r="A928" s="66"/>
      <c r="B928" s="66"/>
      <c r="C928" s="65"/>
      <c r="D928" s="65"/>
      <c r="E928" s="65"/>
      <c r="F928" s="23"/>
      <c r="G928" s="23"/>
    </row>
    <row r="929" spans="1:7" x14ac:dyDescent="0.15">
      <c r="A929" s="66"/>
      <c r="B929" s="66"/>
      <c r="C929" s="65"/>
      <c r="D929" s="65"/>
      <c r="E929" s="65"/>
      <c r="F929" s="23"/>
      <c r="G929" s="23"/>
    </row>
    <row r="930" spans="1:7" x14ac:dyDescent="0.15">
      <c r="A930" s="66"/>
      <c r="B930" s="66"/>
      <c r="C930" s="65"/>
      <c r="D930" s="65"/>
      <c r="E930" s="65"/>
      <c r="F930" s="23"/>
      <c r="G930" s="23"/>
    </row>
    <row r="931" spans="1:7" x14ac:dyDescent="0.15">
      <c r="A931" s="66"/>
      <c r="B931" s="66"/>
      <c r="C931" s="65"/>
      <c r="D931" s="65"/>
      <c r="E931" s="65"/>
      <c r="F931" s="23"/>
      <c r="G931" s="23"/>
    </row>
    <row r="932" spans="1:7" x14ac:dyDescent="0.15">
      <c r="A932" s="66"/>
      <c r="B932" s="66"/>
      <c r="C932" s="65"/>
      <c r="D932" s="65"/>
      <c r="E932" s="65"/>
      <c r="F932" s="23"/>
      <c r="G932" s="23"/>
    </row>
    <row r="933" spans="1:7" x14ac:dyDescent="0.15">
      <c r="A933" s="66"/>
      <c r="B933" s="66"/>
      <c r="C933" s="65"/>
      <c r="D933" s="65"/>
      <c r="E933" s="65"/>
      <c r="F933" s="23"/>
      <c r="G933" s="23"/>
    </row>
    <row r="934" spans="1:7" x14ac:dyDescent="0.15">
      <c r="A934" s="66"/>
      <c r="B934" s="66"/>
      <c r="C934" s="65"/>
      <c r="D934" s="65"/>
      <c r="E934" s="65"/>
      <c r="F934" s="23"/>
      <c r="G934" s="23"/>
    </row>
    <row r="935" spans="1:7" x14ac:dyDescent="0.15">
      <c r="A935" s="66"/>
      <c r="B935" s="66"/>
      <c r="C935" s="65"/>
      <c r="D935" s="65"/>
      <c r="E935" s="65"/>
      <c r="F935" s="23"/>
      <c r="G935" s="23"/>
    </row>
    <row r="936" spans="1:7" x14ac:dyDescent="0.15">
      <c r="A936" s="66"/>
      <c r="B936" s="66"/>
      <c r="C936" s="65"/>
      <c r="D936" s="65"/>
      <c r="E936" s="65"/>
      <c r="F936" s="23"/>
      <c r="G936" s="23"/>
    </row>
    <row r="937" spans="1:7" x14ac:dyDescent="0.15">
      <c r="A937" s="66"/>
      <c r="B937" s="66"/>
      <c r="C937" s="65"/>
      <c r="D937" s="65"/>
      <c r="E937" s="65"/>
      <c r="F937" s="23"/>
      <c r="G937" s="23"/>
    </row>
    <row r="938" spans="1:7" x14ac:dyDescent="0.15">
      <c r="A938" s="66"/>
      <c r="B938" s="66"/>
      <c r="C938" s="65"/>
      <c r="D938" s="65"/>
      <c r="E938" s="65"/>
      <c r="F938" s="23"/>
      <c r="G938" s="23"/>
    </row>
    <row r="939" spans="1:7" x14ac:dyDescent="0.15">
      <c r="A939" s="66"/>
      <c r="B939" s="66"/>
      <c r="C939" s="65"/>
      <c r="D939" s="65"/>
      <c r="E939" s="65"/>
      <c r="F939" s="23"/>
      <c r="G939" s="23"/>
    </row>
    <row r="940" spans="1:7" x14ac:dyDescent="0.15">
      <c r="A940" s="66"/>
      <c r="B940" s="66"/>
      <c r="C940" s="65"/>
      <c r="D940" s="65"/>
      <c r="E940" s="65"/>
      <c r="F940" s="23"/>
      <c r="G940" s="23"/>
    </row>
    <row r="941" spans="1:7" x14ac:dyDescent="0.15">
      <c r="A941" s="66"/>
      <c r="B941" s="66"/>
      <c r="C941" s="65"/>
      <c r="D941" s="65"/>
      <c r="E941" s="65"/>
      <c r="F941" s="23"/>
      <c r="G941" s="23"/>
    </row>
    <row r="942" spans="1:7" x14ac:dyDescent="0.15">
      <c r="A942" s="66"/>
      <c r="B942" s="66"/>
      <c r="C942" s="65"/>
      <c r="D942" s="65"/>
      <c r="E942" s="65"/>
      <c r="F942" s="23"/>
      <c r="G942" s="23"/>
    </row>
    <row r="943" spans="1:7" x14ac:dyDescent="0.15">
      <c r="A943" s="66"/>
      <c r="B943" s="66"/>
      <c r="C943" s="65"/>
      <c r="D943" s="65"/>
      <c r="E943" s="65"/>
      <c r="F943" s="23"/>
      <c r="G943" s="23"/>
    </row>
    <row r="944" spans="1:7" x14ac:dyDescent="0.15">
      <c r="A944" s="66"/>
      <c r="B944" s="66"/>
      <c r="C944" s="65"/>
      <c r="D944" s="65"/>
      <c r="E944" s="65"/>
      <c r="F944" s="23"/>
      <c r="G944" s="23"/>
    </row>
    <row r="945" spans="1:7" x14ac:dyDescent="0.15">
      <c r="A945" s="66"/>
      <c r="B945" s="66"/>
      <c r="C945" s="65"/>
      <c r="D945" s="65"/>
      <c r="E945" s="65"/>
      <c r="F945" s="23"/>
      <c r="G945" s="23"/>
    </row>
    <row r="946" spans="1:7" x14ac:dyDescent="0.15">
      <c r="A946" s="66"/>
      <c r="B946" s="66"/>
      <c r="C946" s="65"/>
      <c r="D946" s="65"/>
      <c r="E946" s="65"/>
      <c r="F946" s="23"/>
      <c r="G946" s="23"/>
    </row>
    <row r="947" spans="1:7" x14ac:dyDescent="0.15">
      <c r="A947" s="66"/>
      <c r="B947" s="66"/>
      <c r="C947" s="65"/>
      <c r="D947" s="65"/>
      <c r="E947" s="65"/>
      <c r="F947" s="23"/>
      <c r="G947" s="23"/>
    </row>
    <row r="948" spans="1:7" x14ac:dyDescent="0.15">
      <c r="A948" s="66"/>
      <c r="B948" s="66"/>
      <c r="C948" s="65"/>
      <c r="D948" s="65"/>
      <c r="E948" s="65"/>
      <c r="F948" s="23"/>
      <c r="G948" s="23"/>
    </row>
    <row r="949" spans="1:7" x14ac:dyDescent="0.15">
      <c r="A949" s="66"/>
      <c r="B949" s="66"/>
      <c r="C949" s="65"/>
      <c r="D949" s="65"/>
      <c r="E949" s="65"/>
      <c r="F949" s="23"/>
      <c r="G949" s="23"/>
    </row>
    <row r="950" spans="1:7" x14ac:dyDescent="0.15">
      <c r="A950" s="66"/>
      <c r="B950" s="66"/>
      <c r="C950" s="65"/>
      <c r="D950" s="65"/>
      <c r="E950" s="65"/>
      <c r="F950" s="23"/>
      <c r="G950" s="23"/>
    </row>
    <row r="951" spans="1:7" x14ac:dyDescent="0.15">
      <c r="A951" s="66"/>
      <c r="B951" s="66"/>
      <c r="C951" s="65"/>
      <c r="D951" s="65"/>
      <c r="E951" s="65"/>
      <c r="F951" s="23"/>
      <c r="G951" s="23"/>
    </row>
    <row r="952" spans="1:7" x14ac:dyDescent="0.15">
      <c r="A952" s="66"/>
      <c r="B952" s="66"/>
      <c r="C952" s="65"/>
      <c r="D952" s="65"/>
      <c r="E952" s="65"/>
      <c r="F952" s="23"/>
      <c r="G952" s="23"/>
    </row>
    <row r="953" spans="1:7" x14ac:dyDescent="0.15">
      <c r="A953" s="66"/>
      <c r="B953" s="66"/>
      <c r="C953" s="65"/>
      <c r="D953" s="65"/>
      <c r="E953" s="65"/>
      <c r="F953" s="23"/>
      <c r="G953" s="23"/>
    </row>
    <row r="954" spans="1:7" x14ac:dyDescent="0.15">
      <c r="A954" s="66"/>
      <c r="B954" s="66"/>
      <c r="C954" s="65"/>
      <c r="D954" s="65"/>
      <c r="E954" s="65"/>
      <c r="F954" s="23"/>
      <c r="G954" s="23"/>
    </row>
    <row r="955" spans="1:7" x14ac:dyDescent="0.15">
      <c r="A955" s="66"/>
      <c r="B955" s="66"/>
      <c r="C955" s="65"/>
      <c r="D955" s="65"/>
      <c r="E955" s="65"/>
      <c r="F955" s="23"/>
      <c r="G955" s="23"/>
    </row>
    <row r="956" spans="1:7" x14ac:dyDescent="0.15">
      <c r="A956" s="66"/>
      <c r="B956" s="66"/>
      <c r="C956" s="65"/>
      <c r="D956" s="65"/>
      <c r="E956" s="65"/>
      <c r="F956" s="23"/>
      <c r="G956" s="23"/>
    </row>
    <row r="957" spans="1:7" x14ac:dyDescent="0.15">
      <c r="A957" s="66"/>
      <c r="B957" s="66"/>
      <c r="C957" s="65"/>
      <c r="D957" s="65"/>
      <c r="E957" s="65"/>
      <c r="F957" s="23"/>
      <c r="G957" s="23"/>
    </row>
    <row r="958" spans="1:7" x14ac:dyDescent="0.15">
      <c r="A958" s="66"/>
      <c r="B958" s="66"/>
      <c r="C958" s="65"/>
      <c r="D958" s="65"/>
      <c r="E958" s="65"/>
      <c r="F958" s="23"/>
      <c r="G958" s="23"/>
    </row>
    <row r="959" spans="1:7" x14ac:dyDescent="0.15">
      <c r="A959" s="66"/>
      <c r="B959" s="66"/>
      <c r="C959" s="65"/>
      <c r="D959" s="65"/>
      <c r="E959" s="65"/>
      <c r="F959" s="23"/>
      <c r="G959" s="23"/>
    </row>
    <row r="960" spans="1:7" x14ac:dyDescent="0.15">
      <c r="A960" s="66"/>
      <c r="B960" s="66"/>
      <c r="C960" s="65"/>
      <c r="D960" s="65"/>
      <c r="E960" s="65"/>
      <c r="F960" s="23"/>
      <c r="G960" s="23"/>
    </row>
    <row r="961" spans="1:7" x14ac:dyDescent="0.15">
      <c r="A961" s="66"/>
      <c r="B961" s="66"/>
      <c r="C961" s="65"/>
      <c r="D961" s="65"/>
      <c r="E961" s="65"/>
      <c r="F961" s="23"/>
      <c r="G961" s="23"/>
    </row>
    <row r="962" spans="1:7" x14ac:dyDescent="0.15">
      <c r="A962" s="66"/>
      <c r="B962" s="66"/>
      <c r="C962" s="65"/>
      <c r="D962" s="65"/>
      <c r="E962" s="65"/>
      <c r="F962" s="23"/>
      <c r="G962" s="23"/>
    </row>
    <row r="963" spans="1:7" x14ac:dyDescent="0.15">
      <c r="A963" s="66"/>
      <c r="B963" s="66"/>
      <c r="C963" s="65"/>
      <c r="D963" s="65"/>
      <c r="E963" s="65"/>
      <c r="F963" s="23"/>
      <c r="G963" s="23"/>
    </row>
    <row r="964" spans="1:7" x14ac:dyDescent="0.15">
      <c r="A964" s="66"/>
      <c r="B964" s="66"/>
      <c r="C964" s="65"/>
      <c r="D964" s="65"/>
      <c r="E964" s="65"/>
      <c r="F964" s="23"/>
      <c r="G964" s="23"/>
    </row>
    <row r="965" spans="1:7" x14ac:dyDescent="0.15">
      <c r="A965" s="66"/>
      <c r="B965" s="66"/>
      <c r="C965" s="65"/>
      <c r="D965" s="65"/>
      <c r="E965" s="65"/>
      <c r="F965" s="23"/>
      <c r="G965" s="23"/>
    </row>
    <row r="966" spans="1:7" x14ac:dyDescent="0.15">
      <c r="A966" s="66"/>
      <c r="B966" s="66"/>
      <c r="C966" s="65"/>
      <c r="D966" s="65"/>
      <c r="E966" s="65"/>
      <c r="F966" s="23"/>
      <c r="G966" s="23"/>
    </row>
    <row r="967" spans="1:7" x14ac:dyDescent="0.15">
      <c r="A967" s="66"/>
      <c r="B967" s="66"/>
      <c r="C967" s="65"/>
      <c r="D967" s="65"/>
      <c r="E967" s="65"/>
      <c r="F967" s="23"/>
      <c r="G967" s="23"/>
    </row>
    <row r="968" spans="1:7" x14ac:dyDescent="0.15">
      <c r="A968" s="66"/>
      <c r="B968" s="66"/>
      <c r="C968" s="65"/>
      <c r="D968" s="65"/>
      <c r="E968" s="65"/>
      <c r="F968" s="23"/>
      <c r="G968" s="23"/>
    </row>
    <row r="969" spans="1:7" x14ac:dyDescent="0.15">
      <c r="A969" s="66"/>
      <c r="B969" s="66"/>
      <c r="C969" s="65"/>
      <c r="D969" s="65"/>
      <c r="E969" s="65"/>
      <c r="F969" s="23"/>
      <c r="G969" s="23"/>
    </row>
    <row r="970" spans="1:7" x14ac:dyDescent="0.15">
      <c r="A970" s="66"/>
      <c r="B970" s="66"/>
      <c r="C970" s="65"/>
      <c r="D970" s="65"/>
      <c r="E970" s="65"/>
      <c r="F970" s="23"/>
      <c r="G970" s="23"/>
    </row>
    <row r="971" spans="1:7" x14ac:dyDescent="0.15">
      <c r="A971" s="66"/>
      <c r="B971" s="66"/>
      <c r="C971" s="65"/>
      <c r="D971" s="65"/>
      <c r="E971" s="65"/>
      <c r="F971" s="23"/>
      <c r="G971" s="23"/>
    </row>
    <row r="972" spans="1:7" x14ac:dyDescent="0.15">
      <c r="A972" s="66"/>
      <c r="B972" s="66"/>
      <c r="C972" s="65"/>
      <c r="D972" s="65"/>
      <c r="E972" s="65"/>
      <c r="F972" s="23"/>
      <c r="G972" s="23"/>
    </row>
    <row r="973" spans="1:7" x14ac:dyDescent="0.15">
      <c r="A973" s="66"/>
      <c r="B973" s="66"/>
      <c r="C973" s="65"/>
      <c r="D973" s="65"/>
      <c r="E973" s="65"/>
      <c r="F973" s="23"/>
      <c r="G973" s="23"/>
    </row>
    <row r="974" spans="1:7" x14ac:dyDescent="0.15">
      <c r="A974" s="66"/>
      <c r="B974" s="66"/>
      <c r="C974" s="65"/>
      <c r="D974" s="65"/>
      <c r="E974" s="65"/>
      <c r="F974" s="23"/>
      <c r="G974" s="23"/>
    </row>
    <row r="975" spans="1:7" x14ac:dyDescent="0.15">
      <c r="A975" s="66"/>
      <c r="B975" s="66"/>
      <c r="C975" s="65"/>
      <c r="D975" s="65"/>
      <c r="E975" s="65"/>
      <c r="F975" s="23"/>
      <c r="G975" s="23"/>
    </row>
    <row r="976" spans="1:7" x14ac:dyDescent="0.15">
      <c r="A976" s="66"/>
      <c r="B976" s="66"/>
      <c r="C976" s="65"/>
      <c r="D976" s="65"/>
      <c r="E976" s="65"/>
      <c r="F976" s="23"/>
      <c r="G976" s="23"/>
    </row>
    <row r="977" spans="1:7" x14ac:dyDescent="0.15">
      <c r="A977" s="66"/>
      <c r="B977" s="66"/>
      <c r="C977" s="65"/>
      <c r="D977" s="65"/>
      <c r="E977" s="65"/>
      <c r="F977" s="23"/>
      <c r="G977" s="23"/>
    </row>
    <row r="978" spans="1:7" x14ac:dyDescent="0.15">
      <c r="A978" s="66"/>
      <c r="B978" s="66"/>
      <c r="C978" s="65"/>
      <c r="D978" s="65"/>
      <c r="E978" s="65"/>
      <c r="F978" s="23"/>
      <c r="G978" s="23"/>
    </row>
    <row r="979" spans="1:7" x14ac:dyDescent="0.15">
      <c r="A979" s="66"/>
      <c r="B979" s="66"/>
      <c r="C979" s="65"/>
      <c r="D979" s="65"/>
      <c r="E979" s="65"/>
      <c r="F979" s="23"/>
      <c r="G979" s="23"/>
    </row>
    <row r="980" spans="1:7" x14ac:dyDescent="0.15">
      <c r="A980" s="66"/>
      <c r="B980" s="66"/>
      <c r="C980" s="65"/>
      <c r="D980" s="65"/>
      <c r="E980" s="65"/>
      <c r="F980" s="23"/>
      <c r="G980" s="23"/>
    </row>
    <row r="981" spans="1:7" x14ac:dyDescent="0.15">
      <c r="A981" s="66"/>
      <c r="B981" s="66"/>
      <c r="C981" s="65"/>
      <c r="D981" s="65"/>
      <c r="E981" s="65"/>
      <c r="F981" s="23"/>
      <c r="G981" s="23"/>
    </row>
    <row r="982" spans="1:7" x14ac:dyDescent="0.15">
      <c r="A982" s="66"/>
      <c r="B982" s="66"/>
      <c r="C982" s="65"/>
      <c r="D982" s="65"/>
      <c r="E982" s="65"/>
      <c r="F982" s="23"/>
      <c r="G982" s="23"/>
    </row>
    <row r="983" spans="1:7" x14ac:dyDescent="0.15">
      <c r="A983" s="66"/>
      <c r="B983" s="66"/>
      <c r="C983" s="65"/>
      <c r="D983" s="65"/>
      <c r="E983" s="65"/>
      <c r="F983" s="23"/>
      <c r="G983" s="23"/>
    </row>
    <row r="984" spans="1:7" x14ac:dyDescent="0.15">
      <c r="A984" s="66"/>
      <c r="B984" s="66"/>
      <c r="C984" s="65"/>
      <c r="D984" s="65"/>
      <c r="E984" s="65"/>
      <c r="F984" s="23"/>
      <c r="G984" s="23"/>
    </row>
    <row r="985" spans="1:7" x14ac:dyDescent="0.15">
      <c r="A985" s="66"/>
      <c r="B985" s="66"/>
      <c r="C985" s="65"/>
      <c r="D985" s="65"/>
      <c r="E985" s="65"/>
      <c r="F985" s="23"/>
      <c r="G985" s="23"/>
    </row>
    <row r="986" spans="1:7" x14ac:dyDescent="0.15">
      <c r="A986" s="66"/>
      <c r="B986" s="66"/>
      <c r="C986" s="65"/>
      <c r="D986" s="65"/>
      <c r="E986" s="65"/>
      <c r="F986" s="23"/>
      <c r="G986" s="23"/>
    </row>
    <row r="987" spans="1:7" x14ac:dyDescent="0.15">
      <c r="A987" s="66"/>
      <c r="B987" s="66"/>
      <c r="C987" s="65"/>
      <c r="D987" s="65"/>
      <c r="E987" s="65"/>
      <c r="F987" s="23"/>
      <c r="G987" s="23"/>
    </row>
    <row r="988" spans="1:7" x14ac:dyDescent="0.15">
      <c r="A988" s="66"/>
      <c r="B988" s="66"/>
      <c r="C988" s="65"/>
      <c r="D988" s="65"/>
      <c r="E988" s="65"/>
      <c r="F988" s="23"/>
      <c r="G988" s="23"/>
    </row>
    <row r="989" spans="1:7" x14ac:dyDescent="0.15">
      <c r="A989" s="66"/>
      <c r="B989" s="66"/>
      <c r="C989" s="65"/>
      <c r="D989" s="65"/>
      <c r="E989" s="65"/>
      <c r="F989" s="23"/>
      <c r="G989" s="23"/>
    </row>
    <row r="990" spans="1:7" x14ac:dyDescent="0.15">
      <c r="A990" s="66"/>
      <c r="B990" s="66"/>
      <c r="C990" s="65"/>
      <c r="D990" s="65"/>
      <c r="E990" s="65"/>
      <c r="F990" s="23"/>
      <c r="G990" s="23"/>
    </row>
    <row r="991" spans="1:7" x14ac:dyDescent="0.15">
      <c r="A991" s="66"/>
      <c r="B991" s="66"/>
      <c r="C991" s="65"/>
      <c r="D991" s="65"/>
      <c r="E991" s="65"/>
      <c r="F991" s="23"/>
      <c r="G991" s="23"/>
    </row>
    <row r="992" spans="1:7" x14ac:dyDescent="0.15">
      <c r="A992" s="66"/>
      <c r="B992" s="66"/>
      <c r="C992" s="65"/>
      <c r="D992" s="65"/>
      <c r="E992" s="65"/>
      <c r="F992" s="23"/>
      <c r="G992" s="23"/>
    </row>
    <row r="993" spans="1:7" x14ac:dyDescent="0.15">
      <c r="A993" s="66"/>
      <c r="B993" s="66"/>
      <c r="C993" s="65"/>
      <c r="D993" s="65"/>
      <c r="E993" s="65"/>
      <c r="F993" s="23"/>
      <c r="G993" s="23"/>
    </row>
    <row r="994" spans="1:7" x14ac:dyDescent="0.15">
      <c r="A994" s="66"/>
      <c r="B994" s="66"/>
      <c r="C994" s="65"/>
      <c r="D994" s="65"/>
      <c r="E994" s="65"/>
      <c r="F994" s="23"/>
      <c r="G994" s="23"/>
    </row>
    <row r="995" spans="1:7" x14ac:dyDescent="0.15">
      <c r="A995" s="66"/>
      <c r="B995" s="66"/>
      <c r="C995" s="65"/>
      <c r="D995" s="65"/>
      <c r="E995" s="65"/>
      <c r="F995" s="23"/>
      <c r="G995" s="23"/>
    </row>
    <row r="996" spans="1:7" x14ac:dyDescent="0.15">
      <c r="A996" s="66"/>
      <c r="B996" s="66"/>
      <c r="C996" s="65"/>
      <c r="D996" s="65"/>
      <c r="E996" s="65"/>
      <c r="F996" s="23"/>
      <c r="G996" s="23"/>
    </row>
    <row r="997" spans="1:7" x14ac:dyDescent="0.15">
      <c r="A997" s="66"/>
      <c r="B997" s="66"/>
      <c r="C997" s="65"/>
      <c r="D997" s="65"/>
      <c r="E997" s="65"/>
      <c r="F997" s="23"/>
      <c r="G997" s="23"/>
    </row>
    <row r="998" spans="1:7" x14ac:dyDescent="0.15">
      <c r="A998" s="66"/>
      <c r="B998" s="66"/>
      <c r="C998" s="65"/>
      <c r="D998" s="65"/>
      <c r="E998" s="65"/>
      <c r="F998" s="23"/>
      <c r="G998" s="23"/>
    </row>
    <row r="999" spans="1:7" x14ac:dyDescent="0.15">
      <c r="A999" s="66"/>
      <c r="B999" s="66"/>
      <c r="C999" s="65"/>
      <c r="D999" s="65"/>
      <c r="E999" s="65"/>
      <c r="F999" s="23"/>
      <c r="G999" s="23"/>
    </row>
    <row r="1000" spans="1:7" x14ac:dyDescent="0.15">
      <c r="A1000" s="66"/>
      <c r="B1000" s="66"/>
      <c r="C1000" s="65"/>
      <c r="D1000" s="65"/>
      <c r="E1000" s="65"/>
      <c r="F1000" s="23"/>
      <c r="G1000" s="23"/>
    </row>
    <row r="1001" spans="1:7" x14ac:dyDescent="0.15">
      <c r="A1001" s="66"/>
      <c r="B1001" s="66"/>
      <c r="C1001" s="65"/>
      <c r="D1001" s="65"/>
      <c r="E1001" s="65"/>
      <c r="F1001" s="23"/>
      <c r="G1001" s="23"/>
    </row>
    <row r="1002" spans="1:7" x14ac:dyDescent="0.15">
      <c r="A1002" s="66"/>
      <c r="B1002" s="66"/>
      <c r="C1002" s="65"/>
      <c r="D1002" s="65"/>
      <c r="E1002" s="65"/>
      <c r="F1002" s="23"/>
      <c r="G1002" s="23"/>
    </row>
    <row r="1003" spans="1:7" x14ac:dyDescent="0.15">
      <c r="A1003" s="66"/>
      <c r="B1003" s="66"/>
      <c r="C1003" s="65"/>
      <c r="D1003" s="65"/>
      <c r="E1003" s="65"/>
      <c r="F1003" s="23"/>
      <c r="G1003" s="23"/>
    </row>
    <row r="1004" spans="1:7" x14ac:dyDescent="0.15">
      <c r="A1004" s="66"/>
      <c r="B1004" s="66"/>
      <c r="C1004" s="65"/>
      <c r="D1004" s="65"/>
      <c r="E1004" s="65"/>
      <c r="F1004" s="23"/>
      <c r="G1004" s="23"/>
    </row>
    <row r="1005" spans="1:7" x14ac:dyDescent="0.15">
      <c r="A1005" s="66"/>
      <c r="B1005" s="66"/>
      <c r="C1005" s="65"/>
      <c r="D1005" s="65"/>
      <c r="E1005" s="65"/>
      <c r="F1005" s="23"/>
      <c r="G1005" s="23"/>
    </row>
    <row r="1006" spans="1:7" x14ac:dyDescent="0.15">
      <c r="A1006" s="66"/>
      <c r="B1006" s="66"/>
      <c r="C1006" s="65"/>
      <c r="D1006" s="65"/>
      <c r="E1006" s="65"/>
      <c r="F1006" s="23"/>
      <c r="G1006" s="23"/>
    </row>
    <row r="1007" spans="1:7" x14ac:dyDescent="0.15">
      <c r="A1007" s="66"/>
      <c r="B1007" s="66"/>
      <c r="C1007" s="65"/>
      <c r="D1007" s="65"/>
      <c r="E1007" s="65"/>
      <c r="F1007" s="23"/>
      <c r="G1007" s="23"/>
    </row>
    <row r="1008" spans="1:7" x14ac:dyDescent="0.15">
      <c r="A1008" s="66"/>
      <c r="B1008" s="66"/>
      <c r="C1008" s="65"/>
      <c r="D1008" s="65"/>
      <c r="E1008" s="65"/>
      <c r="F1008" s="23"/>
      <c r="G1008" s="23"/>
    </row>
    <row r="1009" spans="1:7" x14ac:dyDescent="0.15">
      <c r="A1009" s="66"/>
      <c r="B1009" s="66"/>
      <c r="C1009" s="65"/>
      <c r="D1009" s="65"/>
      <c r="E1009" s="65"/>
      <c r="F1009" s="23"/>
      <c r="G1009" s="23"/>
    </row>
    <row r="1010" spans="1:7" x14ac:dyDescent="0.15">
      <c r="A1010" s="66"/>
      <c r="B1010" s="66"/>
      <c r="C1010" s="65"/>
      <c r="D1010" s="65"/>
      <c r="E1010" s="65"/>
      <c r="F1010" s="23"/>
      <c r="G1010" s="23"/>
    </row>
    <row r="1011" spans="1:7" x14ac:dyDescent="0.15">
      <c r="A1011" s="66"/>
      <c r="B1011" s="66"/>
      <c r="C1011" s="65"/>
      <c r="D1011" s="65"/>
      <c r="E1011" s="65"/>
      <c r="F1011" s="23"/>
      <c r="G1011" s="23"/>
    </row>
    <row r="1012" spans="1:7" x14ac:dyDescent="0.15">
      <c r="A1012" s="66"/>
      <c r="B1012" s="66"/>
      <c r="C1012" s="65"/>
      <c r="D1012" s="65"/>
      <c r="E1012" s="65"/>
      <c r="F1012" s="23"/>
      <c r="G1012" s="23"/>
    </row>
    <row r="1013" spans="1:7" x14ac:dyDescent="0.15">
      <c r="A1013" s="66"/>
      <c r="B1013" s="66"/>
      <c r="C1013" s="65"/>
      <c r="D1013" s="65"/>
      <c r="E1013" s="65"/>
      <c r="F1013" s="23"/>
      <c r="G1013" s="23"/>
    </row>
    <row r="1014" spans="1:7" x14ac:dyDescent="0.15">
      <c r="A1014" s="66"/>
      <c r="B1014" s="66"/>
      <c r="C1014" s="65"/>
      <c r="D1014" s="65"/>
      <c r="E1014" s="65"/>
      <c r="F1014" s="23"/>
      <c r="G1014" s="23"/>
    </row>
    <row r="1015" spans="1:7" x14ac:dyDescent="0.15">
      <c r="A1015" s="66"/>
      <c r="B1015" s="66"/>
      <c r="C1015" s="65"/>
      <c r="D1015" s="65"/>
      <c r="E1015" s="65"/>
      <c r="F1015" s="23"/>
      <c r="G1015" s="23"/>
    </row>
    <row r="1016" spans="1:7" x14ac:dyDescent="0.15">
      <c r="A1016" s="66"/>
      <c r="B1016" s="66"/>
      <c r="C1016" s="65"/>
      <c r="D1016" s="65"/>
      <c r="E1016" s="65"/>
      <c r="F1016" s="23"/>
      <c r="G1016" s="23"/>
    </row>
    <row r="1017" spans="1:7" x14ac:dyDescent="0.15">
      <c r="A1017" s="66"/>
      <c r="B1017" s="66"/>
      <c r="C1017" s="65"/>
      <c r="D1017" s="65"/>
      <c r="E1017" s="65"/>
      <c r="F1017" s="23"/>
      <c r="G1017" s="23"/>
    </row>
    <row r="1018" spans="1:7" x14ac:dyDescent="0.15">
      <c r="A1018" s="66"/>
      <c r="B1018" s="66"/>
      <c r="C1018" s="65"/>
      <c r="D1018" s="65"/>
      <c r="E1018" s="65"/>
      <c r="F1018" s="23"/>
      <c r="G1018" s="23"/>
    </row>
    <row r="1019" spans="1:7" x14ac:dyDescent="0.15">
      <c r="A1019" s="66"/>
      <c r="B1019" s="66"/>
      <c r="C1019" s="65"/>
      <c r="D1019" s="65"/>
      <c r="E1019" s="65"/>
      <c r="F1019" s="23"/>
      <c r="G1019" s="23"/>
    </row>
    <row r="1020" spans="1:7" x14ac:dyDescent="0.15">
      <c r="A1020" s="66"/>
      <c r="B1020" s="66"/>
      <c r="C1020" s="65"/>
      <c r="D1020" s="65"/>
      <c r="E1020" s="65"/>
      <c r="F1020" s="23"/>
      <c r="G1020" s="23"/>
    </row>
    <row r="1021" spans="1:7" x14ac:dyDescent="0.15">
      <c r="A1021" s="66"/>
      <c r="B1021" s="66"/>
      <c r="C1021" s="65"/>
      <c r="D1021" s="65"/>
      <c r="E1021" s="65"/>
      <c r="F1021" s="23"/>
      <c r="G1021" s="23"/>
    </row>
    <row r="1022" spans="1:7" x14ac:dyDescent="0.15">
      <c r="A1022" s="66"/>
      <c r="B1022" s="66"/>
      <c r="C1022" s="65"/>
      <c r="D1022" s="65"/>
      <c r="E1022" s="65"/>
      <c r="F1022" s="23"/>
      <c r="G1022" s="23"/>
    </row>
    <row r="1023" spans="1:7" x14ac:dyDescent="0.15">
      <c r="A1023" s="66"/>
      <c r="B1023" s="66"/>
      <c r="C1023" s="65"/>
      <c r="D1023" s="65"/>
      <c r="E1023" s="65"/>
      <c r="F1023" s="23"/>
      <c r="G1023" s="23"/>
    </row>
    <row r="1024" spans="1:7" x14ac:dyDescent="0.15">
      <c r="A1024" s="66"/>
      <c r="B1024" s="66"/>
      <c r="C1024" s="65"/>
      <c r="D1024" s="65"/>
      <c r="E1024" s="65"/>
      <c r="F1024" s="23"/>
      <c r="G1024" s="23"/>
    </row>
    <row r="1025" spans="1:7" x14ac:dyDescent="0.15">
      <c r="A1025" s="66"/>
      <c r="B1025" s="66"/>
      <c r="C1025" s="65"/>
      <c r="D1025" s="65"/>
      <c r="E1025" s="65"/>
      <c r="F1025" s="23"/>
      <c r="G1025" s="23"/>
    </row>
    <row r="1026" spans="1:7" x14ac:dyDescent="0.15">
      <c r="A1026" s="66"/>
      <c r="B1026" s="66"/>
      <c r="C1026" s="65"/>
      <c r="D1026" s="65"/>
      <c r="E1026" s="65"/>
      <c r="F1026" s="23"/>
      <c r="G1026" s="23"/>
    </row>
    <row r="1027" spans="1:7" x14ac:dyDescent="0.15">
      <c r="A1027" s="66"/>
      <c r="B1027" s="66"/>
      <c r="C1027" s="65"/>
      <c r="D1027" s="65"/>
      <c r="E1027" s="65"/>
      <c r="F1027" s="23"/>
      <c r="G1027" s="23"/>
    </row>
    <row r="1028" spans="1:7" x14ac:dyDescent="0.15">
      <c r="A1028" s="66"/>
      <c r="B1028" s="66"/>
      <c r="C1028" s="65"/>
      <c r="D1028" s="65"/>
      <c r="E1028" s="65"/>
      <c r="F1028" s="23"/>
      <c r="G1028" s="23"/>
    </row>
    <row r="1029" spans="1:7" x14ac:dyDescent="0.15">
      <c r="A1029" s="66"/>
      <c r="B1029" s="66"/>
      <c r="C1029" s="65"/>
      <c r="D1029" s="65"/>
      <c r="E1029" s="65"/>
      <c r="F1029" s="23"/>
      <c r="G1029" s="23"/>
    </row>
    <row r="1030" spans="1:7" x14ac:dyDescent="0.15">
      <c r="A1030" s="66"/>
      <c r="B1030" s="66"/>
      <c r="C1030" s="65"/>
      <c r="D1030" s="65"/>
      <c r="E1030" s="65"/>
      <c r="F1030" s="23"/>
      <c r="G1030" s="23"/>
    </row>
    <row r="1031" spans="1:7" x14ac:dyDescent="0.15">
      <c r="A1031" s="66"/>
      <c r="B1031" s="66"/>
      <c r="C1031" s="65"/>
      <c r="D1031" s="65"/>
      <c r="E1031" s="65"/>
      <c r="F1031" s="23"/>
      <c r="G1031" s="23"/>
    </row>
    <row r="1032" spans="1:7" x14ac:dyDescent="0.15">
      <c r="A1032" s="66"/>
      <c r="B1032" s="66"/>
      <c r="C1032" s="65"/>
      <c r="D1032" s="65"/>
      <c r="E1032" s="65"/>
      <c r="F1032" s="23"/>
      <c r="G1032" s="23"/>
    </row>
    <row r="1033" spans="1:7" x14ac:dyDescent="0.15">
      <c r="A1033" s="66"/>
      <c r="B1033" s="66"/>
      <c r="C1033" s="65"/>
      <c r="D1033" s="65"/>
      <c r="E1033" s="65"/>
      <c r="F1033" s="23"/>
      <c r="G1033" s="23"/>
    </row>
    <row r="1034" spans="1:7" x14ac:dyDescent="0.15">
      <c r="A1034" s="66"/>
      <c r="B1034" s="66"/>
      <c r="C1034" s="65"/>
      <c r="D1034" s="65"/>
      <c r="E1034" s="65"/>
      <c r="F1034" s="23"/>
      <c r="G1034" s="23"/>
    </row>
    <row r="1035" spans="1:7" x14ac:dyDescent="0.15">
      <c r="A1035" s="66"/>
      <c r="B1035" s="66"/>
      <c r="C1035" s="65"/>
      <c r="D1035" s="65"/>
      <c r="E1035" s="65"/>
      <c r="F1035" s="23"/>
      <c r="G1035" s="23"/>
    </row>
    <row r="1036" spans="1:7" x14ac:dyDescent="0.15">
      <c r="A1036" s="66"/>
      <c r="B1036" s="66"/>
      <c r="C1036" s="65"/>
      <c r="D1036" s="65"/>
      <c r="E1036" s="65"/>
      <c r="F1036" s="23"/>
      <c r="G1036" s="23"/>
    </row>
    <row r="1037" spans="1:7" x14ac:dyDescent="0.15">
      <c r="A1037" s="66"/>
      <c r="B1037" s="66"/>
      <c r="C1037" s="65"/>
      <c r="D1037" s="65"/>
      <c r="E1037" s="65"/>
      <c r="F1037" s="23"/>
      <c r="G1037" s="23"/>
    </row>
    <row r="1038" spans="1:7" x14ac:dyDescent="0.15">
      <c r="A1038" s="66"/>
      <c r="B1038" s="66"/>
      <c r="C1038" s="65"/>
      <c r="D1038" s="65"/>
      <c r="E1038" s="65"/>
      <c r="F1038" s="23"/>
      <c r="G1038" s="23"/>
    </row>
    <row r="1039" spans="1:7" x14ac:dyDescent="0.15">
      <c r="A1039" s="66"/>
      <c r="B1039" s="66"/>
      <c r="C1039" s="65"/>
      <c r="D1039" s="65"/>
      <c r="E1039" s="65"/>
      <c r="F1039" s="23"/>
      <c r="G1039" s="23"/>
    </row>
    <row r="1040" spans="1:7" x14ac:dyDescent="0.15">
      <c r="A1040" s="66"/>
      <c r="B1040" s="66"/>
      <c r="C1040" s="65"/>
      <c r="D1040" s="65"/>
      <c r="E1040" s="65"/>
      <c r="F1040" s="23"/>
      <c r="G1040" s="23"/>
    </row>
    <row r="1041" spans="1:7" x14ac:dyDescent="0.15">
      <c r="A1041" s="66"/>
      <c r="B1041" s="66"/>
      <c r="C1041" s="65"/>
      <c r="D1041" s="65"/>
      <c r="E1041" s="65"/>
      <c r="F1041" s="23"/>
      <c r="G1041" s="23"/>
    </row>
    <row r="1042" spans="1:7" x14ac:dyDescent="0.15">
      <c r="A1042" s="66"/>
      <c r="B1042" s="66"/>
      <c r="C1042" s="65"/>
      <c r="D1042" s="65"/>
      <c r="E1042" s="65"/>
      <c r="F1042" s="23"/>
      <c r="G1042" s="23"/>
    </row>
    <row r="1043" spans="1:7" x14ac:dyDescent="0.15">
      <c r="A1043" s="66"/>
      <c r="B1043" s="66"/>
      <c r="C1043" s="65"/>
      <c r="D1043" s="65"/>
      <c r="E1043" s="65"/>
      <c r="F1043" s="23"/>
      <c r="G1043" s="23"/>
    </row>
    <row r="1044" spans="1:7" x14ac:dyDescent="0.15">
      <c r="A1044" s="66"/>
      <c r="B1044" s="66"/>
      <c r="C1044" s="65"/>
      <c r="D1044" s="65"/>
      <c r="E1044" s="65"/>
      <c r="F1044" s="23"/>
      <c r="G1044" s="23"/>
    </row>
    <row r="1045" spans="1:7" x14ac:dyDescent="0.15">
      <c r="A1045" s="66"/>
      <c r="B1045" s="66"/>
      <c r="C1045" s="65"/>
      <c r="D1045" s="65"/>
      <c r="E1045" s="65"/>
      <c r="F1045" s="23"/>
      <c r="G1045" s="23"/>
    </row>
    <row r="1046" spans="1:7" x14ac:dyDescent="0.15">
      <c r="A1046" s="66"/>
      <c r="B1046" s="66"/>
      <c r="C1046" s="65"/>
      <c r="D1046" s="65"/>
      <c r="E1046" s="65"/>
      <c r="F1046" s="23"/>
      <c r="G1046" s="23"/>
    </row>
    <row r="1047" spans="1:7" x14ac:dyDescent="0.15">
      <c r="A1047" s="66"/>
      <c r="B1047" s="66"/>
      <c r="C1047" s="65"/>
      <c r="D1047" s="65"/>
      <c r="E1047" s="65"/>
      <c r="F1047" s="23"/>
      <c r="G1047" s="23"/>
    </row>
    <row r="1048" spans="1:7" x14ac:dyDescent="0.15">
      <c r="A1048" s="66"/>
      <c r="B1048" s="66"/>
      <c r="C1048" s="65"/>
      <c r="D1048" s="65"/>
      <c r="E1048" s="65"/>
      <c r="F1048" s="23"/>
      <c r="G1048" s="23"/>
    </row>
    <row r="1049" spans="1:7" x14ac:dyDescent="0.15">
      <c r="A1049" s="66"/>
      <c r="B1049" s="66"/>
      <c r="C1049" s="65"/>
      <c r="D1049" s="65"/>
      <c r="E1049" s="65"/>
      <c r="F1049" s="23"/>
      <c r="G1049" s="23"/>
    </row>
    <row r="1050" spans="1:7" x14ac:dyDescent="0.15">
      <c r="A1050" s="66"/>
      <c r="B1050" s="66"/>
      <c r="C1050" s="65"/>
      <c r="D1050" s="65"/>
      <c r="E1050" s="65"/>
      <c r="F1050" s="23"/>
      <c r="G1050" s="23"/>
    </row>
    <row r="1051" spans="1:7" x14ac:dyDescent="0.15">
      <c r="A1051" s="66"/>
      <c r="B1051" s="66"/>
      <c r="C1051" s="65"/>
      <c r="D1051" s="65"/>
      <c r="E1051" s="65"/>
      <c r="F1051" s="23"/>
      <c r="G1051" s="23"/>
    </row>
    <row r="1052" spans="1:7" x14ac:dyDescent="0.15">
      <c r="A1052" s="66"/>
      <c r="B1052" s="66"/>
      <c r="C1052" s="65"/>
      <c r="D1052" s="65"/>
      <c r="E1052" s="65"/>
      <c r="F1052" s="23"/>
      <c r="G1052" s="23"/>
    </row>
    <row r="1053" spans="1:7" x14ac:dyDescent="0.15">
      <c r="A1053" s="66"/>
      <c r="B1053" s="66"/>
      <c r="C1053" s="65"/>
      <c r="D1053" s="65"/>
      <c r="E1053" s="65"/>
      <c r="F1053" s="23"/>
      <c r="G1053" s="23"/>
    </row>
    <row r="1054" spans="1:7" x14ac:dyDescent="0.15">
      <c r="A1054" s="66"/>
      <c r="B1054" s="66"/>
      <c r="C1054" s="65"/>
      <c r="D1054" s="65"/>
      <c r="E1054" s="65"/>
      <c r="F1054" s="23"/>
      <c r="G1054" s="23"/>
    </row>
    <row r="1055" spans="1:7" x14ac:dyDescent="0.15">
      <c r="A1055" s="66"/>
      <c r="B1055" s="66"/>
      <c r="C1055" s="65"/>
      <c r="D1055" s="65"/>
      <c r="E1055" s="65"/>
      <c r="F1055" s="23"/>
      <c r="G1055" s="23"/>
    </row>
    <row r="1056" spans="1:7" x14ac:dyDescent="0.15">
      <c r="A1056" s="66"/>
      <c r="B1056" s="66"/>
      <c r="C1056" s="65"/>
      <c r="D1056" s="65"/>
      <c r="E1056" s="65"/>
      <c r="F1056" s="23"/>
      <c r="G1056" s="23"/>
    </row>
    <row r="1057" spans="1:7" x14ac:dyDescent="0.15">
      <c r="A1057" s="66"/>
      <c r="B1057" s="66"/>
      <c r="C1057" s="65"/>
      <c r="D1057" s="65"/>
      <c r="E1057" s="65"/>
      <c r="F1057" s="23"/>
      <c r="G1057" s="23"/>
    </row>
    <row r="1058" spans="1:7" x14ac:dyDescent="0.15">
      <c r="A1058" s="66"/>
      <c r="B1058" s="66"/>
      <c r="C1058" s="65"/>
      <c r="D1058" s="65"/>
      <c r="E1058" s="65"/>
      <c r="F1058" s="23"/>
      <c r="G1058" s="23"/>
    </row>
    <row r="1059" spans="1:7" x14ac:dyDescent="0.15">
      <c r="A1059" s="66"/>
      <c r="B1059" s="66"/>
      <c r="C1059" s="65"/>
      <c r="D1059" s="65"/>
      <c r="E1059" s="65"/>
      <c r="F1059" s="23"/>
      <c r="G1059" s="23"/>
    </row>
    <row r="1060" spans="1:7" x14ac:dyDescent="0.15">
      <c r="A1060" s="66"/>
      <c r="B1060" s="66"/>
      <c r="C1060" s="65"/>
      <c r="D1060" s="65"/>
      <c r="E1060" s="65"/>
      <c r="F1060" s="23"/>
      <c r="G1060" s="23"/>
    </row>
    <row r="1061" spans="1:7" x14ac:dyDescent="0.15">
      <c r="A1061" s="66"/>
      <c r="B1061" s="66"/>
      <c r="C1061" s="65"/>
      <c r="D1061" s="65"/>
      <c r="E1061" s="65"/>
      <c r="F1061" s="23"/>
      <c r="G1061" s="23"/>
    </row>
    <row r="1062" spans="1:7" x14ac:dyDescent="0.15">
      <c r="A1062" s="66"/>
      <c r="B1062" s="66"/>
      <c r="C1062" s="65"/>
      <c r="D1062" s="65"/>
      <c r="E1062" s="65"/>
      <c r="F1062" s="23"/>
      <c r="G1062" s="23"/>
    </row>
    <row r="1063" spans="1:7" x14ac:dyDescent="0.15">
      <c r="A1063" s="66"/>
      <c r="B1063" s="66"/>
      <c r="C1063" s="65"/>
      <c r="D1063" s="65"/>
      <c r="E1063" s="65"/>
      <c r="F1063" s="23"/>
      <c r="G1063" s="23"/>
    </row>
    <row r="1064" spans="1:7" x14ac:dyDescent="0.15">
      <c r="A1064" s="66"/>
      <c r="B1064" s="66"/>
      <c r="C1064" s="65"/>
      <c r="D1064" s="65"/>
      <c r="E1064" s="65"/>
      <c r="F1064" s="23"/>
      <c r="G1064" s="23"/>
    </row>
    <row r="1065" spans="1:7" x14ac:dyDescent="0.15">
      <c r="A1065" s="66"/>
      <c r="B1065" s="66"/>
      <c r="C1065" s="65"/>
      <c r="D1065" s="65"/>
      <c r="E1065" s="65"/>
      <c r="F1065" s="23"/>
      <c r="G1065" s="23"/>
    </row>
    <row r="1066" spans="1:7" x14ac:dyDescent="0.15">
      <c r="A1066" s="66"/>
      <c r="B1066" s="66"/>
      <c r="C1066" s="65"/>
      <c r="D1066" s="65"/>
      <c r="E1066" s="65"/>
      <c r="F1066" s="23"/>
      <c r="G1066" s="23"/>
    </row>
    <row r="1067" spans="1:7" x14ac:dyDescent="0.15">
      <c r="A1067" s="66"/>
      <c r="B1067" s="66"/>
      <c r="C1067" s="65"/>
      <c r="D1067" s="65"/>
      <c r="E1067" s="65"/>
      <c r="F1067" s="23"/>
      <c r="G1067" s="23"/>
    </row>
    <row r="1068" spans="1:7" x14ac:dyDescent="0.15">
      <c r="A1068" s="66"/>
      <c r="B1068" s="66"/>
      <c r="C1068" s="65"/>
      <c r="D1068" s="65"/>
      <c r="E1068" s="65"/>
      <c r="F1068" s="23"/>
      <c r="G1068" s="23"/>
    </row>
    <row r="1069" spans="1:7" x14ac:dyDescent="0.15">
      <c r="A1069" s="66"/>
      <c r="B1069" s="66"/>
      <c r="C1069" s="65"/>
      <c r="D1069" s="65"/>
      <c r="E1069" s="65"/>
      <c r="F1069" s="23"/>
      <c r="G1069" s="23"/>
    </row>
    <row r="1070" spans="1:7" x14ac:dyDescent="0.15">
      <c r="A1070" s="66"/>
      <c r="B1070" s="66"/>
      <c r="C1070" s="65"/>
      <c r="D1070" s="65"/>
      <c r="E1070" s="65"/>
      <c r="F1070" s="23"/>
      <c r="G1070" s="23"/>
    </row>
    <row r="1071" spans="1:7" x14ac:dyDescent="0.15">
      <c r="A1071" s="66"/>
      <c r="B1071" s="66"/>
      <c r="C1071" s="65"/>
      <c r="D1071" s="65"/>
      <c r="E1071" s="65"/>
      <c r="F1071" s="23"/>
      <c r="G1071" s="23"/>
    </row>
    <row r="1072" spans="1:7" x14ac:dyDescent="0.15">
      <c r="A1072" s="66"/>
      <c r="B1072" s="66"/>
      <c r="C1072" s="65"/>
      <c r="D1072" s="65"/>
      <c r="E1072" s="65"/>
      <c r="F1072" s="23"/>
      <c r="G1072" s="23"/>
    </row>
    <row r="1073" spans="1:7" x14ac:dyDescent="0.15">
      <c r="A1073" s="66"/>
      <c r="B1073" s="66"/>
      <c r="C1073" s="65"/>
      <c r="D1073" s="65"/>
      <c r="E1073" s="65"/>
      <c r="F1073" s="23"/>
      <c r="G1073" s="23"/>
    </row>
    <row r="1074" spans="1:7" x14ac:dyDescent="0.15">
      <c r="A1074" s="66"/>
      <c r="B1074" s="66"/>
      <c r="C1074" s="65"/>
      <c r="D1074" s="65"/>
      <c r="E1074" s="65"/>
      <c r="F1074" s="23"/>
      <c r="G1074" s="23"/>
    </row>
    <row r="1075" spans="1:7" x14ac:dyDescent="0.15">
      <c r="A1075" s="66"/>
      <c r="B1075" s="66"/>
      <c r="C1075" s="65"/>
      <c r="D1075" s="65"/>
      <c r="E1075" s="65"/>
      <c r="F1075" s="23"/>
      <c r="G1075" s="23"/>
    </row>
    <row r="1076" spans="1:7" x14ac:dyDescent="0.15">
      <c r="A1076" s="66"/>
      <c r="B1076" s="66"/>
      <c r="C1076" s="65"/>
      <c r="D1076" s="65"/>
      <c r="E1076" s="65"/>
      <c r="F1076" s="23"/>
      <c r="G1076" s="23"/>
    </row>
    <row r="1077" spans="1:7" x14ac:dyDescent="0.15">
      <c r="A1077" s="66"/>
      <c r="B1077" s="66"/>
      <c r="C1077" s="65"/>
      <c r="D1077" s="65"/>
      <c r="E1077" s="65"/>
      <c r="F1077" s="23"/>
      <c r="G1077" s="23"/>
    </row>
    <row r="1078" spans="1:7" x14ac:dyDescent="0.15">
      <c r="A1078" s="66"/>
      <c r="B1078" s="66"/>
      <c r="C1078" s="65"/>
      <c r="D1078" s="65"/>
      <c r="E1078" s="65"/>
      <c r="F1078" s="23"/>
      <c r="G1078" s="23"/>
    </row>
    <row r="1079" spans="1:7" x14ac:dyDescent="0.15">
      <c r="A1079" s="66"/>
      <c r="B1079" s="66"/>
      <c r="C1079" s="65"/>
      <c r="D1079" s="65"/>
      <c r="E1079" s="65"/>
      <c r="F1079" s="23"/>
      <c r="G1079" s="23"/>
    </row>
    <row r="1080" spans="1:7" x14ac:dyDescent="0.15">
      <c r="A1080" s="66"/>
      <c r="B1080" s="66"/>
      <c r="C1080" s="65"/>
      <c r="D1080" s="65"/>
      <c r="E1080" s="65"/>
      <c r="F1080" s="23"/>
      <c r="G1080" s="23"/>
    </row>
    <row r="1081" spans="1:7" x14ac:dyDescent="0.15">
      <c r="A1081" s="66"/>
      <c r="B1081" s="66"/>
      <c r="C1081" s="65"/>
      <c r="D1081" s="65"/>
      <c r="E1081" s="65"/>
      <c r="F1081" s="23"/>
      <c r="G1081" s="23"/>
    </row>
    <row r="1082" spans="1:7" x14ac:dyDescent="0.15">
      <c r="A1082" s="66"/>
      <c r="B1082" s="66"/>
      <c r="C1082" s="65"/>
      <c r="D1082" s="65"/>
      <c r="E1082" s="65"/>
      <c r="F1082" s="23"/>
      <c r="G1082" s="23"/>
    </row>
    <row r="1083" spans="1:7" x14ac:dyDescent="0.15">
      <c r="A1083" s="66"/>
      <c r="B1083" s="66"/>
      <c r="C1083" s="65"/>
      <c r="D1083" s="65"/>
      <c r="E1083" s="65"/>
      <c r="F1083" s="23"/>
      <c r="G1083" s="23"/>
    </row>
    <row r="1084" spans="1:7" x14ac:dyDescent="0.15">
      <c r="A1084" s="66"/>
      <c r="B1084" s="66"/>
      <c r="C1084" s="65"/>
      <c r="D1084" s="65"/>
      <c r="E1084" s="65"/>
      <c r="F1084" s="23"/>
      <c r="G1084" s="23"/>
    </row>
    <row r="1085" spans="1:7" x14ac:dyDescent="0.15">
      <c r="A1085" s="66"/>
      <c r="B1085" s="66"/>
      <c r="C1085" s="65"/>
      <c r="D1085" s="65"/>
      <c r="E1085" s="65"/>
      <c r="F1085" s="23"/>
      <c r="G1085" s="23"/>
    </row>
    <row r="1086" spans="1:7" x14ac:dyDescent="0.15">
      <c r="A1086" s="66"/>
      <c r="B1086" s="66"/>
      <c r="C1086" s="65"/>
      <c r="D1086" s="65"/>
      <c r="E1086" s="65"/>
      <c r="F1086" s="23"/>
      <c r="G1086" s="23"/>
    </row>
    <row r="1087" spans="1:7" x14ac:dyDescent="0.15">
      <c r="A1087" s="66"/>
      <c r="B1087" s="66"/>
      <c r="C1087" s="65"/>
      <c r="D1087" s="65"/>
      <c r="E1087" s="65"/>
      <c r="F1087" s="23"/>
      <c r="G1087" s="23"/>
    </row>
    <row r="1088" spans="1:7" x14ac:dyDescent="0.15">
      <c r="A1088" s="66"/>
      <c r="B1088" s="66"/>
      <c r="C1088" s="65"/>
      <c r="D1088" s="65"/>
      <c r="E1088" s="65"/>
      <c r="F1088" s="23"/>
      <c r="G1088" s="23"/>
    </row>
    <row r="1089" spans="1:7" x14ac:dyDescent="0.15">
      <c r="A1089" s="66"/>
      <c r="B1089" s="66"/>
      <c r="C1089" s="65"/>
      <c r="D1089" s="65"/>
      <c r="E1089" s="65"/>
      <c r="F1089" s="23"/>
      <c r="G1089" s="23"/>
    </row>
    <row r="1090" spans="1:7" x14ac:dyDescent="0.15">
      <c r="A1090" s="66"/>
      <c r="B1090" s="66"/>
      <c r="C1090" s="65"/>
      <c r="D1090" s="65"/>
      <c r="E1090" s="65"/>
      <c r="F1090" s="23"/>
      <c r="G1090" s="23"/>
    </row>
    <row r="1091" spans="1:7" x14ac:dyDescent="0.15">
      <c r="A1091" s="66"/>
      <c r="B1091" s="66"/>
      <c r="C1091" s="65"/>
      <c r="D1091" s="65"/>
      <c r="E1091" s="65"/>
      <c r="F1091" s="23"/>
      <c r="G1091" s="23"/>
    </row>
    <row r="1092" spans="1:7" x14ac:dyDescent="0.15">
      <c r="A1092" s="66"/>
      <c r="B1092" s="66"/>
      <c r="C1092" s="65"/>
      <c r="D1092" s="65"/>
      <c r="E1092" s="65"/>
      <c r="F1092" s="23"/>
      <c r="G1092" s="23"/>
    </row>
    <row r="1093" spans="1:7" x14ac:dyDescent="0.15">
      <c r="A1093" s="66"/>
      <c r="B1093" s="66"/>
      <c r="C1093" s="65"/>
      <c r="D1093" s="65"/>
      <c r="E1093" s="65"/>
      <c r="F1093" s="23"/>
      <c r="G1093" s="23"/>
    </row>
    <row r="1094" spans="1:7" x14ac:dyDescent="0.15">
      <c r="A1094" s="66"/>
      <c r="B1094" s="66"/>
      <c r="C1094" s="65"/>
      <c r="D1094" s="65"/>
      <c r="E1094" s="65"/>
      <c r="F1094" s="23"/>
      <c r="G1094" s="23"/>
    </row>
    <row r="1095" spans="1:7" x14ac:dyDescent="0.15">
      <c r="A1095" s="66"/>
      <c r="B1095" s="66"/>
      <c r="C1095" s="65"/>
      <c r="D1095" s="65"/>
      <c r="E1095" s="65"/>
      <c r="F1095" s="23"/>
      <c r="G1095" s="23"/>
    </row>
    <row r="1096" spans="1:7" x14ac:dyDescent="0.15">
      <c r="A1096" s="66"/>
      <c r="B1096" s="66"/>
      <c r="C1096" s="65"/>
      <c r="D1096" s="65"/>
      <c r="E1096" s="65"/>
      <c r="F1096" s="23"/>
      <c r="G1096" s="23"/>
    </row>
    <row r="1097" spans="1:7" x14ac:dyDescent="0.15">
      <c r="A1097" s="66"/>
      <c r="B1097" s="66"/>
      <c r="C1097" s="65"/>
      <c r="D1097" s="65"/>
      <c r="E1097" s="65"/>
      <c r="F1097" s="23"/>
      <c r="G1097" s="23"/>
    </row>
    <row r="1098" spans="1:7" x14ac:dyDescent="0.15">
      <c r="A1098" s="66"/>
      <c r="B1098" s="66"/>
      <c r="C1098" s="65"/>
      <c r="D1098" s="65"/>
      <c r="E1098" s="65"/>
      <c r="F1098" s="23"/>
      <c r="G1098" s="23"/>
    </row>
    <row r="1099" spans="1:7" x14ac:dyDescent="0.15">
      <c r="A1099" s="66"/>
      <c r="B1099" s="66"/>
      <c r="C1099" s="65"/>
      <c r="D1099" s="65"/>
      <c r="E1099" s="65"/>
      <c r="F1099" s="23"/>
      <c r="G1099" s="23"/>
    </row>
    <row r="1100" spans="1:7" x14ac:dyDescent="0.15">
      <c r="A1100" s="66"/>
      <c r="B1100" s="66"/>
      <c r="C1100" s="65"/>
      <c r="D1100" s="65"/>
      <c r="E1100" s="65"/>
      <c r="F1100" s="23"/>
      <c r="G1100" s="23"/>
    </row>
    <row r="1101" spans="1:7" x14ac:dyDescent="0.15">
      <c r="A1101" s="66"/>
      <c r="B1101" s="66"/>
      <c r="C1101" s="65"/>
      <c r="D1101" s="65"/>
      <c r="E1101" s="65"/>
      <c r="F1101" s="23"/>
      <c r="G1101" s="23"/>
    </row>
    <row r="1102" spans="1:7" x14ac:dyDescent="0.15">
      <c r="A1102" s="66"/>
      <c r="B1102" s="66"/>
      <c r="C1102" s="65"/>
      <c r="D1102" s="65"/>
      <c r="E1102" s="65"/>
      <c r="F1102" s="23"/>
      <c r="G1102" s="23"/>
    </row>
    <row r="1103" spans="1:7" x14ac:dyDescent="0.15">
      <c r="A1103" s="66"/>
      <c r="B1103" s="66"/>
      <c r="C1103" s="65"/>
      <c r="D1103" s="65"/>
      <c r="E1103" s="65"/>
      <c r="F1103" s="23"/>
      <c r="G1103" s="23"/>
    </row>
    <row r="1104" spans="1:7" x14ac:dyDescent="0.15">
      <c r="A1104" s="66"/>
      <c r="B1104" s="66"/>
      <c r="C1104" s="65"/>
      <c r="D1104" s="65"/>
      <c r="E1104" s="65"/>
      <c r="F1104" s="23"/>
      <c r="G1104" s="23"/>
    </row>
    <row r="1105" spans="1:7" x14ac:dyDescent="0.15">
      <c r="A1105" s="66"/>
      <c r="B1105" s="66"/>
      <c r="C1105" s="65"/>
      <c r="D1105" s="65"/>
      <c r="E1105" s="65"/>
      <c r="F1105" s="23"/>
      <c r="G1105" s="23"/>
    </row>
    <row r="1106" spans="1:7" x14ac:dyDescent="0.15">
      <c r="A1106" s="66"/>
      <c r="B1106" s="66"/>
      <c r="C1106" s="65"/>
      <c r="D1106" s="65"/>
      <c r="E1106" s="65"/>
      <c r="F1106" s="23"/>
      <c r="G1106" s="23"/>
    </row>
    <row r="1107" spans="1:7" x14ac:dyDescent="0.15">
      <c r="A1107" s="66"/>
      <c r="B1107" s="66"/>
      <c r="C1107" s="65"/>
      <c r="D1107" s="65"/>
      <c r="E1107" s="65"/>
      <c r="F1107" s="23"/>
      <c r="G1107" s="23"/>
    </row>
    <row r="1108" spans="1:7" x14ac:dyDescent="0.15">
      <c r="A1108" s="66"/>
      <c r="B1108" s="66"/>
      <c r="C1108" s="65"/>
      <c r="D1108" s="65"/>
      <c r="E1108" s="65"/>
      <c r="F1108" s="23"/>
      <c r="G1108" s="23"/>
    </row>
    <row r="1109" spans="1:7" x14ac:dyDescent="0.15">
      <c r="A1109" s="66"/>
      <c r="B1109" s="66"/>
      <c r="C1109" s="65"/>
      <c r="D1109" s="65"/>
      <c r="E1109" s="65"/>
      <c r="F1109" s="23"/>
      <c r="G1109" s="23"/>
    </row>
    <row r="1110" spans="1:7" x14ac:dyDescent="0.15">
      <c r="A1110" s="66"/>
      <c r="B1110" s="66"/>
      <c r="C1110" s="65"/>
      <c r="D1110" s="65"/>
      <c r="E1110" s="65"/>
      <c r="F1110" s="23"/>
      <c r="G1110" s="23"/>
    </row>
    <row r="1111" spans="1:7" x14ac:dyDescent="0.15">
      <c r="A1111" s="66"/>
      <c r="B1111" s="66"/>
      <c r="C1111" s="65"/>
      <c r="D1111" s="65"/>
      <c r="E1111" s="65"/>
      <c r="F1111" s="23"/>
      <c r="G1111" s="23"/>
    </row>
    <row r="1112" spans="1:7" x14ac:dyDescent="0.15">
      <c r="A1112" s="66"/>
      <c r="B1112" s="66"/>
      <c r="C1112" s="65"/>
      <c r="D1112" s="65"/>
      <c r="E1112" s="65"/>
      <c r="F1112" s="23"/>
      <c r="G1112" s="23"/>
    </row>
    <row r="1113" spans="1:7" x14ac:dyDescent="0.15">
      <c r="A1113" s="66"/>
      <c r="B1113" s="66"/>
      <c r="C1113" s="65"/>
      <c r="D1113" s="65"/>
      <c r="E1113" s="65"/>
      <c r="F1113" s="23"/>
      <c r="G1113" s="23"/>
    </row>
    <row r="1114" spans="1:7" x14ac:dyDescent="0.15">
      <c r="A1114" s="66"/>
      <c r="B1114" s="66"/>
      <c r="C1114" s="65"/>
      <c r="D1114" s="65"/>
      <c r="E1114" s="65"/>
      <c r="F1114" s="23"/>
      <c r="G1114" s="23"/>
    </row>
    <row r="1115" spans="1:7" x14ac:dyDescent="0.15">
      <c r="A1115" s="66"/>
      <c r="B1115" s="66"/>
      <c r="C1115" s="65"/>
      <c r="D1115" s="65"/>
      <c r="E1115" s="65"/>
      <c r="F1115" s="23"/>
      <c r="G1115" s="23"/>
    </row>
    <row r="1116" spans="1:7" x14ac:dyDescent="0.15">
      <c r="A1116" s="66"/>
      <c r="B1116" s="66"/>
      <c r="C1116" s="65"/>
      <c r="D1116" s="65"/>
      <c r="E1116" s="65"/>
      <c r="F1116" s="23"/>
      <c r="G1116" s="23"/>
    </row>
    <row r="1117" spans="1:7" x14ac:dyDescent="0.15">
      <c r="A1117" s="66"/>
      <c r="B1117" s="66"/>
      <c r="C1117" s="65"/>
      <c r="D1117" s="65"/>
      <c r="E1117" s="65"/>
      <c r="F1117" s="23"/>
      <c r="G1117" s="23"/>
    </row>
    <row r="1118" spans="1:7" x14ac:dyDescent="0.15">
      <c r="A1118" s="66"/>
      <c r="B1118" s="66"/>
      <c r="C1118" s="65"/>
      <c r="D1118" s="65"/>
      <c r="E1118" s="65"/>
      <c r="F1118" s="23"/>
      <c r="G1118" s="23"/>
    </row>
    <row r="1119" spans="1:7" x14ac:dyDescent="0.15">
      <c r="A1119" s="66"/>
      <c r="B1119" s="66"/>
      <c r="C1119" s="65"/>
      <c r="D1119" s="65"/>
      <c r="E1119" s="65"/>
      <c r="F1119" s="23"/>
      <c r="G1119" s="23"/>
    </row>
    <row r="1120" spans="1:7" x14ac:dyDescent="0.15">
      <c r="A1120" s="66"/>
      <c r="B1120" s="66"/>
      <c r="C1120" s="65"/>
      <c r="D1120" s="65"/>
      <c r="E1120" s="65"/>
      <c r="F1120" s="23"/>
      <c r="G1120" s="23"/>
    </row>
    <row r="1121" spans="1:7" x14ac:dyDescent="0.15">
      <c r="A1121" s="66"/>
      <c r="B1121" s="66"/>
      <c r="C1121" s="65"/>
      <c r="D1121" s="65"/>
      <c r="E1121" s="65"/>
      <c r="F1121" s="23"/>
      <c r="G1121" s="23"/>
    </row>
    <row r="1122" spans="1:7" x14ac:dyDescent="0.15">
      <c r="A1122" s="66"/>
      <c r="B1122" s="66"/>
      <c r="C1122" s="65"/>
      <c r="D1122" s="65"/>
      <c r="E1122" s="65"/>
      <c r="F1122" s="23"/>
      <c r="G1122" s="23"/>
    </row>
    <row r="1123" spans="1:7" x14ac:dyDescent="0.15">
      <c r="A1123" s="66"/>
      <c r="B1123" s="66"/>
      <c r="C1123" s="65"/>
      <c r="D1123" s="65"/>
      <c r="E1123" s="65"/>
      <c r="F1123" s="23"/>
      <c r="G1123" s="23"/>
    </row>
    <row r="1124" spans="1:7" x14ac:dyDescent="0.15">
      <c r="A1124" s="66"/>
      <c r="B1124" s="66"/>
      <c r="C1124" s="65"/>
      <c r="D1124" s="65"/>
      <c r="E1124" s="65"/>
      <c r="F1124" s="23"/>
      <c r="G1124" s="23"/>
    </row>
    <row r="1125" spans="1:7" x14ac:dyDescent="0.15">
      <c r="A1125" s="66"/>
      <c r="B1125" s="66"/>
      <c r="C1125" s="65"/>
      <c r="D1125" s="65"/>
      <c r="E1125" s="65"/>
      <c r="F1125" s="23"/>
      <c r="G1125" s="23"/>
    </row>
    <row r="1126" spans="1:7" x14ac:dyDescent="0.15">
      <c r="A1126" s="66"/>
      <c r="B1126" s="66"/>
      <c r="C1126" s="65"/>
      <c r="D1126" s="65"/>
      <c r="E1126" s="65"/>
      <c r="F1126" s="23"/>
      <c r="G1126" s="23"/>
    </row>
    <row r="1127" spans="1:7" x14ac:dyDescent="0.15">
      <c r="A1127" s="66"/>
      <c r="B1127" s="66"/>
      <c r="C1127" s="65"/>
      <c r="D1127" s="65"/>
      <c r="E1127" s="65"/>
      <c r="F1127" s="23"/>
      <c r="G1127" s="23"/>
    </row>
    <row r="1128" spans="1:7" x14ac:dyDescent="0.15">
      <c r="A1128" s="66"/>
      <c r="B1128" s="66"/>
      <c r="C1128" s="65"/>
      <c r="D1128" s="65"/>
      <c r="E1128" s="65"/>
      <c r="F1128" s="23"/>
      <c r="G1128" s="23"/>
    </row>
    <row r="1129" spans="1:7" x14ac:dyDescent="0.15">
      <c r="A1129" s="66"/>
      <c r="B1129" s="66"/>
      <c r="C1129" s="65"/>
      <c r="D1129" s="65"/>
      <c r="E1129" s="65"/>
      <c r="F1129" s="23"/>
      <c r="G1129" s="23"/>
    </row>
    <row r="1130" spans="1:7" x14ac:dyDescent="0.15">
      <c r="A1130" s="66"/>
      <c r="B1130" s="66"/>
      <c r="C1130" s="65"/>
      <c r="D1130" s="65"/>
      <c r="E1130" s="65"/>
      <c r="F1130" s="23"/>
      <c r="G1130" s="23"/>
    </row>
    <row r="1131" spans="1:7" x14ac:dyDescent="0.15">
      <c r="A1131" s="66"/>
      <c r="B1131" s="66"/>
      <c r="C1131" s="65"/>
      <c r="D1131" s="65"/>
      <c r="E1131" s="65"/>
      <c r="F1131" s="23"/>
      <c r="G1131" s="23"/>
    </row>
    <row r="1132" spans="1:7" x14ac:dyDescent="0.15">
      <c r="A1132" s="66"/>
      <c r="B1132" s="66"/>
      <c r="C1132" s="65"/>
      <c r="D1132" s="65"/>
      <c r="E1132" s="65"/>
      <c r="F1132" s="23"/>
      <c r="G1132" s="23"/>
    </row>
    <row r="1133" spans="1:7" x14ac:dyDescent="0.15">
      <c r="A1133" s="66"/>
      <c r="B1133" s="66"/>
      <c r="C1133" s="65"/>
      <c r="D1133" s="65"/>
      <c r="E1133" s="65"/>
      <c r="F1133" s="23"/>
      <c r="G1133" s="23"/>
    </row>
    <row r="1134" spans="1:7" x14ac:dyDescent="0.15">
      <c r="A1134" s="66"/>
      <c r="B1134" s="66"/>
      <c r="C1134" s="65"/>
      <c r="D1134" s="65"/>
      <c r="E1134" s="65"/>
      <c r="F1134" s="23"/>
      <c r="G1134" s="23"/>
    </row>
    <row r="1135" spans="1:7" x14ac:dyDescent="0.15">
      <c r="A1135" s="66"/>
      <c r="B1135" s="66"/>
      <c r="C1135" s="65"/>
      <c r="D1135" s="65"/>
      <c r="E1135" s="65"/>
      <c r="F1135" s="23"/>
      <c r="G1135" s="23"/>
    </row>
    <row r="1136" spans="1:7" x14ac:dyDescent="0.15">
      <c r="A1136" s="66"/>
      <c r="B1136" s="66"/>
      <c r="C1136" s="65"/>
      <c r="D1136" s="65"/>
      <c r="E1136" s="65"/>
      <c r="F1136" s="23"/>
      <c r="G1136" s="23"/>
    </row>
    <row r="1137" spans="1:7" x14ac:dyDescent="0.15">
      <c r="A1137" s="66"/>
      <c r="B1137" s="66"/>
      <c r="C1137" s="65"/>
      <c r="D1137" s="65"/>
      <c r="E1137" s="65"/>
      <c r="F1137" s="23"/>
      <c r="G1137" s="23"/>
    </row>
    <row r="1138" spans="1:7" x14ac:dyDescent="0.15">
      <c r="A1138" s="66"/>
      <c r="B1138" s="66"/>
      <c r="C1138" s="65"/>
      <c r="D1138" s="65"/>
      <c r="E1138" s="65"/>
      <c r="F1138" s="23"/>
      <c r="G1138" s="23"/>
    </row>
    <row r="1139" spans="1:7" x14ac:dyDescent="0.15">
      <c r="A1139" s="66"/>
      <c r="B1139" s="66"/>
      <c r="C1139" s="65"/>
      <c r="D1139" s="65"/>
      <c r="E1139" s="65"/>
      <c r="F1139" s="23"/>
      <c r="G1139" s="23"/>
    </row>
    <row r="1140" spans="1:7" x14ac:dyDescent="0.15">
      <c r="A1140" s="66"/>
      <c r="B1140" s="66"/>
      <c r="C1140" s="65"/>
      <c r="D1140" s="65"/>
      <c r="E1140" s="65"/>
      <c r="F1140" s="23"/>
      <c r="G1140" s="23"/>
    </row>
    <row r="1141" spans="1:7" x14ac:dyDescent="0.15">
      <c r="A1141" s="66"/>
      <c r="B1141" s="66"/>
      <c r="C1141" s="65"/>
      <c r="D1141" s="65"/>
      <c r="E1141" s="65"/>
      <c r="F1141" s="23"/>
      <c r="G1141" s="23"/>
    </row>
    <row r="1142" spans="1:7" x14ac:dyDescent="0.15">
      <c r="A1142" s="66"/>
      <c r="B1142" s="66"/>
      <c r="C1142" s="65"/>
      <c r="D1142" s="65"/>
      <c r="E1142" s="65"/>
      <c r="F1142" s="23"/>
      <c r="G1142" s="23"/>
    </row>
    <row r="1143" spans="1:7" x14ac:dyDescent="0.15">
      <c r="A1143" s="66"/>
      <c r="B1143" s="66"/>
      <c r="C1143" s="65"/>
      <c r="D1143" s="65"/>
      <c r="E1143" s="65"/>
      <c r="F1143" s="23"/>
      <c r="G1143" s="23"/>
    </row>
    <row r="1144" spans="1:7" x14ac:dyDescent="0.15">
      <c r="A1144" s="66"/>
      <c r="B1144" s="66"/>
      <c r="C1144" s="65"/>
      <c r="D1144" s="65"/>
      <c r="E1144" s="65"/>
      <c r="F1144" s="23"/>
      <c r="G1144" s="23"/>
    </row>
    <row r="1145" spans="1:7" x14ac:dyDescent="0.15">
      <c r="A1145" s="66"/>
      <c r="B1145" s="66"/>
      <c r="C1145" s="65"/>
      <c r="D1145" s="65"/>
      <c r="E1145" s="65"/>
      <c r="F1145" s="23"/>
      <c r="G1145" s="23"/>
    </row>
    <row r="1146" spans="1:7" x14ac:dyDescent="0.15">
      <c r="A1146" s="66"/>
      <c r="B1146" s="66"/>
      <c r="C1146" s="65"/>
      <c r="D1146" s="65"/>
      <c r="E1146" s="65"/>
      <c r="F1146" s="23"/>
      <c r="G1146" s="23"/>
    </row>
    <row r="1147" spans="1:7" x14ac:dyDescent="0.15">
      <c r="A1147" s="66"/>
      <c r="B1147" s="66"/>
      <c r="C1147" s="65"/>
      <c r="D1147" s="65"/>
      <c r="E1147" s="65"/>
      <c r="F1147" s="23"/>
      <c r="G1147" s="23"/>
    </row>
    <row r="1148" spans="1:7" x14ac:dyDescent="0.15">
      <c r="A1148" s="66"/>
      <c r="B1148" s="66"/>
      <c r="C1148" s="65"/>
      <c r="D1148" s="65"/>
      <c r="E1148" s="65"/>
      <c r="F1148" s="23"/>
      <c r="G1148" s="23"/>
    </row>
    <row r="1149" spans="1:7" x14ac:dyDescent="0.15">
      <c r="A1149" s="66"/>
      <c r="B1149" s="66"/>
      <c r="C1149" s="65"/>
      <c r="D1149" s="65"/>
      <c r="E1149" s="65"/>
      <c r="F1149" s="23"/>
      <c r="G1149" s="23"/>
    </row>
    <row r="1150" spans="1:7" x14ac:dyDescent="0.15">
      <c r="A1150" s="66"/>
      <c r="B1150" s="66"/>
      <c r="C1150" s="65"/>
      <c r="D1150" s="65"/>
      <c r="E1150" s="65"/>
      <c r="F1150" s="23"/>
      <c r="G1150" s="23"/>
    </row>
    <row r="1151" spans="1:7" x14ac:dyDescent="0.15">
      <c r="A1151" s="66"/>
      <c r="B1151" s="66"/>
      <c r="C1151" s="65"/>
      <c r="D1151" s="65"/>
      <c r="E1151" s="65"/>
      <c r="F1151" s="23"/>
      <c r="G1151" s="23"/>
    </row>
    <row r="1152" spans="1:7" x14ac:dyDescent="0.15">
      <c r="A1152" s="66"/>
      <c r="B1152" s="66"/>
      <c r="C1152" s="65"/>
      <c r="D1152" s="65"/>
      <c r="E1152" s="65"/>
      <c r="F1152" s="23"/>
      <c r="G1152" s="23"/>
    </row>
    <row r="1153" spans="1:7" x14ac:dyDescent="0.15">
      <c r="A1153" s="66"/>
      <c r="B1153" s="66"/>
      <c r="C1153" s="65"/>
      <c r="D1153" s="65"/>
      <c r="E1153" s="65"/>
      <c r="F1153" s="23"/>
      <c r="G1153" s="23"/>
    </row>
    <row r="1154" spans="1:7" x14ac:dyDescent="0.15">
      <c r="A1154" s="66"/>
      <c r="B1154" s="66"/>
      <c r="C1154" s="65"/>
      <c r="D1154" s="65"/>
      <c r="E1154" s="65"/>
      <c r="F1154" s="23"/>
      <c r="G1154" s="23"/>
    </row>
    <row r="1155" spans="1:7" x14ac:dyDescent="0.15">
      <c r="A1155" s="66"/>
      <c r="B1155" s="66"/>
      <c r="C1155" s="65"/>
      <c r="D1155" s="65"/>
      <c r="E1155" s="65"/>
      <c r="F1155" s="23"/>
      <c r="G1155" s="23"/>
    </row>
    <row r="1156" spans="1:7" x14ac:dyDescent="0.15">
      <c r="A1156" s="66"/>
      <c r="B1156" s="66"/>
      <c r="C1156" s="65"/>
      <c r="D1156" s="65"/>
      <c r="E1156" s="65"/>
      <c r="F1156" s="23"/>
      <c r="G1156" s="23"/>
    </row>
    <row r="1157" spans="1:7" x14ac:dyDescent="0.15">
      <c r="A1157" s="66"/>
      <c r="B1157" s="66"/>
      <c r="C1157" s="65"/>
      <c r="D1157" s="65"/>
      <c r="E1157" s="65"/>
      <c r="F1157" s="23"/>
      <c r="G1157" s="23"/>
    </row>
    <row r="1158" spans="1:7" x14ac:dyDescent="0.15">
      <c r="A1158" s="66"/>
      <c r="B1158" s="66"/>
      <c r="C1158" s="65"/>
      <c r="D1158" s="65"/>
      <c r="E1158" s="65"/>
      <c r="F1158" s="23"/>
      <c r="G1158" s="23"/>
    </row>
    <row r="1159" spans="1:7" x14ac:dyDescent="0.15">
      <c r="A1159" s="66"/>
      <c r="B1159" s="66"/>
      <c r="C1159" s="65"/>
      <c r="D1159" s="65"/>
      <c r="E1159" s="65"/>
      <c r="F1159" s="23"/>
      <c r="G1159" s="23"/>
    </row>
    <row r="1160" spans="1:7" x14ac:dyDescent="0.15">
      <c r="A1160" s="66"/>
      <c r="B1160" s="66"/>
      <c r="C1160" s="65"/>
      <c r="D1160" s="65"/>
      <c r="E1160" s="65"/>
      <c r="F1160" s="23"/>
      <c r="G1160" s="23"/>
    </row>
    <row r="1161" spans="1:7" x14ac:dyDescent="0.15">
      <c r="A1161" s="66"/>
      <c r="B1161" s="66"/>
      <c r="C1161" s="65"/>
      <c r="D1161" s="65"/>
      <c r="E1161" s="65"/>
      <c r="F1161" s="23"/>
      <c r="G1161" s="23"/>
    </row>
    <row r="1162" spans="1:7" x14ac:dyDescent="0.15">
      <c r="A1162" s="66"/>
      <c r="B1162" s="66"/>
      <c r="C1162" s="65"/>
      <c r="D1162" s="65"/>
      <c r="E1162" s="65"/>
      <c r="F1162" s="23"/>
      <c r="G1162" s="23"/>
    </row>
    <row r="1163" spans="1:7" x14ac:dyDescent="0.15">
      <c r="A1163" s="66"/>
      <c r="B1163" s="66"/>
      <c r="C1163" s="65"/>
      <c r="D1163" s="65"/>
      <c r="E1163" s="65"/>
      <c r="F1163" s="23"/>
      <c r="G1163" s="23"/>
    </row>
    <row r="1164" spans="1:7" x14ac:dyDescent="0.15">
      <c r="A1164" s="66"/>
      <c r="B1164" s="66"/>
      <c r="C1164" s="65"/>
      <c r="D1164" s="65"/>
      <c r="E1164" s="65"/>
      <c r="F1164" s="23"/>
      <c r="G1164" s="23"/>
    </row>
    <row r="1165" spans="1:7" x14ac:dyDescent="0.15">
      <c r="A1165" s="66"/>
      <c r="B1165" s="66"/>
      <c r="C1165" s="65"/>
      <c r="D1165" s="65"/>
      <c r="E1165" s="65"/>
      <c r="F1165" s="23"/>
      <c r="G1165" s="23"/>
    </row>
    <row r="1166" spans="1:7" x14ac:dyDescent="0.15">
      <c r="A1166" s="66"/>
      <c r="B1166" s="66"/>
      <c r="C1166" s="65"/>
      <c r="D1166" s="65"/>
      <c r="E1166" s="65"/>
      <c r="F1166" s="23"/>
      <c r="G1166" s="23"/>
    </row>
    <row r="1167" spans="1:7" x14ac:dyDescent="0.15">
      <c r="A1167" s="66"/>
      <c r="B1167" s="66"/>
      <c r="C1167" s="65"/>
      <c r="D1167" s="65"/>
      <c r="E1167" s="65"/>
      <c r="F1167" s="23"/>
      <c r="G1167" s="23"/>
    </row>
    <row r="1168" spans="1:7" x14ac:dyDescent="0.15">
      <c r="A1168" s="66"/>
      <c r="B1168" s="66"/>
      <c r="C1168" s="65"/>
      <c r="D1168" s="65"/>
      <c r="E1168" s="65"/>
      <c r="F1168" s="23"/>
      <c r="G1168" s="23"/>
    </row>
    <row r="1169" spans="1:7" x14ac:dyDescent="0.15">
      <c r="A1169" s="66"/>
      <c r="B1169" s="66"/>
      <c r="C1169" s="65"/>
      <c r="D1169" s="65"/>
      <c r="E1169" s="65"/>
      <c r="F1169" s="23"/>
      <c r="G1169" s="23"/>
    </row>
    <row r="1170" spans="1:7" x14ac:dyDescent="0.15">
      <c r="A1170" s="66"/>
      <c r="B1170" s="66"/>
      <c r="C1170" s="65"/>
      <c r="D1170" s="65"/>
      <c r="E1170" s="65"/>
      <c r="F1170" s="23"/>
      <c r="G1170" s="23"/>
    </row>
    <row r="1171" spans="1:7" x14ac:dyDescent="0.15">
      <c r="A1171" s="66"/>
      <c r="B1171" s="66"/>
      <c r="C1171" s="65"/>
      <c r="D1171" s="65"/>
      <c r="E1171" s="65"/>
      <c r="F1171" s="23"/>
      <c r="G1171" s="23"/>
    </row>
    <row r="1172" spans="1:7" x14ac:dyDescent="0.15">
      <c r="A1172" s="66"/>
      <c r="B1172" s="66"/>
      <c r="C1172" s="65"/>
      <c r="D1172" s="65"/>
      <c r="E1172" s="65"/>
      <c r="F1172" s="23"/>
      <c r="G1172" s="23"/>
    </row>
    <row r="1173" spans="1:7" x14ac:dyDescent="0.15">
      <c r="A1173" s="66"/>
      <c r="B1173" s="66"/>
      <c r="C1173" s="65"/>
      <c r="D1173" s="65"/>
      <c r="E1173" s="65"/>
      <c r="F1173" s="23"/>
      <c r="G1173" s="23"/>
    </row>
    <row r="1174" spans="1:7" x14ac:dyDescent="0.15">
      <c r="A1174" s="66"/>
      <c r="B1174" s="66"/>
      <c r="C1174" s="65"/>
      <c r="D1174" s="65"/>
      <c r="E1174" s="65"/>
      <c r="F1174" s="23"/>
      <c r="G1174" s="23"/>
    </row>
    <row r="1175" spans="1:7" x14ac:dyDescent="0.15">
      <c r="A1175" s="66"/>
      <c r="B1175" s="66"/>
      <c r="C1175" s="65"/>
      <c r="D1175" s="65"/>
      <c r="E1175" s="65"/>
      <c r="F1175" s="23"/>
      <c r="G1175" s="23"/>
    </row>
    <row r="1176" spans="1:7" x14ac:dyDescent="0.15">
      <c r="A1176" s="66"/>
      <c r="B1176" s="66"/>
      <c r="C1176" s="65"/>
      <c r="D1176" s="65"/>
      <c r="E1176" s="65"/>
      <c r="F1176" s="23"/>
      <c r="G1176" s="23"/>
    </row>
    <row r="1177" spans="1:7" x14ac:dyDescent="0.15">
      <c r="A1177" s="66"/>
      <c r="B1177" s="66"/>
      <c r="C1177" s="65"/>
      <c r="D1177" s="65"/>
      <c r="E1177" s="65"/>
      <c r="F1177" s="23"/>
      <c r="G1177" s="23"/>
    </row>
    <row r="1178" spans="1:7" x14ac:dyDescent="0.15">
      <c r="A1178" s="66"/>
      <c r="B1178" s="66"/>
      <c r="C1178" s="65"/>
      <c r="D1178" s="65"/>
      <c r="E1178" s="65"/>
      <c r="F1178" s="23"/>
      <c r="G1178" s="23"/>
    </row>
    <row r="1179" spans="1:7" x14ac:dyDescent="0.15">
      <c r="A1179" s="66"/>
      <c r="B1179" s="66"/>
      <c r="C1179" s="65"/>
      <c r="D1179" s="65"/>
      <c r="E1179" s="65"/>
      <c r="F1179" s="23"/>
      <c r="G1179" s="23"/>
    </row>
    <row r="1180" spans="1:7" x14ac:dyDescent="0.15">
      <c r="A1180" s="66"/>
      <c r="B1180" s="66"/>
      <c r="C1180" s="65"/>
      <c r="D1180" s="65"/>
      <c r="E1180" s="65"/>
      <c r="F1180" s="23"/>
      <c r="G1180" s="23"/>
    </row>
    <row r="1181" spans="1:7" x14ac:dyDescent="0.15">
      <c r="A1181" s="66"/>
      <c r="B1181" s="66"/>
      <c r="C1181" s="65"/>
      <c r="D1181" s="65"/>
      <c r="E1181" s="65"/>
      <c r="F1181" s="23"/>
      <c r="G1181" s="23"/>
    </row>
    <row r="1182" spans="1:7" x14ac:dyDescent="0.15">
      <c r="A1182" s="66"/>
      <c r="B1182" s="66"/>
      <c r="C1182" s="65"/>
      <c r="D1182" s="65"/>
      <c r="E1182" s="65"/>
      <c r="F1182" s="23"/>
      <c r="G1182" s="23"/>
    </row>
    <row r="1183" spans="1:7" x14ac:dyDescent="0.15">
      <c r="A1183" s="66"/>
      <c r="B1183" s="66"/>
      <c r="C1183" s="65"/>
      <c r="D1183" s="65"/>
      <c r="E1183" s="65"/>
      <c r="F1183" s="23"/>
      <c r="G1183" s="23"/>
    </row>
    <row r="1184" spans="1:7" x14ac:dyDescent="0.15">
      <c r="A1184" s="66"/>
      <c r="B1184" s="66"/>
      <c r="C1184" s="65"/>
      <c r="D1184" s="65"/>
      <c r="E1184" s="65"/>
      <c r="F1184" s="23"/>
      <c r="G1184" s="23"/>
    </row>
    <row r="1185" spans="1:7" x14ac:dyDescent="0.15">
      <c r="A1185" s="66"/>
      <c r="B1185" s="66"/>
      <c r="C1185" s="65"/>
      <c r="D1185" s="65"/>
      <c r="E1185" s="65"/>
      <c r="F1185" s="23"/>
      <c r="G1185" s="23"/>
    </row>
    <row r="1186" spans="1:7" x14ac:dyDescent="0.15">
      <c r="A1186" s="66"/>
      <c r="B1186" s="66"/>
      <c r="C1186" s="65"/>
      <c r="D1186" s="65"/>
      <c r="E1186" s="65"/>
      <c r="F1186" s="23"/>
      <c r="G1186" s="23"/>
    </row>
    <row r="1187" spans="1:7" x14ac:dyDescent="0.15">
      <c r="A1187" s="66"/>
      <c r="B1187" s="66"/>
      <c r="C1187" s="65"/>
      <c r="D1187" s="65"/>
      <c r="E1187" s="65"/>
      <c r="F1187" s="23"/>
      <c r="G1187" s="23"/>
    </row>
    <row r="1188" spans="1:7" x14ac:dyDescent="0.15">
      <c r="A1188" s="66"/>
      <c r="B1188" s="66"/>
      <c r="C1188" s="65"/>
      <c r="D1188" s="65"/>
      <c r="E1188" s="65"/>
      <c r="F1188" s="23"/>
      <c r="G1188" s="23"/>
    </row>
    <row r="1189" spans="1:7" x14ac:dyDescent="0.15">
      <c r="A1189" s="66"/>
      <c r="B1189" s="66"/>
      <c r="C1189" s="65"/>
      <c r="D1189" s="65"/>
      <c r="E1189" s="65"/>
      <c r="F1189" s="23"/>
      <c r="G1189" s="23"/>
    </row>
    <row r="1190" spans="1:7" x14ac:dyDescent="0.15">
      <c r="A1190" s="66"/>
      <c r="B1190" s="66"/>
      <c r="C1190" s="65"/>
      <c r="D1190" s="65"/>
      <c r="E1190" s="65"/>
      <c r="F1190" s="23"/>
      <c r="G1190" s="23"/>
    </row>
    <row r="1191" spans="1:7" x14ac:dyDescent="0.15">
      <c r="A1191" s="66"/>
      <c r="B1191" s="66"/>
      <c r="C1191" s="65"/>
      <c r="D1191" s="65"/>
      <c r="E1191" s="65"/>
      <c r="F1191" s="23"/>
      <c r="G1191" s="23"/>
    </row>
    <row r="1192" spans="1:7" x14ac:dyDescent="0.15">
      <c r="A1192" s="66"/>
      <c r="B1192" s="66"/>
      <c r="C1192" s="65"/>
      <c r="D1192" s="65"/>
      <c r="E1192" s="65"/>
      <c r="F1192" s="23"/>
      <c r="G1192" s="23"/>
    </row>
    <row r="1193" spans="1:7" x14ac:dyDescent="0.15">
      <c r="A1193" s="66"/>
      <c r="B1193" s="66"/>
      <c r="C1193" s="65"/>
      <c r="D1193" s="65"/>
      <c r="E1193" s="65"/>
      <c r="F1193" s="23"/>
      <c r="G1193" s="23"/>
    </row>
    <row r="1194" spans="1:7" x14ac:dyDescent="0.15">
      <c r="A1194" s="66"/>
      <c r="B1194" s="66"/>
      <c r="C1194" s="65"/>
      <c r="D1194" s="65"/>
      <c r="E1194" s="65"/>
      <c r="F1194" s="23"/>
      <c r="G1194" s="23"/>
    </row>
    <row r="1195" spans="1:7" x14ac:dyDescent="0.15">
      <c r="A1195" s="66"/>
      <c r="B1195" s="66"/>
      <c r="C1195" s="65"/>
      <c r="D1195" s="65"/>
      <c r="E1195" s="65"/>
      <c r="F1195" s="23"/>
      <c r="G1195" s="23"/>
    </row>
    <row r="1196" spans="1:7" x14ac:dyDescent="0.15">
      <c r="A1196" s="66"/>
      <c r="B1196" s="66"/>
      <c r="C1196" s="65"/>
      <c r="D1196" s="65"/>
      <c r="E1196" s="65"/>
      <c r="F1196" s="23"/>
      <c r="G1196" s="23"/>
    </row>
    <row r="1197" spans="1:7" x14ac:dyDescent="0.15">
      <c r="A1197" s="66"/>
      <c r="B1197" s="66"/>
      <c r="C1197" s="65"/>
      <c r="D1197" s="65"/>
      <c r="E1197" s="65"/>
      <c r="F1197" s="23"/>
      <c r="G1197" s="23"/>
    </row>
    <row r="1198" spans="1:7" x14ac:dyDescent="0.15">
      <c r="A1198" s="66"/>
      <c r="B1198" s="66"/>
      <c r="C1198" s="65"/>
      <c r="D1198" s="65"/>
      <c r="E1198" s="65"/>
      <c r="F1198" s="23"/>
      <c r="G1198" s="23"/>
    </row>
    <row r="1199" spans="1:7" x14ac:dyDescent="0.15">
      <c r="A1199" s="66"/>
      <c r="B1199" s="66"/>
      <c r="C1199" s="65"/>
      <c r="D1199" s="65"/>
      <c r="E1199" s="65"/>
      <c r="F1199" s="23"/>
      <c r="G1199" s="23"/>
    </row>
    <row r="1200" spans="1:7" x14ac:dyDescent="0.15">
      <c r="A1200" s="66"/>
      <c r="B1200" s="66"/>
      <c r="C1200" s="65"/>
      <c r="D1200" s="65"/>
      <c r="E1200" s="65"/>
      <c r="F1200" s="23"/>
      <c r="G1200" s="23"/>
    </row>
    <row r="1201" spans="1:7" x14ac:dyDescent="0.15">
      <c r="A1201" s="66"/>
      <c r="B1201" s="66"/>
      <c r="C1201" s="65"/>
      <c r="D1201" s="65"/>
      <c r="E1201" s="65"/>
      <c r="F1201" s="23"/>
      <c r="G1201" s="23"/>
    </row>
    <row r="1202" spans="1:7" x14ac:dyDescent="0.15">
      <c r="A1202" s="66"/>
      <c r="B1202" s="66"/>
      <c r="C1202" s="65"/>
      <c r="D1202" s="65"/>
      <c r="E1202" s="65"/>
      <c r="F1202" s="23"/>
      <c r="G1202" s="23"/>
    </row>
    <row r="1203" spans="1:7" x14ac:dyDescent="0.15">
      <c r="A1203" s="66"/>
      <c r="B1203" s="66"/>
      <c r="C1203" s="65"/>
      <c r="D1203" s="65"/>
      <c r="E1203" s="65"/>
      <c r="F1203" s="23"/>
      <c r="G1203" s="23"/>
    </row>
    <row r="1204" spans="1:7" x14ac:dyDescent="0.15">
      <c r="A1204" s="66"/>
      <c r="B1204" s="66"/>
      <c r="C1204" s="65"/>
      <c r="D1204" s="65"/>
      <c r="E1204" s="65"/>
      <c r="F1204" s="23"/>
      <c r="G1204" s="23"/>
    </row>
    <row r="1205" spans="1:7" x14ac:dyDescent="0.15">
      <c r="A1205" s="66"/>
      <c r="B1205" s="66"/>
      <c r="C1205" s="65"/>
      <c r="D1205" s="65"/>
      <c r="E1205" s="65"/>
      <c r="F1205" s="23"/>
      <c r="G1205" s="23"/>
    </row>
    <row r="1206" spans="1:7" x14ac:dyDescent="0.15">
      <c r="A1206" s="66"/>
      <c r="B1206" s="66"/>
      <c r="C1206" s="65"/>
      <c r="D1206" s="65"/>
      <c r="E1206" s="65"/>
      <c r="F1206" s="23"/>
      <c r="G1206" s="23"/>
    </row>
    <row r="1207" spans="1:7" x14ac:dyDescent="0.15">
      <c r="A1207" s="66"/>
      <c r="B1207" s="66"/>
      <c r="C1207" s="65"/>
      <c r="D1207" s="65"/>
      <c r="E1207" s="65"/>
      <c r="F1207" s="23"/>
      <c r="G1207" s="23"/>
    </row>
    <row r="1208" spans="1:7" x14ac:dyDescent="0.15">
      <c r="A1208" s="66"/>
      <c r="B1208" s="66"/>
      <c r="C1208" s="65"/>
      <c r="D1208" s="65"/>
      <c r="E1208" s="65"/>
      <c r="F1208" s="23"/>
      <c r="G1208" s="23"/>
    </row>
    <row r="1209" spans="1:7" x14ac:dyDescent="0.15">
      <c r="A1209" s="66"/>
      <c r="B1209" s="66"/>
      <c r="C1209" s="65"/>
      <c r="D1209" s="65"/>
      <c r="E1209" s="65"/>
      <c r="F1209" s="23"/>
      <c r="G1209" s="23"/>
    </row>
    <row r="1210" spans="1:7" x14ac:dyDescent="0.15">
      <c r="A1210" s="66"/>
      <c r="B1210" s="66"/>
      <c r="C1210" s="65"/>
      <c r="D1210" s="65"/>
      <c r="E1210" s="65"/>
      <c r="F1210" s="23"/>
      <c r="G1210" s="23"/>
    </row>
    <row r="1211" spans="1:7" x14ac:dyDescent="0.15">
      <c r="A1211" s="66"/>
      <c r="B1211" s="66"/>
      <c r="C1211" s="65"/>
      <c r="D1211" s="65"/>
      <c r="E1211" s="65"/>
      <c r="F1211" s="23"/>
      <c r="G1211" s="23"/>
    </row>
    <row r="1212" spans="1:7" x14ac:dyDescent="0.15">
      <c r="A1212" s="66"/>
      <c r="B1212" s="66"/>
      <c r="C1212" s="65"/>
      <c r="D1212" s="65"/>
      <c r="E1212" s="65"/>
      <c r="F1212" s="23"/>
      <c r="G1212" s="23"/>
    </row>
    <row r="1213" spans="1:7" x14ac:dyDescent="0.15">
      <c r="A1213" s="66"/>
      <c r="B1213" s="66"/>
      <c r="C1213" s="65"/>
      <c r="D1213" s="65"/>
      <c r="E1213" s="65"/>
      <c r="F1213" s="23"/>
      <c r="G1213" s="23"/>
    </row>
    <row r="1214" spans="1:7" x14ac:dyDescent="0.15">
      <c r="A1214" s="66"/>
      <c r="B1214" s="66"/>
      <c r="C1214" s="65"/>
      <c r="D1214" s="65"/>
      <c r="E1214" s="65"/>
      <c r="F1214" s="23"/>
      <c r="G1214" s="23"/>
    </row>
    <row r="1215" spans="1:7" x14ac:dyDescent="0.15">
      <c r="A1215" s="66"/>
      <c r="B1215" s="66"/>
      <c r="C1215" s="65"/>
      <c r="D1215" s="65"/>
      <c r="E1215" s="65"/>
      <c r="F1215" s="23"/>
      <c r="G1215" s="23"/>
    </row>
    <row r="1216" spans="1:7" x14ac:dyDescent="0.15">
      <c r="A1216" s="66"/>
      <c r="B1216" s="66"/>
      <c r="C1216" s="65"/>
      <c r="D1216" s="65"/>
      <c r="E1216" s="65"/>
      <c r="F1216" s="23"/>
      <c r="G1216" s="23"/>
    </row>
    <row r="1217" spans="1:7" x14ac:dyDescent="0.15">
      <c r="A1217" s="66"/>
      <c r="B1217" s="66"/>
      <c r="C1217" s="65"/>
      <c r="D1217" s="65"/>
      <c r="E1217" s="65"/>
      <c r="F1217" s="23"/>
      <c r="G1217" s="23"/>
    </row>
    <row r="1218" spans="1:7" x14ac:dyDescent="0.15">
      <c r="A1218" s="66"/>
      <c r="B1218" s="66"/>
      <c r="C1218" s="65"/>
      <c r="D1218" s="65"/>
      <c r="E1218" s="65"/>
      <c r="F1218" s="23"/>
      <c r="G1218" s="23"/>
    </row>
    <row r="1219" spans="1:7" x14ac:dyDescent="0.15">
      <c r="A1219" s="66"/>
      <c r="B1219" s="66"/>
      <c r="C1219" s="65"/>
      <c r="D1219" s="65"/>
      <c r="E1219" s="65"/>
      <c r="F1219" s="23"/>
      <c r="G1219" s="23"/>
    </row>
    <row r="1220" spans="1:7" x14ac:dyDescent="0.15">
      <c r="A1220" s="66"/>
      <c r="B1220" s="66"/>
      <c r="C1220" s="65"/>
      <c r="D1220" s="65"/>
      <c r="E1220" s="65"/>
      <c r="F1220" s="23"/>
      <c r="G1220" s="23"/>
    </row>
    <row r="1221" spans="1:7" x14ac:dyDescent="0.15">
      <c r="A1221" s="66"/>
      <c r="B1221" s="66"/>
      <c r="C1221" s="65"/>
      <c r="D1221" s="65"/>
      <c r="E1221" s="65"/>
      <c r="F1221" s="23"/>
      <c r="G1221" s="23"/>
    </row>
    <row r="1222" spans="1:7" x14ac:dyDescent="0.15">
      <c r="A1222" s="66"/>
      <c r="B1222" s="66"/>
      <c r="C1222" s="65"/>
      <c r="D1222" s="65"/>
      <c r="E1222" s="65"/>
      <c r="F1222" s="23"/>
      <c r="G1222" s="23"/>
    </row>
    <row r="1223" spans="1:7" x14ac:dyDescent="0.15">
      <c r="A1223" s="66"/>
      <c r="B1223" s="66"/>
      <c r="C1223" s="65"/>
      <c r="D1223" s="65"/>
      <c r="E1223" s="65"/>
      <c r="F1223" s="23"/>
      <c r="G1223" s="23"/>
    </row>
    <row r="1224" spans="1:7" x14ac:dyDescent="0.15">
      <c r="A1224" s="66"/>
      <c r="B1224" s="66"/>
      <c r="C1224" s="65"/>
      <c r="D1224" s="65"/>
      <c r="E1224" s="65"/>
      <c r="F1224" s="23"/>
      <c r="G1224" s="23"/>
    </row>
    <row r="1225" spans="1:7" x14ac:dyDescent="0.15">
      <c r="A1225" s="66"/>
      <c r="B1225" s="66"/>
      <c r="C1225" s="65"/>
      <c r="D1225" s="65"/>
      <c r="E1225" s="65"/>
      <c r="F1225" s="23"/>
      <c r="G1225" s="23"/>
    </row>
    <row r="1226" spans="1:7" x14ac:dyDescent="0.15">
      <c r="A1226" s="66"/>
      <c r="B1226" s="66"/>
      <c r="C1226" s="65"/>
      <c r="D1226" s="65"/>
      <c r="E1226" s="65"/>
      <c r="F1226" s="23"/>
      <c r="G1226" s="23"/>
    </row>
    <row r="1227" spans="1:7" x14ac:dyDescent="0.15">
      <c r="A1227" s="66"/>
      <c r="B1227" s="66"/>
      <c r="C1227" s="65"/>
      <c r="D1227" s="65"/>
      <c r="E1227" s="65"/>
      <c r="F1227" s="23"/>
      <c r="G1227" s="23"/>
    </row>
    <row r="1228" spans="1:7" x14ac:dyDescent="0.15">
      <c r="A1228" s="66"/>
      <c r="B1228" s="66"/>
      <c r="C1228" s="65"/>
      <c r="D1228" s="65"/>
      <c r="E1228" s="65"/>
      <c r="F1228" s="23"/>
      <c r="G1228" s="23"/>
    </row>
    <row r="1229" spans="1:7" x14ac:dyDescent="0.15">
      <c r="A1229" s="66"/>
      <c r="B1229" s="66"/>
      <c r="C1229" s="65"/>
      <c r="D1229" s="65"/>
      <c r="E1229" s="65"/>
      <c r="F1229" s="23"/>
      <c r="G1229" s="23"/>
    </row>
    <row r="1230" spans="1:7" x14ac:dyDescent="0.15">
      <c r="A1230" s="66"/>
      <c r="B1230" s="66"/>
      <c r="C1230" s="65"/>
      <c r="D1230" s="65"/>
      <c r="E1230" s="65"/>
      <c r="F1230" s="23"/>
      <c r="G1230" s="23"/>
    </row>
    <row r="1231" spans="1:7" x14ac:dyDescent="0.15">
      <c r="A1231" s="66"/>
      <c r="B1231" s="66"/>
      <c r="C1231" s="65"/>
      <c r="D1231" s="65"/>
      <c r="E1231" s="65"/>
      <c r="F1231" s="23"/>
      <c r="G1231" s="23"/>
    </row>
    <row r="1232" spans="1:7" x14ac:dyDescent="0.15">
      <c r="A1232" s="66"/>
      <c r="B1232" s="66"/>
      <c r="C1232" s="65"/>
      <c r="D1232" s="65"/>
      <c r="E1232" s="65"/>
      <c r="F1232" s="23"/>
      <c r="G1232" s="23"/>
    </row>
    <row r="1233" spans="1:7" x14ac:dyDescent="0.15">
      <c r="A1233" s="66"/>
      <c r="B1233" s="66"/>
      <c r="C1233" s="65"/>
      <c r="D1233" s="65"/>
      <c r="E1233" s="65"/>
      <c r="F1233" s="23"/>
      <c r="G1233" s="23"/>
    </row>
    <row r="1234" spans="1:7" x14ac:dyDescent="0.15">
      <c r="A1234" s="66"/>
      <c r="B1234" s="66"/>
      <c r="C1234" s="65"/>
      <c r="D1234" s="65"/>
      <c r="E1234" s="65"/>
      <c r="F1234" s="23"/>
      <c r="G1234" s="23"/>
    </row>
    <row r="1235" spans="1:7" x14ac:dyDescent="0.15">
      <c r="A1235" s="66"/>
      <c r="B1235" s="66"/>
      <c r="C1235" s="65"/>
      <c r="D1235" s="65"/>
      <c r="E1235" s="65"/>
      <c r="F1235" s="23"/>
      <c r="G1235" s="23"/>
    </row>
    <row r="1236" spans="1:7" x14ac:dyDescent="0.15">
      <c r="A1236" s="66"/>
      <c r="B1236" s="66"/>
      <c r="C1236" s="65"/>
      <c r="D1236" s="65"/>
      <c r="E1236" s="65"/>
      <c r="F1236" s="23"/>
      <c r="G1236" s="23"/>
    </row>
    <row r="1237" spans="1:7" x14ac:dyDescent="0.15">
      <c r="A1237" s="66"/>
      <c r="B1237" s="66"/>
      <c r="C1237" s="65"/>
      <c r="D1237" s="65"/>
      <c r="E1237" s="65"/>
      <c r="F1237" s="23"/>
      <c r="G1237" s="23"/>
    </row>
    <row r="1238" spans="1:7" x14ac:dyDescent="0.15">
      <c r="A1238" s="66"/>
      <c r="B1238" s="66"/>
      <c r="C1238" s="65"/>
      <c r="D1238" s="65"/>
      <c r="E1238" s="65"/>
      <c r="F1238" s="23"/>
      <c r="G1238" s="23"/>
    </row>
    <row r="1239" spans="1:7" x14ac:dyDescent="0.15">
      <c r="A1239" s="66"/>
      <c r="B1239" s="66"/>
      <c r="C1239" s="65"/>
      <c r="D1239" s="65"/>
      <c r="E1239" s="65"/>
      <c r="F1239" s="23"/>
      <c r="G1239" s="23"/>
    </row>
    <row r="1240" spans="1:7" x14ac:dyDescent="0.15">
      <c r="A1240" s="66"/>
      <c r="B1240" s="66"/>
      <c r="C1240" s="65"/>
      <c r="D1240" s="65"/>
      <c r="E1240" s="65"/>
      <c r="F1240" s="23"/>
      <c r="G1240" s="23"/>
    </row>
    <row r="1241" spans="1:7" x14ac:dyDescent="0.15">
      <c r="A1241" s="66"/>
      <c r="B1241" s="66"/>
      <c r="C1241" s="65"/>
      <c r="D1241" s="65"/>
      <c r="E1241" s="65"/>
      <c r="F1241" s="23"/>
      <c r="G1241" s="23"/>
    </row>
    <row r="1242" spans="1:7" x14ac:dyDescent="0.15">
      <c r="A1242" s="66"/>
      <c r="B1242" s="66"/>
      <c r="C1242" s="65"/>
      <c r="D1242" s="65"/>
      <c r="E1242" s="65"/>
      <c r="F1242" s="23"/>
      <c r="G1242" s="23"/>
    </row>
    <row r="1243" spans="1:7" x14ac:dyDescent="0.15">
      <c r="A1243" s="66"/>
      <c r="B1243" s="66"/>
      <c r="C1243" s="65"/>
      <c r="D1243" s="65"/>
      <c r="E1243" s="65"/>
      <c r="F1243" s="23"/>
      <c r="G1243" s="23"/>
    </row>
    <row r="1244" spans="1:7" x14ac:dyDescent="0.15">
      <c r="A1244" s="66"/>
      <c r="B1244" s="66"/>
      <c r="C1244" s="65"/>
      <c r="D1244" s="65"/>
      <c r="E1244" s="65"/>
      <c r="F1244" s="23"/>
      <c r="G1244" s="23"/>
    </row>
    <row r="1245" spans="1:7" x14ac:dyDescent="0.15">
      <c r="A1245" s="66"/>
      <c r="B1245" s="66"/>
      <c r="C1245" s="65"/>
      <c r="D1245" s="65"/>
      <c r="E1245" s="65"/>
      <c r="F1245" s="23"/>
      <c r="G1245" s="23"/>
    </row>
    <row r="1246" spans="1:7" x14ac:dyDescent="0.15">
      <c r="A1246" s="66"/>
      <c r="B1246" s="66"/>
      <c r="C1246" s="65"/>
      <c r="D1246" s="65"/>
      <c r="E1246" s="65"/>
      <c r="F1246" s="23"/>
      <c r="G1246" s="23"/>
    </row>
    <row r="1247" spans="1:7" x14ac:dyDescent="0.15">
      <c r="A1247" s="66"/>
      <c r="B1247" s="66"/>
      <c r="C1247" s="65"/>
      <c r="D1247" s="65"/>
      <c r="E1247" s="65"/>
      <c r="F1247" s="23"/>
      <c r="G1247" s="23"/>
    </row>
    <row r="1248" spans="1:7" x14ac:dyDescent="0.15">
      <c r="A1248" s="66"/>
      <c r="B1248" s="66"/>
      <c r="C1248" s="65"/>
      <c r="D1248" s="65"/>
      <c r="E1248" s="65"/>
      <c r="F1248" s="23"/>
      <c r="G1248" s="23"/>
    </row>
    <row r="1249" spans="1:7" x14ac:dyDescent="0.15">
      <c r="A1249" s="66"/>
      <c r="B1249" s="66"/>
      <c r="C1249" s="65"/>
      <c r="D1249" s="65"/>
      <c r="E1249" s="65"/>
      <c r="F1249" s="23"/>
      <c r="G1249" s="23"/>
    </row>
    <row r="1250" spans="1:7" x14ac:dyDescent="0.15">
      <c r="A1250" s="66"/>
      <c r="B1250" s="66"/>
      <c r="C1250" s="65"/>
      <c r="D1250" s="65"/>
      <c r="E1250" s="65"/>
      <c r="F1250" s="23"/>
      <c r="G1250" s="23"/>
    </row>
    <row r="1251" spans="1:7" x14ac:dyDescent="0.15">
      <c r="A1251" s="66"/>
      <c r="B1251" s="66"/>
      <c r="C1251" s="65"/>
      <c r="D1251" s="65"/>
      <c r="E1251" s="65"/>
      <c r="F1251" s="23"/>
      <c r="G1251" s="23"/>
    </row>
    <row r="1252" spans="1:7" x14ac:dyDescent="0.15">
      <c r="A1252" s="66"/>
      <c r="B1252" s="66"/>
      <c r="C1252" s="65"/>
      <c r="D1252" s="65"/>
      <c r="E1252" s="65"/>
      <c r="F1252" s="23"/>
      <c r="G1252" s="23"/>
    </row>
    <row r="1253" spans="1:7" x14ac:dyDescent="0.15">
      <c r="A1253" s="66"/>
      <c r="B1253" s="66"/>
      <c r="C1253" s="65"/>
      <c r="D1253" s="65"/>
      <c r="E1253" s="65"/>
      <c r="F1253" s="23"/>
      <c r="G1253" s="23"/>
    </row>
    <row r="1254" spans="1:7" x14ac:dyDescent="0.15">
      <c r="A1254" s="66"/>
      <c r="B1254" s="66"/>
      <c r="C1254" s="65"/>
      <c r="D1254" s="65"/>
      <c r="E1254" s="65"/>
      <c r="F1254" s="23"/>
      <c r="G1254" s="23"/>
    </row>
    <row r="1255" spans="1:7" x14ac:dyDescent="0.15">
      <c r="A1255" s="66"/>
      <c r="B1255" s="66"/>
      <c r="C1255" s="65"/>
      <c r="D1255" s="65"/>
      <c r="E1255" s="65"/>
      <c r="F1255" s="23"/>
      <c r="G1255" s="23"/>
    </row>
    <row r="1256" spans="1:7" x14ac:dyDescent="0.15">
      <c r="A1256" s="66"/>
      <c r="B1256" s="66"/>
      <c r="C1256" s="65"/>
      <c r="D1256" s="65"/>
      <c r="E1256" s="65"/>
      <c r="F1256" s="23"/>
      <c r="G1256" s="23"/>
    </row>
    <row r="1257" spans="1:7" x14ac:dyDescent="0.15">
      <c r="A1257" s="66"/>
      <c r="B1257" s="66"/>
      <c r="C1257" s="65"/>
      <c r="D1257" s="65"/>
      <c r="E1257" s="65"/>
      <c r="F1257" s="23"/>
      <c r="G1257" s="23"/>
    </row>
    <row r="1258" spans="1:7" x14ac:dyDescent="0.15">
      <c r="A1258" s="66"/>
      <c r="B1258" s="66"/>
      <c r="C1258" s="65"/>
      <c r="D1258" s="65"/>
      <c r="E1258" s="65"/>
      <c r="F1258" s="23"/>
      <c r="G1258" s="23"/>
    </row>
    <row r="1259" spans="1:7" x14ac:dyDescent="0.15">
      <c r="A1259" s="66"/>
      <c r="B1259" s="66"/>
      <c r="C1259" s="65"/>
      <c r="D1259" s="65"/>
      <c r="E1259" s="65"/>
      <c r="F1259" s="23"/>
      <c r="G1259" s="23"/>
    </row>
    <row r="1260" spans="1:7" x14ac:dyDescent="0.15">
      <c r="A1260" s="66"/>
      <c r="B1260" s="66"/>
      <c r="C1260" s="65"/>
      <c r="D1260" s="65"/>
      <c r="E1260" s="65"/>
      <c r="F1260" s="23"/>
      <c r="G1260" s="23"/>
    </row>
    <row r="1261" spans="1:7" x14ac:dyDescent="0.15">
      <c r="A1261" s="66"/>
      <c r="B1261" s="66"/>
      <c r="C1261" s="65"/>
      <c r="D1261" s="65"/>
      <c r="E1261" s="65"/>
      <c r="F1261" s="23"/>
      <c r="G1261" s="23"/>
    </row>
    <row r="1262" spans="1:7" x14ac:dyDescent="0.15">
      <c r="A1262" s="66"/>
      <c r="B1262" s="66"/>
      <c r="C1262" s="65"/>
      <c r="D1262" s="65"/>
      <c r="E1262" s="65"/>
      <c r="F1262" s="23"/>
      <c r="G1262" s="23"/>
    </row>
    <row r="1263" spans="1:7" x14ac:dyDescent="0.15">
      <c r="A1263" s="66"/>
      <c r="B1263" s="66"/>
      <c r="C1263" s="65"/>
      <c r="D1263" s="65"/>
      <c r="E1263" s="65"/>
      <c r="F1263" s="23"/>
      <c r="G1263" s="23"/>
    </row>
    <row r="1264" spans="1:7" x14ac:dyDescent="0.15">
      <c r="A1264" s="66"/>
      <c r="B1264" s="66"/>
      <c r="C1264" s="65"/>
      <c r="D1264" s="65"/>
      <c r="E1264" s="65"/>
      <c r="F1264" s="23"/>
      <c r="G1264" s="23"/>
    </row>
    <row r="1265" spans="1:7" x14ac:dyDescent="0.15">
      <c r="A1265" s="66"/>
      <c r="B1265" s="66"/>
      <c r="C1265" s="65"/>
      <c r="D1265" s="65"/>
      <c r="E1265" s="65"/>
      <c r="F1265" s="23"/>
      <c r="G1265" s="23"/>
    </row>
    <row r="1266" spans="1:7" x14ac:dyDescent="0.15">
      <c r="A1266" s="66"/>
      <c r="B1266" s="66"/>
      <c r="C1266" s="65"/>
      <c r="D1266" s="65"/>
      <c r="E1266" s="65"/>
      <c r="F1266" s="23"/>
      <c r="G1266" s="23"/>
    </row>
    <row r="1267" spans="1:7" x14ac:dyDescent="0.15">
      <c r="A1267" s="66"/>
      <c r="B1267" s="66"/>
      <c r="C1267" s="65"/>
      <c r="D1267" s="65"/>
      <c r="E1267" s="65"/>
      <c r="F1267" s="23"/>
      <c r="G1267" s="23"/>
    </row>
    <row r="1268" spans="1:7" x14ac:dyDescent="0.15">
      <c r="A1268" s="66"/>
      <c r="B1268" s="66"/>
      <c r="C1268" s="65"/>
      <c r="D1268" s="65"/>
      <c r="E1268" s="65"/>
      <c r="F1268" s="23"/>
      <c r="G1268" s="23"/>
    </row>
    <row r="1269" spans="1:7" x14ac:dyDescent="0.15">
      <c r="A1269" s="66"/>
      <c r="B1269" s="66"/>
      <c r="C1269" s="65"/>
      <c r="D1269" s="65"/>
      <c r="E1269" s="65"/>
      <c r="F1269" s="23"/>
      <c r="G1269" s="23"/>
    </row>
    <row r="1270" spans="1:7" x14ac:dyDescent="0.15">
      <c r="A1270" s="66"/>
      <c r="B1270" s="66"/>
      <c r="C1270" s="65"/>
      <c r="D1270" s="65"/>
      <c r="E1270" s="65"/>
      <c r="F1270" s="23"/>
      <c r="G1270" s="23"/>
    </row>
    <row r="1271" spans="1:7" x14ac:dyDescent="0.15">
      <c r="A1271" s="66"/>
      <c r="B1271" s="66"/>
      <c r="C1271" s="65"/>
      <c r="D1271" s="65"/>
      <c r="E1271" s="65"/>
      <c r="F1271" s="23"/>
      <c r="G1271" s="23"/>
    </row>
    <row r="1272" spans="1:7" x14ac:dyDescent="0.15">
      <c r="A1272" s="66"/>
      <c r="B1272" s="66"/>
      <c r="C1272" s="65"/>
      <c r="D1272" s="65"/>
      <c r="E1272" s="65"/>
      <c r="F1272" s="23"/>
      <c r="G1272" s="23"/>
    </row>
    <row r="1273" spans="1:7" x14ac:dyDescent="0.15">
      <c r="A1273" s="66"/>
      <c r="B1273" s="66"/>
      <c r="C1273" s="65"/>
      <c r="D1273" s="65"/>
      <c r="E1273" s="65"/>
      <c r="F1273" s="23"/>
      <c r="G1273" s="23"/>
    </row>
    <row r="1274" spans="1:7" x14ac:dyDescent="0.15">
      <c r="A1274" s="66"/>
      <c r="B1274" s="66"/>
      <c r="C1274" s="65"/>
      <c r="D1274" s="65"/>
      <c r="E1274" s="65"/>
      <c r="F1274" s="23"/>
      <c r="G1274" s="23"/>
    </row>
    <row r="1275" spans="1:7" x14ac:dyDescent="0.15">
      <c r="A1275" s="66"/>
      <c r="B1275" s="66"/>
      <c r="C1275" s="65"/>
      <c r="D1275" s="65"/>
      <c r="E1275" s="65"/>
      <c r="F1275" s="23"/>
      <c r="G1275" s="23"/>
    </row>
    <row r="1276" spans="1:7" x14ac:dyDescent="0.15">
      <c r="A1276" s="66"/>
      <c r="B1276" s="66"/>
      <c r="C1276" s="65"/>
      <c r="D1276" s="65"/>
      <c r="E1276" s="65"/>
      <c r="F1276" s="23"/>
      <c r="G1276" s="23"/>
    </row>
    <row r="1277" spans="1:7" x14ac:dyDescent="0.15">
      <c r="A1277" s="66"/>
      <c r="B1277" s="66"/>
      <c r="C1277" s="65"/>
      <c r="D1277" s="65"/>
      <c r="E1277" s="65"/>
      <c r="F1277" s="23"/>
      <c r="G1277" s="23"/>
    </row>
    <row r="1278" spans="1:7" x14ac:dyDescent="0.15">
      <c r="A1278" s="66"/>
      <c r="B1278" s="66"/>
      <c r="C1278" s="65"/>
      <c r="D1278" s="65"/>
      <c r="E1278" s="65"/>
      <c r="F1278" s="23"/>
      <c r="G1278" s="23"/>
    </row>
    <row r="1279" spans="1:7" x14ac:dyDescent="0.15">
      <c r="A1279" s="66"/>
      <c r="B1279" s="66"/>
      <c r="C1279" s="65"/>
      <c r="D1279" s="65"/>
      <c r="E1279" s="65"/>
      <c r="F1279" s="23"/>
      <c r="G1279" s="23"/>
    </row>
    <row r="1280" spans="1:7" x14ac:dyDescent="0.15">
      <c r="A1280" s="66"/>
      <c r="B1280" s="66"/>
      <c r="C1280" s="65"/>
      <c r="D1280" s="65"/>
      <c r="E1280" s="65"/>
      <c r="F1280" s="23"/>
      <c r="G1280" s="23"/>
    </row>
    <row r="1281" spans="1:7" x14ac:dyDescent="0.15">
      <c r="A1281" s="66"/>
      <c r="B1281" s="66"/>
      <c r="C1281" s="65"/>
      <c r="D1281" s="65"/>
      <c r="E1281" s="65"/>
      <c r="F1281" s="23"/>
      <c r="G1281" s="23"/>
    </row>
    <row r="1282" spans="1:7" x14ac:dyDescent="0.15">
      <c r="A1282" s="66"/>
      <c r="B1282" s="66"/>
      <c r="C1282" s="65"/>
      <c r="D1282" s="65"/>
      <c r="E1282" s="65"/>
      <c r="F1282" s="23"/>
      <c r="G1282" s="23"/>
    </row>
    <row r="1283" spans="1:7" x14ac:dyDescent="0.15">
      <c r="A1283" s="66"/>
      <c r="B1283" s="66"/>
      <c r="C1283" s="65"/>
      <c r="D1283" s="65"/>
      <c r="E1283" s="65"/>
      <c r="F1283" s="23"/>
      <c r="G1283" s="23"/>
    </row>
    <row r="1284" spans="1:7" x14ac:dyDescent="0.15">
      <c r="A1284" s="66"/>
      <c r="B1284" s="66"/>
      <c r="C1284" s="65"/>
      <c r="D1284" s="65"/>
      <c r="E1284" s="65"/>
      <c r="F1284" s="23"/>
      <c r="G1284" s="23"/>
    </row>
    <row r="1285" spans="1:7" x14ac:dyDescent="0.15">
      <c r="A1285" s="66"/>
      <c r="B1285" s="66"/>
      <c r="C1285" s="65"/>
      <c r="D1285" s="65"/>
      <c r="E1285" s="65"/>
      <c r="F1285" s="23"/>
      <c r="G1285" s="23"/>
    </row>
    <row r="1286" spans="1:7" x14ac:dyDescent="0.15">
      <c r="A1286" s="66"/>
      <c r="B1286" s="66"/>
      <c r="C1286" s="65"/>
      <c r="D1286" s="65"/>
      <c r="E1286" s="65"/>
      <c r="F1286" s="23"/>
      <c r="G1286" s="23"/>
    </row>
    <row r="1287" spans="1:7" x14ac:dyDescent="0.15">
      <c r="A1287" s="66"/>
      <c r="B1287" s="66"/>
      <c r="C1287" s="65"/>
      <c r="D1287" s="65"/>
      <c r="E1287" s="65"/>
      <c r="F1287" s="23"/>
      <c r="G1287" s="23"/>
    </row>
    <row r="1288" spans="1:7" x14ac:dyDescent="0.15">
      <c r="A1288" s="66"/>
      <c r="B1288" s="66"/>
      <c r="C1288" s="65"/>
      <c r="D1288" s="65"/>
      <c r="E1288" s="65"/>
      <c r="F1288" s="23"/>
      <c r="G1288" s="23"/>
    </row>
    <row r="1289" spans="1:7" x14ac:dyDescent="0.15">
      <c r="A1289" s="66"/>
      <c r="B1289" s="66"/>
      <c r="C1289" s="65"/>
      <c r="D1289" s="65"/>
      <c r="E1289" s="65"/>
      <c r="F1289" s="23"/>
      <c r="G1289" s="23"/>
    </row>
    <row r="1290" spans="1:7" x14ac:dyDescent="0.15">
      <c r="A1290" s="66"/>
      <c r="B1290" s="66"/>
      <c r="C1290" s="65"/>
      <c r="D1290" s="65"/>
      <c r="E1290" s="65"/>
      <c r="F1290" s="23"/>
      <c r="G1290" s="23"/>
    </row>
    <row r="1291" spans="1:7" x14ac:dyDescent="0.15">
      <c r="A1291" s="66"/>
      <c r="B1291" s="66"/>
      <c r="C1291" s="65"/>
      <c r="D1291" s="65"/>
      <c r="E1291" s="65"/>
      <c r="F1291" s="23"/>
      <c r="G1291" s="23"/>
    </row>
    <row r="1292" spans="1:7" x14ac:dyDescent="0.15">
      <c r="A1292" s="66"/>
      <c r="B1292" s="66"/>
      <c r="C1292" s="65"/>
      <c r="D1292" s="65"/>
      <c r="E1292" s="65"/>
      <c r="F1292" s="23"/>
      <c r="G1292" s="23"/>
    </row>
    <row r="1293" spans="1:7" x14ac:dyDescent="0.15">
      <c r="A1293" s="66"/>
      <c r="B1293" s="66"/>
      <c r="C1293" s="65"/>
      <c r="D1293" s="65"/>
      <c r="E1293" s="65"/>
      <c r="F1293" s="23"/>
      <c r="G1293" s="23"/>
    </row>
    <row r="1294" spans="1:7" x14ac:dyDescent="0.15">
      <c r="A1294" s="66"/>
      <c r="B1294" s="66"/>
      <c r="C1294" s="65"/>
      <c r="D1294" s="65"/>
      <c r="E1294" s="65"/>
      <c r="F1294" s="23"/>
      <c r="G1294" s="23"/>
    </row>
    <row r="1295" spans="1:7" x14ac:dyDescent="0.15">
      <c r="A1295" s="66"/>
      <c r="B1295" s="66"/>
      <c r="C1295" s="65"/>
      <c r="D1295" s="65"/>
      <c r="E1295" s="65"/>
      <c r="F1295" s="23"/>
      <c r="G1295" s="23"/>
    </row>
    <row r="1296" spans="1:7" x14ac:dyDescent="0.15">
      <c r="A1296" s="66"/>
      <c r="B1296" s="66"/>
      <c r="C1296" s="65"/>
      <c r="D1296" s="65"/>
      <c r="E1296" s="65"/>
      <c r="F1296" s="23"/>
      <c r="G1296" s="23"/>
    </row>
    <row r="1297" spans="1:7" x14ac:dyDescent="0.15">
      <c r="A1297" s="66"/>
      <c r="B1297" s="66"/>
      <c r="C1297" s="65"/>
      <c r="D1297" s="65"/>
      <c r="E1297" s="65"/>
      <c r="F1297" s="23"/>
      <c r="G1297" s="23"/>
    </row>
    <row r="1298" spans="1:7" x14ac:dyDescent="0.15">
      <c r="A1298" s="66"/>
      <c r="B1298" s="66"/>
      <c r="C1298" s="65"/>
      <c r="D1298" s="65"/>
      <c r="E1298" s="65"/>
      <c r="F1298" s="23"/>
      <c r="G1298" s="23"/>
    </row>
    <row r="1299" spans="1:7" x14ac:dyDescent="0.15">
      <c r="A1299" s="66"/>
      <c r="B1299" s="66"/>
      <c r="C1299" s="65"/>
      <c r="D1299" s="65"/>
      <c r="E1299" s="65"/>
      <c r="F1299" s="23"/>
      <c r="G1299" s="23"/>
    </row>
    <row r="1300" spans="1:7" x14ac:dyDescent="0.15">
      <c r="A1300" s="66"/>
      <c r="B1300" s="66"/>
      <c r="C1300" s="65"/>
      <c r="D1300" s="65"/>
      <c r="E1300" s="65"/>
      <c r="F1300" s="23"/>
      <c r="G1300" s="23"/>
    </row>
    <row r="1301" spans="1:7" x14ac:dyDescent="0.15">
      <c r="A1301" s="66"/>
      <c r="B1301" s="66"/>
      <c r="C1301" s="65"/>
      <c r="D1301" s="65"/>
      <c r="E1301" s="65"/>
      <c r="F1301" s="23"/>
      <c r="G1301" s="23"/>
    </row>
    <row r="1302" spans="1:7" x14ac:dyDescent="0.15">
      <c r="A1302" s="66"/>
      <c r="B1302" s="66"/>
      <c r="C1302" s="65"/>
      <c r="D1302" s="65"/>
      <c r="E1302" s="65"/>
      <c r="F1302" s="23"/>
      <c r="G1302" s="23"/>
    </row>
    <row r="1303" spans="1:7" x14ac:dyDescent="0.15">
      <c r="A1303" s="66"/>
      <c r="B1303" s="66"/>
      <c r="C1303" s="65"/>
      <c r="D1303" s="65"/>
      <c r="E1303" s="65"/>
      <c r="F1303" s="23"/>
      <c r="G1303" s="23"/>
    </row>
    <row r="1304" spans="1:7" x14ac:dyDescent="0.15">
      <c r="A1304" s="66"/>
      <c r="B1304" s="66"/>
      <c r="C1304" s="65"/>
      <c r="D1304" s="65"/>
      <c r="E1304" s="65"/>
      <c r="F1304" s="23"/>
      <c r="G1304" s="23"/>
    </row>
    <row r="1305" spans="1:7" x14ac:dyDescent="0.15">
      <c r="A1305" s="66"/>
      <c r="B1305" s="66"/>
      <c r="C1305" s="65"/>
      <c r="D1305" s="65"/>
      <c r="E1305" s="65"/>
      <c r="F1305" s="23"/>
      <c r="G1305" s="23"/>
    </row>
    <row r="1306" spans="1:7" x14ac:dyDescent="0.15">
      <c r="A1306" s="66"/>
      <c r="B1306" s="66"/>
      <c r="C1306" s="65"/>
      <c r="D1306" s="65"/>
      <c r="E1306" s="65"/>
      <c r="F1306" s="23"/>
      <c r="G1306" s="23"/>
    </row>
    <row r="1307" spans="1:7" x14ac:dyDescent="0.15">
      <c r="A1307" s="66"/>
      <c r="B1307" s="66"/>
      <c r="C1307" s="65"/>
      <c r="D1307" s="65"/>
      <c r="E1307" s="65"/>
      <c r="F1307" s="23"/>
      <c r="G1307" s="23"/>
    </row>
    <row r="1308" spans="1:7" x14ac:dyDescent="0.15">
      <c r="A1308" s="66"/>
      <c r="B1308" s="66"/>
      <c r="C1308" s="65"/>
      <c r="D1308" s="65"/>
      <c r="E1308" s="65"/>
      <c r="F1308" s="23"/>
      <c r="G1308" s="23"/>
    </row>
    <row r="1309" spans="1:7" x14ac:dyDescent="0.15">
      <c r="A1309" s="66"/>
      <c r="B1309" s="66"/>
      <c r="C1309" s="65"/>
      <c r="D1309" s="65"/>
      <c r="E1309" s="65"/>
      <c r="F1309" s="23"/>
      <c r="G1309" s="23"/>
    </row>
    <row r="1310" spans="1:7" x14ac:dyDescent="0.15">
      <c r="A1310" s="66"/>
      <c r="B1310" s="66"/>
      <c r="C1310" s="65"/>
      <c r="D1310" s="65"/>
      <c r="E1310" s="65"/>
      <c r="F1310" s="23"/>
      <c r="G1310" s="23"/>
    </row>
    <row r="1311" spans="1:7" x14ac:dyDescent="0.15">
      <c r="A1311" s="66"/>
      <c r="B1311" s="66"/>
      <c r="C1311" s="65"/>
      <c r="D1311" s="65"/>
      <c r="E1311" s="65"/>
      <c r="F1311" s="23"/>
      <c r="G1311" s="23"/>
    </row>
    <row r="1312" spans="1:7" x14ac:dyDescent="0.15">
      <c r="A1312" s="66"/>
      <c r="B1312" s="66"/>
      <c r="C1312" s="65"/>
      <c r="D1312" s="65"/>
      <c r="E1312" s="65"/>
      <c r="F1312" s="23"/>
      <c r="G1312" s="23"/>
    </row>
    <row r="1313" spans="1:7" x14ac:dyDescent="0.15">
      <c r="A1313" s="66"/>
      <c r="B1313" s="66"/>
      <c r="C1313" s="65"/>
      <c r="D1313" s="65"/>
      <c r="E1313" s="65"/>
      <c r="F1313" s="23"/>
      <c r="G1313" s="23"/>
    </row>
    <row r="1314" spans="1:7" x14ac:dyDescent="0.15">
      <c r="A1314" s="66"/>
      <c r="B1314" s="66"/>
      <c r="C1314" s="65"/>
      <c r="D1314" s="65"/>
      <c r="E1314" s="65"/>
      <c r="F1314" s="23"/>
      <c r="G1314" s="23"/>
    </row>
    <row r="1315" spans="1:7" x14ac:dyDescent="0.15">
      <c r="A1315" s="66"/>
      <c r="B1315" s="66"/>
      <c r="C1315" s="65"/>
      <c r="D1315" s="65"/>
      <c r="E1315" s="65"/>
      <c r="F1315" s="23"/>
      <c r="G1315" s="23"/>
    </row>
    <row r="1316" spans="1:7" x14ac:dyDescent="0.15">
      <c r="A1316" s="66"/>
      <c r="B1316" s="66"/>
      <c r="C1316" s="65"/>
      <c r="D1316" s="65"/>
      <c r="E1316" s="65"/>
      <c r="F1316" s="23"/>
      <c r="G1316" s="23"/>
    </row>
    <row r="1317" spans="1:7" x14ac:dyDescent="0.15">
      <c r="A1317" s="66"/>
      <c r="B1317" s="66"/>
      <c r="C1317" s="65"/>
      <c r="D1317" s="65"/>
      <c r="E1317" s="65"/>
      <c r="F1317" s="23"/>
      <c r="G1317" s="23"/>
    </row>
    <row r="1318" spans="1:7" x14ac:dyDescent="0.15">
      <c r="A1318" s="66"/>
      <c r="B1318" s="66"/>
      <c r="C1318" s="65"/>
      <c r="D1318" s="65"/>
      <c r="E1318" s="65"/>
      <c r="F1318" s="23"/>
      <c r="G1318" s="23"/>
    </row>
    <row r="1319" spans="1:7" x14ac:dyDescent="0.15">
      <c r="A1319" s="66"/>
      <c r="B1319" s="66"/>
      <c r="C1319" s="65"/>
      <c r="D1319" s="65"/>
      <c r="E1319" s="65"/>
      <c r="F1319" s="23"/>
      <c r="G1319" s="23"/>
    </row>
    <row r="1320" spans="1:7" x14ac:dyDescent="0.15">
      <c r="A1320" s="66"/>
      <c r="B1320" s="66"/>
      <c r="C1320" s="65"/>
      <c r="D1320" s="65"/>
      <c r="E1320" s="65"/>
      <c r="F1320" s="23"/>
      <c r="G1320" s="23"/>
    </row>
    <row r="1321" spans="1:7" x14ac:dyDescent="0.15">
      <c r="A1321" s="66"/>
      <c r="B1321" s="66"/>
      <c r="C1321" s="65"/>
      <c r="D1321" s="65"/>
      <c r="E1321" s="65"/>
      <c r="F1321" s="23"/>
      <c r="G1321" s="23"/>
    </row>
    <row r="1322" spans="1:7" x14ac:dyDescent="0.15">
      <c r="A1322" s="66"/>
      <c r="B1322" s="66"/>
      <c r="C1322" s="65"/>
      <c r="D1322" s="65"/>
      <c r="E1322" s="65"/>
      <c r="F1322" s="23"/>
      <c r="G1322" s="23"/>
    </row>
    <row r="1323" spans="1:7" x14ac:dyDescent="0.15">
      <c r="A1323" s="66"/>
      <c r="B1323" s="66"/>
      <c r="C1323" s="65"/>
      <c r="D1323" s="65"/>
      <c r="E1323" s="65"/>
      <c r="F1323" s="23"/>
      <c r="G1323" s="23"/>
    </row>
    <row r="1324" spans="1:7" x14ac:dyDescent="0.15">
      <c r="A1324" s="66"/>
      <c r="B1324" s="66"/>
      <c r="C1324" s="65"/>
      <c r="D1324" s="65"/>
      <c r="E1324" s="65"/>
      <c r="F1324" s="23"/>
      <c r="G1324" s="23"/>
    </row>
    <row r="1325" spans="1:7" x14ac:dyDescent="0.15">
      <c r="A1325" s="66"/>
      <c r="B1325" s="66"/>
      <c r="C1325" s="65"/>
      <c r="D1325" s="65"/>
      <c r="E1325" s="65"/>
      <c r="F1325" s="23"/>
      <c r="G1325" s="23"/>
    </row>
    <row r="1326" spans="1:7" x14ac:dyDescent="0.15">
      <c r="A1326" s="66"/>
      <c r="B1326" s="66"/>
      <c r="C1326" s="65"/>
      <c r="D1326" s="65"/>
      <c r="E1326" s="65"/>
      <c r="F1326" s="23"/>
      <c r="G1326" s="23"/>
    </row>
    <row r="1327" spans="1:7" x14ac:dyDescent="0.15">
      <c r="A1327" s="66"/>
      <c r="B1327" s="66"/>
      <c r="C1327" s="65"/>
      <c r="D1327" s="65"/>
      <c r="E1327" s="65"/>
      <c r="F1327" s="23"/>
      <c r="G1327" s="23"/>
    </row>
    <row r="1328" spans="1:7" x14ac:dyDescent="0.15">
      <c r="A1328" s="66"/>
      <c r="B1328" s="66"/>
      <c r="C1328" s="65"/>
      <c r="D1328" s="65"/>
      <c r="E1328" s="65"/>
      <c r="F1328" s="23"/>
      <c r="G1328" s="23"/>
    </row>
    <row r="1329" spans="1:7" x14ac:dyDescent="0.15">
      <c r="A1329" s="66"/>
      <c r="B1329" s="66"/>
      <c r="C1329" s="65"/>
      <c r="D1329" s="65"/>
      <c r="E1329" s="65"/>
      <c r="F1329" s="23"/>
      <c r="G1329" s="23"/>
    </row>
    <row r="1330" spans="1:7" x14ac:dyDescent="0.15">
      <c r="A1330" s="66"/>
      <c r="B1330" s="66"/>
      <c r="C1330" s="65"/>
      <c r="D1330" s="65"/>
      <c r="E1330" s="65"/>
      <c r="F1330" s="23"/>
      <c r="G1330" s="23"/>
    </row>
    <row r="1331" spans="1:7" x14ac:dyDescent="0.15">
      <c r="A1331" s="66"/>
      <c r="B1331" s="66"/>
      <c r="C1331" s="65"/>
      <c r="D1331" s="65"/>
      <c r="E1331" s="65"/>
      <c r="F1331" s="23"/>
      <c r="G1331" s="23"/>
    </row>
    <row r="1332" spans="1:7" x14ac:dyDescent="0.15">
      <c r="A1332" s="66"/>
      <c r="B1332" s="66"/>
      <c r="C1332" s="65"/>
      <c r="D1332" s="65"/>
      <c r="E1332" s="65"/>
      <c r="F1332" s="23"/>
      <c r="G1332" s="23"/>
    </row>
    <row r="1333" spans="1:7" x14ac:dyDescent="0.15">
      <c r="A1333" s="66"/>
      <c r="B1333" s="66"/>
      <c r="C1333" s="65"/>
      <c r="D1333" s="65"/>
      <c r="E1333" s="65"/>
      <c r="F1333" s="23"/>
      <c r="G1333" s="23"/>
    </row>
    <row r="1334" spans="1:7" x14ac:dyDescent="0.15">
      <c r="A1334" s="66"/>
      <c r="B1334" s="66"/>
      <c r="C1334" s="65"/>
      <c r="D1334" s="65"/>
      <c r="E1334" s="65"/>
      <c r="F1334" s="23"/>
      <c r="G1334" s="23"/>
    </row>
    <row r="1335" spans="1:7" x14ac:dyDescent="0.15">
      <c r="A1335" s="66"/>
      <c r="B1335" s="66"/>
      <c r="C1335" s="65"/>
      <c r="D1335" s="65"/>
      <c r="E1335" s="65"/>
      <c r="F1335" s="23"/>
      <c r="G1335" s="23"/>
    </row>
    <row r="1336" spans="1:7" x14ac:dyDescent="0.15">
      <c r="A1336" s="66"/>
      <c r="B1336" s="66"/>
      <c r="C1336" s="65"/>
      <c r="D1336" s="65"/>
      <c r="E1336" s="65"/>
      <c r="F1336" s="23"/>
      <c r="G1336" s="23"/>
    </row>
    <row r="1337" spans="1:7" x14ac:dyDescent="0.15">
      <c r="A1337" s="66"/>
      <c r="B1337" s="66"/>
      <c r="C1337" s="65"/>
      <c r="D1337" s="65"/>
      <c r="E1337" s="65"/>
      <c r="F1337" s="23"/>
      <c r="G1337" s="23"/>
    </row>
    <row r="1338" spans="1:7" x14ac:dyDescent="0.15">
      <c r="A1338" s="66"/>
      <c r="B1338" s="66"/>
      <c r="C1338" s="65"/>
      <c r="D1338" s="65"/>
      <c r="E1338" s="65"/>
      <c r="F1338" s="23"/>
      <c r="G1338" s="23"/>
    </row>
    <row r="1339" spans="1:7" x14ac:dyDescent="0.15">
      <c r="A1339" s="66"/>
      <c r="B1339" s="66"/>
      <c r="C1339" s="65"/>
      <c r="D1339" s="65"/>
      <c r="E1339" s="65"/>
      <c r="F1339" s="23"/>
      <c r="G1339" s="23"/>
    </row>
    <row r="1340" spans="1:7" x14ac:dyDescent="0.15">
      <c r="A1340" s="66"/>
      <c r="B1340" s="66"/>
      <c r="C1340" s="65"/>
      <c r="D1340" s="65"/>
      <c r="E1340" s="65"/>
      <c r="F1340" s="23"/>
      <c r="G1340" s="23"/>
    </row>
    <row r="1341" spans="1:7" x14ac:dyDescent="0.15">
      <c r="A1341" s="66"/>
      <c r="B1341" s="66"/>
      <c r="C1341" s="65"/>
      <c r="D1341" s="65"/>
      <c r="E1341" s="65"/>
      <c r="F1341" s="23"/>
      <c r="G1341" s="23"/>
    </row>
    <row r="1342" spans="1:7" x14ac:dyDescent="0.15">
      <c r="A1342" s="66"/>
      <c r="B1342" s="66"/>
      <c r="C1342" s="65"/>
      <c r="D1342" s="65"/>
      <c r="E1342" s="65"/>
      <c r="F1342" s="23"/>
      <c r="G1342" s="23"/>
    </row>
    <row r="1343" spans="1:7" x14ac:dyDescent="0.15">
      <c r="A1343" s="66"/>
      <c r="B1343" s="66"/>
      <c r="C1343" s="65"/>
      <c r="D1343" s="65"/>
      <c r="E1343" s="65"/>
      <c r="F1343" s="23"/>
      <c r="G1343" s="23"/>
    </row>
    <row r="1344" spans="1:7" x14ac:dyDescent="0.15">
      <c r="A1344" s="66"/>
      <c r="B1344" s="66"/>
      <c r="C1344" s="65"/>
      <c r="D1344" s="65"/>
      <c r="E1344" s="65"/>
      <c r="F1344" s="23"/>
      <c r="G1344" s="23"/>
    </row>
    <row r="1345" spans="1:7" x14ac:dyDescent="0.15">
      <c r="A1345" s="66"/>
      <c r="B1345" s="66"/>
      <c r="C1345" s="65"/>
      <c r="D1345" s="65"/>
      <c r="E1345" s="65"/>
      <c r="F1345" s="23"/>
      <c r="G1345" s="23"/>
    </row>
    <row r="1346" spans="1:7" x14ac:dyDescent="0.15">
      <c r="A1346" s="66"/>
      <c r="B1346" s="66"/>
      <c r="C1346" s="65"/>
      <c r="D1346" s="65"/>
      <c r="E1346" s="65"/>
      <c r="F1346" s="23"/>
      <c r="G1346" s="23"/>
    </row>
    <row r="1347" spans="1:7" x14ac:dyDescent="0.15">
      <c r="A1347" s="66"/>
      <c r="B1347" s="66"/>
      <c r="C1347" s="65"/>
      <c r="D1347" s="65"/>
      <c r="E1347" s="65"/>
      <c r="F1347" s="23"/>
      <c r="G1347" s="23"/>
    </row>
    <row r="1348" spans="1:7" x14ac:dyDescent="0.15">
      <c r="A1348" s="66"/>
      <c r="B1348" s="66"/>
      <c r="C1348" s="65"/>
      <c r="D1348" s="65"/>
      <c r="E1348" s="65"/>
      <c r="F1348" s="23"/>
      <c r="G1348" s="23"/>
    </row>
    <row r="1349" spans="1:7" x14ac:dyDescent="0.15">
      <c r="A1349" s="66"/>
      <c r="B1349" s="66"/>
      <c r="C1349" s="65"/>
      <c r="D1349" s="65"/>
      <c r="E1349" s="65"/>
      <c r="F1349" s="23"/>
      <c r="G1349" s="23"/>
    </row>
    <row r="1350" spans="1:7" x14ac:dyDescent="0.15">
      <c r="A1350" s="66"/>
      <c r="B1350" s="66"/>
      <c r="C1350" s="65"/>
      <c r="D1350" s="65"/>
      <c r="E1350" s="65"/>
      <c r="F1350" s="23"/>
      <c r="G1350" s="23"/>
    </row>
    <row r="1351" spans="1:7" x14ac:dyDescent="0.15">
      <c r="A1351" s="66"/>
      <c r="B1351" s="66"/>
      <c r="C1351" s="65"/>
      <c r="D1351" s="65"/>
      <c r="E1351" s="65"/>
      <c r="F1351" s="23"/>
      <c r="G1351" s="23"/>
    </row>
    <row r="1352" spans="1:7" x14ac:dyDescent="0.15">
      <c r="A1352" s="66"/>
      <c r="B1352" s="66"/>
      <c r="C1352" s="65"/>
      <c r="D1352" s="65"/>
      <c r="E1352" s="65"/>
      <c r="F1352" s="23"/>
      <c r="G1352" s="23"/>
    </row>
    <row r="1353" spans="1:7" x14ac:dyDescent="0.15">
      <c r="A1353" s="66"/>
      <c r="B1353" s="66"/>
      <c r="C1353" s="65"/>
      <c r="D1353" s="65"/>
      <c r="E1353" s="65"/>
      <c r="F1353" s="23"/>
      <c r="G1353" s="23"/>
    </row>
    <row r="1354" spans="1:7" x14ac:dyDescent="0.15">
      <c r="A1354" s="66"/>
      <c r="B1354" s="66"/>
      <c r="C1354" s="65"/>
      <c r="D1354" s="65"/>
      <c r="E1354" s="65"/>
      <c r="F1354" s="23"/>
      <c r="G1354" s="23"/>
    </row>
    <row r="1355" spans="1:7" x14ac:dyDescent="0.15">
      <c r="A1355" s="66"/>
      <c r="B1355" s="66"/>
      <c r="C1355" s="65"/>
      <c r="D1355" s="65"/>
      <c r="E1355" s="65"/>
      <c r="F1355" s="23"/>
      <c r="G1355" s="23"/>
    </row>
    <row r="1356" spans="1:7" x14ac:dyDescent="0.15">
      <c r="A1356" s="66"/>
      <c r="B1356" s="66"/>
      <c r="C1356" s="65"/>
      <c r="D1356" s="65"/>
      <c r="E1356" s="65"/>
      <c r="F1356" s="23"/>
      <c r="G1356" s="23"/>
    </row>
    <row r="1357" spans="1:7" x14ac:dyDescent="0.15">
      <c r="A1357" s="66"/>
      <c r="B1357" s="66"/>
      <c r="C1357" s="65"/>
      <c r="D1357" s="65"/>
      <c r="E1357" s="65"/>
      <c r="F1357" s="23"/>
      <c r="G1357" s="23"/>
    </row>
    <row r="1358" spans="1:7" x14ac:dyDescent="0.15">
      <c r="A1358" s="66"/>
      <c r="B1358" s="66"/>
      <c r="C1358" s="65"/>
      <c r="D1358" s="65"/>
      <c r="E1358" s="65"/>
      <c r="F1358" s="23"/>
      <c r="G1358" s="23"/>
    </row>
    <row r="1359" spans="1:7" x14ac:dyDescent="0.15">
      <c r="A1359" s="66"/>
      <c r="B1359" s="66"/>
      <c r="C1359" s="65"/>
      <c r="D1359" s="65"/>
      <c r="E1359" s="65"/>
      <c r="F1359" s="23"/>
      <c r="G1359" s="23"/>
    </row>
    <row r="1360" spans="1:7" x14ac:dyDescent="0.15">
      <c r="A1360" s="66"/>
      <c r="B1360" s="66"/>
      <c r="C1360" s="65"/>
      <c r="D1360" s="65"/>
      <c r="E1360" s="65"/>
      <c r="F1360" s="23"/>
      <c r="G1360" s="23"/>
    </row>
    <row r="1361" spans="1:7" x14ac:dyDescent="0.15">
      <c r="A1361" s="66"/>
      <c r="B1361" s="66"/>
      <c r="C1361" s="65"/>
      <c r="D1361" s="65"/>
      <c r="E1361" s="65"/>
      <c r="F1361" s="23"/>
      <c r="G1361" s="23"/>
    </row>
    <row r="1362" spans="1:7" x14ac:dyDescent="0.15">
      <c r="A1362" s="66"/>
      <c r="B1362" s="66"/>
      <c r="C1362" s="65"/>
      <c r="D1362" s="65"/>
      <c r="E1362" s="65"/>
      <c r="F1362" s="23"/>
      <c r="G1362" s="23"/>
    </row>
    <row r="1363" spans="1:7" x14ac:dyDescent="0.15">
      <c r="A1363" s="66"/>
      <c r="B1363" s="66"/>
      <c r="C1363" s="65"/>
      <c r="D1363" s="65"/>
      <c r="E1363" s="65"/>
      <c r="F1363" s="23"/>
      <c r="G1363" s="23"/>
    </row>
    <row r="1364" spans="1:7" x14ac:dyDescent="0.15">
      <c r="A1364" s="66"/>
      <c r="B1364" s="66"/>
      <c r="C1364" s="65"/>
      <c r="D1364" s="65"/>
      <c r="E1364" s="65"/>
      <c r="F1364" s="23"/>
      <c r="G1364" s="23"/>
    </row>
    <row r="1365" spans="1:7" x14ac:dyDescent="0.15">
      <c r="A1365" s="66"/>
      <c r="B1365" s="66"/>
      <c r="C1365" s="65"/>
      <c r="D1365" s="65"/>
      <c r="E1365" s="65"/>
      <c r="F1365" s="23"/>
      <c r="G1365" s="23"/>
    </row>
    <row r="1366" spans="1:7" x14ac:dyDescent="0.15">
      <c r="A1366" s="66"/>
      <c r="B1366" s="66"/>
      <c r="C1366" s="65"/>
      <c r="D1366" s="65"/>
      <c r="E1366" s="65"/>
      <c r="F1366" s="23"/>
      <c r="G1366" s="23"/>
    </row>
    <row r="1367" spans="1:7" x14ac:dyDescent="0.15">
      <c r="A1367" s="66"/>
      <c r="B1367" s="66"/>
      <c r="C1367" s="65"/>
      <c r="D1367" s="65"/>
      <c r="E1367" s="65"/>
      <c r="F1367" s="23"/>
      <c r="G1367" s="23"/>
    </row>
    <row r="1368" spans="1:7" x14ac:dyDescent="0.15">
      <c r="A1368" s="66"/>
      <c r="B1368" s="66"/>
      <c r="C1368" s="65"/>
      <c r="D1368" s="65"/>
      <c r="E1368" s="65"/>
      <c r="F1368" s="23"/>
      <c r="G1368" s="23"/>
    </row>
    <row r="1369" spans="1:7" x14ac:dyDescent="0.15">
      <c r="A1369" s="66"/>
      <c r="B1369" s="66"/>
      <c r="C1369" s="65"/>
      <c r="D1369" s="65"/>
      <c r="E1369" s="65"/>
      <c r="F1369" s="23"/>
      <c r="G1369" s="23"/>
    </row>
    <row r="1370" spans="1:7" x14ac:dyDescent="0.15">
      <c r="A1370" s="66"/>
      <c r="B1370" s="66"/>
      <c r="C1370" s="65"/>
      <c r="D1370" s="65"/>
      <c r="E1370" s="65"/>
      <c r="F1370" s="23"/>
      <c r="G1370" s="23"/>
    </row>
    <row r="1371" spans="1:7" x14ac:dyDescent="0.15">
      <c r="A1371" s="66"/>
      <c r="B1371" s="66"/>
      <c r="C1371" s="65"/>
      <c r="D1371" s="65"/>
      <c r="E1371" s="65"/>
      <c r="F1371" s="23"/>
      <c r="G1371" s="23"/>
    </row>
    <row r="1372" spans="1:7" x14ac:dyDescent="0.15">
      <c r="A1372" s="66"/>
      <c r="B1372" s="66"/>
      <c r="C1372" s="65"/>
      <c r="D1372" s="65"/>
      <c r="E1372" s="65"/>
      <c r="F1372" s="23"/>
      <c r="G1372" s="23"/>
    </row>
    <row r="1373" spans="1:7" x14ac:dyDescent="0.15">
      <c r="A1373" s="66"/>
      <c r="B1373" s="66"/>
      <c r="C1373" s="65"/>
      <c r="D1373" s="65"/>
      <c r="E1373" s="65"/>
      <c r="F1373" s="23"/>
      <c r="G1373" s="23"/>
    </row>
    <row r="1374" spans="1:7" x14ac:dyDescent="0.15">
      <c r="A1374" s="66"/>
      <c r="B1374" s="66"/>
      <c r="C1374" s="65"/>
      <c r="D1374" s="65"/>
      <c r="E1374" s="65"/>
      <c r="F1374" s="23"/>
      <c r="G1374" s="23"/>
    </row>
    <row r="1375" spans="1:7" x14ac:dyDescent="0.15">
      <c r="A1375" s="66"/>
      <c r="B1375" s="66"/>
      <c r="C1375" s="65"/>
      <c r="D1375" s="65"/>
      <c r="E1375" s="65"/>
      <c r="F1375" s="23"/>
      <c r="G1375" s="23"/>
    </row>
    <row r="1376" spans="1:7" x14ac:dyDescent="0.15">
      <c r="A1376" s="66"/>
      <c r="B1376" s="66"/>
      <c r="C1376" s="65"/>
      <c r="D1376" s="65"/>
      <c r="E1376" s="65"/>
      <c r="F1376" s="23"/>
      <c r="G1376" s="23"/>
    </row>
    <row r="1377" spans="1:7" x14ac:dyDescent="0.15">
      <c r="A1377" s="66"/>
      <c r="B1377" s="66"/>
      <c r="C1377" s="65"/>
      <c r="D1377" s="65"/>
      <c r="E1377" s="65"/>
      <c r="F1377" s="23"/>
      <c r="G1377" s="23"/>
    </row>
    <row r="1378" spans="1:7" x14ac:dyDescent="0.15">
      <c r="A1378" s="66"/>
      <c r="B1378" s="66"/>
      <c r="C1378" s="65"/>
      <c r="D1378" s="65"/>
      <c r="E1378" s="65"/>
      <c r="F1378" s="23"/>
      <c r="G1378" s="23"/>
    </row>
    <row r="1379" spans="1:7" x14ac:dyDescent="0.15">
      <c r="A1379" s="66"/>
      <c r="B1379" s="66"/>
      <c r="C1379" s="65"/>
      <c r="D1379" s="65"/>
      <c r="E1379" s="65"/>
      <c r="F1379" s="23"/>
      <c r="G1379" s="23"/>
    </row>
    <row r="1380" spans="1:7" x14ac:dyDescent="0.15">
      <c r="A1380" s="66"/>
      <c r="B1380" s="66"/>
      <c r="C1380" s="65"/>
      <c r="D1380" s="65"/>
      <c r="E1380" s="65"/>
      <c r="F1380" s="23"/>
      <c r="G1380" s="23"/>
    </row>
    <row r="1381" spans="1:7" x14ac:dyDescent="0.15">
      <c r="A1381" s="66"/>
      <c r="B1381" s="66"/>
      <c r="C1381" s="65"/>
      <c r="D1381" s="65"/>
      <c r="E1381" s="65"/>
      <c r="F1381" s="23"/>
      <c r="G1381" s="23"/>
    </row>
    <row r="1382" spans="1:7" x14ac:dyDescent="0.15">
      <c r="A1382" s="66"/>
      <c r="B1382" s="66"/>
      <c r="C1382" s="65"/>
      <c r="D1382" s="65"/>
      <c r="E1382" s="65"/>
      <c r="F1382" s="23"/>
      <c r="G1382" s="23"/>
    </row>
    <row r="1383" spans="1:7" x14ac:dyDescent="0.15">
      <c r="A1383" s="66"/>
      <c r="B1383" s="66"/>
      <c r="C1383" s="65"/>
      <c r="D1383" s="65"/>
      <c r="E1383" s="65"/>
      <c r="F1383" s="23"/>
      <c r="G1383" s="23"/>
    </row>
    <row r="1384" spans="1:7" x14ac:dyDescent="0.15">
      <c r="A1384" s="66"/>
      <c r="B1384" s="66"/>
      <c r="C1384" s="65"/>
      <c r="D1384" s="65"/>
      <c r="E1384" s="65"/>
      <c r="F1384" s="23"/>
      <c r="G1384" s="23"/>
    </row>
    <row r="1385" spans="1:7" x14ac:dyDescent="0.15">
      <c r="A1385" s="66"/>
      <c r="B1385" s="66"/>
      <c r="C1385" s="65"/>
      <c r="D1385" s="65"/>
      <c r="E1385" s="65"/>
      <c r="F1385" s="23"/>
      <c r="G1385" s="23"/>
    </row>
    <row r="1386" spans="1:7" x14ac:dyDescent="0.15">
      <c r="A1386" s="66"/>
      <c r="B1386" s="66"/>
      <c r="C1386" s="65"/>
      <c r="D1386" s="65"/>
      <c r="E1386" s="65"/>
      <c r="F1386" s="23"/>
      <c r="G1386" s="23"/>
    </row>
    <row r="1387" spans="1:7" x14ac:dyDescent="0.15">
      <c r="A1387" s="66"/>
      <c r="B1387" s="66"/>
      <c r="C1387" s="65"/>
      <c r="D1387" s="65"/>
      <c r="E1387" s="65"/>
      <c r="F1387" s="23"/>
      <c r="G1387" s="23"/>
    </row>
    <row r="1388" spans="1:7" x14ac:dyDescent="0.15">
      <c r="A1388" s="66"/>
      <c r="B1388" s="66"/>
      <c r="C1388" s="65"/>
      <c r="D1388" s="65"/>
      <c r="E1388" s="65"/>
      <c r="F1388" s="23"/>
      <c r="G1388" s="23"/>
    </row>
    <row r="1389" spans="1:7" x14ac:dyDescent="0.15">
      <c r="A1389" s="66"/>
      <c r="B1389" s="66"/>
      <c r="C1389" s="65"/>
      <c r="D1389" s="65"/>
      <c r="E1389" s="65"/>
      <c r="F1389" s="23"/>
      <c r="G1389" s="23"/>
    </row>
    <row r="1390" spans="1:7" x14ac:dyDescent="0.15">
      <c r="A1390" s="66"/>
      <c r="B1390" s="66"/>
      <c r="C1390" s="65"/>
      <c r="D1390" s="65"/>
      <c r="E1390" s="65"/>
      <c r="F1390" s="23"/>
      <c r="G1390" s="23"/>
    </row>
    <row r="1391" spans="1:7" x14ac:dyDescent="0.15">
      <c r="A1391" s="66"/>
      <c r="B1391" s="66"/>
      <c r="C1391" s="65"/>
      <c r="D1391" s="65"/>
      <c r="E1391" s="65"/>
      <c r="F1391" s="23"/>
      <c r="G1391" s="23"/>
    </row>
    <row r="1392" spans="1:7" x14ac:dyDescent="0.15">
      <c r="A1392" s="66"/>
      <c r="B1392" s="66"/>
      <c r="C1392" s="65"/>
      <c r="D1392" s="65"/>
      <c r="E1392" s="65"/>
      <c r="F1392" s="23"/>
      <c r="G1392" s="23"/>
    </row>
    <row r="1393" spans="1:7" x14ac:dyDescent="0.15">
      <c r="A1393" s="66"/>
      <c r="B1393" s="66"/>
      <c r="C1393" s="65"/>
      <c r="D1393" s="65"/>
      <c r="E1393" s="65"/>
      <c r="F1393" s="23"/>
      <c r="G1393" s="23"/>
    </row>
    <row r="1394" spans="1:7" x14ac:dyDescent="0.15">
      <c r="A1394" s="66"/>
      <c r="B1394" s="66"/>
      <c r="C1394" s="65"/>
      <c r="D1394" s="65"/>
      <c r="E1394" s="65"/>
      <c r="F1394" s="23"/>
      <c r="G1394" s="23"/>
    </row>
    <row r="1395" spans="1:7" x14ac:dyDescent="0.15">
      <c r="A1395" s="66"/>
      <c r="B1395" s="66"/>
      <c r="C1395" s="65"/>
      <c r="D1395" s="65"/>
      <c r="E1395" s="65"/>
      <c r="F1395" s="23"/>
      <c r="G1395" s="23"/>
    </row>
    <row r="1396" spans="1:7" x14ac:dyDescent="0.15">
      <c r="A1396" s="66"/>
      <c r="B1396" s="66"/>
      <c r="C1396" s="65"/>
      <c r="D1396" s="65"/>
      <c r="E1396" s="65"/>
      <c r="F1396" s="23"/>
      <c r="G1396" s="23"/>
    </row>
    <row r="1397" spans="1:7" x14ac:dyDescent="0.15">
      <c r="A1397" s="66"/>
      <c r="B1397" s="66"/>
      <c r="C1397" s="65"/>
      <c r="D1397" s="65"/>
      <c r="E1397" s="65"/>
      <c r="F1397" s="23"/>
      <c r="G1397" s="23"/>
    </row>
    <row r="1398" spans="1:7" x14ac:dyDescent="0.15">
      <c r="A1398" s="66"/>
      <c r="B1398" s="66"/>
      <c r="C1398" s="65"/>
      <c r="D1398" s="65"/>
      <c r="E1398" s="65"/>
      <c r="F1398" s="23"/>
      <c r="G1398" s="23"/>
    </row>
    <row r="1399" spans="1:7" x14ac:dyDescent="0.15">
      <c r="A1399" s="66"/>
      <c r="B1399" s="66"/>
      <c r="C1399" s="65"/>
      <c r="D1399" s="65"/>
      <c r="E1399" s="65"/>
      <c r="F1399" s="23"/>
      <c r="G1399" s="23"/>
    </row>
    <row r="1400" spans="1:7" x14ac:dyDescent="0.15">
      <c r="A1400" s="66"/>
      <c r="B1400" s="66"/>
      <c r="C1400" s="65"/>
      <c r="D1400" s="65"/>
      <c r="E1400" s="65"/>
      <c r="F1400" s="23"/>
      <c r="G1400" s="23"/>
    </row>
    <row r="1401" spans="1:7" x14ac:dyDescent="0.15">
      <c r="A1401" s="66"/>
      <c r="B1401" s="66"/>
      <c r="C1401" s="65"/>
      <c r="D1401" s="65"/>
      <c r="E1401" s="65"/>
      <c r="F1401" s="23"/>
      <c r="G1401" s="23"/>
    </row>
    <row r="1402" spans="1:7" x14ac:dyDescent="0.15">
      <c r="A1402" s="66"/>
      <c r="B1402" s="66"/>
      <c r="C1402" s="65"/>
      <c r="D1402" s="65"/>
      <c r="E1402" s="65"/>
      <c r="F1402" s="23"/>
      <c r="G1402" s="23"/>
    </row>
    <row r="1403" spans="1:7" x14ac:dyDescent="0.15">
      <c r="A1403" s="66"/>
      <c r="B1403" s="66"/>
      <c r="C1403" s="65"/>
      <c r="D1403" s="65"/>
      <c r="E1403" s="65"/>
      <c r="F1403" s="23"/>
      <c r="G1403" s="23"/>
    </row>
    <row r="1404" spans="1:7" x14ac:dyDescent="0.15">
      <c r="A1404" s="66"/>
      <c r="B1404" s="66"/>
      <c r="C1404" s="65"/>
      <c r="D1404" s="65"/>
      <c r="E1404" s="65"/>
      <c r="F1404" s="23"/>
      <c r="G1404" s="23"/>
    </row>
    <row r="1405" spans="1:7" x14ac:dyDescent="0.15">
      <c r="A1405" s="66"/>
      <c r="B1405" s="66"/>
      <c r="C1405" s="65"/>
      <c r="D1405" s="65"/>
      <c r="E1405" s="65"/>
      <c r="F1405" s="23"/>
      <c r="G1405" s="23"/>
    </row>
    <row r="1406" spans="1:7" x14ac:dyDescent="0.15">
      <c r="A1406" s="66"/>
      <c r="B1406" s="66"/>
      <c r="C1406" s="65"/>
      <c r="D1406" s="65"/>
      <c r="E1406" s="65"/>
      <c r="F1406" s="23"/>
      <c r="G1406" s="23"/>
    </row>
    <row r="1407" spans="1:7" x14ac:dyDescent="0.15">
      <c r="A1407" s="66"/>
      <c r="B1407" s="66"/>
      <c r="C1407" s="65"/>
      <c r="D1407" s="65"/>
      <c r="E1407" s="65"/>
      <c r="F1407" s="23"/>
      <c r="G1407" s="23"/>
    </row>
    <row r="1408" spans="1:7" x14ac:dyDescent="0.15">
      <c r="A1408" s="66"/>
      <c r="B1408" s="66"/>
      <c r="C1408" s="65"/>
      <c r="D1408" s="65"/>
      <c r="E1408" s="65"/>
      <c r="F1408" s="23"/>
      <c r="G1408" s="23"/>
    </row>
    <row r="1409" spans="1:7" x14ac:dyDescent="0.15">
      <c r="A1409" s="66"/>
      <c r="B1409" s="66"/>
      <c r="C1409" s="65"/>
      <c r="D1409" s="65"/>
      <c r="E1409" s="65"/>
      <c r="F1409" s="23"/>
      <c r="G1409" s="23"/>
    </row>
    <row r="1410" spans="1:7" x14ac:dyDescent="0.15">
      <c r="A1410" s="66"/>
      <c r="B1410" s="66"/>
      <c r="C1410" s="65"/>
      <c r="D1410" s="65"/>
      <c r="E1410" s="65"/>
      <c r="F1410" s="23"/>
      <c r="G1410" s="23"/>
    </row>
    <row r="1411" spans="1:7" x14ac:dyDescent="0.15">
      <c r="A1411" s="66"/>
      <c r="B1411" s="66"/>
      <c r="C1411" s="65"/>
      <c r="D1411" s="65"/>
      <c r="E1411" s="65"/>
      <c r="F1411" s="23"/>
      <c r="G1411" s="23"/>
    </row>
    <row r="1412" spans="1:7" x14ac:dyDescent="0.15">
      <c r="A1412" s="66"/>
      <c r="B1412" s="66"/>
      <c r="C1412" s="65"/>
      <c r="D1412" s="65"/>
      <c r="E1412" s="65"/>
      <c r="F1412" s="23"/>
      <c r="G1412" s="23"/>
    </row>
    <row r="1413" spans="1:7" x14ac:dyDescent="0.15">
      <c r="A1413" s="66"/>
      <c r="B1413" s="66"/>
      <c r="C1413" s="65"/>
      <c r="D1413" s="65"/>
      <c r="E1413" s="65"/>
      <c r="F1413" s="23"/>
      <c r="G1413" s="23"/>
    </row>
    <row r="1414" spans="1:7" x14ac:dyDescent="0.15">
      <c r="A1414" s="66"/>
      <c r="B1414" s="66"/>
      <c r="C1414" s="65"/>
      <c r="D1414" s="65"/>
      <c r="E1414" s="65"/>
      <c r="F1414" s="23"/>
      <c r="G1414" s="23"/>
    </row>
    <row r="1415" spans="1:7" x14ac:dyDescent="0.15">
      <c r="A1415" s="66"/>
      <c r="B1415" s="66"/>
      <c r="C1415" s="65"/>
      <c r="D1415" s="65"/>
      <c r="E1415" s="65"/>
      <c r="F1415" s="23"/>
      <c r="G1415" s="23"/>
    </row>
    <row r="1416" spans="1:7" x14ac:dyDescent="0.15">
      <c r="A1416" s="66"/>
      <c r="B1416" s="66"/>
      <c r="C1416" s="65"/>
      <c r="D1416" s="65"/>
      <c r="E1416" s="65"/>
      <c r="F1416" s="23"/>
      <c r="G1416" s="23"/>
    </row>
    <row r="1417" spans="1:7" x14ac:dyDescent="0.15">
      <c r="A1417" s="66"/>
      <c r="B1417" s="66"/>
      <c r="C1417" s="65"/>
      <c r="D1417" s="65"/>
      <c r="E1417" s="65"/>
      <c r="F1417" s="23"/>
      <c r="G1417" s="23"/>
    </row>
    <row r="1418" spans="1:7" x14ac:dyDescent="0.15">
      <c r="A1418" s="66"/>
      <c r="B1418" s="66"/>
      <c r="C1418" s="65"/>
      <c r="D1418" s="65"/>
      <c r="E1418" s="65"/>
      <c r="F1418" s="23"/>
      <c r="G1418" s="23"/>
    </row>
    <row r="1419" spans="1:7" x14ac:dyDescent="0.15">
      <c r="A1419" s="66"/>
      <c r="B1419" s="66"/>
      <c r="C1419" s="65"/>
      <c r="D1419" s="65"/>
      <c r="E1419" s="65"/>
      <c r="F1419" s="23"/>
      <c r="G1419" s="23"/>
    </row>
    <row r="1420" spans="1:7" x14ac:dyDescent="0.15">
      <c r="A1420" s="66"/>
      <c r="B1420" s="66"/>
      <c r="C1420" s="65"/>
      <c r="D1420" s="65"/>
      <c r="E1420" s="65"/>
      <c r="F1420" s="23"/>
      <c r="G1420" s="23"/>
    </row>
    <row r="1421" spans="1:7" x14ac:dyDescent="0.15">
      <c r="A1421" s="66"/>
      <c r="B1421" s="66"/>
      <c r="C1421" s="65"/>
      <c r="D1421" s="65"/>
      <c r="E1421" s="65"/>
      <c r="F1421" s="23"/>
      <c r="G1421" s="23"/>
    </row>
    <row r="1422" spans="1:7" x14ac:dyDescent="0.15">
      <c r="A1422" s="66"/>
      <c r="B1422" s="66"/>
      <c r="C1422" s="65"/>
      <c r="D1422" s="65"/>
      <c r="E1422" s="65"/>
      <c r="F1422" s="23"/>
      <c r="G1422" s="23"/>
    </row>
    <row r="1423" spans="1:7" x14ac:dyDescent="0.15">
      <c r="A1423" s="66"/>
      <c r="B1423" s="66"/>
      <c r="C1423" s="65"/>
      <c r="D1423" s="65"/>
      <c r="E1423" s="65"/>
      <c r="F1423" s="23"/>
      <c r="G1423" s="23"/>
    </row>
    <row r="1424" spans="1:7" x14ac:dyDescent="0.15">
      <c r="A1424" s="66"/>
      <c r="B1424" s="66"/>
      <c r="C1424" s="65"/>
      <c r="D1424" s="65"/>
      <c r="E1424" s="65"/>
      <c r="F1424" s="23"/>
      <c r="G1424" s="23"/>
    </row>
    <row r="1425" spans="1:7" x14ac:dyDescent="0.15">
      <c r="A1425" s="66"/>
      <c r="B1425" s="66"/>
      <c r="C1425" s="65"/>
      <c r="D1425" s="65"/>
      <c r="E1425" s="65"/>
      <c r="F1425" s="23"/>
      <c r="G1425" s="23"/>
    </row>
    <row r="1426" spans="1:7" x14ac:dyDescent="0.15">
      <c r="A1426" s="66"/>
      <c r="B1426" s="66"/>
      <c r="C1426" s="65"/>
      <c r="D1426" s="65"/>
      <c r="E1426" s="65"/>
      <c r="F1426" s="23"/>
      <c r="G1426" s="23"/>
    </row>
    <row r="1427" spans="1:7" x14ac:dyDescent="0.15">
      <c r="A1427" s="66"/>
      <c r="B1427" s="66"/>
      <c r="C1427" s="65"/>
      <c r="D1427" s="65"/>
      <c r="E1427" s="65"/>
      <c r="F1427" s="23"/>
      <c r="G1427" s="23"/>
    </row>
    <row r="1428" spans="1:7" x14ac:dyDescent="0.15">
      <c r="A1428" s="66"/>
      <c r="B1428" s="66"/>
      <c r="C1428" s="65"/>
      <c r="D1428" s="65"/>
      <c r="E1428" s="65"/>
      <c r="F1428" s="23"/>
      <c r="G1428" s="23"/>
    </row>
    <row r="1429" spans="1:7" x14ac:dyDescent="0.15">
      <c r="A1429" s="66"/>
      <c r="B1429" s="66"/>
      <c r="C1429" s="65"/>
      <c r="D1429" s="65"/>
      <c r="E1429" s="65"/>
      <c r="F1429" s="23"/>
      <c r="G1429" s="23"/>
    </row>
    <row r="1430" spans="1:7" x14ac:dyDescent="0.15">
      <c r="A1430" s="66"/>
      <c r="B1430" s="66"/>
      <c r="C1430" s="65"/>
      <c r="D1430" s="65"/>
      <c r="E1430" s="65"/>
      <c r="F1430" s="23"/>
      <c r="G1430" s="23"/>
    </row>
    <row r="1431" spans="1:7" x14ac:dyDescent="0.15">
      <c r="A1431" s="66"/>
      <c r="B1431" s="66"/>
      <c r="C1431" s="65"/>
      <c r="D1431" s="65"/>
      <c r="E1431" s="65"/>
      <c r="F1431" s="23"/>
      <c r="G1431" s="23"/>
    </row>
    <row r="1432" spans="1:7" x14ac:dyDescent="0.15">
      <c r="A1432" s="66"/>
      <c r="B1432" s="66"/>
      <c r="C1432" s="65"/>
      <c r="D1432" s="65"/>
      <c r="E1432" s="65"/>
      <c r="F1432" s="23"/>
      <c r="G1432" s="23"/>
    </row>
    <row r="1433" spans="1:7" x14ac:dyDescent="0.15">
      <c r="A1433" s="66"/>
      <c r="B1433" s="66"/>
      <c r="C1433" s="65"/>
      <c r="D1433" s="65"/>
      <c r="E1433" s="65"/>
      <c r="F1433" s="23"/>
      <c r="G1433" s="23"/>
    </row>
    <row r="1434" spans="1:7" x14ac:dyDescent="0.15">
      <c r="A1434" s="66"/>
      <c r="B1434" s="66"/>
      <c r="C1434" s="65"/>
      <c r="D1434" s="65"/>
      <c r="E1434" s="65"/>
      <c r="F1434" s="23"/>
      <c r="G1434" s="23"/>
    </row>
    <row r="1435" spans="1:7" x14ac:dyDescent="0.15">
      <c r="A1435" s="66"/>
      <c r="B1435" s="66"/>
      <c r="C1435" s="65"/>
      <c r="D1435" s="65"/>
      <c r="E1435" s="65"/>
      <c r="F1435" s="23"/>
      <c r="G1435" s="23"/>
    </row>
    <row r="1436" spans="1:7" x14ac:dyDescent="0.15">
      <c r="A1436" s="66"/>
      <c r="B1436" s="66"/>
      <c r="C1436" s="65"/>
      <c r="D1436" s="65"/>
      <c r="E1436" s="65"/>
      <c r="F1436" s="23"/>
      <c r="G1436" s="23"/>
    </row>
    <row r="1437" spans="1:7" x14ac:dyDescent="0.15">
      <c r="A1437" s="66"/>
      <c r="B1437" s="66"/>
      <c r="C1437" s="65"/>
      <c r="D1437" s="65"/>
      <c r="E1437" s="65"/>
      <c r="F1437" s="23"/>
      <c r="G1437" s="23"/>
    </row>
    <row r="1438" spans="1:7" x14ac:dyDescent="0.15">
      <c r="A1438" s="66"/>
      <c r="B1438" s="66"/>
      <c r="C1438" s="23"/>
      <c r="D1438" s="23"/>
      <c r="E1438" s="23"/>
      <c r="F1438" s="23"/>
      <c r="G1438" s="23"/>
    </row>
    <row r="1439" spans="1:7" x14ac:dyDescent="0.15">
      <c r="A1439" s="66"/>
      <c r="B1439" s="66"/>
      <c r="C1439" s="23"/>
      <c r="D1439" s="23"/>
      <c r="E1439" s="23"/>
      <c r="F1439" s="23"/>
      <c r="G1439" s="23"/>
    </row>
    <row r="1440" spans="1:7" x14ac:dyDescent="0.15">
      <c r="A1440" s="66"/>
      <c r="B1440" s="66"/>
      <c r="C1440" s="23"/>
      <c r="D1440" s="23"/>
      <c r="E1440" s="23"/>
      <c r="F1440" s="23"/>
      <c r="G1440" s="23"/>
    </row>
    <row r="1441" spans="1:7" x14ac:dyDescent="0.15">
      <c r="A1441" s="66"/>
      <c r="B1441" s="66"/>
      <c r="C1441" s="23"/>
      <c r="D1441" s="23"/>
      <c r="E1441" s="23"/>
      <c r="F1441" s="23"/>
      <c r="G1441" s="23"/>
    </row>
    <row r="1442" spans="1:7" x14ac:dyDescent="0.15">
      <c r="A1442" s="66"/>
      <c r="B1442" s="66"/>
      <c r="C1442" s="23"/>
      <c r="D1442" s="23"/>
      <c r="E1442" s="23"/>
      <c r="F1442" s="23"/>
      <c r="G1442" s="23"/>
    </row>
    <row r="1443" spans="1:7" x14ac:dyDescent="0.15">
      <c r="A1443" s="66"/>
      <c r="B1443" s="66"/>
      <c r="C1443" s="23"/>
      <c r="D1443" s="23"/>
      <c r="E1443" s="23"/>
      <c r="F1443" s="23"/>
      <c r="G1443" s="23"/>
    </row>
    <row r="1444" spans="1:7" x14ac:dyDescent="0.15">
      <c r="A1444" s="66"/>
      <c r="B1444" s="66"/>
      <c r="C1444" s="23"/>
      <c r="D1444" s="23"/>
      <c r="E1444" s="23"/>
      <c r="F1444" s="23"/>
      <c r="G1444" s="23"/>
    </row>
    <row r="1445" spans="1:7" x14ac:dyDescent="0.15">
      <c r="A1445" s="66"/>
      <c r="B1445" s="66"/>
      <c r="C1445" s="23"/>
      <c r="D1445" s="23"/>
      <c r="E1445" s="23"/>
      <c r="F1445" s="23"/>
      <c r="G1445" s="23"/>
    </row>
    <row r="1446" spans="1:7" x14ac:dyDescent="0.15">
      <c r="A1446" s="66"/>
      <c r="B1446" s="66"/>
      <c r="C1446" s="23"/>
      <c r="D1446" s="23"/>
      <c r="E1446" s="23"/>
      <c r="F1446" s="23"/>
      <c r="G1446" s="23"/>
    </row>
    <row r="1447" spans="1:7" x14ac:dyDescent="0.15">
      <c r="A1447" s="66"/>
      <c r="B1447" s="66"/>
      <c r="C1447" s="23"/>
      <c r="D1447" s="23"/>
      <c r="E1447" s="23"/>
      <c r="F1447" s="23"/>
      <c r="G1447" s="23"/>
    </row>
    <row r="1448" spans="1:7" x14ac:dyDescent="0.15">
      <c r="A1448" s="66"/>
      <c r="B1448" s="66"/>
      <c r="C1448" s="23"/>
      <c r="D1448" s="23"/>
      <c r="E1448" s="23"/>
      <c r="F1448" s="23"/>
      <c r="G1448" s="23"/>
    </row>
    <row r="1449" spans="1:7" x14ac:dyDescent="0.15">
      <c r="A1449" s="66"/>
      <c r="B1449" s="66"/>
      <c r="C1449" s="23"/>
      <c r="D1449" s="23"/>
      <c r="E1449" s="23"/>
      <c r="F1449" s="23"/>
      <c r="G1449" s="23"/>
    </row>
    <row r="1450" spans="1:7" x14ac:dyDescent="0.15">
      <c r="A1450" s="66"/>
      <c r="B1450" s="66"/>
      <c r="C1450" s="23"/>
      <c r="D1450" s="23"/>
      <c r="E1450" s="23"/>
      <c r="F1450" s="23"/>
      <c r="G1450" s="23"/>
    </row>
    <row r="1451" spans="1:7" x14ac:dyDescent="0.15">
      <c r="A1451" s="66"/>
      <c r="B1451" s="66"/>
      <c r="C1451" s="23"/>
      <c r="D1451" s="23"/>
      <c r="E1451" s="23"/>
      <c r="F1451" s="23"/>
      <c r="G1451" s="23"/>
    </row>
    <row r="1452" spans="1:7" x14ac:dyDescent="0.15">
      <c r="A1452" s="66"/>
      <c r="B1452" s="66"/>
      <c r="C1452" s="23"/>
      <c r="D1452" s="23"/>
      <c r="E1452" s="23"/>
      <c r="F1452" s="23"/>
      <c r="G1452" s="23"/>
    </row>
    <row r="1453" spans="1:7" x14ac:dyDescent="0.15">
      <c r="A1453" s="66"/>
      <c r="B1453" s="66"/>
      <c r="C1453" s="23"/>
      <c r="D1453" s="23"/>
      <c r="E1453" s="23"/>
      <c r="F1453" s="23"/>
      <c r="G1453" s="23"/>
    </row>
    <row r="1454" spans="1:7" x14ac:dyDescent="0.15">
      <c r="A1454" s="66"/>
      <c r="B1454" s="66"/>
      <c r="C1454" s="23"/>
      <c r="D1454" s="23"/>
      <c r="E1454" s="23"/>
      <c r="F1454" s="23"/>
      <c r="G1454" s="23"/>
    </row>
    <row r="1455" spans="1:7" x14ac:dyDescent="0.15">
      <c r="A1455" s="66"/>
      <c r="B1455" s="66"/>
      <c r="C1455" s="23"/>
      <c r="D1455" s="23"/>
      <c r="E1455" s="23"/>
      <c r="F1455" s="23"/>
      <c r="G1455" s="23"/>
    </row>
    <row r="1456" spans="1:7" x14ac:dyDescent="0.15">
      <c r="A1456" s="66"/>
      <c r="B1456" s="66"/>
      <c r="C1456" s="23"/>
      <c r="D1456" s="23"/>
      <c r="E1456" s="23"/>
      <c r="F1456" s="23"/>
      <c r="G1456" s="23"/>
    </row>
    <row r="1457" spans="1:7" x14ac:dyDescent="0.15">
      <c r="A1457" s="66"/>
      <c r="B1457" s="66"/>
      <c r="C1457" s="23"/>
      <c r="D1457" s="23"/>
      <c r="E1457" s="23"/>
      <c r="F1457" s="23"/>
      <c r="G1457" s="23"/>
    </row>
    <row r="1458" spans="1:7" x14ac:dyDescent="0.15">
      <c r="A1458" s="66"/>
      <c r="B1458" s="66"/>
      <c r="C1458" s="23"/>
      <c r="D1458" s="23"/>
      <c r="E1458" s="23"/>
      <c r="F1458" s="23"/>
      <c r="G1458" s="23"/>
    </row>
    <row r="1459" spans="1:7" x14ac:dyDescent="0.15">
      <c r="A1459" s="66"/>
      <c r="B1459" s="66"/>
      <c r="C1459" s="23"/>
      <c r="D1459" s="23"/>
      <c r="E1459" s="23"/>
      <c r="F1459" s="23"/>
      <c r="G1459" s="23"/>
    </row>
    <row r="1460" spans="1:7" x14ac:dyDescent="0.15">
      <c r="A1460" s="66"/>
      <c r="B1460" s="66"/>
      <c r="C1460" s="23"/>
      <c r="D1460" s="23"/>
      <c r="E1460" s="23"/>
      <c r="F1460" s="23"/>
      <c r="G1460" s="23"/>
    </row>
    <row r="1461" spans="1:7" x14ac:dyDescent="0.15">
      <c r="A1461" s="66"/>
      <c r="B1461" s="66"/>
      <c r="C1461" s="23"/>
      <c r="D1461" s="23"/>
      <c r="E1461" s="23"/>
      <c r="F1461" s="23"/>
      <c r="G1461" s="23"/>
    </row>
    <row r="1462" spans="1:7" x14ac:dyDescent="0.15">
      <c r="A1462" s="66"/>
      <c r="B1462" s="66"/>
      <c r="C1462" s="23"/>
      <c r="D1462" s="23"/>
      <c r="E1462" s="23"/>
      <c r="F1462" s="23"/>
      <c r="G1462" s="23"/>
    </row>
    <row r="1463" spans="1:7" x14ac:dyDescent="0.15">
      <c r="A1463" s="66"/>
      <c r="B1463" s="66"/>
      <c r="C1463" s="23"/>
      <c r="D1463" s="23"/>
      <c r="E1463" s="23"/>
      <c r="F1463" s="23"/>
      <c r="G1463" s="23"/>
    </row>
    <row r="1464" spans="1:7" x14ac:dyDescent="0.15">
      <c r="A1464" s="66"/>
      <c r="B1464" s="66"/>
      <c r="C1464" s="23"/>
      <c r="D1464" s="23"/>
      <c r="E1464" s="23"/>
      <c r="F1464" s="23"/>
      <c r="G1464" s="23"/>
    </row>
    <row r="1465" spans="1:7" x14ac:dyDescent="0.15">
      <c r="A1465" s="66"/>
      <c r="B1465" s="66"/>
      <c r="C1465" s="23"/>
      <c r="D1465" s="23"/>
      <c r="E1465" s="23"/>
      <c r="F1465" s="23"/>
      <c r="G1465" s="23"/>
    </row>
    <row r="1466" spans="1:7" x14ac:dyDescent="0.15">
      <c r="A1466" s="66"/>
      <c r="B1466" s="66"/>
      <c r="C1466" s="23"/>
      <c r="D1466" s="23"/>
      <c r="E1466" s="23"/>
      <c r="F1466" s="23"/>
      <c r="G1466" s="23"/>
    </row>
    <row r="1467" spans="1:7" x14ac:dyDescent="0.15">
      <c r="A1467" s="66"/>
      <c r="B1467" s="66"/>
      <c r="C1467" s="23"/>
      <c r="D1467" s="23"/>
      <c r="E1467" s="23"/>
      <c r="F1467" s="23"/>
      <c r="G1467" s="23"/>
    </row>
    <row r="1468" spans="1:7" x14ac:dyDescent="0.15">
      <c r="A1468" s="66"/>
      <c r="B1468" s="66"/>
      <c r="C1468" s="23"/>
      <c r="D1468" s="23"/>
      <c r="E1468" s="23"/>
      <c r="F1468" s="23"/>
      <c r="G1468" s="23"/>
    </row>
    <row r="1469" spans="1:7" x14ac:dyDescent="0.15">
      <c r="A1469" s="66"/>
      <c r="B1469" s="66"/>
      <c r="C1469" s="23"/>
      <c r="D1469" s="23"/>
      <c r="E1469" s="23"/>
      <c r="F1469" s="23"/>
      <c r="G1469" s="23"/>
    </row>
    <row r="1470" spans="1:7" x14ac:dyDescent="0.15">
      <c r="A1470" s="66"/>
      <c r="B1470" s="66"/>
      <c r="C1470" s="23"/>
      <c r="D1470" s="23"/>
      <c r="E1470" s="23"/>
      <c r="F1470" s="23"/>
      <c r="G1470" s="23"/>
    </row>
    <row r="1471" spans="1:7" x14ac:dyDescent="0.15">
      <c r="A1471" s="66"/>
      <c r="B1471" s="66"/>
      <c r="C1471" s="23"/>
      <c r="D1471" s="23"/>
      <c r="E1471" s="23"/>
      <c r="F1471" s="23"/>
      <c r="G1471" s="23"/>
    </row>
    <row r="1472" spans="1:7" x14ac:dyDescent="0.15">
      <c r="A1472" s="66"/>
      <c r="B1472" s="66"/>
      <c r="C1472" s="23"/>
      <c r="D1472" s="23"/>
      <c r="E1472" s="23"/>
      <c r="F1472" s="23"/>
      <c r="G1472" s="23"/>
    </row>
    <row r="1473" spans="1:7" x14ac:dyDescent="0.15">
      <c r="A1473" s="66"/>
      <c r="B1473" s="66"/>
      <c r="C1473" s="23"/>
      <c r="D1473" s="23"/>
      <c r="E1473" s="23"/>
      <c r="F1473" s="23"/>
      <c r="G1473" s="23"/>
    </row>
    <row r="1474" spans="1:7" x14ac:dyDescent="0.15">
      <c r="A1474" s="66"/>
      <c r="B1474" s="66"/>
      <c r="C1474" s="23"/>
      <c r="D1474" s="23"/>
      <c r="E1474" s="23"/>
      <c r="F1474" s="23"/>
      <c r="G1474" s="23"/>
    </row>
    <row r="1475" spans="1:7" x14ac:dyDescent="0.15">
      <c r="A1475" s="66"/>
      <c r="B1475" s="66"/>
      <c r="C1475" s="23"/>
      <c r="D1475" s="23"/>
      <c r="E1475" s="23"/>
      <c r="F1475" s="23"/>
      <c r="G1475" s="23"/>
    </row>
    <row r="1476" spans="1:7" x14ac:dyDescent="0.15">
      <c r="A1476" s="66"/>
      <c r="B1476" s="66"/>
      <c r="C1476" s="23"/>
      <c r="D1476" s="23"/>
      <c r="E1476" s="23"/>
      <c r="F1476" s="23"/>
      <c r="G1476" s="23"/>
    </row>
    <row r="1477" spans="1:7" x14ac:dyDescent="0.15">
      <c r="A1477" s="66"/>
      <c r="B1477" s="66"/>
      <c r="C1477" s="23"/>
      <c r="D1477" s="23"/>
      <c r="E1477" s="23"/>
      <c r="F1477" s="23"/>
      <c r="G1477" s="23"/>
    </row>
    <row r="1478" spans="1:7" x14ac:dyDescent="0.15">
      <c r="A1478" s="66"/>
      <c r="B1478" s="66"/>
      <c r="C1478" s="23"/>
      <c r="D1478" s="23"/>
      <c r="E1478" s="23"/>
      <c r="F1478" s="23"/>
      <c r="G1478" s="23"/>
    </row>
    <row r="1479" spans="1:7" x14ac:dyDescent="0.15">
      <c r="A1479" s="66"/>
      <c r="B1479" s="66"/>
      <c r="C1479" s="23"/>
      <c r="D1479" s="23"/>
      <c r="E1479" s="23"/>
      <c r="F1479" s="23"/>
      <c r="G1479" s="23"/>
    </row>
    <row r="1480" spans="1:7" x14ac:dyDescent="0.15">
      <c r="A1480" s="66"/>
      <c r="B1480" s="66"/>
      <c r="C1480" s="23"/>
      <c r="D1480" s="23"/>
      <c r="E1480" s="23"/>
      <c r="F1480" s="23"/>
      <c r="G1480" s="23"/>
    </row>
    <row r="1481" spans="1:7" x14ac:dyDescent="0.15">
      <c r="A1481" s="66"/>
      <c r="B1481" s="66"/>
      <c r="C1481" s="23"/>
      <c r="D1481" s="23"/>
      <c r="E1481" s="23"/>
      <c r="F1481" s="23"/>
      <c r="G1481" s="23"/>
    </row>
    <row r="1482" spans="1:7" x14ac:dyDescent="0.15">
      <c r="A1482" s="66"/>
      <c r="B1482" s="66"/>
      <c r="C1482" s="23"/>
      <c r="D1482" s="23"/>
      <c r="E1482" s="23"/>
      <c r="F1482" s="23"/>
      <c r="G1482" s="23"/>
    </row>
    <row r="1483" spans="1:7" x14ac:dyDescent="0.15">
      <c r="A1483" s="66"/>
      <c r="B1483" s="66"/>
      <c r="C1483" s="23"/>
      <c r="D1483" s="23"/>
      <c r="E1483" s="23"/>
      <c r="F1483" s="23"/>
      <c r="G1483" s="23"/>
    </row>
    <row r="1484" spans="1:7" x14ac:dyDescent="0.15">
      <c r="A1484" s="66"/>
      <c r="B1484" s="66"/>
      <c r="C1484" s="23"/>
      <c r="D1484" s="23"/>
      <c r="E1484" s="23"/>
      <c r="F1484" s="23"/>
      <c r="G1484" s="23"/>
    </row>
    <row r="1485" spans="1:7" x14ac:dyDescent="0.15">
      <c r="A1485" s="66"/>
      <c r="B1485" s="66"/>
      <c r="C1485" s="23"/>
      <c r="D1485" s="23"/>
      <c r="E1485" s="23"/>
      <c r="F1485" s="23"/>
      <c r="G1485" s="23"/>
    </row>
    <row r="1486" spans="1:7" x14ac:dyDescent="0.15">
      <c r="A1486" s="66"/>
      <c r="B1486" s="66"/>
      <c r="C1486" s="23"/>
      <c r="D1486" s="23"/>
      <c r="E1486" s="23"/>
      <c r="F1486" s="23"/>
      <c r="G1486" s="23"/>
    </row>
    <row r="1487" spans="1:7" x14ac:dyDescent="0.15">
      <c r="A1487" s="66"/>
      <c r="B1487" s="66"/>
      <c r="C1487" s="23"/>
      <c r="D1487" s="23"/>
      <c r="E1487" s="23"/>
      <c r="F1487" s="23"/>
      <c r="G1487" s="23"/>
    </row>
    <row r="1488" spans="1:7" x14ac:dyDescent="0.15">
      <c r="A1488" s="66"/>
      <c r="B1488" s="66"/>
      <c r="C1488" s="23"/>
      <c r="D1488" s="23"/>
      <c r="E1488" s="23"/>
      <c r="F1488" s="23"/>
      <c r="G1488" s="23"/>
    </row>
    <row r="1489" spans="1:7" x14ac:dyDescent="0.15">
      <c r="A1489" s="66"/>
      <c r="B1489" s="66"/>
      <c r="C1489" s="23"/>
      <c r="D1489" s="23"/>
      <c r="E1489" s="23"/>
      <c r="F1489" s="23"/>
      <c r="G1489" s="23"/>
    </row>
    <row r="1490" spans="1:7" x14ac:dyDescent="0.15">
      <c r="A1490" s="66"/>
      <c r="B1490" s="66"/>
      <c r="C1490" s="23"/>
      <c r="D1490" s="23"/>
      <c r="E1490" s="23"/>
      <c r="F1490" s="23"/>
      <c r="G1490" s="23"/>
    </row>
    <row r="1491" spans="1:7" x14ac:dyDescent="0.15">
      <c r="A1491" s="66"/>
      <c r="B1491" s="66"/>
      <c r="C1491" s="23"/>
      <c r="D1491" s="23"/>
      <c r="E1491" s="23"/>
      <c r="F1491" s="23"/>
      <c r="G1491" s="23"/>
    </row>
    <row r="1492" spans="1:7" x14ac:dyDescent="0.15">
      <c r="A1492" s="66"/>
      <c r="B1492" s="66"/>
      <c r="C1492" s="23"/>
      <c r="D1492" s="23"/>
      <c r="E1492" s="23"/>
      <c r="F1492" s="23"/>
      <c r="G1492" s="23"/>
    </row>
    <row r="1493" spans="1:7" x14ac:dyDescent="0.15">
      <c r="A1493" s="66"/>
      <c r="B1493" s="66"/>
      <c r="C1493" s="23"/>
      <c r="D1493" s="23"/>
      <c r="E1493" s="23"/>
      <c r="F1493" s="23"/>
      <c r="G1493" s="23"/>
    </row>
    <row r="1494" spans="1:7" x14ac:dyDescent="0.15">
      <c r="A1494" s="66"/>
      <c r="B1494" s="66"/>
      <c r="C1494" s="23"/>
      <c r="D1494" s="23"/>
      <c r="E1494" s="23"/>
      <c r="F1494" s="23"/>
      <c r="G1494" s="23"/>
    </row>
    <row r="1495" spans="1:7" x14ac:dyDescent="0.15">
      <c r="A1495" s="66"/>
      <c r="B1495" s="66"/>
      <c r="C1495" s="23"/>
      <c r="D1495" s="23"/>
      <c r="E1495" s="23"/>
      <c r="F1495" s="23"/>
      <c r="G1495" s="23"/>
    </row>
    <row r="1496" spans="1:7" x14ac:dyDescent="0.15">
      <c r="A1496" s="66"/>
      <c r="B1496" s="66"/>
      <c r="C1496" s="23"/>
      <c r="D1496" s="23"/>
      <c r="E1496" s="23"/>
      <c r="F1496" s="23"/>
      <c r="G1496" s="23"/>
    </row>
    <row r="1497" spans="1:7" x14ac:dyDescent="0.15">
      <c r="A1497" s="66"/>
      <c r="B1497" s="66"/>
      <c r="C1497" s="23"/>
      <c r="D1497" s="23"/>
      <c r="E1497" s="23"/>
      <c r="F1497" s="23"/>
      <c r="G1497" s="23"/>
    </row>
    <row r="1498" spans="1:7" x14ac:dyDescent="0.15">
      <c r="A1498" s="66"/>
      <c r="B1498" s="66"/>
      <c r="C1498" s="23"/>
      <c r="D1498" s="23"/>
      <c r="E1498" s="23"/>
      <c r="F1498" s="23"/>
      <c r="G1498" s="23"/>
    </row>
    <row r="1499" spans="1:7" x14ac:dyDescent="0.15">
      <c r="A1499" s="66"/>
      <c r="B1499" s="66"/>
      <c r="C1499" s="23"/>
      <c r="D1499" s="23"/>
      <c r="E1499" s="23"/>
      <c r="F1499" s="23"/>
      <c r="G1499" s="23"/>
    </row>
    <row r="1500" spans="1:7" x14ac:dyDescent="0.15">
      <c r="A1500" s="66"/>
      <c r="B1500" s="66"/>
      <c r="C1500" s="23"/>
      <c r="D1500" s="23"/>
      <c r="E1500" s="23"/>
      <c r="F1500" s="23"/>
      <c r="G1500" s="23"/>
    </row>
    <row r="1501" spans="1:7" x14ac:dyDescent="0.15">
      <c r="A1501" s="66"/>
      <c r="B1501" s="66"/>
      <c r="C1501" s="23"/>
      <c r="D1501" s="23"/>
      <c r="E1501" s="23"/>
      <c r="F1501" s="23"/>
      <c r="G1501" s="23"/>
    </row>
    <row r="1502" spans="1:7" x14ac:dyDescent="0.15">
      <c r="A1502" s="66"/>
      <c r="B1502" s="66"/>
      <c r="C1502" s="23"/>
      <c r="D1502" s="23"/>
      <c r="E1502" s="23"/>
      <c r="F1502" s="23"/>
      <c r="G1502" s="23"/>
    </row>
    <row r="1503" spans="1:7" x14ac:dyDescent="0.15">
      <c r="A1503" s="66"/>
      <c r="B1503" s="66"/>
      <c r="C1503" s="23"/>
      <c r="D1503" s="23"/>
      <c r="E1503" s="23"/>
      <c r="F1503" s="23"/>
      <c r="G1503" s="23"/>
    </row>
    <row r="1504" spans="1:7" x14ac:dyDescent="0.15">
      <c r="A1504" s="66"/>
      <c r="B1504" s="66"/>
      <c r="C1504" s="23"/>
      <c r="D1504" s="23"/>
      <c r="E1504" s="23"/>
      <c r="F1504" s="23"/>
      <c r="G1504" s="23"/>
    </row>
    <row r="1505" spans="1:7" x14ac:dyDescent="0.15">
      <c r="A1505" s="66"/>
      <c r="B1505" s="66"/>
      <c r="C1505" s="23"/>
      <c r="D1505" s="23"/>
      <c r="E1505" s="23"/>
      <c r="F1505" s="23"/>
      <c r="G1505" s="23"/>
    </row>
    <row r="1506" spans="1:7" x14ac:dyDescent="0.15">
      <c r="A1506" s="66"/>
      <c r="B1506" s="66"/>
      <c r="C1506" s="23"/>
      <c r="D1506" s="23"/>
      <c r="E1506" s="23"/>
      <c r="F1506" s="23"/>
      <c r="G1506" s="23"/>
    </row>
    <row r="1507" spans="1:7" x14ac:dyDescent="0.15">
      <c r="A1507" s="66"/>
      <c r="B1507" s="66"/>
      <c r="C1507" s="23"/>
      <c r="D1507" s="23"/>
      <c r="E1507" s="23"/>
      <c r="F1507" s="23"/>
      <c r="G1507" s="23"/>
    </row>
    <row r="1508" spans="1:7" x14ac:dyDescent="0.15">
      <c r="A1508" s="66"/>
      <c r="B1508" s="66"/>
      <c r="C1508" s="23"/>
      <c r="D1508" s="23"/>
      <c r="E1508" s="23"/>
      <c r="F1508" s="23"/>
      <c r="G1508" s="23"/>
    </row>
    <row r="1509" spans="1:7" x14ac:dyDescent="0.15">
      <c r="A1509" s="66"/>
      <c r="B1509" s="66"/>
      <c r="C1509" s="23"/>
      <c r="D1509" s="23"/>
      <c r="E1509" s="23"/>
      <c r="F1509" s="23"/>
      <c r="G1509" s="23"/>
    </row>
    <row r="1510" spans="1:7" x14ac:dyDescent="0.15">
      <c r="A1510" s="66"/>
      <c r="B1510" s="66"/>
      <c r="C1510" s="23"/>
      <c r="D1510" s="23"/>
      <c r="E1510" s="23"/>
      <c r="F1510" s="23"/>
      <c r="G1510" s="23"/>
    </row>
    <row r="1511" spans="1:7" x14ac:dyDescent="0.15">
      <c r="A1511" s="66"/>
      <c r="B1511" s="66"/>
      <c r="C1511" s="23"/>
      <c r="D1511" s="23"/>
      <c r="E1511" s="23"/>
      <c r="F1511" s="23"/>
      <c r="G1511" s="23"/>
    </row>
    <row r="1512" spans="1:7" x14ac:dyDescent="0.15">
      <c r="A1512" s="66"/>
      <c r="B1512" s="66"/>
      <c r="C1512" s="23"/>
      <c r="D1512" s="23"/>
      <c r="E1512" s="23"/>
      <c r="F1512" s="23"/>
      <c r="G1512" s="23"/>
    </row>
    <row r="1513" spans="1:7" x14ac:dyDescent="0.15">
      <c r="A1513" s="66"/>
      <c r="B1513" s="66"/>
      <c r="C1513" s="23"/>
      <c r="D1513" s="23"/>
      <c r="E1513" s="23"/>
      <c r="F1513" s="23"/>
      <c r="G1513" s="23"/>
    </row>
    <row r="1514" spans="1:7" x14ac:dyDescent="0.15">
      <c r="A1514" s="66"/>
      <c r="B1514" s="66"/>
      <c r="C1514" s="23"/>
      <c r="D1514" s="23"/>
      <c r="E1514" s="23"/>
      <c r="F1514" s="23"/>
      <c r="G1514" s="23"/>
    </row>
    <row r="1515" spans="1:7" x14ac:dyDescent="0.15">
      <c r="A1515" s="66"/>
      <c r="B1515" s="66"/>
      <c r="C1515" s="23"/>
      <c r="D1515" s="23"/>
      <c r="E1515" s="23"/>
      <c r="F1515" s="23"/>
      <c r="G1515" s="23"/>
    </row>
    <row r="1516" spans="1:7" x14ac:dyDescent="0.15">
      <c r="A1516" s="66"/>
      <c r="B1516" s="66"/>
      <c r="C1516" s="23"/>
      <c r="D1516" s="23"/>
      <c r="E1516" s="23"/>
      <c r="F1516" s="23"/>
      <c r="G1516" s="23"/>
    </row>
    <row r="1517" spans="1:7" x14ac:dyDescent="0.15">
      <c r="A1517" s="66"/>
      <c r="B1517" s="66"/>
      <c r="C1517" s="23"/>
      <c r="D1517" s="23"/>
      <c r="E1517" s="23"/>
      <c r="F1517" s="23"/>
      <c r="G1517" s="23"/>
    </row>
    <row r="1518" spans="1:7" x14ac:dyDescent="0.15">
      <c r="A1518" s="66"/>
      <c r="B1518" s="66"/>
      <c r="C1518" s="23"/>
      <c r="D1518" s="23"/>
      <c r="E1518" s="23"/>
      <c r="F1518" s="23"/>
      <c r="G1518" s="23"/>
    </row>
    <row r="1519" spans="1:7" x14ac:dyDescent="0.15">
      <c r="A1519" s="66"/>
      <c r="B1519" s="66"/>
      <c r="C1519" s="23"/>
      <c r="D1519" s="23"/>
      <c r="E1519" s="23"/>
      <c r="F1519" s="23"/>
      <c r="G1519" s="23"/>
    </row>
    <row r="1520" spans="1:7" x14ac:dyDescent="0.15">
      <c r="A1520" s="66"/>
      <c r="B1520" s="66"/>
      <c r="C1520" s="23"/>
      <c r="D1520" s="23"/>
      <c r="E1520" s="23"/>
      <c r="F1520" s="23"/>
      <c r="G1520" s="23"/>
    </row>
    <row r="1521" spans="1:7" x14ac:dyDescent="0.15">
      <c r="A1521" s="66"/>
      <c r="B1521" s="66"/>
      <c r="C1521" s="23"/>
      <c r="D1521" s="23"/>
      <c r="E1521" s="23"/>
      <c r="F1521" s="23"/>
      <c r="G1521" s="23"/>
    </row>
    <row r="1522" spans="1:7" x14ac:dyDescent="0.15">
      <c r="A1522" s="66"/>
      <c r="B1522" s="66"/>
      <c r="C1522" s="23"/>
      <c r="D1522" s="23"/>
      <c r="E1522" s="23"/>
      <c r="F1522" s="23"/>
      <c r="G1522" s="23"/>
    </row>
    <row r="1523" spans="1:7" x14ac:dyDescent="0.15">
      <c r="A1523" s="66"/>
      <c r="B1523" s="66"/>
      <c r="C1523" s="23"/>
      <c r="D1523" s="23"/>
      <c r="E1523" s="23"/>
      <c r="F1523" s="23"/>
      <c r="G1523" s="23"/>
    </row>
    <row r="1524" spans="1:7" x14ac:dyDescent="0.15">
      <c r="A1524" s="66"/>
      <c r="B1524" s="66"/>
      <c r="C1524" s="23"/>
      <c r="D1524" s="23"/>
      <c r="E1524" s="23"/>
      <c r="F1524" s="23"/>
      <c r="G1524" s="23"/>
    </row>
    <row r="1525" spans="1:7" x14ac:dyDescent="0.15">
      <c r="A1525" s="66"/>
      <c r="B1525" s="66"/>
      <c r="C1525" s="23"/>
      <c r="D1525" s="23"/>
      <c r="E1525" s="23"/>
      <c r="F1525" s="23"/>
      <c r="G1525" s="23"/>
    </row>
    <row r="1526" spans="1:7" x14ac:dyDescent="0.15">
      <c r="A1526" s="66"/>
      <c r="B1526" s="66"/>
      <c r="C1526" s="23"/>
      <c r="D1526" s="23"/>
      <c r="E1526" s="23"/>
      <c r="F1526" s="23"/>
      <c r="G1526" s="23"/>
    </row>
    <row r="1527" spans="1:7" x14ac:dyDescent="0.15">
      <c r="A1527" s="66"/>
      <c r="B1527" s="66"/>
      <c r="C1527" s="23"/>
      <c r="D1527" s="23"/>
      <c r="E1527" s="23"/>
      <c r="F1527" s="23"/>
      <c r="G1527" s="23"/>
    </row>
    <row r="1528" spans="1:7" x14ac:dyDescent="0.15">
      <c r="A1528" s="66"/>
      <c r="B1528" s="66"/>
      <c r="C1528" s="23"/>
      <c r="D1528" s="23"/>
      <c r="E1528" s="23"/>
      <c r="F1528" s="23"/>
      <c r="G1528" s="23"/>
    </row>
    <row r="1529" spans="1:7" x14ac:dyDescent="0.15">
      <c r="A1529" s="66"/>
      <c r="B1529" s="66"/>
      <c r="C1529" s="23"/>
      <c r="D1529" s="23"/>
      <c r="E1529" s="23"/>
      <c r="F1529" s="23"/>
      <c r="G1529" s="23"/>
    </row>
    <row r="1530" spans="1:7" x14ac:dyDescent="0.15">
      <c r="A1530" s="66"/>
      <c r="B1530" s="66"/>
      <c r="C1530" s="23"/>
      <c r="D1530" s="23"/>
      <c r="E1530" s="23"/>
      <c r="F1530" s="23"/>
      <c r="G1530" s="23"/>
    </row>
    <row r="1531" spans="1:7" x14ac:dyDescent="0.15">
      <c r="A1531" s="66"/>
      <c r="B1531" s="66"/>
      <c r="C1531" s="23"/>
      <c r="D1531" s="23"/>
      <c r="E1531" s="23"/>
      <c r="F1531" s="23"/>
      <c r="G1531" s="23"/>
    </row>
    <row r="1532" spans="1:7" x14ac:dyDescent="0.15">
      <c r="A1532" s="66"/>
      <c r="B1532" s="66"/>
      <c r="C1532" s="23"/>
      <c r="D1532" s="23"/>
      <c r="E1532" s="23"/>
      <c r="F1532" s="23"/>
      <c r="G1532" s="23"/>
    </row>
    <row r="1533" spans="1:7" x14ac:dyDescent="0.15">
      <c r="A1533" s="66"/>
      <c r="B1533" s="66"/>
      <c r="C1533" s="23"/>
      <c r="D1533" s="23"/>
      <c r="E1533" s="23"/>
      <c r="F1533" s="23"/>
      <c r="G1533" s="23"/>
    </row>
    <row r="1534" spans="1:7" x14ac:dyDescent="0.15">
      <c r="A1534" s="66"/>
      <c r="B1534" s="66"/>
      <c r="C1534" s="23"/>
      <c r="D1534" s="23"/>
      <c r="E1534" s="23"/>
      <c r="F1534" s="23"/>
      <c r="G1534" s="23"/>
    </row>
    <row r="1535" spans="1:7" x14ac:dyDescent="0.15">
      <c r="A1535" s="66"/>
      <c r="B1535" s="66"/>
      <c r="C1535" s="23"/>
      <c r="D1535" s="23"/>
      <c r="E1535" s="23"/>
      <c r="F1535" s="23"/>
      <c r="G1535" s="23"/>
    </row>
    <row r="1536" spans="1:7" x14ac:dyDescent="0.15">
      <c r="A1536" s="66"/>
      <c r="B1536" s="66"/>
      <c r="C1536" s="23"/>
      <c r="D1536" s="23"/>
      <c r="E1536" s="23"/>
      <c r="F1536" s="23"/>
      <c r="G1536" s="23"/>
    </row>
    <row r="1537" spans="1:7" x14ac:dyDescent="0.15">
      <c r="A1537" s="66"/>
      <c r="B1537" s="66"/>
      <c r="C1537" s="23"/>
      <c r="D1537" s="23"/>
      <c r="E1537" s="23"/>
      <c r="F1537" s="23"/>
      <c r="G1537" s="23"/>
    </row>
    <row r="1538" spans="1:7" x14ac:dyDescent="0.15">
      <c r="A1538" s="66"/>
      <c r="B1538" s="66"/>
      <c r="C1538" s="23"/>
      <c r="D1538" s="23"/>
      <c r="E1538" s="23"/>
      <c r="F1538" s="23"/>
      <c r="G1538" s="23"/>
    </row>
    <row r="1539" spans="1:7" x14ac:dyDescent="0.15">
      <c r="A1539" s="66"/>
      <c r="B1539" s="66"/>
      <c r="C1539" s="23"/>
      <c r="D1539" s="23"/>
      <c r="E1539" s="23"/>
      <c r="F1539" s="23"/>
      <c r="G1539" s="23"/>
    </row>
    <row r="1540" spans="1:7" x14ac:dyDescent="0.15">
      <c r="A1540" s="66"/>
      <c r="B1540" s="66"/>
      <c r="C1540" s="23"/>
      <c r="D1540" s="23"/>
      <c r="E1540" s="23"/>
      <c r="F1540" s="23"/>
      <c r="G1540" s="23"/>
    </row>
    <row r="1541" spans="1:7" x14ac:dyDescent="0.15">
      <c r="A1541" s="66"/>
      <c r="B1541" s="66"/>
      <c r="C1541" s="23"/>
      <c r="D1541" s="23"/>
      <c r="E1541" s="23"/>
      <c r="F1541" s="23"/>
      <c r="G1541" s="23"/>
    </row>
    <row r="1542" spans="1:7" x14ac:dyDescent="0.15">
      <c r="A1542" s="66"/>
      <c r="B1542" s="66"/>
      <c r="C1542" s="23"/>
      <c r="D1542" s="23"/>
      <c r="E1542" s="23"/>
      <c r="F1542" s="23"/>
      <c r="G1542" s="23"/>
    </row>
    <row r="1543" spans="1:7" x14ac:dyDescent="0.15">
      <c r="A1543" s="66"/>
      <c r="B1543" s="66"/>
      <c r="C1543" s="23"/>
      <c r="D1543" s="23"/>
      <c r="E1543" s="23"/>
      <c r="F1543" s="23"/>
      <c r="G1543" s="23"/>
    </row>
    <row r="1544" spans="1:7" x14ac:dyDescent="0.15">
      <c r="A1544" s="66"/>
      <c r="B1544" s="66"/>
      <c r="C1544" s="23"/>
      <c r="D1544" s="23"/>
      <c r="E1544" s="23"/>
      <c r="F1544" s="23"/>
      <c r="G1544" s="23"/>
    </row>
    <row r="1545" spans="1:7" x14ac:dyDescent="0.15">
      <c r="A1545" s="66"/>
      <c r="B1545" s="66"/>
      <c r="C1545" s="23"/>
      <c r="D1545" s="23"/>
      <c r="E1545" s="23"/>
      <c r="F1545" s="23"/>
      <c r="G1545" s="23"/>
    </row>
    <row r="1546" spans="1:7" x14ac:dyDescent="0.15">
      <c r="A1546" s="66"/>
      <c r="B1546" s="66"/>
      <c r="C1546" s="23"/>
      <c r="D1546" s="23"/>
      <c r="E1546" s="23"/>
      <c r="F1546" s="23"/>
      <c r="G1546" s="23"/>
    </row>
    <row r="1547" spans="1:7" x14ac:dyDescent="0.15">
      <c r="A1547" s="66"/>
      <c r="B1547" s="66"/>
      <c r="C1547" s="23"/>
      <c r="D1547" s="23"/>
      <c r="E1547" s="23"/>
      <c r="F1547" s="23"/>
      <c r="G1547" s="23"/>
    </row>
    <row r="1548" spans="1:7" x14ac:dyDescent="0.15">
      <c r="A1548" s="66"/>
      <c r="B1548" s="66"/>
      <c r="C1548" s="23"/>
      <c r="D1548" s="23"/>
      <c r="E1548" s="23"/>
      <c r="F1548" s="23"/>
      <c r="G1548" s="23"/>
    </row>
    <row r="1549" spans="1:7" x14ac:dyDescent="0.15">
      <c r="A1549" s="66"/>
      <c r="B1549" s="66"/>
      <c r="C1549" s="23"/>
      <c r="D1549" s="23"/>
      <c r="E1549" s="23"/>
      <c r="F1549" s="23"/>
      <c r="G1549" s="23"/>
    </row>
    <row r="1550" spans="1:7" x14ac:dyDescent="0.15">
      <c r="A1550" s="66"/>
      <c r="B1550" s="66"/>
      <c r="C1550" s="23"/>
      <c r="D1550" s="23"/>
      <c r="E1550" s="23"/>
      <c r="F1550" s="23"/>
      <c r="G1550" s="23"/>
    </row>
    <row r="1551" spans="1:7" x14ac:dyDescent="0.15">
      <c r="A1551" s="66"/>
      <c r="B1551" s="66"/>
      <c r="C1551" s="23"/>
      <c r="D1551" s="23"/>
      <c r="E1551" s="23"/>
      <c r="F1551" s="23"/>
      <c r="G1551" s="23"/>
    </row>
    <row r="1552" spans="1:7" x14ac:dyDescent="0.15">
      <c r="A1552" s="66"/>
      <c r="B1552" s="66"/>
      <c r="C1552" s="23"/>
      <c r="D1552" s="23"/>
      <c r="E1552" s="23"/>
      <c r="F1552" s="23"/>
      <c r="G1552" s="23"/>
    </row>
    <row r="1553" spans="1:7" x14ac:dyDescent="0.15">
      <c r="A1553" s="66"/>
      <c r="B1553" s="66"/>
      <c r="C1553" s="23"/>
      <c r="D1553" s="23"/>
      <c r="E1553" s="23"/>
      <c r="F1553" s="23"/>
      <c r="G1553" s="23"/>
    </row>
    <row r="1554" spans="1:7" x14ac:dyDescent="0.15">
      <c r="A1554" s="66"/>
      <c r="B1554" s="66"/>
      <c r="C1554" s="23"/>
      <c r="D1554" s="23"/>
      <c r="E1554" s="23"/>
      <c r="F1554" s="23"/>
      <c r="G1554" s="23"/>
    </row>
    <row r="1555" spans="1:7" x14ac:dyDescent="0.15">
      <c r="A1555" s="66"/>
      <c r="B1555" s="66"/>
      <c r="C1555" s="23"/>
      <c r="D1555" s="23"/>
      <c r="E1555" s="23"/>
      <c r="F1555" s="23"/>
      <c r="G1555" s="23"/>
    </row>
    <row r="1556" spans="1:7" x14ac:dyDescent="0.15">
      <c r="A1556" s="66"/>
      <c r="B1556" s="66"/>
      <c r="C1556" s="23"/>
      <c r="D1556" s="23"/>
      <c r="E1556" s="23"/>
      <c r="F1556" s="23"/>
      <c r="G1556" s="23"/>
    </row>
    <row r="1557" spans="1:7" x14ac:dyDescent="0.15">
      <c r="A1557" s="66"/>
      <c r="B1557" s="66"/>
      <c r="C1557" s="23"/>
      <c r="D1557" s="23"/>
      <c r="E1557" s="23"/>
      <c r="F1557" s="23"/>
      <c r="G1557" s="23"/>
    </row>
    <row r="1558" spans="1:7" x14ac:dyDescent="0.15">
      <c r="A1558" s="66"/>
      <c r="B1558" s="66"/>
      <c r="C1558" s="23"/>
      <c r="D1558" s="23"/>
      <c r="E1558" s="23"/>
      <c r="F1558" s="23"/>
      <c r="G1558" s="23"/>
    </row>
    <row r="1559" spans="1:7" x14ac:dyDescent="0.15">
      <c r="A1559" s="66"/>
      <c r="B1559" s="66"/>
      <c r="C1559" s="23"/>
      <c r="D1559" s="23"/>
      <c r="E1559" s="23"/>
      <c r="F1559" s="23"/>
      <c r="G1559" s="23"/>
    </row>
    <row r="1560" spans="1:7" x14ac:dyDescent="0.15">
      <c r="B1560" s="66"/>
      <c r="C1560" s="23"/>
      <c r="D1560" s="23"/>
      <c r="E1560" s="23"/>
      <c r="F1560" s="23"/>
      <c r="G1560" s="23"/>
    </row>
    <row r="1561" spans="1:7" x14ac:dyDescent="0.15">
      <c r="B1561" s="66"/>
      <c r="C1561" s="23"/>
      <c r="D1561" s="23"/>
      <c r="E1561" s="23"/>
      <c r="F1561" s="23"/>
      <c r="G1561" s="23"/>
    </row>
    <row r="1562" spans="1:7" x14ac:dyDescent="0.15">
      <c r="B1562" s="66"/>
      <c r="C1562" s="23"/>
      <c r="D1562" s="23"/>
      <c r="E1562" s="23"/>
      <c r="F1562" s="23"/>
      <c r="G1562" s="23"/>
    </row>
    <row r="1563" spans="1:7" x14ac:dyDescent="0.15">
      <c r="B1563" s="66"/>
      <c r="C1563" s="23"/>
      <c r="D1563" s="23"/>
      <c r="E1563" s="23"/>
      <c r="F1563" s="23"/>
      <c r="G1563" s="23"/>
    </row>
    <row r="1564" spans="1:7" x14ac:dyDescent="0.15">
      <c r="B1564" s="66"/>
      <c r="C1564" s="23"/>
      <c r="D1564" s="23"/>
      <c r="E1564" s="23"/>
      <c r="F1564" s="23"/>
      <c r="G1564" s="23"/>
    </row>
    <row r="1565" spans="1:7" x14ac:dyDescent="0.15">
      <c r="B1565" s="66"/>
      <c r="C1565" s="23"/>
      <c r="D1565" s="23"/>
      <c r="E1565" s="23"/>
      <c r="F1565" s="23"/>
      <c r="G1565" s="23"/>
    </row>
    <row r="1566" spans="1:7" x14ac:dyDescent="0.15">
      <c r="B1566" s="66"/>
      <c r="C1566" s="23"/>
      <c r="D1566" s="23"/>
      <c r="E1566" s="23"/>
      <c r="F1566" s="23"/>
      <c r="G1566" s="23"/>
    </row>
    <row r="1567" spans="1:7" x14ac:dyDescent="0.15">
      <c r="B1567" s="66"/>
      <c r="C1567" s="23"/>
      <c r="D1567" s="23"/>
      <c r="E1567" s="23"/>
      <c r="F1567" s="23"/>
      <c r="G1567" s="23"/>
    </row>
    <row r="1568" spans="1:7" x14ac:dyDescent="0.15">
      <c r="B1568" s="66"/>
      <c r="C1568" s="23"/>
      <c r="D1568" s="23"/>
      <c r="E1568" s="23"/>
      <c r="F1568" s="23"/>
      <c r="G1568" s="23"/>
    </row>
    <row r="1569" spans="2:7" x14ac:dyDescent="0.15">
      <c r="B1569" s="66"/>
      <c r="C1569" s="23"/>
      <c r="D1569" s="23"/>
      <c r="E1569" s="23"/>
      <c r="F1569" s="23"/>
      <c r="G1569" s="23"/>
    </row>
    <row r="1570" spans="2:7" x14ac:dyDescent="0.15">
      <c r="B1570" s="66"/>
      <c r="C1570" s="23"/>
      <c r="D1570" s="23"/>
      <c r="E1570" s="23"/>
      <c r="F1570" s="23"/>
      <c r="G1570" s="23"/>
    </row>
    <row r="1571" spans="2:7" x14ac:dyDescent="0.15">
      <c r="B1571" s="66"/>
      <c r="C1571" s="23"/>
      <c r="D1571" s="23"/>
      <c r="E1571" s="23"/>
      <c r="F1571" s="23"/>
      <c r="G1571" s="23"/>
    </row>
    <row r="1572" spans="2:7" x14ac:dyDescent="0.15">
      <c r="B1572" s="66"/>
      <c r="C1572" s="23"/>
      <c r="D1572" s="23"/>
      <c r="E1572" s="23"/>
      <c r="F1572" s="23"/>
      <c r="G1572" s="23"/>
    </row>
    <row r="1573" spans="2:7" x14ac:dyDescent="0.15">
      <c r="B1573" s="66"/>
      <c r="C1573" s="23"/>
      <c r="D1573" s="23"/>
      <c r="E1573" s="23"/>
      <c r="F1573" s="23"/>
      <c r="G1573" s="23"/>
    </row>
    <row r="1574" spans="2:7" x14ac:dyDescent="0.15">
      <c r="B1574" s="66"/>
      <c r="C1574" s="23"/>
      <c r="D1574" s="23"/>
      <c r="E1574" s="23"/>
      <c r="F1574" s="23"/>
      <c r="G1574" s="23"/>
    </row>
    <row r="1575" spans="2:7" x14ac:dyDescent="0.15">
      <c r="B1575" s="66"/>
      <c r="C1575" s="23"/>
      <c r="D1575" s="23"/>
      <c r="E1575" s="23"/>
      <c r="F1575" s="23"/>
      <c r="G1575" s="23"/>
    </row>
    <row r="1576" spans="2:7" x14ac:dyDescent="0.15">
      <c r="B1576" s="66"/>
      <c r="C1576" s="23"/>
      <c r="D1576" s="23"/>
      <c r="E1576" s="23"/>
      <c r="F1576" s="23"/>
      <c r="G1576" s="23"/>
    </row>
    <row r="1577" spans="2:7" x14ac:dyDescent="0.15">
      <c r="B1577" s="66"/>
      <c r="C1577" s="23"/>
      <c r="D1577" s="23"/>
      <c r="E1577" s="23"/>
      <c r="F1577" s="23"/>
      <c r="G1577" s="23"/>
    </row>
    <row r="1578" spans="2:7" x14ac:dyDescent="0.15">
      <c r="B1578" s="66"/>
      <c r="C1578" s="23"/>
      <c r="D1578" s="23"/>
      <c r="E1578" s="23"/>
      <c r="F1578" s="23"/>
      <c r="G1578" s="23"/>
    </row>
    <row r="1579" spans="2:7" x14ac:dyDescent="0.15">
      <c r="B1579" s="66"/>
      <c r="C1579" s="23"/>
      <c r="D1579" s="23"/>
      <c r="E1579" s="23"/>
      <c r="F1579" s="23"/>
      <c r="G1579" s="23"/>
    </row>
    <row r="1580" spans="2:7" x14ac:dyDescent="0.15">
      <c r="B1580" s="66"/>
      <c r="C1580" s="23"/>
      <c r="D1580" s="23"/>
      <c r="E1580" s="23"/>
      <c r="F1580" s="23"/>
      <c r="G1580" s="23"/>
    </row>
    <row r="1581" spans="2:7" x14ac:dyDescent="0.15">
      <c r="B1581" s="66"/>
      <c r="C1581" s="23"/>
      <c r="D1581" s="23"/>
      <c r="E1581" s="23"/>
      <c r="F1581" s="23"/>
      <c r="G1581" s="23"/>
    </row>
    <row r="1582" spans="2:7" x14ac:dyDescent="0.15">
      <c r="B1582" s="66"/>
      <c r="C1582" s="23"/>
      <c r="D1582" s="23"/>
      <c r="E1582" s="23"/>
      <c r="F1582" s="23"/>
      <c r="G1582" s="23"/>
    </row>
    <row r="1583" spans="2:7" x14ac:dyDescent="0.15">
      <c r="B1583" s="66"/>
      <c r="C1583" s="23"/>
      <c r="D1583" s="23"/>
      <c r="E1583" s="23"/>
      <c r="F1583" s="23"/>
      <c r="G1583" s="23"/>
    </row>
    <row r="1584" spans="2:7" x14ac:dyDescent="0.15">
      <c r="B1584" s="66"/>
      <c r="C1584" s="23"/>
      <c r="D1584" s="23"/>
      <c r="E1584" s="23"/>
      <c r="F1584" s="23"/>
      <c r="G1584" s="23"/>
    </row>
    <row r="1585" spans="2:7" x14ac:dyDescent="0.15">
      <c r="B1585" s="66"/>
      <c r="C1585" s="23"/>
      <c r="D1585" s="23"/>
      <c r="E1585" s="23"/>
      <c r="F1585" s="23"/>
      <c r="G1585" s="23"/>
    </row>
    <row r="1586" spans="2:7" x14ac:dyDescent="0.15">
      <c r="B1586" s="66"/>
      <c r="C1586" s="23"/>
      <c r="D1586" s="23"/>
      <c r="E1586" s="23"/>
      <c r="F1586" s="23"/>
      <c r="G1586" s="23"/>
    </row>
    <row r="1587" spans="2:7" x14ac:dyDescent="0.15">
      <c r="B1587" s="66"/>
      <c r="C1587" s="23"/>
      <c r="D1587" s="23"/>
      <c r="E1587" s="23"/>
      <c r="F1587" s="23"/>
      <c r="G1587" s="23"/>
    </row>
    <row r="1588" spans="2:7" x14ac:dyDescent="0.15">
      <c r="B1588" s="66"/>
      <c r="C1588" s="23"/>
      <c r="D1588" s="23"/>
      <c r="E1588" s="23"/>
      <c r="F1588" s="23"/>
      <c r="G1588" s="23"/>
    </row>
    <row r="1589" spans="2:7" x14ac:dyDescent="0.15">
      <c r="B1589" s="66"/>
      <c r="C1589" s="23"/>
      <c r="D1589" s="23"/>
      <c r="E1589" s="23"/>
      <c r="F1589" s="23"/>
      <c r="G1589" s="23"/>
    </row>
    <row r="1590" spans="2:7" x14ac:dyDescent="0.15">
      <c r="B1590" s="66"/>
      <c r="C1590" s="23"/>
      <c r="D1590" s="23"/>
      <c r="E1590" s="23"/>
      <c r="F1590" s="23"/>
      <c r="G1590" s="23"/>
    </row>
    <row r="1591" spans="2:7" x14ac:dyDescent="0.15">
      <c r="B1591" s="66"/>
      <c r="C1591" s="23"/>
      <c r="D1591" s="23"/>
      <c r="E1591" s="23"/>
      <c r="F1591" s="23"/>
      <c r="G1591" s="23"/>
    </row>
    <row r="1592" spans="2:7" x14ac:dyDescent="0.15">
      <c r="B1592" s="66"/>
      <c r="C1592" s="23"/>
      <c r="D1592" s="23"/>
      <c r="E1592" s="23"/>
      <c r="F1592" s="23"/>
      <c r="G1592" s="23"/>
    </row>
    <row r="1593" spans="2:7" x14ac:dyDescent="0.15">
      <c r="B1593" s="66"/>
      <c r="C1593" s="23"/>
      <c r="D1593" s="23"/>
      <c r="E1593" s="23"/>
      <c r="F1593" s="23"/>
      <c r="G1593" s="23"/>
    </row>
    <row r="1594" spans="2:7" x14ac:dyDescent="0.15">
      <c r="B1594" s="66"/>
      <c r="C1594" s="23"/>
      <c r="D1594" s="23"/>
      <c r="E1594" s="23"/>
      <c r="F1594" s="23"/>
      <c r="G1594" s="23"/>
    </row>
    <row r="1595" spans="2:7" x14ac:dyDescent="0.15">
      <c r="B1595" s="66"/>
      <c r="C1595" s="23"/>
      <c r="D1595" s="23"/>
      <c r="E1595" s="23"/>
      <c r="F1595" s="23"/>
      <c r="G1595" s="23"/>
    </row>
    <row r="1596" spans="2:7" x14ac:dyDescent="0.15">
      <c r="B1596" s="66"/>
      <c r="C1596" s="23"/>
      <c r="D1596" s="23"/>
      <c r="E1596" s="23"/>
      <c r="F1596" s="23"/>
      <c r="G1596" s="23"/>
    </row>
    <row r="1597" spans="2:7" x14ac:dyDescent="0.15">
      <c r="B1597" s="66"/>
      <c r="C1597" s="23"/>
      <c r="D1597" s="23"/>
      <c r="E1597" s="23"/>
      <c r="F1597" s="23"/>
      <c r="G1597" s="23"/>
    </row>
    <row r="1598" spans="2:7" x14ac:dyDescent="0.15">
      <c r="B1598" s="66"/>
      <c r="C1598" s="23"/>
      <c r="D1598" s="23"/>
      <c r="E1598" s="23"/>
      <c r="F1598" s="23"/>
      <c r="G1598" s="23"/>
    </row>
    <row r="1599" spans="2:7" x14ac:dyDescent="0.15">
      <c r="B1599" s="66"/>
      <c r="C1599" s="23"/>
      <c r="D1599" s="23"/>
      <c r="E1599" s="23"/>
      <c r="F1599" s="23"/>
      <c r="G1599" s="23"/>
    </row>
    <row r="1600" spans="2:7" x14ac:dyDescent="0.15">
      <c r="B1600" s="66"/>
      <c r="C1600" s="23"/>
      <c r="D1600" s="23"/>
      <c r="E1600" s="23"/>
      <c r="F1600" s="23"/>
      <c r="G1600" s="23"/>
    </row>
    <row r="1601" spans="2:7" x14ac:dyDescent="0.15">
      <c r="B1601" s="66"/>
      <c r="C1601" s="23"/>
      <c r="D1601" s="23"/>
      <c r="E1601" s="23"/>
      <c r="F1601" s="23"/>
      <c r="G1601" s="23"/>
    </row>
    <row r="1602" spans="2:7" x14ac:dyDescent="0.15">
      <c r="B1602" s="66"/>
      <c r="C1602" s="23"/>
      <c r="D1602" s="23"/>
      <c r="E1602" s="23"/>
      <c r="F1602" s="23"/>
      <c r="G1602" s="23"/>
    </row>
    <row r="1603" spans="2:7" x14ac:dyDescent="0.15">
      <c r="B1603" s="66"/>
      <c r="C1603" s="23"/>
      <c r="D1603" s="23"/>
      <c r="E1603" s="23"/>
      <c r="F1603" s="23"/>
      <c r="G1603" s="23"/>
    </row>
    <row r="1604" spans="2:7" x14ac:dyDescent="0.15">
      <c r="B1604" s="66"/>
      <c r="C1604" s="23"/>
      <c r="D1604" s="23"/>
      <c r="E1604" s="23"/>
      <c r="F1604" s="23"/>
      <c r="G1604" s="23"/>
    </row>
    <row r="1605" spans="2:7" x14ac:dyDescent="0.15">
      <c r="B1605" s="66"/>
      <c r="C1605" s="23"/>
      <c r="D1605" s="23"/>
      <c r="E1605" s="23"/>
      <c r="F1605" s="23"/>
      <c r="G1605" s="23"/>
    </row>
    <row r="1606" spans="2:7" x14ac:dyDescent="0.15">
      <c r="B1606" s="66"/>
      <c r="C1606" s="23"/>
      <c r="D1606" s="23"/>
      <c r="E1606" s="23"/>
      <c r="F1606" s="23"/>
      <c r="G1606" s="23"/>
    </row>
    <row r="1607" spans="2:7" x14ac:dyDescent="0.15">
      <c r="B1607" s="66"/>
      <c r="C1607" s="23"/>
      <c r="D1607" s="23"/>
      <c r="E1607" s="23"/>
      <c r="F1607" s="23"/>
      <c r="G1607" s="23"/>
    </row>
    <row r="1608" spans="2:7" x14ac:dyDescent="0.15">
      <c r="B1608" s="66"/>
      <c r="C1608" s="23"/>
      <c r="D1608" s="23"/>
      <c r="E1608" s="23"/>
      <c r="F1608" s="23"/>
      <c r="G1608" s="23"/>
    </row>
    <row r="1609" spans="2:7" x14ac:dyDescent="0.15">
      <c r="B1609" s="66"/>
      <c r="C1609" s="23"/>
      <c r="D1609" s="23"/>
      <c r="E1609" s="23"/>
      <c r="F1609" s="23"/>
      <c r="G1609" s="23"/>
    </row>
    <row r="1610" spans="2:7" x14ac:dyDescent="0.15">
      <c r="B1610" s="66"/>
      <c r="C1610" s="23"/>
      <c r="D1610" s="23"/>
      <c r="E1610" s="23"/>
      <c r="F1610" s="23"/>
      <c r="G1610" s="23"/>
    </row>
    <row r="1611" spans="2:7" x14ac:dyDescent="0.15">
      <c r="B1611" s="66"/>
      <c r="C1611" s="23"/>
      <c r="D1611" s="23"/>
      <c r="E1611" s="23"/>
      <c r="F1611" s="23"/>
      <c r="G1611" s="23"/>
    </row>
    <row r="1612" spans="2:7" x14ac:dyDescent="0.15">
      <c r="B1612" s="66"/>
      <c r="C1612" s="23"/>
      <c r="D1612" s="23"/>
      <c r="E1612" s="23"/>
      <c r="F1612" s="23"/>
      <c r="G1612" s="23"/>
    </row>
    <row r="1613" spans="2:7" x14ac:dyDescent="0.15">
      <c r="B1613" s="66"/>
      <c r="C1613" s="23"/>
      <c r="D1613" s="23"/>
      <c r="E1613" s="23"/>
      <c r="F1613" s="23"/>
      <c r="G1613" s="23"/>
    </row>
    <row r="1614" spans="2:7" x14ac:dyDescent="0.15">
      <c r="B1614" s="66"/>
      <c r="C1614" s="23"/>
      <c r="D1614" s="23"/>
      <c r="E1614" s="23"/>
      <c r="F1614" s="23"/>
      <c r="G1614" s="23"/>
    </row>
    <row r="1615" spans="2:7" x14ac:dyDescent="0.15">
      <c r="B1615" s="66"/>
      <c r="C1615" s="23"/>
      <c r="D1615" s="23"/>
      <c r="E1615" s="23"/>
      <c r="F1615" s="23"/>
      <c r="G1615" s="23"/>
    </row>
    <row r="1616" spans="2:7" x14ac:dyDescent="0.15">
      <c r="B1616" s="66"/>
      <c r="C1616" s="23"/>
      <c r="D1616" s="23"/>
      <c r="E1616" s="23"/>
      <c r="F1616" s="23"/>
      <c r="G1616" s="23"/>
    </row>
    <row r="1617" spans="2:7" x14ac:dyDescent="0.15">
      <c r="B1617" s="66"/>
      <c r="C1617" s="23"/>
      <c r="D1617" s="23"/>
      <c r="E1617" s="23"/>
      <c r="F1617" s="23"/>
      <c r="G1617" s="23"/>
    </row>
    <row r="1618" spans="2:7" x14ac:dyDescent="0.15">
      <c r="B1618" s="66"/>
      <c r="C1618" s="23"/>
      <c r="D1618" s="23"/>
      <c r="E1618" s="23"/>
      <c r="F1618" s="23"/>
      <c r="G1618" s="23"/>
    </row>
    <row r="1619" spans="2:7" x14ac:dyDescent="0.15">
      <c r="B1619" s="66"/>
      <c r="C1619" s="23"/>
      <c r="D1619" s="23"/>
      <c r="E1619" s="23"/>
      <c r="F1619" s="23"/>
      <c r="G1619" s="23"/>
    </row>
    <row r="1620" spans="2:7" x14ac:dyDescent="0.15">
      <c r="B1620" s="66"/>
      <c r="C1620" s="23"/>
      <c r="D1620" s="23"/>
      <c r="E1620" s="23"/>
      <c r="F1620" s="23"/>
      <c r="G1620" s="23"/>
    </row>
    <row r="1621" spans="2:7" x14ac:dyDescent="0.15">
      <c r="B1621" s="66"/>
      <c r="C1621" s="23"/>
      <c r="D1621" s="23"/>
      <c r="E1621" s="23"/>
      <c r="F1621" s="23"/>
      <c r="G1621" s="23"/>
    </row>
    <row r="1622" spans="2:7" x14ac:dyDescent="0.15">
      <c r="B1622" s="66"/>
      <c r="C1622" s="23"/>
      <c r="D1622" s="23"/>
      <c r="E1622" s="23"/>
      <c r="F1622" s="23"/>
      <c r="G1622" s="23"/>
    </row>
    <row r="1623" spans="2:7" x14ac:dyDescent="0.15">
      <c r="B1623" s="66"/>
      <c r="C1623" s="23"/>
      <c r="D1623" s="23"/>
      <c r="E1623" s="23"/>
      <c r="F1623" s="23"/>
      <c r="G1623" s="23"/>
    </row>
    <row r="1624" spans="2:7" x14ac:dyDescent="0.15">
      <c r="B1624" s="66"/>
      <c r="C1624" s="23"/>
      <c r="D1624" s="23"/>
      <c r="E1624" s="23"/>
      <c r="F1624" s="23"/>
      <c r="G1624" s="23"/>
    </row>
    <row r="1625" spans="2:7" x14ac:dyDescent="0.15">
      <c r="B1625" s="66"/>
      <c r="C1625" s="23"/>
      <c r="D1625" s="23"/>
      <c r="E1625" s="23"/>
      <c r="F1625" s="23"/>
      <c r="G1625" s="23"/>
    </row>
    <row r="1626" spans="2:7" x14ac:dyDescent="0.15">
      <c r="B1626" s="66"/>
      <c r="C1626" s="23"/>
      <c r="D1626" s="23"/>
      <c r="E1626" s="23"/>
      <c r="F1626" s="23"/>
      <c r="G1626" s="23"/>
    </row>
    <row r="1627" spans="2:7" x14ac:dyDescent="0.15">
      <c r="B1627" s="66"/>
      <c r="C1627" s="23"/>
      <c r="D1627" s="23"/>
      <c r="E1627" s="23"/>
      <c r="F1627" s="23"/>
      <c r="G1627" s="23"/>
    </row>
    <row r="1628" spans="2:7" x14ac:dyDescent="0.15">
      <c r="B1628" s="66"/>
      <c r="C1628" s="23"/>
      <c r="D1628" s="23"/>
      <c r="E1628" s="23"/>
      <c r="F1628" s="23"/>
      <c r="G1628" s="23"/>
    </row>
    <row r="1629" spans="2:7" x14ac:dyDescent="0.15">
      <c r="B1629" s="66"/>
      <c r="C1629" s="23"/>
      <c r="D1629" s="23"/>
      <c r="E1629" s="23"/>
      <c r="F1629" s="23"/>
      <c r="G1629" s="23"/>
    </row>
    <row r="1630" spans="2:7" x14ac:dyDescent="0.15">
      <c r="B1630" s="66"/>
      <c r="C1630" s="23"/>
      <c r="D1630" s="23"/>
      <c r="E1630" s="23"/>
      <c r="F1630" s="23"/>
      <c r="G1630" s="23"/>
    </row>
    <row r="1631" spans="2:7" x14ac:dyDescent="0.15">
      <c r="B1631" s="66"/>
      <c r="C1631" s="23"/>
      <c r="D1631" s="23"/>
      <c r="E1631" s="23"/>
      <c r="F1631" s="23"/>
      <c r="G1631" s="23"/>
    </row>
    <row r="1632" spans="2:7" x14ac:dyDescent="0.15">
      <c r="B1632" s="66"/>
      <c r="C1632" s="23"/>
      <c r="D1632" s="23"/>
      <c r="E1632" s="23"/>
      <c r="F1632" s="23"/>
      <c r="G1632" s="23"/>
    </row>
    <row r="1633" spans="2:7" x14ac:dyDescent="0.15">
      <c r="B1633" s="66"/>
      <c r="C1633" s="23"/>
      <c r="D1633" s="23"/>
      <c r="E1633" s="23"/>
      <c r="F1633" s="23"/>
      <c r="G1633" s="23"/>
    </row>
    <row r="1634" spans="2:7" x14ac:dyDescent="0.15">
      <c r="B1634" s="66"/>
      <c r="C1634" s="23"/>
      <c r="D1634" s="23"/>
      <c r="E1634" s="23"/>
      <c r="F1634" s="23"/>
      <c r="G1634" s="23"/>
    </row>
    <row r="1635" spans="2:7" x14ac:dyDescent="0.15">
      <c r="B1635" s="66"/>
      <c r="C1635" s="23"/>
      <c r="D1635" s="23"/>
      <c r="E1635" s="23"/>
      <c r="F1635" s="23"/>
      <c r="G1635" s="23"/>
    </row>
    <row r="1636" spans="2:7" x14ac:dyDescent="0.15">
      <c r="B1636" s="66"/>
      <c r="C1636" s="23"/>
      <c r="D1636" s="23"/>
      <c r="E1636" s="23"/>
      <c r="F1636" s="23"/>
      <c r="G1636" s="23"/>
    </row>
    <row r="1637" spans="2:7" x14ac:dyDescent="0.15">
      <c r="B1637" s="66"/>
      <c r="C1637" s="23"/>
      <c r="D1637" s="23"/>
      <c r="E1637" s="23"/>
      <c r="F1637" s="23"/>
      <c r="G1637" s="23"/>
    </row>
    <row r="1638" spans="2:7" x14ac:dyDescent="0.15">
      <c r="B1638" s="66"/>
      <c r="C1638" s="23"/>
      <c r="D1638" s="23"/>
      <c r="E1638" s="23"/>
      <c r="F1638" s="23"/>
      <c r="G1638" s="23"/>
    </row>
    <row r="1639" spans="2:7" x14ac:dyDescent="0.15">
      <c r="B1639" s="66"/>
      <c r="C1639" s="23"/>
      <c r="D1639" s="23"/>
      <c r="E1639" s="23"/>
      <c r="F1639" s="23"/>
      <c r="G1639" s="23"/>
    </row>
    <row r="1640" spans="2:7" x14ac:dyDescent="0.15">
      <c r="B1640" s="66"/>
      <c r="C1640" s="23"/>
      <c r="D1640" s="23"/>
      <c r="E1640" s="23"/>
      <c r="F1640" s="23"/>
      <c r="G1640" s="23"/>
    </row>
    <row r="1641" spans="2:7" x14ac:dyDescent="0.15">
      <c r="B1641" s="66"/>
      <c r="C1641" s="23"/>
      <c r="D1641" s="23"/>
      <c r="E1641" s="23"/>
      <c r="F1641" s="23"/>
      <c r="G1641" s="23"/>
    </row>
    <row r="1642" spans="2:7" x14ac:dyDescent="0.15">
      <c r="B1642" s="66"/>
      <c r="C1642" s="23"/>
      <c r="D1642" s="23"/>
      <c r="E1642" s="23"/>
      <c r="F1642" s="23"/>
      <c r="G1642" s="23"/>
    </row>
    <row r="1643" spans="2:7" x14ac:dyDescent="0.15">
      <c r="B1643" s="66"/>
      <c r="C1643" s="23"/>
      <c r="D1643" s="23"/>
      <c r="E1643" s="23"/>
      <c r="F1643" s="23"/>
      <c r="G1643" s="23"/>
    </row>
    <row r="1644" spans="2:7" x14ac:dyDescent="0.15">
      <c r="B1644" s="66"/>
      <c r="C1644" s="23"/>
      <c r="D1644" s="23"/>
      <c r="E1644" s="23"/>
      <c r="F1644" s="23"/>
      <c r="G1644" s="23"/>
    </row>
    <row r="1645" spans="2:7" x14ac:dyDescent="0.15">
      <c r="B1645" s="66"/>
      <c r="C1645" s="23"/>
      <c r="D1645" s="23"/>
      <c r="E1645" s="23"/>
      <c r="F1645" s="23"/>
      <c r="G1645" s="23"/>
    </row>
    <row r="1646" spans="2:7" x14ac:dyDescent="0.15">
      <c r="B1646" s="66"/>
      <c r="C1646" s="23"/>
      <c r="D1646" s="23"/>
      <c r="E1646" s="23"/>
      <c r="F1646" s="23"/>
      <c r="G1646" s="23"/>
    </row>
    <row r="1647" spans="2:7" x14ac:dyDescent="0.15">
      <c r="B1647" s="66"/>
      <c r="C1647" s="23"/>
      <c r="D1647" s="23"/>
      <c r="E1647" s="23"/>
      <c r="F1647" s="23"/>
      <c r="G1647" s="23"/>
    </row>
    <row r="1648" spans="2:7" x14ac:dyDescent="0.15">
      <c r="B1648" s="66"/>
      <c r="C1648" s="23"/>
      <c r="D1648" s="23"/>
      <c r="E1648" s="23"/>
      <c r="F1648" s="23"/>
      <c r="G1648" s="23"/>
    </row>
    <row r="1649" spans="2:7" x14ac:dyDescent="0.15">
      <c r="B1649" s="66"/>
      <c r="C1649" s="23"/>
      <c r="D1649" s="23"/>
      <c r="E1649" s="23"/>
      <c r="F1649" s="23"/>
      <c r="G1649" s="23"/>
    </row>
    <row r="1650" spans="2:7" x14ac:dyDescent="0.15">
      <c r="B1650" s="66"/>
      <c r="C1650" s="23"/>
      <c r="D1650" s="23"/>
      <c r="E1650" s="23"/>
      <c r="F1650" s="23"/>
      <c r="G1650" s="23"/>
    </row>
    <row r="1651" spans="2:7" x14ac:dyDescent="0.15">
      <c r="B1651" s="66"/>
      <c r="C1651" s="23"/>
      <c r="D1651" s="23"/>
      <c r="E1651" s="23"/>
      <c r="F1651" s="23"/>
      <c r="G1651" s="23"/>
    </row>
    <row r="1652" spans="2:7" x14ac:dyDescent="0.15">
      <c r="B1652" s="66"/>
      <c r="C1652" s="23"/>
      <c r="D1652" s="23"/>
      <c r="E1652" s="23"/>
      <c r="F1652" s="23"/>
      <c r="G1652" s="23"/>
    </row>
    <row r="1653" spans="2:7" x14ac:dyDescent="0.15">
      <c r="B1653" s="66"/>
      <c r="C1653" s="23"/>
      <c r="D1653" s="23"/>
      <c r="E1653" s="23"/>
      <c r="F1653" s="23"/>
      <c r="G1653" s="23"/>
    </row>
    <row r="1654" spans="2:7" x14ac:dyDescent="0.15">
      <c r="B1654" s="66"/>
      <c r="C1654" s="23"/>
      <c r="D1654" s="23"/>
      <c r="E1654" s="23"/>
      <c r="F1654" s="23"/>
      <c r="G1654" s="23"/>
    </row>
    <row r="1655" spans="2:7" x14ac:dyDescent="0.15">
      <c r="B1655" s="66"/>
      <c r="C1655" s="23"/>
      <c r="D1655" s="23"/>
      <c r="E1655" s="23"/>
      <c r="F1655" s="23"/>
      <c r="G1655" s="23"/>
    </row>
    <row r="1656" spans="2:7" x14ac:dyDescent="0.15">
      <c r="B1656" s="66"/>
      <c r="C1656" s="23"/>
      <c r="D1656" s="23"/>
      <c r="E1656" s="23"/>
      <c r="F1656" s="23"/>
      <c r="G1656" s="23"/>
    </row>
    <row r="1657" spans="2:7" x14ac:dyDescent="0.15">
      <c r="B1657" s="66"/>
      <c r="C1657" s="23"/>
      <c r="D1657" s="23"/>
      <c r="E1657" s="23"/>
      <c r="F1657" s="23"/>
      <c r="G1657" s="23"/>
    </row>
    <row r="1658" spans="2:7" x14ac:dyDescent="0.15">
      <c r="B1658" s="66"/>
      <c r="C1658" s="23"/>
      <c r="D1658" s="23"/>
      <c r="E1658" s="23"/>
      <c r="F1658" s="23"/>
      <c r="G1658" s="23"/>
    </row>
    <row r="1659" spans="2:7" x14ac:dyDescent="0.15">
      <c r="B1659" s="66"/>
      <c r="C1659" s="23"/>
      <c r="D1659" s="23"/>
      <c r="E1659" s="23"/>
      <c r="F1659" s="23"/>
      <c r="G1659" s="23"/>
    </row>
    <row r="1660" spans="2:7" x14ac:dyDescent="0.15">
      <c r="B1660" s="66"/>
      <c r="C1660" s="23"/>
      <c r="D1660" s="23"/>
      <c r="E1660" s="23"/>
      <c r="F1660" s="23"/>
      <c r="G1660" s="23"/>
    </row>
    <row r="1661" spans="2:7" x14ac:dyDescent="0.15">
      <c r="B1661" s="66"/>
      <c r="C1661" s="23"/>
      <c r="D1661" s="23"/>
      <c r="E1661" s="23"/>
      <c r="F1661" s="23"/>
      <c r="G1661" s="23"/>
    </row>
    <row r="1662" spans="2:7" x14ac:dyDescent="0.15">
      <c r="B1662" s="66"/>
      <c r="C1662" s="23"/>
      <c r="D1662" s="23"/>
      <c r="E1662" s="23"/>
      <c r="F1662" s="23"/>
      <c r="G1662" s="23"/>
    </row>
    <row r="1663" spans="2:7" x14ac:dyDescent="0.15">
      <c r="B1663" s="66"/>
      <c r="C1663" s="23"/>
      <c r="D1663" s="23"/>
      <c r="E1663" s="23"/>
      <c r="F1663" s="23"/>
      <c r="G1663" s="23"/>
    </row>
    <row r="1664" spans="2:7" x14ac:dyDescent="0.15">
      <c r="B1664" s="66"/>
      <c r="C1664" s="23"/>
      <c r="D1664" s="23"/>
      <c r="E1664" s="23"/>
      <c r="F1664" s="23"/>
      <c r="G1664" s="23"/>
    </row>
    <row r="1665" spans="2:7" x14ac:dyDescent="0.15">
      <c r="B1665" s="66"/>
      <c r="C1665" s="23"/>
      <c r="D1665" s="23"/>
      <c r="E1665" s="23"/>
      <c r="F1665" s="23"/>
      <c r="G1665" s="23"/>
    </row>
    <row r="1666" spans="2:7" x14ac:dyDescent="0.15">
      <c r="B1666" s="66"/>
      <c r="C1666" s="23"/>
      <c r="D1666" s="23"/>
      <c r="E1666" s="23"/>
      <c r="F1666" s="23"/>
      <c r="G1666" s="23"/>
    </row>
    <row r="1667" spans="2:7" x14ac:dyDescent="0.15">
      <c r="B1667" s="66"/>
      <c r="C1667" s="23"/>
      <c r="D1667" s="23"/>
      <c r="E1667" s="23"/>
      <c r="F1667" s="23"/>
      <c r="G1667" s="23"/>
    </row>
    <row r="1668" spans="2:7" x14ac:dyDescent="0.15">
      <c r="B1668" s="66"/>
      <c r="C1668" s="23"/>
      <c r="D1668" s="23"/>
      <c r="E1668" s="23"/>
      <c r="F1668" s="23"/>
      <c r="G1668" s="23"/>
    </row>
    <row r="1669" spans="2:7" x14ac:dyDescent="0.15">
      <c r="B1669" s="66"/>
      <c r="C1669" s="23"/>
      <c r="D1669" s="23"/>
      <c r="E1669" s="23"/>
      <c r="F1669" s="23"/>
      <c r="G1669" s="23"/>
    </row>
    <row r="1670" spans="2:7" x14ac:dyDescent="0.15">
      <c r="B1670" s="66"/>
      <c r="C1670" s="23"/>
      <c r="D1670" s="23"/>
      <c r="E1670" s="23"/>
      <c r="F1670" s="23"/>
      <c r="G1670" s="23"/>
    </row>
    <row r="1671" spans="2:7" x14ac:dyDescent="0.15">
      <c r="B1671" s="66"/>
      <c r="C1671" s="23"/>
      <c r="D1671" s="23"/>
      <c r="E1671" s="23"/>
      <c r="F1671" s="23"/>
      <c r="G1671" s="23"/>
    </row>
    <row r="1672" spans="2:7" x14ac:dyDescent="0.15">
      <c r="B1672" s="66"/>
      <c r="C1672" s="23"/>
      <c r="D1672" s="23"/>
      <c r="E1672" s="23"/>
      <c r="F1672" s="23"/>
      <c r="G1672" s="23"/>
    </row>
    <row r="1673" spans="2:7" x14ac:dyDescent="0.15">
      <c r="B1673" s="66"/>
      <c r="C1673" s="23"/>
      <c r="D1673" s="23"/>
      <c r="E1673" s="23"/>
      <c r="F1673" s="23"/>
      <c r="G1673" s="23"/>
    </row>
    <row r="1674" spans="2:7" x14ac:dyDescent="0.15">
      <c r="B1674" s="66"/>
      <c r="C1674" s="23"/>
      <c r="D1674" s="23"/>
      <c r="E1674" s="23"/>
      <c r="F1674" s="23"/>
      <c r="G1674" s="23"/>
    </row>
    <row r="1675" spans="2:7" x14ac:dyDescent="0.15">
      <c r="B1675" s="66"/>
      <c r="C1675" s="23"/>
      <c r="D1675" s="23"/>
      <c r="E1675" s="23"/>
      <c r="F1675" s="23"/>
      <c r="G1675" s="23"/>
    </row>
    <row r="1676" spans="2:7" x14ac:dyDescent="0.15">
      <c r="B1676" s="66"/>
      <c r="C1676" s="23"/>
      <c r="D1676" s="23"/>
      <c r="E1676" s="23"/>
      <c r="F1676" s="23"/>
      <c r="G1676" s="23"/>
    </row>
    <row r="1677" spans="2:7" x14ac:dyDescent="0.15">
      <c r="B1677" s="66"/>
      <c r="C1677" s="23"/>
      <c r="D1677" s="23"/>
      <c r="E1677" s="23"/>
      <c r="F1677" s="23"/>
      <c r="G1677" s="23"/>
    </row>
    <row r="1678" spans="2:7" x14ac:dyDescent="0.15">
      <c r="B1678" s="66"/>
      <c r="C1678" s="23"/>
      <c r="D1678" s="23"/>
      <c r="E1678" s="23"/>
      <c r="F1678" s="23"/>
      <c r="G1678" s="23"/>
    </row>
    <row r="1679" spans="2:7" x14ac:dyDescent="0.15">
      <c r="B1679" s="66"/>
      <c r="C1679" s="23"/>
      <c r="D1679" s="23"/>
      <c r="E1679" s="23"/>
      <c r="F1679" s="23"/>
      <c r="G1679" s="23"/>
    </row>
    <row r="1680" spans="2:7" x14ac:dyDescent="0.15">
      <c r="B1680" s="66"/>
      <c r="C1680" s="23"/>
      <c r="D1680" s="23"/>
      <c r="E1680" s="23"/>
      <c r="F1680" s="23"/>
      <c r="G1680" s="23"/>
    </row>
    <row r="1681" spans="2:7" x14ac:dyDescent="0.15">
      <c r="B1681" s="66"/>
      <c r="C1681" s="23"/>
      <c r="D1681" s="23"/>
      <c r="E1681" s="23"/>
      <c r="F1681" s="23"/>
      <c r="G1681" s="23"/>
    </row>
    <row r="1682" spans="2:7" x14ac:dyDescent="0.15">
      <c r="B1682" s="66"/>
      <c r="C1682" s="23"/>
      <c r="D1682" s="23"/>
      <c r="E1682" s="23"/>
      <c r="F1682" s="23"/>
      <c r="G1682" s="23"/>
    </row>
    <row r="1683" spans="2:7" x14ac:dyDescent="0.15">
      <c r="B1683" s="66"/>
      <c r="C1683" s="23"/>
      <c r="D1683" s="23"/>
      <c r="E1683" s="23"/>
      <c r="F1683" s="23"/>
      <c r="G1683" s="23"/>
    </row>
    <row r="1684" spans="2:7" x14ac:dyDescent="0.15">
      <c r="B1684" s="66"/>
      <c r="C1684" s="23"/>
      <c r="D1684" s="23"/>
      <c r="E1684" s="23"/>
      <c r="F1684" s="23"/>
      <c r="G1684" s="23"/>
    </row>
    <row r="1685" spans="2:7" x14ac:dyDescent="0.15">
      <c r="B1685" s="66"/>
      <c r="C1685" s="23"/>
      <c r="D1685" s="23"/>
      <c r="E1685" s="23"/>
      <c r="F1685" s="23"/>
      <c r="G1685" s="23"/>
    </row>
    <row r="1686" spans="2:7" x14ac:dyDescent="0.15">
      <c r="B1686" s="66"/>
      <c r="C1686" s="23"/>
      <c r="D1686" s="23"/>
      <c r="E1686" s="23"/>
      <c r="F1686" s="23"/>
      <c r="G1686" s="23"/>
    </row>
    <row r="1687" spans="2:7" x14ac:dyDescent="0.15">
      <c r="B1687" s="66"/>
      <c r="C1687" s="23"/>
      <c r="D1687" s="23"/>
      <c r="E1687" s="23"/>
      <c r="F1687" s="23"/>
      <c r="G1687" s="23"/>
    </row>
    <row r="1688" spans="2:7" x14ac:dyDescent="0.15">
      <c r="B1688" s="66"/>
      <c r="C1688" s="23"/>
      <c r="D1688" s="23"/>
      <c r="E1688" s="23"/>
      <c r="F1688" s="23"/>
      <c r="G1688" s="23"/>
    </row>
    <row r="1689" spans="2:7" x14ac:dyDescent="0.15">
      <c r="B1689" s="66"/>
      <c r="C1689" s="23"/>
      <c r="D1689" s="23"/>
      <c r="E1689" s="23"/>
      <c r="F1689" s="23"/>
      <c r="G1689" s="23"/>
    </row>
    <row r="1690" spans="2:7" x14ac:dyDescent="0.15">
      <c r="B1690" s="66"/>
      <c r="C1690" s="23"/>
      <c r="D1690" s="23"/>
      <c r="E1690" s="23"/>
      <c r="F1690" s="23"/>
      <c r="G1690" s="23"/>
    </row>
    <row r="1691" spans="2:7" x14ac:dyDescent="0.15">
      <c r="B1691" s="66"/>
      <c r="C1691" s="23"/>
      <c r="D1691" s="23"/>
      <c r="E1691" s="23"/>
      <c r="F1691" s="23"/>
      <c r="G1691" s="23"/>
    </row>
    <row r="1692" spans="2:7" x14ac:dyDescent="0.15">
      <c r="B1692" s="66"/>
      <c r="C1692" s="23"/>
      <c r="D1692" s="23"/>
      <c r="E1692" s="23"/>
      <c r="F1692" s="23"/>
      <c r="G1692" s="23"/>
    </row>
    <row r="1693" spans="2:7" x14ac:dyDescent="0.15">
      <c r="B1693" s="66"/>
      <c r="C1693" s="23"/>
      <c r="D1693" s="23"/>
      <c r="E1693" s="23"/>
      <c r="F1693" s="23"/>
      <c r="G1693" s="23"/>
    </row>
    <row r="1694" spans="2:7" x14ac:dyDescent="0.15">
      <c r="B1694" s="66"/>
      <c r="C1694" s="23"/>
      <c r="D1694" s="23"/>
      <c r="E1694" s="23"/>
      <c r="F1694" s="23"/>
      <c r="G1694" s="23"/>
    </row>
    <row r="1695" spans="2:7" x14ac:dyDescent="0.15">
      <c r="B1695" s="66"/>
      <c r="C1695" s="23"/>
      <c r="D1695" s="23"/>
      <c r="E1695" s="23"/>
      <c r="F1695" s="23"/>
      <c r="G1695" s="23"/>
    </row>
    <row r="1696" spans="2:7" x14ac:dyDescent="0.15">
      <c r="B1696" s="66"/>
      <c r="C1696" s="23"/>
      <c r="D1696" s="23"/>
      <c r="E1696" s="23"/>
      <c r="F1696" s="23"/>
      <c r="G1696" s="23"/>
    </row>
    <row r="1697" spans="2:7" x14ac:dyDescent="0.15">
      <c r="B1697" s="66"/>
      <c r="C1697" s="23"/>
      <c r="D1697" s="23"/>
      <c r="E1697" s="23"/>
      <c r="F1697" s="23"/>
      <c r="G1697" s="23"/>
    </row>
    <row r="1698" spans="2:7" x14ac:dyDescent="0.15">
      <c r="B1698" s="66"/>
      <c r="C1698" s="23"/>
      <c r="D1698" s="23"/>
      <c r="E1698" s="23"/>
      <c r="F1698" s="23"/>
      <c r="G1698" s="23"/>
    </row>
    <row r="1699" spans="2:7" x14ac:dyDescent="0.15">
      <c r="B1699" s="66"/>
      <c r="C1699" s="23"/>
      <c r="D1699" s="23"/>
      <c r="E1699" s="23"/>
      <c r="F1699" s="23"/>
      <c r="G1699" s="23"/>
    </row>
    <row r="1700" spans="2:7" x14ac:dyDescent="0.15">
      <c r="B1700" s="66"/>
      <c r="C1700" s="23"/>
      <c r="D1700" s="23"/>
      <c r="E1700" s="23"/>
      <c r="F1700" s="23"/>
      <c r="G1700" s="23"/>
    </row>
    <row r="1701" spans="2:7" x14ac:dyDescent="0.15">
      <c r="B1701" s="66"/>
      <c r="C1701" s="23"/>
      <c r="D1701" s="23"/>
      <c r="E1701" s="23"/>
      <c r="F1701" s="23"/>
      <c r="G1701" s="23"/>
    </row>
    <row r="1702" spans="2:7" x14ac:dyDescent="0.15">
      <c r="B1702" s="66"/>
      <c r="C1702" s="23"/>
      <c r="D1702" s="23"/>
      <c r="E1702" s="23"/>
      <c r="F1702" s="23"/>
      <c r="G1702" s="23"/>
    </row>
    <row r="1703" spans="2:7" x14ac:dyDescent="0.15">
      <c r="B1703" s="66"/>
      <c r="C1703" s="23"/>
      <c r="D1703" s="23"/>
      <c r="E1703" s="23"/>
      <c r="F1703" s="23"/>
      <c r="G1703" s="23"/>
    </row>
    <row r="1704" spans="2:7" x14ac:dyDescent="0.15">
      <c r="B1704" s="66"/>
      <c r="C1704" s="23"/>
      <c r="D1704" s="23"/>
      <c r="E1704" s="23"/>
      <c r="F1704" s="23"/>
      <c r="G1704" s="23"/>
    </row>
    <row r="1705" spans="2:7" x14ac:dyDescent="0.15">
      <c r="B1705" s="66"/>
      <c r="C1705" s="23"/>
      <c r="D1705" s="23"/>
      <c r="E1705" s="23"/>
      <c r="F1705" s="23"/>
      <c r="G1705" s="23"/>
    </row>
    <row r="1706" spans="2:7" x14ac:dyDescent="0.15">
      <c r="B1706" s="66"/>
      <c r="C1706" s="23"/>
      <c r="D1706" s="23"/>
      <c r="E1706" s="23"/>
      <c r="F1706" s="23"/>
      <c r="G1706" s="23"/>
    </row>
    <row r="1707" spans="2:7" x14ac:dyDescent="0.15">
      <c r="B1707" s="66"/>
      <c r="C1707" s="23"/>
      <c r="D1707" s="23"/>
      <c r="E1707" s="23"/>
      <c r="F1707" s="23"/>
      <c r="G1707" s="23"/>
    </row>
    <row r="1708" spans="2:7" x14ac:dyDescent="0.15">
      <c r="B1708" s="66"/>
      <c r="C1708" s="23"/>
      <c r="D1708" s="23"/>
      <c r="E1708" s="23"/>
      <c r="F1708" s="23"/>
      <c r="G1708" s="23"/>
    </row>
    <row r="1709" spans="2:7" x14ac:dyDescent="0.15">
      <c r="B1709" s="66"/>
      <c r="C1709" s="23"/>
      <c r="D1709" s="23"/>
      <c r="E1709" s="23"/>
      <c r="F1709" s="23"/>
      <c r="G1709" s="23"/>
    </row>
    <row r="1710" spans="2:7" x14ac:dyDescent="0.15">
      <c r="B1710" s="66"/>
      <c r="C1710" s="23"/>
      <c r="D1710" s="23"/>
      <c r="E1710" s="23"/>
      <c r="F1710" s="23"/>
      <c r="G1710" s="23"/>
    </row>
    <row r="1711" spans="2:7" x14ac:dyDescent="0.15">
      <c r="B1711" s="66"/>
      <c r="C1711" s="23"/>
      <c r="D1711" s="23"/>
      <c r="E1711" s="23"/>
      <c r="F1711" s="23"/>
      <c r="G1711" s="23"/>
    </row>
    <row r="1712" spans="2:7" x14ac:dyDescent="0.15">
      <c r="B1712" s="66"/>
      <c r="C1712" s="23"/>
      <c r="D1712" s="23"/>
      <c r="E1712" s="23"/>
      <c r="F1712" s="23"/>
      <c r="G1712" s="23"/>
    </row>
    <row r="1713" spans="2:7" x14ac:dyDescent="0.15">
      <c r="B1713" s="66"/>
      <c r="C1713" s="23"/>
      <c r="D1713" s="23"/>
      <c r="E1713" s="23"/>
      <c r="F1713" s="23"/>
      <c r="G1713" s="23"/>
    </row>
    <row r="1714" spans="2:7" x14ac:dyDescent="0.15">
      <c r="B1714" s="66"/>
      <c r="C1714" s="23"/>
      <c r="D1714" s="23"/>
      <c r="E1714" s="23"/>
      <c r="F1714" s="23"/>
      <c r="G1714" s="23"/>
    </row>
    <row r="1715" spans="2:7" x14ac:dyDescent="0.15">
      <c r="B1715" s="66"/>
      <c r="C1715" s="23"/>
      <c r="D1715" s="23"/>
      <c r="E1715" s="23"/>
      <c r="F1715" s="23"/>
      <c r="G1715" s="23"/>
    </row>
    <row r="1716" spans="2:7" x14ac:dyDescent="0.15">
      <c r="B1716" s="66"/>
      <c r="C1716" s="23"/>
      <c r="D1716" s="23"/>
      <c r="E1716" s="23"/>
      <c r="F1716" s="23"/>
      <c r="G1716" s="23"/>
    </row>
    <row r="1717" spans="2:7" x14ac:dyDescent="0.15">
      <c r="B1717" s="66"/>
      <c r="C1717" s="23"/>
      <c r="D1717" s="23"/>
      <c r="E1717" s="23"/>
      <c r="F1717" s="23"/>
      <c r="G1717" s="23"/>
    </row>
    <row r="1718" spans="2:7" x14ac:dyDescent="0.15">
      <c r="B1718" s="66"/>
      <c r="C1718" s="23"/>
      <c r="D1718" s="23"/>
      <c r="E1718" s="23"/>
      <c r="F1718" s="23"/>
      <c r="G1718" s="23"/>
    </row>
    <row r="1719" spans="2:7" x14ac:dyDescent="0.15">
      <c r="B1719" s="66"/>
      <c r="C1719" s="23"/>
      <c r="D1719" s="23"/>
      <c r="E1719" s="23"/>
      <c r="F1719" s="23"/>
      <c r="G1719" s="23"/>
    </row>
    <row r="1720" spans="2:7" x14ac:dyDescent="0.15">
      <c r="B1720" s="66"/>
      <c r="C1720" s="23"/>
      <c r="D1720" s="23"/>
      <c r="E1720" s="23"/>
      <c r="F1720" s="23"/>
      <c r="G1720" s="23"/>
    </row>
    <row r="1721" spans="2:7" x14ac:dyDescent="0.15">
      <c r="B1721" s="66"/>
      <c r="C1721" s="23"/>
      <c r="D1721" s="23"/>
      <c r="E1721" s="23"/>
      <c r="F1721" s="23"/>
      <c r="G1721" s="23"/>
    </row>
    <row r="1722" spans="2:7" x14ac:dyDescent="0.15">
      <c r="B1722" s="66"/>
      <c r="C1722" s="23"/>
      <c r="D1722" s="23"/>
      <c r="E1722" s="23"/>
      <c r="F1722" s="23"/>
      <c r="G1722" s="23"/>
    </row>
    <row r="1723" spans="2:7" x14ac:dyDescent="0.15">
      <c r="B1723" s="66"/>
      <c r="C1723" s="23"/>
      <c r="D1723" s="23"/>
      <c r="E1723" s="23"/>
      <c r="F1723" s="23"/>
      <c r="G1723" s="23"/>
    </row>
    <row r="1724" spans="2:7" x14ac:dyDescent="0.15">
      <c r="B1724" s="66"/>
      <c r="C1724" s="23"/>
      <c r="D1724" s="23"/>
      <c r="E1724" s="23"/>
      <c r="F1724" s="23"/>
      <c r="G1724" s="23"/>
    </row>
    <row r="1725" spans="2:7" x14ac:dyDescent="0.15">
      <c r="B1725" s="66"/>
      <c r="C1725" s="23"/>
      <c r="D1725" s="23"/>
      <c r="E1725" s="23"/>
      <c r="F1725" s="23"/>
      <c r="G1725" s="23"/>
    </row>
    <row r="1726" spans="2:7" x14ac:dyDescent="0.15">
      <c r="B1726" s="66"/>
      <c r="C1726" s="23"/>
      <c r="D1726" s="23"/>
      <c r="E1726" s="23"/>
      <c r="F1726" s="23"/>
      <c r="G1726" s="23"/>
    </row>
    <row r="1727" spans="2:7" x14ac:dyDescent="0.15">
      <c r="B1727" s="66"/>
      <c r="C1727" s="23"/>
      <c r="D1727" s="23"/>
      <c r="E1727" s="23"/>
      <c r="F1727" s="23"/>
      <c r="G1727" s="23"/>
    </row>
    <row r="1728" spans="2:7" x14ac:dyDescent="0.15">
      <c r="B1728" s="66"/>
      <c r="C1728" s="23"/>
      <c r="D1728" s="23"/>
      <c r="E1728" s="23"/>
      <c r="F1728" s="23"/>
      <c r="G1728" s="23"/>
    </row>
    <row r="1729" spans="2:7" x14ac:dyDescent="0.15">
      <c r="B1729" s="66"/>
      <c r="C1729" s="23"/>
      <c r="D1729" s="23"/>
      <c r="E1729" s="23"/>
      <c r="F1729" s="23"/>
      <c r="G1729" s="23"/>
    </row>
    <row r="1730" spans="2:7" x14ac:dyDescent="0.15">
      <c r="B1730" s="66"/>
      <c r="C1730" s="23"/>
      <c r="D1730" s="23"/>
      <c r="E1730" s="23"/>
      <c r="F1730" s="23"/>
      <c r="G1730" s="23"/>
    </row>
    <row r="1731" spans="2:7" x14ac:dyDescent="0.15">
      <c r="B1731" s="66"/>
      <c r="C1731" s="23"/>
      <c r="D1731" s="23"/>
      <c r="E1731" s="23"/>
      <c r="F1731" s="23"/>
      <c r="G1731" s="23"/>
    </row>
    <row r="1732" spans="2:7" x14ac:dyDescent="0.15">
      <c r="B1732" s="66"/>
      <c r="C1732" s="23"/>
      <c r="D1732" s="23"/>
      <c r="E1732" s="23"/>
      <c r="F1732" s="23"/>
      <c r="G1732" s="23"/>
    </row>
    <row r="1733" spans="2:7" x14ac:dyDescent="0.15">
      <c r="B1733" s="66"/>
      <c r="C1733" s="23"/>
      <c r="D1733" s="23"/>
      <c r="E1733" s="23"/>
      <c r="F1733" s="23"/>
      <c r="G1733" s="23"/>
    </row>
    <row r="1734" spans="2:7" x14ac:dyDescent="0.15">
      <c r="B1734" s="66"/>
      <c r="C1734" s="23"/>
      <c r="D1734" s="23"/>
      <c r="E1734" s="23"/>
      <c r="F1734" s="23"/>
      <c r="G1734" s="23"/>
    </row>
    <row r="1735" spans="2:7" x14ac:dyDescent="0.15">
      <c r="B1735" s="66"/>
      <c r="C1735" s="23"/>
      <c r="D1735" s="23"/>
      <c r="E1735" s="23"/>
      <c r="F1735" s="23"/>
      <c r="G1735" s="23"/>
    </row>
    <row r="1736" spans="2:7" x14ac:dyDescent="0.15">
      <c r="B1736" s="66"/>
      <c r="C1736" s="23"/>
      <c r="D1736" s="23"/>
      <c r="E1736" s="23"/>
      <c r="F1736" s="23"/>
      <c r="G1736" s="23"/>
    </row>
    <row r="1737" spans="2:7" x14ac:dyDescent="0.15">
      <c r="B1737" s="66"/>
      <c r="C1737" s="23"/>
      <c r="D1737" s="23"/>
      <c r="E1737" s="23"/>
      <c r="F1737" s="23"/>
      <c r="G1737" s="23"/>
    </row>
    <row r="1738" spans="2:7" x14ac:dyDescent="0.15">
      <c r="B1738" s="66"/>
      <c r="C1738" s="23"/>
      <c r="D1738" s="23"/>
      <c r="E1738" s="23"/>
      <c r="F1738" s="23"/>
      <c r="G1738" s="23"/>
    </row>
    <row r="1739" spans="2:7" x14ac:dyDescent="0.15">
      <c r="B1739" s="66"/>
      <c r="C1739" s="23"/>
      <c r="D1739" s="23"/>
      <c r="E1739" s="23"/>
      <c r="F1739" s="23"/>
      <c r="G1739" s="23"/>
    </row>
    <row r="1740" spans="2:7" x14ac:dyDescent="0.15">
      <c r="B1740" s="66"/>
      <c r="C1740" s="23"/>
      <c r="D1740" s="23"/>
      <c r="E1740" s="23"/>
      <c r="F1740" s="23"/>
      <c r="G1740" s="23"/>
    </row>
    <row r="1741" spans="2:7" x14ac:dyDescent="0.15">
      <c r="B1741" s="66"/>
      <c r="C1741" s="23"/>
      <c r="D1741" s="23"/>
      <c r="E1741" s="23"/>
      <c r="F1741" s="23"/>
      <c r="G1741" s="23"/>
    </row>
    <row r="1742" spans="2:7" x14ac:dyDescent="0.15">
      <c r="B1742" s="66"/>
      <c r="C1742" s="23"/>
      <c r="D1742" s="23"/>
      <c r="E1742" s="23"/>
      <c r="F1742" s="23"/>
      <c r="G1742" s="23"/>
    </row>
    <row r="1743" spans="2:7" x14ac:dyDescent="0.15">
      <c r="B1743" s="66"/>
      <c r="C1743" s="23"/>
      <c r="D1743" s="23"/>
      <c r="E1743" s="23"/>
      <c r="F1743" s="23"/>
      <c r="G1743" s="23"/>
    </row>
    <row r="1744" spans="2:7" x14ac:dyDescent="0.15">
      <c r="B1744" s="66"/>
      <c r="C1744" s="23"/>
      <c r="D1744" s="23"/>
      <c r="E1744" s="23"/>
      <c r="F1744" s="23"/>
      <c r="G1744" s="23"/>
    </row>
    <row r="1745" spans="2:7" x14ac:dyDescent="0.15">
      <c r="B1745" s="66"/>
      <c r="C1745" s="23"/>
      <c r="D1745" s="23"/>
      <c r="E1745" s="23"/>
      <c r="F1745" s="23"/>
      <c r="G1745" s="23"/>
    </row>
    <row r="1746" spans="2:7" x14ac:dyDescent="0.15">
      <c r="B1746" s="66"/>
      <c r="C1746" s="23"/>
      <c r="D1746" s="23"/>
      <c r="E1746" s="23"/>
      <c r="F1746" s="23"/>
      <c r="G1746" s="23"/>
    </row>
    <row r="1747" spans="2:7" x14ac:dyDescent="0.15">
      <c r="B1747" s="66"/>
      <c r="C1747" s="23"/>
      <c r="D1747" s="23"/>
      <c r="E1747" s="23"/>
      <c r="F1747" s="23"/>
      <c r="G1747" s="23"/>
    </row>
    <row r="1748" spans="2:7" x14ac:dyDescent="0.15">
      <c r="B1748" s="66"/>
      <c r="C1748" s="23"/>
      <c r="D1748" s="23"/>
      <c r="E1748" s="23"/>
      <c r="F1748" s="23"/>
      <c r="G1748" s="23"/>
    </row>
    <row r="1749" spans="2:7" x14ac:dyDescent="0.15">
      <c r="B1749" s="66"/>
      <c r="C1749" s="23"/>
      <c r="D1749" s="23"/>
      <c r="E1749" s="23"/>
      <c r="F1749" s="23"/>
      <c r="G1749" s="23"/>
    </row>
    <row r="1750" spans="2:7" x14ac:dyDescent="0.15">
      <c r="B1750" s="66"/>
      <c r="C1750" s="23"/>
      <c r="D1750" s="23"/>
      <c r="E1750" s="23"/>
      <c r="F1750" s="23"/>
      <c r="G1750" s="23"/>
    </row>
    <row r="1751" spans="2:7" x14ac:dyDescent="0.15">
      <c r="B1751" s="66"/>
      <c r="C1751" s="23"/>
      <c r="D1751" s="23"/>
      <c r="E1751" s="23"/>
      <c r="F1751" s="23"/>
      <c r="G1751" s="23"/>
    </row>
    <row r="1752" spans="2:7" x14ac:dyDescent="0.15">
      <c r="B1752" s="66"/>
      <c r="C1752" s="23"/>
      <c r="D1752" s="23"/>
      <c r="E1752" s="23"/>
      <c r="F1752" s="23"/>
      <c r="G1752" s="23"/>
    </row>
    <row r="1753" spans="2:7" x14ac:dyDescent="0.15">
      <c r="B1753" s="66"/>
      <c r="C1753" s="23"/>
      <c r="D1753" s="23"/>
      <c r="E1753" s="23"/>
      <c r="F1753" s="23"/>
      <c r="G1753" s="23"/>
    </row>
    <row r="1754" spans="2:7" x14ac:dyDescent="0.15">
      <c r="B1754" s="66"/>
      <c r="C1754" s="23"/>
      <c r="D1754" s="23"/>
      <c r="E1754" s="23"/>
      <c r="F1754" s="23"/>
      <c r="G1754" s="23"/>
    </row>
    <row r="1755" spans="2:7" x14ac:dyDescent="0.15">
      <c r="B1755" s="66"/>
      <c r="C1755" s="23"/>
      <c r="D1755" s="23"/>
      <c r="E1755" s="23"/>
      <c r="F1755" s="23"/>
      <c r="G1755" s="23"/>
    </row>
    <row r="1756" spans="2:7" x14ac:dyDescent="0.15">
      <c r="B1756" s="66"/>
      <c r="C1756" s="23"/>
      <c r="D1756" s="23"/>
      <c r="E1756" s="23"/>
      <c r="F1756" s="23"/>
      <c r="G1756" s="23"/>
    </row>
    <row r="1757" spans="2:7" x14ac:dyDescent="0.15">
      <c r="B1757" s="66"/>
      <c r="C1757" s="23"/>
      <c r="D1757" s="23"/>
      <c r="E1757" s="23"/>
      <c r="F1757" s="23"/>
      <c r="G1757" s="23"/>
    </row>
    <row r="1758" spans="2:7" x14ac:dyDescent="0.15">
      <c r="B1758" s="66"/>
      <c r="C1758" s="23"/>
      <c r="D1758" s="23"/>
      <c r="E1758" s="23"/>
      <c r="F1758" s="23"/>
      <c r="G1758" s="23"/>
    </row>
    <row r="1759" spans="2:7" x14ac:dyDescent="0.15">
      <c r="B1759" s="66"/>
      <c r="C1759" s="23"/>
      <c r="D1759" s="23"/>
      <c r="E1759" s="23"/>
      <c r="F1759" s="23"/>
      <c r="G1759" s="23"/>
    </row>
    <row r="1760" spans="2:7" x14ac:dyDescent="0.15">
      <c r="B1760" s="66"/>
      <c r="C1760" s="23"/>
      <c r="D1760" s="23"/>
      <c r="E1760" s="23"/>
      <c r="F1760" s="23"/>
      <c r="G1760" s="23"/>
    </row>
    <row r="1761" spans="2:7" x14ac:dyDescent="0.15">
      <c r="B1761" s="66"/>
      <c r="C1761" s="23"/>
      <c r="D1761" s="23"/>
      <c r="E1761" s="23"/>
      <c r="F1761" s="23"/>
      <c r="G1761" s="23"/>
    </row>
    <row r="1762" spans="2:7" x14ac:dyDescent="0.15">
      <c r="B1762" s="66"/>
      <c r="C1762" s="23"/>
      <c r="D1762" s="23"/>
      <c r="E1762" s="23"/>
      <c r="F1762" s="23"/>
      <c r="G1762" s="23"/>
    </row>
    <row r="1763" spans="2:7" x14ac:dyDescent="0.15">
      <c r="B1763" s="66"/>
      <c r="C1763" s="23"/>
      <c r="D1763" s="23"/>
      <c r="E1763" s="23"/>
      <c r="F1763" s="23"/>
      <c r="G1763" s="23"/>
    </row>
    <row r="1764" spans="2:7" x14ac:dyDescent="0.15">
      <c r="B1764" s="66"/>
      <c r="C1764" s="23"/>
      <c r="D1764" s="23"/>
      <c r="E1764" s="23"/>
      <c r="F1764" s="23"/>
      <c r="G1764" s="23"/>
    </row>
    <row r="1765" spans="2:7" x14ac:dyDescent="0.15">
      <c r="B1765" s="66"/>
      <c r="C1765" s="23"/>
      <c r="D1765" s="23"/>
      <c r="E1765" s="23"/>
      <c r="F1765" s="23"/>
      <c r="G1765" s="23"/>
    </row>
    <row r="1766" spans="2:7" x14ac:dyDescent="0.15">
      <c r="B1766" s="66"/>
      <c r="C1766" s="23"/>
      <c r="D1766" s="23"/>
      <c r="E1766" s="23"/>
      <c r="F1766" s="23"/>
      <c r="G1766" s="23"/>
    </row>
    <row r="1767" spans="2:7" x14ac:dyDescent="0.15">
      <c r="B1767" s="66"/>
      <c r="C1767" s="23"/>
      <c r="D1767" s="23"/>
      <c r="E1767" s="23"/>
      <c r="F1767" s="23"/>
      <c r="G1767" s="23"/>
    </row>
    <row r="1768" spans="2:7" x14ac:dyDescent="0.15">
      <c r="B1768" s="66"/>
      <c r="C1768" s="23"/>
      <c r="D1768" s="23"/>
      <c r="E1768" s="23"/>
      <c r="F1768" s="23"/>
      <c r="G1768" s="23"/>
    </row>
    <row r="1769" spans="2:7" x14ac:dyDescent="0.15">
      <c r="B1769" s="66"/>
      <c r="C1769" s="23"/>
      <c r="D1769" s="23"/>
      <c r="E1769" s="23"/>
      <c r="F1769" s="23"/>
      <c r="G1769" s="23"/>
    </row>
    <row r="1770" spans="2:7" x14ac:dyDescent="0.15">
      <c r="B1770" s="66"/>
      <c r="C1770" s="23"/>
      <c r="D1770" s="23"/>
      <c r="E1770" s="23"/>
      <c r="F1770" s="23"/>
      <c r="G1770" s="23"/>
    </row>
    <row r="1771" spans="2:7" x14ac:dyDescent="0.15">
      <c r="B1771" s="66"/>
      <c r="C1771" s="23"/>
      <c r="D1771" s="23"/>
      <c r="E1771" s="23"/>
      <c r="F1771" s="23"/>
      <c r="G1771" s="23"/>
    </row>
    <row r="1772" spans="2:7" x14ac:dyDescent="0.15">
      <c r="B1772" s="66"/>
      <c r="C1772" s="23"/>
      <c r="D1772" s="23"/>
      <c r="E1772" s="23"/>
      <c r="F1772" s="23"/>
      <c r="G1772" s="23"/>
    </row>
    <row r="1773" spans="2:7" x14ac:dyDescent="0.15">
      <c r="B1773" s="66"/>
      <c r="C1773" s="23"/>
      <c r="D1773" s="23"/>
      <c r="E1773" s="23"/>
      <c r="F1773" s="23"/>
      <c r="G1773" s="23"/>
    </row>
    <row r="1774" spans="2:7" x14ac:dyDescent="0.15">
      <c r="B1774" s="66"/>
      <c r="C1774" s="23"/>
      <c r="D1774" s="23"/>
      <c r="E1774" s="23"/>
      <c r="F1774" s="23"/>
      <c r="G1774" s="23"/>
    </row>
    <row r="1775" spans="2:7" x14ac:dyDescent="0.15">
      <c r="B1775" s="66"/>
      <c r="C1775" s="23"/>
      <c r="D1775" s="23"/>
      <c r="E1775" s="23"/>
      <c r="F1775" s="23"/>
      <c r="G1775" s="23"/>
    </row>
    <row r="1776" spans="2:7" x14ac:dyDescent="0.15">
      <c r="B1776" s="66"/>
      <c r="C1776" s="23"/>
      <c r="D1776" s="23"/>
      <c r="E1776" s="23"/>
      <c r="F1776" s="23"/>
      <c r="G1776" s="23"/>
    </row>
    <row r="1777" spans="2:7" x14ac:dyDescent="0.15">
      <c r="B1777" s="66"/>
      <c r="C1777" s="23"/>
      <c r="D1777" s="23"/>
      <c r="E1777" s="23"/>
      <c r="F1777" s="23"/>
      <c r="G1777" s="23"/>
    </row>
    <row r="1778" spans="2:7" x14ac:dyDescent="0.15">
      <c r="B1778" s="66"/>
      <c r="C1778" s="23"/>
      <c r="D1778" s="23"/>
      <c r="E1778" s="23"/>
      <c r="F1778" s="23"/>
      <c r="G1778" s="23"/>
    </row>
    <row r="1779" spans="2:7" x14ac:dyDescent="0.15">
      <c r="B1779" s="66"/>
      <c r="C1779" s="23"/>
      <c r="D1779" s="23"/>
      <c r="E1779" s="23"/>
      <c r="F1779" s="23"/>
      <c r="G1779" s="23"/>
    </row>
    <row r="1780" spans="2:7" x14ac:dyDescent="0.15">
      <c r="B1780" s="66"/>
      <c r="C1780" s="23"/>
      <c r="D1780" s="23"/>
      <c r="E1780" s="23"/>
      <c r="F1780" s="23"/>
      <c r="G1780" s="23"/>
    </row>
    <row r="1781" spans="2:7" x14ac:dyDescent="0.15">
      <c r="B1781" s="66"/>
      <c r="C1781" s="23"/>
      <c r="D1781" s="23"/>
      <c r="E1781" s="23"/>
      <c r="F1781" s="23"/>
      <c r="G1781" s="23"/>
    </row>
    <row r="1782" spans="2:7" x14ac:dyDescent="0.15">
      <c r="B1782" s="66"/>
      <c r="C1782" s="23"/>
      <c r="D1782" s="23"/>
      <c r="E1782" s="23"/>
      <c r="F1782" s="23"/>
      <c r="G1782" s="23"/>
    </row>
    <row r="1783" spans="2:7" x14ac:dyDescent="0.15">
      <c r="B1783" s="66"/>
      <c r="C1783" s="23"/>
      <c r="D1783" s="23"/>
      <c r="E1783" s="23"/>
      <c r="F1783" s="23"/>
      <c r="G1783" s="23"/>
    </row>
    <row r="1784" spans="2:7" x14ac:dyDescent="0.15">
      <c r="B1784" s="66"/>
      <c r="C1784" s="23"/>
      <c r="D1784" s="23"/>
      <c r="E1784" s="23"/>
      <c r="F1784" s="23"/>
      <c r="G1784" s="23"/>
    </row>
    <row r="1785" spans="2:7" x14ac:dyDescent="0.15">
      <c r="B1785" s="66"/>
      <c r="C1785" s="23"/>
      <c r="D1785" s="23"/>
      <c r="E1785" s="23"/>
      <c r="F1785" s="23"/>
      <c r="G1785" s="23"/>
    </row>
    <row r="1786" spans="2:7" x14ac:dyDescent="0.15">
      <c r="B1786" s="66"/>
      <c r="C1786" s="23"/>
      <c r="D1786" s="23"/>
      <c r="E1786" s="23"/>
      <c r="F1786" s="23"/>
      <c r="G1786" s="23"/>
    </row>
    <row r="1787" spans="2:7" x14ac:dyDescent="0.15">
      <c r="B1787" s="66"/>
      <c r="C1787" s="23"/>
      <c r="D1787" s="23"/>
      <c r="E1787" s="23"/>
      <c r="F1787" s="23"/>
      <c r="G1787" s="23"/>
    </row>
    <row r="1788" spans="2:7" x14ac:dyDescent="0.15">
      <c r="B1788" s="66"/>
      <c r="C1788" s="23"/>
      <c r="D1788" s="23"/>
      <c r="E1788" s="23"/>
      <c r="F1788" s="23"/>
      <c r="G1788" s="23"/>
    </row>
    <row r="1789" spans="2:7" x14ac:dyDescent="0.15">
      <c r="B1789" s="66"/>
      <c r="C1789" s="23"/>
      <c r="D1789" s="23"/>
      <c r="E1789" s="23"/>
      <c r="F1789" s="23"/>
      <c r="G1789" s="23"/>
    </row>
    <row r="1790" spans="2:7" x14ac:dyDescent="0.15">
      <c r="B1790" s="66"/>
      <c r="C1790" s="23"/>
      <c r="D1790" s="23"/>
      <c r="E1790" s="23"/>
      <c r="F1790" s="23"/>
      <c r="G1790" s="23"/>
    </row>
    <row r="1791" spans="2:7" x14ac:dyDescent="0.15">
      <c r="B1791" s="66"/>
      <c r="C1791" s="23"/>
      <c r="D1791" s="23"/>
      <c r="E1791" s="23"/>
      <c r="F1791" s="23"/>
      <c r="G1791" s="23"/>
    </row>
    <row r="1792" spans="2:7" x14ac:dyDescent="0.15">
      <c r="B1792" s="66"/>
      <c r="C1792" s="23"/>
      <c r="D1792" s="23"/>
      <c r="E1792" s="23"/>
      <c r="F1792" s="23"/>
      <c r="G1792" s="23"/>
    </row>
    <row r="1793" spans="2:7" x14ac:dyDescent="0.15">
      <c r="B1793" s="66"/>
      <c r="C1793" s="23"/>
      <c r="D1793" s="23"/>
      <c r="E1793" s="23"/>
      <c r="F1793" s="23"/>
      <c r="G1793" s="23"/>
    </row>
    <row r="1794" spans="2:7" x14ac:dyDescent="0.15">
      <c r="B1794" s="66"/>
      <c r="C1794" s="23"/>
      <c r="D1794" s="23"/>
      <c r="E1794" s="23"/>
      <c r="F1794" s="23"/>
      <c r="G1794" s="23"/>
    </row>
    <row r="1795" spans="2:7" x14ac:dyDescent="0.15">
      <c r="B1795" s="66"/>
      <c r="C1795" s="23"/>
      <c r="D1795" s="23"/>
      <c r="E1795" s="23"/>
      <c r="F1795" s="23"/>
      <c r="G1795" s="23"/>
    </row>
    <row r="1796" spans="2:7" x14ac:dyDescent="0.15">
      <c r="B1796" s="66"/>
      <c r="C1796" s="23"/>
      <c r="D1796" s="23"/>
      <c r="E1796" s="23"/>
      <c r="F1796" s="23"/>
      <c r="G1796" s="23"/>
    </row>
    <row r="1797" spans="2:7" x14ac:dyDescent="0.15">
      <c r="B1797" s="66"/>
      <c r="C1797" s="23"/>
      <c r="D1797" s="23"/>
      <c r="E1797" s="23"/>
      <c r="F1797" s="23"/>
      <c r="G1797" s="23"/>
    </row>
    <row r="1798" spans="2:7" x14ac:dyDescent="0.15">
      <c r="B1798" s="66"/>
      <c r="C1798" s="23"/>
      <c r="D1798" s="23"/>
      <c r="E1798" s="23"/>
      <c r="F1798" s="23"/>
      <c r="G1798" s="23"/>
    </row>
    <row r="1799" spans="2:7" x14ac:dyDescent="0.15">
      <c r="B1799" s="66"/>
      <c r="C1799" s="23"/>
      <c r="D1799" s="23"/>
      <c r="E1799" s="23"/>
      <c r="F1799" s="23"/>
      <c r="G1799" s="23"/>
    </row>
    <row r="1800" spans="2:7" x14ac:dyDescent="0.15">
      <c r="B1800" s="66"/>
      <c r="C1800" s="23"/>
      <c r="D1800" s="23"/>
      <c r="E1800" s="23"/>
      <c r="F1800" s="23"/>
      <c r="G1800" s="23"/>
    </row>
    <row r="1801" spans="2:7" x14ac:dyDescent="0.15">
      <c r="B1801" s="66"/>
      <c r="C1801" s="23"/>
      <c r="D1801" s="23"/>
      <c r="E1801" s="23"/>
      <c r="F1801" s="23"/>
      <c r="G1801" s="23"/>
    </row>
    <row r="1802" spans="2:7" x14ac:dyDescent="0.15">
      <c r="B1802" s="66"/>
      <c r="C1802" s="23"/>
      <c r="D1802" s="23"/>
      <c r="E1802" s="23"/>
      <c r="F1802" s="23"/>
      <c r="G1802" s="23"/>
    </row>
    <row r="1803" spans="2:7" x14ac:dyDescent="0.15">
      <c r="B1803" s="66"/>
      <c r="C1803" s="23"/>
      <c r="D1803" s="23"/>
      <c r="E1803" s="23"/>
      <c r="F1803" s="23"/>
      <c r="G1803" s="23"/>
    </row>
    <row r="1804" spans="2:7" x14ac:dyDescent="0.15">
      <c r="B1804" s="66"/>
      <c r="C1804" s="23"/>
      <c r="D1804" s="23"/>
      <c r="E1804" s="23"/>
      <c r="F1804" s="23"/>
      <c r="G1804" s="23"/>
    </row>
    <row r="1805" spans="2:7" x14ac:dyDescent="0.15">
      <c r="B1805" s="66"/>
      <c r="C1805" s="23"/>
      <c r="D1805" s="23"/>
      <c r="E1805" s="23"/>
      <c r="F1805" s="23"/>
      <c r="G1805" s="23"/>
    </row>
    <row r="1806" spans="2:7" x14ac:dyDescent="0.15">
      <c r="B1806" s="66"/>
      <c r="C1806" s="23"/>
      <c r="D1806" s="23"/>
      <c r="E1806" s="23"/>
      <c r="F1806" s="23"/>
      <c r="G1806" s="23"/>
    </row>
    <row r="1807" spans="2:7" x14ac:dyDescent="0.15">
      <c r="B1807" s="66"/>
      <c r="C1807" s="23"/>
      <c r="D1807" s="23"/>
      <c r="E1807" s="23"/>
      <c r="F1807" s="23"/>
      <c r="G1807" s="23"/>
    </row>
    <row r="1808" spans="2:7" x14ac:dyDescent="0.15">
      <c r="B1808" s="66"/>
      <c r="C1808" s="23"/>
      <c r="D1808" s="23"/>
      <c r="E1808" s="23"/>
      <c r="F1808" s="23"/>
      <c r="G1808" s="23"/>
    </row>
    <row r="1809" spans="2:7" x14ac:dyDescent="0.15">
      <c r="B1809" s="66"/>
      <c r="C1809" s="23"/>
      <c r="D1809" s="23"/>
      <c r="E1809" s="23"/>
      <c r="F1809" s="23"/>
      <c r="G1809" s="23"/>
    </row>
    <row r="1810" spans="2:7" x14ac:dyDescent="0.15">
      <c r="B1810" s="66"/>
      <c r="C1810" s="23"/>
      <c r="D1810" s="23"/>
      <c r="E1810" s="23"/>
      <c r="F1810" s="23"/>
      <c r="G1810" s="23"/>
    </row>
    <row r="1811" spans="2:7" x14ac:dyDescent="0.15">
      <c r="B1811" s="66"/>
      <c r="C1811" s="23"/>
      <c r="D1811" s="23"/>
      <c r="E1811" s="23"/>
      <c r="F1811" s="23"/>
      <c r="G1811" s="23"/>
    </row>
    <row r="1812" spans="2:7" x14ac:dyDescent="0.15">
      <c r="B1812" s="66"/>
      <c r="C1812" s="23"/>
      <c r="D1812" s="23"/>
      <c r="E1812" s="23"/>
      <c r="F1812" s="23"/>
      <c r="G1812" s="23"/>
    </row>
    <row r="1813" spans="2:7" x14ac:dyDescent="0.15">
      <c r="B1813" s="66"/>
      <c r="C1813" s="23"/>
      <c r="D1813" s="23"/>
      <c r="E1813" s="23"/>
      <c r="F1813" s="23"/>
      <c r="G1813" s="23"/>
    </row>
    <row r="1814" spans="2:7" x14ac:dyDescent="0.15">
      <c r="B1814" s="66"/>
      <c r="C1814" s="23"/>
      <c r="D1814" s="23"/>
      <c r="E1814" s="23"/>
      <c r="F1814" s="23"/>
      <c r="G1814" s="23"/>
    </row>
    <row r="1815" spans="2:7" x14ac:dyDescent="0.15">
      <c r="B1815" s="66"/>
      <c r="C1815" s="23"/>
      <c r="D1815" s="23"/>
      <c r="E1815" s="23"/>
      <c r="F1815" s="23"/>
      <c r="G1815" s="23"/>
    </row>
    <row r="1816" spans="2:7" x14ac:dyDescent="0.15">
      <c r="B1816" s="66"/>
      <c r="C1816" s="23"/>
      <c r="D1816" s="23"/>
      <c r="E1816" s="23"/>
      <c r="F1816" s="23"/>
      <c r="G1816" s="23"/>
    </row>
    <row r="1817" spans="2:7" x14ac:dyDescent="0.15">
      <c r="B1817" s="66"/>
      <c r="C1817" s="23"/>
      <c r="D1817" s="23"/>
      <c r="E1817" s="23"/>
      <c r="F1817" s="23"/>
      <c r="G1817" s="23"/>
    </row>
    <row r="1818" spans="2:7" x14ac:dyDescent="0.15">
      <c r="B1818" s="66"/>
      <c r="C1818" s="23"/>
      <c r="D1818" s="23"/>
      <c r="E1818" s="23"/>
      <c r="F1818" s="23"/>
      <c r="G1818" s="23"/>
    </row>
    <row r="1819" spans="2:7" x14ac:dyDescent="0.15">
      <c r="B1819" s="66"/>
      <c r="C1819" s="23"/>
      <c r="D1819" s="23"/>
      <c r="E1819" s="23"/>
      <c r="F1819" s="23"/>
      <c r="G1819" s="23"/>
    </row>
    <row r="1820" spans="2:7" x14ac:dyDescent="0.15">
      <c r="B1820" s="66"/>
      <c r="C1820" s="23"/>
      <c r="D1820" s="23"/>
      <c r="E1820" s="23"/>
      <c r="F1820" s="23"/>
      <c r="G1820" s="23"/>
    </row>
    <row r="1821" spans="2:7" x14ac:dyDescent="0.15">
      <c r="B1821" s="66"/>
      <c r="C1821" s="23"/>
      <c r="D1821" s="23"/>
      <c r="E1821" s="23"/>
      <c r="F1821" s="23"/>
      <c r="G1821" s="23"/>
    </row>
    <row r="1822" spans="2:7" x14ac:dyDescent="0.15">
      <c r="B1822" s="66"/>
      <c r="C1822" s="23"/>
      <c r="D1822" s="23"/>
      <c r="E1822" s="23"/>
      <c r="F1822" s="23"/>
      <c r="G1822" s="23"/>
    </row>
    <row r="1823" spans="2:7" x14ac:dyDescent="0.15">
      <c r="B1823" s="66"/>
      <c r="C1823" s="23"/>
      <c r="D1823" s="23"/>
      <c r="E1823" s="23"/>
      <c r="F1823" s="23"/>
      <c r="G1823" s="23"/>
    </row>
    <row r="1824" spans="2:7" x14ac:dyDescent="0.15">
      <c r="B1824" s="66"/>
      <c r="C1824" s="23"/>
      <c r="D1824" s="23"/>
      <c r="E1824" s="23"/>
      <c r="F1824" s="23"/>
      <c r="G1824" s="23"/>
    </row>
    <row r="1825" spans="2:7" x14ac:dyDescent="0.15">
      <c r="B1825" s="66"/>
      <c r="C1825" s="23"/>
      <c r="D1825" s="23"/>
      <c r="E1825" s="23"/>
      <c r="F1825" s="23"/>
      <c r="G1825" s="23"/>
    </row>
    <row r="1826" spans="2:7" x14ac:dyDescent="0.15">
      <c r="B1826" s="66"/>
      <c r="C1826" s="23"/>
      <c r="D1826" s="23"/>
      <c r="E1826" s="23"/>
      <c r="F1826" s="23"/>
      <c r="G1826" s="23"/>
    </row>
    <row r="1827" spans="2:7" x14ac:dyDescent="0.15">
      <c r="B1827" s="66"/>
      <c r="C1827" s="23"/>
      <c r="D1827" s="23"/>
      <c r="E1827" s="23"/>
      <c r="F1827" s="23"/>
      <c r="G1827" s="23"/>
    </row>
    <row r="1828" spans="2:7" x14ac:dyDescent="0.15">
      <c r="B1828" s="66"/>
      <c r="C1828" s="23"/>
      <c r="D1828" s="23"/>
      <c r="E1828" s="23"/>
      <c r="F1828" s="23"/>
      <c r="G1828" s="23"/>
    </row>
    <row r="1829" spans="2:7" x14ac:dyDescent="0.15">
      <c r="B1829" s="66"/>
      <c r="C1829" s="23"/>
      <c r="D1829" s="23"/>
      <c r="E1829" s="23"/>
      <c r="F1829" s="23"/>
      <c r="G1829" s="23"/>
    </row>
    <row r="1830" spans="2:7" x14ac:dyDescent="0.15">
      <c r="B1830" s="66"/>
      <c r="C1830" s="23"/>
      <c r="D1830" s="23"/>
      <c r="E1830" s="23"/>
      <c r="F1830" s="23"/>
      <c r="G1830" s="23"/>
    </row>
    <row r="1831" spans="2:7" x14ac:dyDescent="0.15">
      <c r="B1831" s="66"/>
      <c r="C1831" s="23"/>
      <c r="D1831" s="23"/>
      <c r="E1831" s="23"/>
      <c r="F1831" s="23"/>
      <c r="G1831" s="23"/>
    </row>
    <row r="1832" spans="2:7" x14ac:dyDescent="0.15">
      <c r="B1832" s="66"/>
      <c r="C1832" s="23"/>
      <c r="D1832" s="23"/>
      <c r="E1832" s="23"/>
      <c r="F1832" s="23"/>
      <c r="G1832" s="23"/>
    </row>
    <row r="1833" spans="2:7" x14ac:dyDescent="0.15">
      <c r="B1833" s="66"/>
      <c r="C1833" s="23"/>
      <c r="D1833" s="23"/>
      <c r="E1833" s="23"/>
      <c r="F1833" s="23"/>
      <c r="G1833" s="23"/>
    </row>
    <row r="1834" spans="2:7" x14ac:dyDescent="0.15">
      <c r="B1834" s="66"/>
      <c r="C1834" s="23"/>
      <c r="D1834" s="23"/>
      <c r="E1834" s="23"/>
      <c r="F1834" s="23"/>
      <c r="G1834" s="23"/>
    </row>
    <row r="1835" spans="2:7" x14ac:dyDescent="0.15">
      <c r="B1835" s="66"/>
      <c r="C1835" s="23"/>
      <c r="D1835" s="23"/>
      <c r="E1835" s="23"/>
      <c r="F1835" s="23"/>
      <c r="G1835" s="23"/>
    </row>
    <row r="1836" spans="2:7" x14ac:dyDescent="0.15">
      <c r="B1836" s="66"/>
      <c r="C1836" s="23"/>
      <c r="D1836" s="23"/>
      <c r="E1836" s="23"/>
      <c r="F1836" s="23"/>
      <c r="G1836" s="23"/>
    </row>
    <row r="1837" spans="2:7" x14ac:dyDescent="0.15">
      <c r="B1837" s="66"/>
      <c r="C1837" s="23"/>
      <c r="D1837" s="23"/>
      <c r="E1837" s="23"/>
      <c r="F1837" s="23"/>
      <c r="G1837" s="23"/>
    </row>
    <row r="1838" spans="2:7" x14ac:dyDescent="0.15">
      <c r="B1838" s="66"/>
      <c r="C1838" s="23"/>
      <c r="D1838" s="23"/>
      <c r="E1838" s="23"/>
      <c r="F1838" s="23"/>
      <c r="G1838" s="23"/>
    </row>
    <row r="1839" spans="2:7" x14ac:dyDescent="0.15">
      <c r="B1839" s="66"/>
      <c r="C1839" s="23"/>
      <c r="D1839" s="23"/>
      <c r="E1839" s="23"/>
      <c r="F1839" s="23"/>
      <c r="G1839" s="23"/>
    </row>
    <row r="1840" spans="2:7" x14ac:dyDescent="0.15">
      <c r="B1840" s="66"/>
      <c r="C1840" s="23"/>
      <c r="D1840" s="23"/>
      <c r="E1840" s="23"/>
      <c r="F1840" s="23"/>
      <c r="G1840" s="23"/>
    </row>
    <row r="1841" spans="2:7" x14ac:dyDescent="0.15">
      <c r="B1841" s="66"/>
      <c r="C1841" s="23"/>
      <c r="D1841" s="23"/>
      <c r="E1841" s="23"/>
      <c r="F1841" s="23"/>
      <c r="G1841" s="23"/>
    </row>
    <row r="1842" spans="2:7" x14ac:dyDescent="0.15">
      <c r="B1842" s="66"/>
      <c r="C1842" s="23"/>
      <c r="D1842" s="23"/>
      <c r="E1842" s="23"/>
      <c r="F1842" s="23"/>
      <c r="G1842" s="23"/>
    </row>
    <row r="1843" spans="2:7" x14ac:dyDescent="0.15">
      <c r="B1843" s="66"/>
      <c r="C1843" s="23"/>
      <c r="D1843" s="23"/>
      <c r="E1843" s="23"/>
      <c r="F1843" s="23"/>
      <c r="G1843" s="23"/>
    </row>
    <row r="1844" spans="2:7" x14ac:dyDescent="0.15">
      <c r="B1844" s="66"/>
      <c r="C1844" s="23"/>
      <c r="D1844" s="23"/>
      <c r="E1844" s="23"/>
      <c r="F1844" s="23"/>
      <c r="G1844" s="23"/>
    </row>
    <row r="1845" spans="2:7" x14ac:dyDescent="0.15">
      <c r="B1845" s="66"/>
      <c r="C1845" s="23"/>
      <c r="D1845" s="23"/>
      <c r="E1845" s="23"/>
      <c r="F1845" s="23"/>
      <c r="G1845" s="23"/>
    </row>
    <row r="1846" spans="2:7" x14ac:dyDescent="0.15">
      <c r="B1846" s="66"/>
      <c r="C1846" s="23"/>
      <c r="D1846" s="23"/>
      <c r="E1846" s="23"/>
      <c r="F1846" s="23"/>
      <c r="G1846" s="23"/>
    </row>
    <row r="1847" spans="2:7" x14ac:dyDescent="0.15">
      <c r="B1847" s="66"/>
      <c r="C1847" s="23"/>
      <c r="D1847" s="23"/>
      <c r="E1847" s="23"/>
      <c r="F1847" s="23"/>
      <c r="G1847" s="23"/>
    </row>
    <row r="1848" spans="2:7" x14ac:dyDescent="0.15">
      <c r="B1848" s="66"/>
      <c r="C1848" s="23"/>
      <c r="D1848" s="23"/>
      <c r="E1848" s="23"/>
      <c r="F1848" s="23"/>
      <c r="G1848" s="23"/>
    </row>
    <row r="1849" spans="2:7" x14ac:dyDescent="0.15">
      <c r="B1849" s="66"/>
      <c r="C1849" s="23"/>
      <c r="D1849" s="23"/>
      <c r="E1849" s="23"/>
      <c r="F1849" s="23"/>
      <c r="G1849" s="23"/>
    </row>
    <row r="1850" spans="2:7" x14ac:dyDescent="0.15">
      <c r="B1850" s="66"/>
      <c r="C1850" s="23"/>
      <c r="D1850" s="23"/>
      <c r="E1850" s="23"/>
      <c r="F1850" s="23"/>
      <c r="G1850" s="23"/>
    </row>
    <row r="1851" spans="2:7" x14ac:dyDescent="0.15">
      <c r="B1851" s="66"/>
      <c r="C1851" s="23"/>
      <c r="D1851" s="23"/>
      <c r="E1851" s="23"/>
      <c r="F1851" s="23"/>
      <c r="G1851" s="23"/>
    </row>
    <row r="1852" spans="2:7" x14ac:dyDescent="0.15">
      <c r="B1852" s="66"/>
      <c r="C1852" s="23"/>
      <c r="D1852" s="23"/>
      <c r="E1852" s="23"/>
      <c r="F1852" s="23"/>
      <c r="G1852" s="23"/>
    </row>
    <row r="1853" spans="2:7" x14ac:dyDescent="0.15">
      <c r="B1853" s="66"/>
      <c r="C1853" s="23"/>
      <c r="D1853" s="23"/>
      <c r="E1853" s="23"/>
      <c r="F1853" s="23"/>
      <c r="G1853" s="23"/>
    </row>
    <row r="1854" spans="2:7" x14ac:dyDescent="0.15">
      <c r="B1854" s="66"/>
      <c r="C1854" s="23"/>
      <c r="D1854" s="23"/>
      <c r="E1854" s="23"/>
      <c r="F1854" s="23"/>
      <c r="G1854" s="23"/>
    </row>
    <row r="1855" spans="2:7" x14ac:dyDescent="0.15">
      <c r="B1855" s="66"/>
      <c r="C1855" s="23"/>
      <c r="D1855" s="23"/>
      <c r="E1855" s="23"/>
      <c r="F1855" s="23"/>
      <c r="G1855" s="23"/>
    </row>
    <row r="1856" spans="2:7" x14ac:dyDescent="0.15">
      <c r="B1856" s="66"/>
      <c r="C1856" s="23"/>
      <c r="D1856" s="23"/>
      <c r="E1856" s="23"/>
      <c r="F1856" s="23"/>
      <c r="G1856" s="23"/>
    </row>
    <row r="1857" spans="2:7" x14ac:dyDescent="0.15">
      <c r="B1857" s="66"/>
      <c r="C1857" s="23"/>
      <c r="D1857" s="23"/>
      <c r="E1857" s="23"/>
      <c r="F1857" s="23"/>
      <c r="G1857" s="23"/>
    </row>
    <row r="1858" spans="2:7" x14ac:dyDescent="0.15">
      <c r="B1858" s="66"/>
      <c r="C1858" s="23"/>
      <c r="D1858" s="23"/>
      <c r="E1858" s="23"/>
      <c r="F1858" s="23"/>
      <c r="G1858" s="23"/>
    </row>
    <row r="1859" spans="2:7" x14ac:dyDescent="0.15">
      <c r="B1859" s="66"/>
      <c r="C1859" s="23"/>
      <c r="D1859" s="23"/>
      <c r="E1859" s="23"/>
      <c r="F1859" s="23"/>
      <c r="G1859" s="23"/>
    </row>
    <row r="1860" spans="2:7" x14ac:dyDescent="0.15">
      <c r="B1860" s="66"/>
      <c r="C1860" s="23"/>
      <c r="D1860" s="23"/>
      <c r="E1860" s="23"/>
      <c r="F1860" s="23"/>
      <c r="G1860" s="23"/>
    </row>
    <row r="1861" spans="2:7" x14ac:dyDescent="0.15">
      <c r="B1861" s="66"/>
      <c r="C1861" s="23"/>
      <c r="D1861" s="23"/>
      <c r="E1861" s="23"/>
      <c r="F1861" s="23"/>
      <c r="G1861" s="23"/>
    </row>
    <row r="1862" spans="2:7" x14ac:dyDescent="0.15">
      <c r="B1862" s="66"/>
      <c r="C1862" s="23"/>
      <c r="D1862" s="23"/>
      <c r="E1862" s="23"/>
      <c r="F1862" s="23"/>
      <c r="G1862" s="23"/>
    </row>
    <row r="1863" spans="2:7" x14ac:dyDescent="0.15">
      <c r="B1863" s="66"/>
      <c r="C1863" s="23"/>
      <c r="D1863" s="23"/>
      <c r="E1863" s="23"/>
      <c r="F1863" s="23"/>
      <c r="G1863" s="23"/>
    </row>
    <row r="1864" spans="2:7" x14ac:dyDescent="0.15">
      <c r="B1864" s="66"/>
      <c r="C1864" s="23"/>
      <c r="D1864" s="23"/>
      <c r="E1864" s="23"/>
      <c r="F1864" s="23"/>
      <c r="G1864" s="23"/>
    </row>
    <row r="1865" spans="2:7" x14ac:dyDescent="0.15">
      <c r="B1865" s="66"/>
      <c r="C1865" s="23"/>
      <c r="D1865" s="23"/>
      <c r="E1865" s="23"/>
      <c r="F1865" s="23"/>
      <c r="G1865" s="23"/>
    </row>
    <row r="1866" spans="2:7" x14ac:dyDescent="0.15">
      <c r="B1866" s="66"/>
      <c r="C1866" s="23"/>
      <c r="D1866" s="23"/>
      <c r="E1866" s="23"/>
      <c r="F1866" s="23"/>
      <c r="G1866" s="23"/>
    </row>
    <row r="1867" spans="2:7" x14ac:dyDescent="0.15">
      <c r="B1867" s="66"/>
      <c r="C1867" s="23"/>
      <c r="D1867" s="23"/>
      <c r="E1867" s="23"/>
      <c r="F1867" s="23"/>
      <c r="G1867" s="23"/>
    </row>
    <row r="1868" spans="2:7" x14ac:dyDescent="0.15">
      <c r="B1868" s="66"/>
      <c r="C1868" s="23"/>
      <c r="D1868" s="23"/>
      <c r="E1868" s="23"/>
      <c r="F1868" s="23"/>
      <c r="G1868" s="23"/>
    </row>
    <row r="1869" spans="2:7" x14ac:dyDescent="0.15">
      <c r="B1869" s="66"/>
      <c r="C1869" s="23"/>
      <c r="D1869" s="23"/>
      <c r="E1869" s="23"/>
      <c r="F1869" s="23"/>
      <c r="G1869" s="23"/>
    </row>
    <row r="1870" spans="2:7" x14ac:dyDescent="0.15">
      <c r="B1870" s="66"/>
      <c r="C1870" s="23"/>
      <c r="D1870" s="23"/>
      <c r="E1870" s="23"/>
      <c r="F1870" s="23"/>
      <c r="G1870" s="23"/>
    </row>
    <row r="1871" spans="2:7" x14ac:dyDescent="0.15">
      <c r="B1871" s="66"/>
      <c r="C1871" s="23"/>
      <c r="D1871" s="23"/>
      <c r="E1871" s="23"/>
      <c r="F1871" s="23"/>
      <c r="G1871" s="23"/>
    </row>
    <row r="1872" spans="2:7" x14ac:dyDescent="0.15">
      <c r="B1872" s="66"/>
      <c r="C1872" s="23"/>
      <c r="D1872" s="23"/>
      <c r="E1872" s="23"/>
      <c r="F1872" s="23"/>
      <c r="G1872" s="23"/>
    </row>
    <row r="1873" spans="2:7" x14ac:dyDescent="0.15">
      <c r="B1873" s="66"/>
      <c r="C1873" s="23"/>
      <c r="D1873" s="23"/>
      <c r="E1873" s="23"/>
      <c r="F1873" s="23"/>
      <c r="G1873" s="23"/>
    </row>
    <row r="1874" spans="2:7" x14ac:dyDescent="0.15">
      <c r="B1874" s="66"/>
      <c r="C1874" s="23"/>
      <c r="D1874" s="23"/>
      <c r="E1874" s="23"/>
      <c r="F1874" s="23"/>
      <c r="G1874" s="23"/>
    </row>
    <row r="1875" spans="2:7" x14ac:dyDescent="0.15">
      <c r="B1875" s="66"/>
      <c r="C1875" s="23"/>
      <c r="D1875" s="23"/>
      <c r="E1875" s="23"/>
      <c r="F1875" s="23"/>
      <c r="G1875" s="23"/>
    </row>
    <row r="1876" spans="2:7" x14ac:dyDescent="0.15">
      <c r="B1876" s="66"/>
      <c r="C1876" s="23"/>
      <c r="D1876" s="23"/>
      <c r="E1876" s="23"/>
      <c r="F1876" s="23"/>
      <c r="G1876" s="23"/>
    </row>
    <row r="1877" spans="2:7" x14ac:dyDescent="0.15">
      <c r="B1877" s="66"/>
      <c r="C1877" s="23"/>
      <c r="D1877" s="23"/>
      <c r="E1877" s="23"/>
      <c r="F1877" s="23"/>
      <c r="G1877" s="23"/>
    </row>
    <row r="1878" spans="2:7" x14ac:dyDescent="0.15">
      <c r="B1878" s="66"/>
      <c r="C1878" s="23"/>
      <c r="D1878" s="23"/>
      <c r="E1878" s="23"/>
      <c r="F1878" s="23"/>
      <c r="G1878" s="23"/>
    </row>
    <row r="1879" spans="2:7" x14ac:dyDescent="0.15">
      <c r="B1879" s="66"/>
      <c r="C1879" s="23"/>
      <c r="D1879" s="23"/>
      <c r="E1879" s="23"/>
      <c r="F1879" s="23"/>
      <c r="G1879" s="23"/>
    </row>
    <row r="1880" spans="2:7" x14ac:dyDescent="0.15">
      <c r="B1880" s="66"/>
      <c r="C1880" s="23"/>
      <c r="D1880" s="23"/>
      <c r="E1880" s="23"/>
      <c r="F1880" s="23"/>
      <c r="G1880" s="23"/>
    </row>
    <row r="1881" spans="2:7" x14ac:dyDescent="0.15">
      <c r="B1881" s="66"/>
      <c r="C1881" s="23"/>
      <c r="D1881" s="23"/>
      <c r="E1881" s="23"/>
      <c r="F1881" s="23"/>
      <c r="G1881" s="23"/>
    </row>
    <row r="1882" spans="2:7" x14ac:dyDescent="0.15">
      <c r="B1882" s="66"/>
      <c r="C1882" s="23"/>
      <c r="D1882" s="23"/>
      <c r="E1882" s="23"/>
      <c r="F1882" s="23"/>
      <c r="G1882" s="23"/>
    </row>
    <row r="1883" spans="2:7" x14ac:dyDescent="0.15">
      <c r="B1883" s="66"/>
      <c r="C1883" s="23"/>
      <c r="D1883" s="23"/>
      <c r="E1883" s="23"/>
      <c r="F1883" s="23"/>
      <c r="G1883" s="23"/>
    </row>
    <row r="1884" spans="2:7" x14ac:dyDescent="0.15">
      <c r="B1884" s="66"/>
      <c r="C1884" s="23"/>
      <c r="D1884" s="23"/>
      <c r="E1884" s="23"/>
      <c r="F1884" s="23"/>
      <c r="G1884" s="23"/>
    </row>
    <row r="1885" spans="2:7" x14ac:dyDescent="0.15">
      <c r="B1885" s="66"/>
      <c r="C1885" s="23"/>
      <c r="D1885" s="23"/>
      <c r="E1885" s="23"/>
      <c r="F1885" s="23"/>
      <c r="G1885" s="23"/>
    </row>
    <row r="1886" spans="2:7" x14ac:dyDescent="0.15">
      <c r="B1886" s="66"/>
      <c r="C1886" s="23"/>
      <c r="D1886" s="23"/>
      <c r="E1886" s="23"/>
      <c r="F1886" s="23"/>
      <c r="G1886" s="23"/>
    </row>
    <row r="1887" spans="2:7" x14ac:dyDescent="0.15">
      <c r="B1887" s="66"/>
      <c r="C1887" s="23"/>
      <c r="D1887" s="23"/>
      <c r="E1887" s="23"/>
      <c r="F1887" s="23"/>
      <c r="G1887" s="23"/>
    </row>
    <row r="1888" spans="2:7" x14ac:dyDescent="0.15">
      <c r="B1888" s="66"/>
      <c r="C1888" s="23"/>
      <c r="D1888" s="23"/>
      <c r="E1888" s="23"/>
      <c r="F1888" s="23"/>
      <c r="G1888" s="23"/>
    </row>
    <row r="1889" spans="2:7" x14ac:dyDescent="0.15">
      <c r="B1889" s="66"/>
      <c r="C1889" s="23"/>
      <c r="D1889" s="23"/>
      <c r="E1889" s="23"/>
      <c r="F1889" s="23"/>
      <c r="G1889" s="23"/>
    </row>
    <row r="1890" spans="2:7" x14ac:dyDescent="0.15">
      <c r="B1890" s="66"/>
      <c r="C1890" s="23"/>
      <c r="D1890" s="23"/>
      <c r="E1890" s="23"/>
      <c r="F1890" s="23"/>
      <c r="G1890" s="23"/>
    </row>
    <row r="1891" spans="2:7" x14ac:dyDescent="0.15">
      <c r="B1891" s="66"/>
      <c r="C1891" s="23"/>
      <c r="D1891" s="23"/>
      <c r="E1891" s="23"/>
      <c r="F1891" s="23"/>
      <c r="G1891" s="23"/>
    </row>
    <row r="1892" spans="2:7" x14ac:dyDescent="0.15">
      <c r="B1892" s="66"/>
      <c r="C1892" s="23"/>
      <c r="D1892" s="23"/>
      <c r="E1892" s="23"/>
      <c r="F1892" s="23"/>
      <c r="G1892" s="23"/>
    </row>
  </sheetData>
  <mergeCells count="2">
    <mergeCell ref="I2:J2"/>
    <mergeCell ref="E2:G2"/>
  </mergeCells>
  <phoneticPr fontId="0" type="noConversion"/>
  <pageMargins left="0.74803149606299213" right="0.74803149606299213" top="0.98425196850393704" bottom="0.98425196850393704" header="0.51181102362204722" footer="0.51181102362204722"/>
  <pageSetup paperSize="9" scale="90" orientation="landscape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120"/>
  <sheetViews>
    <sheetView zoomScale="70" zoomScaleNormal="70" zoomScalePageLayoutView="70" workbookViewId="0">
      <selection activeCell="E25" sqref="E25"/>
    </sheetView>
  </sheetViews>
  <sheetFormatPr baseColWidth="10" defaultColWidth="8.6640625" defaultRowHeight="13" x14ac:dyDescent="0.15"/>
  <cols>
    <col min="3" max="3" width="16.6640625" customWidth="1"/>
    <col min="5" max="5" width="8.6640625" style="434"/>
    <col min="6" max="6" width="9.33203125" customWidth="1"/>
    <col min="7" max="7" width="10.6640625" customWidth="1"/>
    <col min="8" max="8" width="8" customWidth="1"/>
    <col min="9" max="9" width="17.33203125" customWidth="1"/>
  </cols>
  <sheetData>
    <row r="4" spans="2:9" ht="16" x14ac:dyDescent="0.2">
      <c r="D4" s="1689">
        <v>1</v>
      </c>
      <c r="E4" s="1690">
        <v>2</v>
      </c>
      <c r="F4" s="1689">
        <v>3</v>
      </c>
      <c r="G4" s="1689">
        <v>4</v>
      </c>
    </row>
    <row r="5" spans="2:9" ht="29" x14ac:dyDescent="0.15">
      <c r="C5" s="1646" t="s">
        <v>2090</v>
      </c>
      <c r="D5" s="1642" t="s">
        <v>2091</v>
      </c>
      <c r="E5" s="1676" t="s">
        <v>2102</v>
      </c>
      <c r="F5" s="1677" t="s">
        <v>2106</v>
      </c>
      <c r="G5" s="1678" t="s">
        <v>2124</v>
      </c>
      <c r="H5" s="1691" t="s">
        <v>2104</v>
      </c>
      <c r="I5" s="1691" t="s">
        <v>2105</v>
      </c>
    </row>
    <row r="6" spans="2:9" x14ac:dyDescent="0.15">
      <c r="D6" s="1679"/>
      <c r="E6" s="1679"/>
      <c r="F6" s="1680"/>
      <c r="G6" s="1681"/>
      <c r="H6" s="1519"/>
      <c r="I6" s="1645"/>
    </row>
    <row r="7" spans="2:9" x14ac:dyDescent="0.15">
      <c r="B7" t="s">
        <v>2092</v>
      </c>
      <c r="C7" t="s">
        <v>298</v>
      </c>
      <c r="D7" s="1682">
        <f>LHEP_2016!G849</f>
        <v>45</v>
      </c>
      <c r="E7" s="1682">
        <f>LHEP_2016!M849</f>
        <v>36.875</v>
      </c>
      <c r="F7" s="1683">
        <f>LHEP_2016!Z849</f>
        <v>43.611297453496796</v>
      </c>
      <c r="G7" s="1684">
        <f>LHEP_2016!AA849</f>
        <v>35.22</v>
      </c>
      <c r="H7" s="434">
        <f>G7-F7</f>
        <v>-8.3912974534967972</v>
      </c>
      <c r="I7" s="1647">
        <f>100*H7/F7</f>
        <v>-19.241109399335183</v>
      </c>
    </row>
    <row r="8" spans="2:9" x14ac:dyDescent="0.15">
      <c r="C8" t="s">
        <v>209</v>
      </c>
      <c r="D8" s="1682">
        <f>LHEP_2016!G913</f>
        <v>32</v>
      </c>
      <c r="E8" s="1682">
        <f>LHEP_2016!M913</f>
        <v>27.165999999999997</v>
      </c>
      <c r="F8" s="1683">
        <f>LHEP_2016!Z913</f>
        <v>28.718978407725412</v>
      </c>
      <c r="G8" s="1684">
        <f>LHEP_2016!AA913</f>
        <v>16.73</v>
      </c>
      <c r="H8" s="434">
        <f t="shared" ref="H8:H25" si="0">G8-F8</f>
        <v>-11.988978407725412</v>
      </c>
      <c r="I8" s="1647">
        <f t="shared" ref="I8:I25" si="1">100*H8/F8</f>
        <v>-41.745838718623688</v>
      </c>
    </row>
    <row r="9" spans="2:9" x14ac:dyDescent="0.15">
      <c r="C9" t="s">
        <v>1519</v>
      </c>
      <c r="D9" s="1682">
        <f>LHEP_2016!G942</f>
        <v>18</v>
      </c>
      <c r="E9" s="1682">
        <f>LHEP_2016!M942</f>
        <v>15.5</v>
      </c>
      <c r="F9" s="1683">
        <f>LHEP_2016!Z942</f>
        <v>16.616463244289896</v>
      </c>
      <c r="G9" s="1684">
        <f>LHEP_2016!AA942</f>
        <v>15.4</v>
      </c>
      <c r="H9" s="434">
        <f t="shared" si="0"/>
        <v>-1.2164632442898959</v>
      </c>
      <c r="I9" s="1647">
        <f t="shared" si="1"/>
        <v>-7.3208313129325102</v>
      </c>
    </row>
    <row r="10" spans="2:9" x14ac:dyDescent="0.15">
      <c r="D10" s="1682"/>
      <c r="E10" s="1682"/>
      <c r="F10" s="1683"/>
      <c r="G10" s="1684"/>
      <c r="H10" s="434"/>
      <c r="I10" s="1647"/>
    </row>
    <row r="11" spans="2:9" x14ac:dyDescent="0.15">
      <c r="B11" t="s">
        <v>2093</v>
      </c>
      <c r="C11" t="s">
        <v>2087</v>
      </c>
      <c r="D11" s="1682">
        <f>LHEP_2016!G1162</f>
        <v>82</v>
      </c>
      <c r="E11" s="1682">
        <f>LHEP_2016!M1162</f>
        <v>78.099999999999994</v>
      </c>
      <c r="F11" s="1683">
        <f>LHEP_2016!Z1162</f>
        <v>97.31138643436951</v>
      </c>
      <c r="G11" s="1684">
        <f>LHEP_2016!AA1162</f>
        <v>65.800000000000011</v>
      </c>
      <c r="H11" s="434">
        <f t="shared" si="0"/>
        <v>-31.511386434369498</v>
      </c>
      <c r="I11" s="1647">
        <f t="shared" si="1"/>
        <v>-32.382013646082385</v>
      </c>
    </row>
    <row r="12" spans="2:9" x14ac:dyDescent="0.15">
      <c r="C12" t="s">
        <v>1561</v>
      </c>
      <c r="D12" s="1682">
        <f>LHEP_2016!G1020</f>
        <v>40</v>
      </c>
      <c r="E12" s="1682">
        <f>LHEP_2016!M1020</f>
        <v>34.033999999999999</v>
      </c>
      <c r="F12" s="1683">
        <f>LHEP_2016!Z1020</f>
        <v>36.532805718031796</v>
      </c>
      <c r="G12" s="1684">
        <f>LHEP_2016!AA1020</f>
        <v>27.38</v>
      </c>
      <c r="H12" s="434">
        <f t="shared" si="0"/>
        <v>-9.1528057180317965</v>
      </c>
      <c r="I12" s="1647">
        <f t="shared" si="1"/>
        <v>-25.05366214868674</v>
      </c>
    </row>
    <row r="13" spans="2:9" x14ac:dyDescent="0.15">
      <c r="C13" t="s">
        <v>1252</v>
      </c>
      <c r="D13" s="1682">
        <f>LHEP_2016!G1228</f>
        <v>29</v>
      </c>
      <c r="E13" s="1682">
        <f>LHEP_2016!M1228</f>
        <v>21.4</v>
      </c>
      <c r="F13" s="1683">
        <f>LHEP_2016!Z1228</f>
        <v>22.450141172943908</v>
      </c>
      <c r="G13" s="1684">
        <f>LHEP_2016!AA1228</f>
        <v>16.5</v>
      </c>
      <c r="H13" s="434">
        <f t="shared" si="0"/>
        <v>-5.9501411729439084</v>
      </c>
      <c r="I13" s="1647">
        <f t="shared" si="1"/>
        <v>-26.5038029253678</v>
      </c>
    </row>
    <row r="14" spans="2:9" x14ac:dyDescent="0.15">
      <c r="D14" s="1682"/>
      <c r="E14" s="1682"/>
      <c r="F14" s="1683"/>
      <c r="G14" s="1684"/>
      <c r="H14" s="434"/>
      <c r="I14" s="1647"/>
    </row>
    <row r="15" spans="2:9" x14ac:dyDescent="0.15">
      <c r="B15" t="s">
        <v>2094</v>
      </c>
      <c r="C15" t="s">
        <v>2083</v>
      </c>
      <c r="D15" s="1682">
        <f>LHEP_2016!G1291</f>
        <v>35</v>
      </c>
      <c r="E15" s="1682">
        <f>LHEP_2016!M1291</f>
        <v>33.5</v>
      </c>
      <c r="F15" s="1683">
        <f>LHEP_2016!Z1291</f>
        <v>37.480503296218586</v>
      </c>
      <c r="G15" s="1684">
        <f>LHEP_2016!AA1291</f>
        <v>33.5</v>
      </c>
      <c r="H15" s="434">
        <f t="shared" si="0"/>
        <v>-3.9805032962185862</v>
      </c>
      <c r="I15" s="1647">
        <f t="shared" si="1"/>
        <v>-10.62019702552975</v>
      </c>
    </row>
    <row r="16" spans="2:9" x14ac:dyDescent="0.15">
      <c r="C16" t="s">
        <v>2084</v>
      </c>
      <c r="D16" s="1682">
        <f>LHEP_2016!G1384</f>
        <v>48</v>
      </c>
      <c r="E16" s="1682">
        <f>LHEP_2016!M1384</f>
        <v>38.700000000000003</v>
      </c>
      <c r="F16" s="1683">
        <f>LHEP_2016!Z1384</f>
        <v>39.999662195214377</v>
      </c>
      <c r="G16" s="1684">
        <f>LHEP_2016!AA1384</f>
        <v>19.100000000000005</v>
      </c>
      <c r="H16" s="434">
        <f t="shared" si="0"/>
        <v>-20.899662195214372</v>
      </c>
      <c r="I16" s="1647">
        <f t="shared" si="1"/>
        <v>-52.249596742131594</v>
      </c>
    </row>
    <row r="17" spans="2:9" x14ac:dyDescent="0.15">
      <c r="C17" t="s">
        <v>2086</v>
      </c>
      <c r="D17" s="1682">
        <f>LHEP_2016!G1434</f>
        <v>28</v>
      </c>
      <c r="E17" s="1682">
        <f>LHEP_2016!M1434</f>
        <v>26.21</v>
      </c>
      <c r="F17" s="1683">
        <f>LHEP_2016!Z1434</f>
        <v>26.601601268606618</v>
      </c>
      <c r="G17" s="1684">
        <f>LHEP_2016!AA1434</f>
        <v>24.21</v>
      </c>
      <c r="H17" s="434">
        <f t="shared" si="0"/>
        <v>-2.3916012686066175</v>
      </c>
      <c r="I17" s="1647">
        <f t="shared" si="1"/>
        <v>-8.9904410056285631</v>
      </c>
    </row>
    <row r="18" spans="2:9" x14ac:dyDescent="0.15">
      <c r="C18" t="s">
        <v>2089</v>
      </c>
      <c r="D18" s="1682">
        <f>LHEP_2016!G1453</f>
        <v>10</v>
      </c>
      <c r="E18" s="1682">
        <f>LHEP_2016!M1453</f>
        <v>9.5</v>
      </c>
      <c r="F18" s="1683">
        <f>LHEP_2016!Z1453</f>
        <v>9.7301390999140196</v>
      </c>
      <c r="G18" s="1684">
        <f>LHEP_2016!AA1453</f>
        <v>8.5</v>
      </c>
      <c r="H18" s="434">
        <f t="shared" si="0"/>
        <v>-1.2301390999140196</v>
      </c>
      <c r="I18" s="1647">
        <f t="shared" si="1"/>
        <v>-12.642564379422796</v>
      </c>
    </row>
    <row r="19" spans="2:9" x14ac:dyDescent="0.15">
      <c r="D19" s="1682"/>
      <c r="E19" s="1682"/>
      <c r="F19" s="1683"/>
      <c r="G19" s="1684"/>
      <c r="H19" s="434"/>
      <c r="I19" s="1647"/>
    </row>
    <row r="20" spans="2:9" x14ac:dyDescent="0.15">
      <c r="B20" t="s">
        <v>2095</v>
      </c>
      <c r="C20" t="s">
        <v>76</v>
      </c>
      <c r="D20" s="1682">
        <f>LHEP_2016!G1510</f>
        <v>27</v>
      </c>
      <c r="E20" s="1682">
        <f>LHEP_2016!M1510</f>
        <v>25</v>
      </c>
      <c r="F20" s="1683">
        <f>LHEP_2016!Z1510</f>
        <v>28.544188698813407</v>
      </c>
      <c r="G20" s="1684">
        <f>LHEP_2016!AA1510</f>
        <v>19.799999999999997</v>
      </c>
      <c r="H20" s="434">
        <f t="shared" si="0"/>
        <v>-8.7441886988134101</v>
      </c>
      <c r="I20" s="1647">
        <f t="shared" si="1"/>
        <v>-30.633866637719187</v>
      </c>
    </row>
    <row r="21" spans="2:9" x14ac:dyDescent="0.15">
      <c r="C21" t="s">
        <v>760</v>
      </c>
      <c r="D21" s="1682">
        <f>LHEP_2016!G1614</f>
        <v>14</v>
      </c>
      <c r="E21" s="1682">
        <f>LHEP_2016!M1614</f>
        <v>12.5</v>
      </c>
      <c r="F21" s="1683">
        <f>LHEP_2016!Z1614</f>
        <v>13.046735188261351</v>
      </c>
      <c r="G21" s="1684">
        <f>LHEP_2016!AA1614</f>
        <v>12.799999999999999</v>
      </c>
      <c r="H21" s="434">
        <f t="shared" si="0"/>
        <v>-0.24673518826135243</v>
      </c>
      <c r="I21" s="1647">
        <f t="shared" si="1"/>
        <v>-1.8911642238538693</v>
      </c>
    </row>
    <row r="22" spans="2:9" x14ac:dyDescent="0.15">
      <c r="C22" t="s">
        <v>761</v>
      </c>
      <c r="D22" s="1682">
        <f>LHEP_2016!G1627</f>
        <v>7</v>
      </c>
      <c r="E22" s="1682">
        <f>LHEP_2016!M1627</f>
        <v>6</v>
      </c>
      <c r="F22" s="1683">
        <f>LHEP_2016!Z1627</f>
        <v>6.6110318331503848</v>
      </c>
      <c r="G22" s="1684">
        <f>LHEP_2016!AA1627</f>
        <v>2.8</v>
      </c>
      <c r="H22" s="434">
        <f t="shared" si="0"/>
        <v>-3.811031833150385</v>
      </c>
      <c r="I22" s="1647">
        <f t="shared" si="1"/>
        <v>-57.646550936879954</v>
      </c>
    </row>
    <row r="23" spans="2:9" x14ac:dyDescent="0.15">
      <c r="C23" t="s">
        <v>1487</v>
      </c>
      <c r="D23" s="1682">
        <f>LHEP_2016!G1645</f>
        <v>8</v>
      </c>
      <c r="E23" s="1682">
        <f>LHEP_2016!M1645</f>
        <v>7.5</v>
      </c>
      <c r="F23" s="1683">
        <f>LHEP_2016!Z1645</f>
        <v>7.5</v>
      </c>
      <c r="G23" s="1684">
        <f>LHEP_2016!AA1645</f>
        <v>3.7</v>
      </c>
      <c r="H23" s="434">
        <f t="shared" si="0"/>
        <v>-3.8</v>
      </c>
      <c r="I23" s="1647">
        <f t="shared" si="1"/>
        <v>-50.666666666666664</v>
      </c>
    </row>
    <row r="24" spans="2:9" x14ac:dyDescent="0.15">
      <c r="C24" t="s">
        <v>2085</v>
      </c>
      <c r="D24" s="1682">
        <f>LHEP_2016!G1582</f>
        <v>49</v>
      </c>
      <c r="E24" s="1682">
        <f>LHEP_2016!M1582</f>
        <v>41.85</v>
      </c>
      <c r="F24" s="1683">
        <f>LHEP_2016!Z1582</f>
        <v>44.675697839395909</v>
      </c>
      <c r="G24" s="1684">
        <f>LHEP_2016!AA1582</f>
        <v>22.979999999999997</v>
      </c>
      <c r="H24" s="434">
        <f t="shared" si="0"/>
        <v>-21.695697839395912</v>
      </c>
      <c r="I24" s="1647">
        <f t="shared" si="1"/>
        <v>-48.562638948337181</v>
      </c>
    </row>
    <row r="25" spans="2:9" x14ac:dyDescent="0.15">
      <c r="C25" t="s">
        <v>2088</v>
      </c>
      <c r="D25" s="1682">
        <f>LHEP_2016!G1664</f>
        <v>8</v>
      </c>
      <c r="E25" s="1682">
        <f>LHEP_2016!M1664</f>
        <v>7.4</v>
      </c>
      <c r="F25" s="1683">
        <f>LHEP_2016!Z1664</f>
        <v>7.4</v>
      </c>
      <c r="G25" s="1684">
        <f>LHEP_2016!AA1664</f>
        <v>1</v>
      </c>
      <c r="H25" s="434">
        <f t="shared" si="0"/>
        <v>-6.4</v>
      </c>
      <c r="I25" s="1647">
        <f t="shared" si="1"/>
        <v>-86.486486486486484</v>
      </c>
    </row>
    <row r="26" spans="2:9" x14ac:dyDescent="0.15">
      <c r="D26" s="1682"/>
      <c r="E26" s="1682"/>
      <c r="F26" s="1683"/>
      <c r="G26" s="1684"/>
      <c r="I26" s="1647"/>
    </row>
    <row r="27" spans="2:9" x14ac:dyDescent="0.15">
      <c r="C27" s="1648" t="s">
        <v>2096</v>
      </c>
      <c r="D27" s="10">
        <f>SUM(D7:D25)</f>
        <v>480</v>
      </c>
      <c r="E27" s="1685">
        <f>SUM(E7:E25)</f>
        <v>421.23499999999996</v>
      </c>
      <c r="F27" s="1686">
        <f>SUM(F7:F25)</f>
        <v>466.83063185043198</v>
      </c>
      <c r="G27" s="1687">
        <f>SUM(G7:G25)</f>
        <v>325.42000000000007</v>
      </c>
      <c r="H27" s="10">
        <f>SUM(H7:H25)</f>
        <v>-141.410631850432</v>
      </c>
      <c r="I27" s="1649">
        <f>100*H27/F27</f>
        <v>-30.291635167535151</v>
      </c>
    </row>
    <row r="61" spans="3:8" ht="39" x14ac:dyDescent="0.15">
      <c r="C61" s="1642" t="s">
        <v>2097</v>
      </c>
      <c r="D61" s="1735" t="s">
        <v>2114</v>
      </c>
      <c r="E61" s="1732" t="s">
        <v>2098</v>
      </c>
      <c r="F61" s="1645" t="s">
        <v>2112</v>
      </c>
      <c r="G61" s="1731" t="s">
        <v>2113</v>
      </c>
      <c r="H61" s="1736" t="s">
        <v>2114</v>
      </c>
    </row>
    <row r="62" spans="3:8" x14ac:dyDescent="0.15">
      <c r="D62" s="1688"/>
    </row>
    <row r="63" spans="3:8" x14ac:dyDescent="0.15">
      <c r="C63" s="1644" t="str">
        <f>LHEP_2016!AV5</f>
        <v>CMS</v>
      </c>
      <c r="D63" s="1734">
        <f>100*E63/E$87</f>
        <v>6.9188036586050199</v>
      </c>
      <c r="E63" s="1650">
        <f>LHEP_2016!AV8</f>
        <v>24.660000000000004</v>
      </c>
      <c r="F63" s="1733">
        <f>G63/E63</f>
        <v>42.329964152473636</v>
      </c>
      <c r="G63" s="1730">
        <f>LHEP_2016!AV10</f>
        <v>1043.856916</v>
      </c>
      <c r="H63" s="1737">
        <f>100*G63/G$87</f>
        <v>7.0329500349485023</v>
      </c>
    </row>
    <row r="64" spans="3:8" x14ac:dyDescent="0.15">
      <c r="C64" s="1644" t="str">
        <f>LHEP_2016!AW5</f>
        <v>ALICE</v>
      </c>
      <c r="D64" s="1734">
        <f t="shared" ref="D64:D85" si="2">100*E64/E$87</f>
        <v>2.7607878345771852</v>
      </c>
      <c r="E64" s="1650">
        <f>LHEP_2016!AW8</f>
        <v>9.8400000000000016</v>
      </c>
      <c r="F64" s="1733">
        <f t="shared" ref="F64:F87" si="3">G64/E64</f>
        <v>39.528831300813003</v>
      </c>
      <c r="G64" s="1730">
        <f>LHEP_2016!AW10</f>
        <v>388.96370000000002</v>
      </c>
      <c r="H64" s="1737">
        <f t="shared" ref="H64:H85" si="4">100*G64/G$87</f>
        <v>2.620629537993787</v>
      </c>
    </row>
    <row r="65" spans="3:8" x14ac:dyDescent="0.15">
      <c r="C65" s="1644" t="str">
        <f>LHEP_2016!AX5</f>
        <v>PANDA</v>
      </c>
      <c r="D65" s="1734">
        <f t="shared" si="2"/>
        <v>0.50502216486168017</v>
      </c>
      <c r="E65" s="1650">
        <f>LHEP_2016!AX8</f>
        <v>1.8</v>
      </c>
      <c r="F65" s="1733">
        <f t="shared" si="3"/>
        <v>45.277638888888895</v>
      </c>
      <c r="G65" s="1730">
        <f>LHEP_2016!AX10</f>
        <v>81.499750000000006</v>
      </c>
      <c r="H65" s="1737">
        <f t="shared" si="4"/>
        <v>0.54910175985344933</v>
      </c>
    </row>
    <row r="66" spans="3:8" x14ac:dyDescent="0.15">
      <c r="C66" s="1644" t="str">
        <f>LHEP_2016!AY5</f>
        <v>ATLAS</v>
      </c>
      <c r="D66" s="1734">
        <f t="shared" si="2"/>
        <v>2.7776219067392405</v>
      </c>
      <c r="E66" s="1650">
        <f>LHEP_2016!AY8</f>
        <v>9.8999999999999986</v>
      </c>
      <c r="F66" s="1733">
        <f t="shared" si="3"/>
        <v>37.833464646464648</v>
      </c>
      <c r="G66" s="1730">
        <f>LHEP_2016!AY10</f>
        <v>374.55129999999997</v>
      </c>
      <c r="H66" s="1737">
        <f t="shared" si="4"/>
        <v>2.5235264891658842</v>
      </c>
    </row>
    <row r="67" spans="3:8" x14ac:dyDescent="0.15">
      <c r="C67" s="1644" t="str">
        <f>LHEP_2016!AZ5</f>
        <v>COMPASS-II</v>
      </c>
      <c r="D67" s="1734">
        <f t="shared" si="2"/>
        <v>4.0682341058302018</v>
      </c>
      <c r="E67" s="1650">
        <f>LHEP_2016!AZ8</f>
        <v>14.5</v>
      </c>
      <c r="F67" s="1733">
        <f t="shared" si="3"/>
        <v>43.493517241379308</v>
      </c>
      <c r="G67" s="1730">
        <f>LHEP_2016!AZ10</f>
        <v>630.65599999999995</v>
      </c>
      <c r="H67" s="1737">
        <f t="shared" si="4"/>
        <v>4.2490230885633009</v>
      </c>
    </row>
    <row r="68" spans="3:8" x14ac:dyDescent="0.15">
      <c r="C68" s="1644" t="str">
        <f>LHEP_2016!BA5</f>
        <v>NA62</v>
      </c>
      <c r="D68" s="1734">
        <f t="shared" si="2"/>
        <v>2.2389315975534489</v>
      </c>
      <c r="E68" s="1650">
        <f>LHEP_2016!BA8</f>
        <v>7.9799999999999995</v>
      </c>
      <c r="F68" s="1733">
        <f t="shared" si="3"/>
        <v>47.908378571428571</v>
      </c>
      <c r="G68" s="1730">
        <f>LHEP_2016!BA10</f>
        <v>382.30886099999998</v>
      </c>
      <c r="H68" s="1737">
        <f t="shared" si="4"/>
        <v>2.5757927893357677</v>
      </c>
    </row>
    <row r="69" spans="3:8" x14ac:dyDescent="0.15">
      <c r="C69" s="1644" t="str">
        <f>LHEP_2016!BB5</f>
        <v>NA61-Shine</v>
      </c>
      <c r="D69" s="1734">
        <f t="shared" si="2"/>
        <v>0.56113573873520017</v>
      </c>
      <c r="E69" s="1650">
        <f>LHEP_2016!BB8</f>
        <v>1.9999999999999998</v>
      </c>
      <c r="F69" s="1733">
        <f t="shared" si="3"/>
        <v>62.990000000000009</v>
      </c>
      <c r="G69" s="1730">
        <f>LHEP_2016!BB10</f>
        <v>125.98</v>
      </c>
      <c r="H69" s="1737">
        <f t="shared" si="4"/>
        <v>0.848785912917985</v>
      </c>
    </row>
    <row r="70" spans="3:8" x14ac:dyDescent="0.15">
      <c r="C70" s="1644" t="str">
        <f>LHEP_2016!BC5</f>
        <v>STAR</v>
      </c>
      <c r="D70" s="1734">
        <f t="shared" si="2"/>
        <v>6.3969474215812818</v>
      </c>
      <c r="E70" s="1650">
        <f>LHEP_2016!BC8</f>
        <v>22.8</v>
      </c>
      <c r="F70" s="1733">
        <f t="shared" si="3"/>
        <v>38.353541666666665</v>
      </c>
      <c r="G70" s="1730">
        <f>LHEP_2016!BC10</f>
        <v>874.46074999999996</v>
      </c>
      <c r="H70" s="1737">
        <f t="shared" si="4"/>
        <v>5.8916491982830284</v>
      </c>
    </row>
    <row r="71" spans="3:8" x14ac:dyDescent="0.15">
      <c r="C71" s="1644" t="str">
        <f>LHEP_2016!BD5</f>
        <v>E+T RAW</v>
      </c>
      <c r="D71" s="1734">
        <f t="shared" si="2"/>
        <v>4.6490095954211332</v>
      </c>
      <c r="E71" s="1650">
        <f>LHEP_2016!BD8</f>
        <v>16.57</v>
      </c>
      <c r="F71" s="1733">
        <f t="shared" si="3"/>
        <v>45.439639106819556</v>
      </c>
      <c r="G71" s="1730">
        <f>LHEP_2016!BD10</f>
        <v>752.93482000000006</v>
      </c>
      <c r="H71" s="1737">
        <f t="shared" si="4"/>
        <v>5.0728724286508875</v>
      </c>
    </row>
    <row r="72" spans="3:8" x14ac:dyDescent="0.15">
      <c r="C72" s="1644" t="str">
        <f>LHEP_2016!BE5</f>
        <v>CBM</v>
      </c>
      <c r="D72" s="1734">
        <f t="shared" si="2"/>
        <v>0.9679591493182208</v>
      </c>
      <c r="E72" s="1650">
        <f>LHEP_2016!BE8</f>
        <v>3.4500000000000015</v>
      </c>
      <c r="F72" s="1733">
        <f t="shared" si="3"/>
        <v>58.200753623188376</v>
      </c>
      <c r="G72" s="1730">
        <f>LHEP_2016!BE10</f>
        <v>200.79259999999999</v>
      </c>
      <c r="H72" s="1737">
        <f t="shared" si="4"/>
        <v>1.3528332298632781</v>
      </c>
    </row>
    <row r="73" spans="3:8" x14ac:dyDescent="0.15">
      <c r="C73" s="1644" t="str">
        <f>LHEP_2016!BF5</f>
        <v>HADES</v>
      </c>
      <c r="D73" s="1734">
        <f t="shared" si="2"/>
        <v>0.61724931260872029</v>
      </c>
      <c r="E73" s="1650">
        <f>LHEP_2016!BF8</f>
        <v>2.2000000000000002</v>
      </c>
      <c r="F73" s="1733">
        <f t="shared" si="3"/>
        <v>35.225909090909092</v>
      </c>
      <c r="G73" s="1730">
        <f>LHEP_2016!BF10</f>
        <v>77.497</v>
      </c>
      <c r="H73" s="1737">
        <f t="shared" si="4"/>
        <v>0.52213336953012446</v>
      </c>
    </row>
    <row r="74" spans="3:8" x14ac:dyDescent="0.15">
      <c r="C74" s="1644" t="str">
        <f>LHEP_2016!BG5</f>
        <v>БЕККЕРЕЛЬ</v>
      </c>
      <c r="D74" s="1734">
        <f t="shared" si="2"/>
        <v>3.3387576454744416</v>
      </c>
      <c r="E74" s="1650">
        <f>LHEP_2016!BG8</f>
        <v>11.900000000000002</v>
      </c>
      <c r="F74" s="1733">
        <f t="shared" si="3"/>
        <v>30.782428571428568</v>
      </c>
      <c r="G74" s="1730">
        <f>LHEP_2016!BG10</f>
        <v>366.3109</v>
      </c>
      <c r="H74" s="1737">
        <f t="shared" si="4"/>
        <v>2.4680070778560785</v>
      </c>
    </row>
    <row r="75" spans="3:8" x14ac:dyDescent="0.15">
      <c r="C75" s="1644" t="str">
        <f>LHEP_2016!BH5</f>
        <v>СКАН-3</v>
      </c>
      <c r="D75" s="1734">
        <f t="shared" si="2"/>
        <v>1.7507435048538242</v>
      </c>
      <c r="E75" s="1650">
        <f>LHEP_2016!BH8</f>
        <v>6.2399999999999984</v>
      </c>
      <c r="F75" s="1733">
        <f t="shared" si="3"/>
        <v>33.795008012820524</v>
      </c>
      <c r="G75" s="1730">
        <f>LHEP_2016!BH10</f>
        <v>210.88085000000001</v>
      </c>
      <c r="H75" s="1737">
        <f t="shared" si="4"/>
        <v>1.4208024669326136</v>
      </c>
    </row>
    <row r="76" spans="3:8" x14ac:dyDescent="0.15">
      <c r="C76" s="1644" t="str">
        <f>LHEP_2016!BI5</f>
        <v>BM@N</v>
      </c>
      <c r="D76" s="1734">
        <f t="shared" si="2"/>
        <v>16.660120083048092</v>
      </c>
      <c r="E76" s="1650">
        <f>LHEP_2016!BI8</f>
        <v>59.379999999999988</v>
      </c>
      <c r="F76" s="1733">
        <f t="shared" si="3"/>
        <v>43.45687984169755</v>
      </c>
      <c r="G76" s="1730">
        <f>LHEP_2016!BI10</f>
        <v>2580.469525</v>
      </c>
      <c r="H76" s="1737">
        <f t="shared" si="4"/>
        <v>17.385824587507255</v>
      </c>
    </row>
    <row r="77" spans="3:8" x14ac:dyDescent="0.15">
      <c r="C77" s="1644" t="str">
        <f>LHEP_2016!BJ5</f>
        <v>MPD</v>
      </c>
      <c r="D77" s="1734">
        <f t="shared" si="2"/>
        <v>29.254811738959631</v>
      </c>
      <c r="E77" s="1650">
        <f>LHEP_2016!BJ8</f>
        <v>104.26999999999988</v>
      </c>
      <c r="F77" s="1733">
        <f t="shared" si="3"/>
        <v>44.738105878968113</v>
      </c>
      <c r="G77" s="1730">
        <f>LHEP_2016!BJ10</f>
        <v>4664.8423000000003</v>
      </c>
      <c r="H77" s="1737">
        <f t="shared" si="4"/>
        <v>31.429214400888501</v>
      </c>
    </row>
    <row r="78" spans="3:8" x14ac:dyDescent="0.15">
      <c r="C78" s="1644" t="str">
        <f>LHEP_2016!BL5</f>
        <v>Acc. R&amp;D</v>
      </c>
      <c r="D78" s="1734">
        <f t="shared" si="2"/>
        <v>2.5531676112451609</v>
      </c>
      <c r="E78" s="1650">
        <f>LHEP_2016!BL8</f>
        <v>9.1</v>
      </c>
      <c r="F78" s="1733">
        <f t="shared" si="3"/>
        <v>33.282692307692308</v>
      </c>
      <c r="G78" s="1730">
        <f>LHEP_2016!BL10</f>
        <v>302.8725</v>
      </c>
      <c r="H78" s="1737">
        <f t="shared" si="4"/>
        <v>2.0405930418340406</v>
      </c>
    </row>
    <row r="79" spans="3:8" x14ac:dyDescent="0.15">
      <c r="C79" s="1644" t="str">
        <f>LHEP_2016!BM5</f>
        <v>HyperNIS</v>
      </c>
      <c r="D79" s="1734">
        <f t="shared" si="2"/>
        <v>5.7376129285674224</v>
      </c>
      <c r="E79" s="1650">
        <f>LHEP_2016!BM8</f>
        <v>20.45</v>
      </c>
      <c r="F79" s="1733">
        <f t="shared" si="3"/>
        <v>34.174944987775064</v>
      </c>
      <c r="G79" s="1730">
        <f>LHEP_2016!BM10</f>
        <v>698.87762499999997</v>
      </c>
      <c r="H79" s="1737">
        <f t="shared" si="4"/>
        <v>4.708663938351946</v>
      </c>
    </row>
    <row r="80" spans="3:8" x14ac:dyDescent="0.15">
      <c r="C80" s="1644" t="str">
        <f>LHEP_2016!BN5</f>
        <v>АЛПОМ-2</v>
      </c>
      <c r="D80" s="1734">
        <f t="shared" si="2"/>
        <v>1.978003479041581</v>
      </c>
      <c r="E80" s="1650">
        <f>LHEP_2016!BN8</f>
        <v>7.0500000000000007</v>
      </c>
      <c r="F80" s="1733">
        <f t="shared" si="3"/>
        <v>38.96531914893616</v>
      </c>
      <c r="G80" s="1730">
        <f>LHEP_2016!BN10</f>
        <v>274.70549999999997</v>
      </c>
      <c r="H80" s="1737">
        <f t="shared" si="4"/>
        <v>1.8508188490323185</v>
      </c>
    </row>
    <row r="81" spans="3:8" x14ac:dyDescent="0.15">
      <c r="C81" s="1644" t="str">
        <f>LHEP_2016!BO5</f>
        <v>DSS</v>
      </c>
      <c r="D81" s="1734">
        <f t="shared" si="2"/>
        <v>2.0846192694012688</v>
      </c>
      <c r="E81" s="1650">
        <f>LHEP_2016!BO8</f>
        <v>7.43</v>
      </c>
      <c r="F81" s="1733">
        <f t="shared" si="3"/>
        <v>38.984253028263801</v>
      </c>
      <c r="G81" s="1730">
        <f>LHEP_2016!BO10</f>
        <v>289.65300000000002</v>
      </c>
      <c r="H81" s="1737">
        <f t="shared" si="4"/>
        <v>1.9515271156884675</v>
      </c>
    </row>
    <row r="82" spans="3:8" x14ac:dyDescent="0.15">
      <c r="C82" s="1644" t="str">
        <f>LHEP_2016!BP5</f>
        <v>ИРЕН</v>
      </c>
      <c r="D82" s="1734">
        <f t="shared" si="2"/>
        <v>3.1984737107906409</v>
      </c>
      <c r="E82" s="1650">
        <f>LHEP_2016!BP8</f>
        <v>11.4</v>
      </c>
      <c r="F82" s="1733">
        <f t="shared" si="3"/>
        <v>35.944078947368418</v>
      </c>
      <c r="G82" s="1730">
        <f>LHEP_2016!BP10</f>
        <v>409.76249999999999</v>
      </c>
      <c r="H82" s="1737">
        <f t="shared" si="4"/>
        <v>2.7607607369586904</v>
      </c>
    </row>
    <row r="83" spans="3:8" x14ac:dyDescent="0.15">
      <c r="C83" s="1644" t="str">
        <f>LHEP_2016!BQ5</f>
        <v>TANGRA</v>
      </c>
      <c r="D83" s="1734">
        <f t="shared" si="2"/>
        <v>0.84170360810280032</v>
      </c>
      <c r="E83" s="1650">
        <f>LHEP_2016!BQ8</f>
        <v>3</v>
      </c>
      <c r="F83" s="1733">
        <f t="shared" si="3"/>
        <v>33.43333333333333</v>
      </c>
      <c r="G83" s="1730">
        <f>LHEP_2016!BQ10</f>
        <v>100.3</v>
      </c>
      <c r="H83" s="1737">
        <f t="shared" si="4"/>
        <v>0.67576779699693523</v>
      </c>
    </row>
    <row r="84" spans="3:8" x14ac:dyDescent="0.15">
      <c r="C84" s="1644" t="str">
        <f>LHEP_2016!BR5</f>
        <v>Education</v>
      </c>
      <c r="D84" s="1734">
        <f t="shared" si="2"/>
        <v>0</v>
      </c>
      <c r="E84" s="1650">
        <f>LHEP_2016!BR8</f>
        <v>0</v>
      </c>
      <c r="F84" s="1733"/>
      <c r="G84" s="1730">
        <f>LHEP_2016!BR10</f>
        <v>0</v>
      </c>
      <c r="H84" s="1737">
        <f t="shared" si="4"/>
        <v>0</v>
      </c>
    </row>
    <row r="85" spans="3:8" x14ac:dyDescent="0.15">
      <c r="C85" s="1644" t="str">
        <f>LHEP_2016!BS5</f>
        <v>ФАЗА</v>
      </c>
      <c r="D85" s="1734">
        <f t="shared" si="2"/>
        <v>0.14028393468380004</v>
      </c>
      <c r="E85" s="1650">
        <f>LHEP_2016!BS8</f>
        <v>0.5</v>
      </c>
      <c r="F85" s="1733">
        <f t="shared" si="3"/>
        <v>20.399999999999999</v>
      </c>
      <c r="G85" s="1730">
        <f>LHEP_2016!BS10</f>
        <v>10.199999999999999</v>
      </c>
      <c r="H85" s="1737">
        <f t="shared" si="4"/>
        <v>6.8722148847145947E-2</v>
      </c>
    </row>
    <row r="86" spans="3:8" x14ac:dyDescent="0.15">
      <c r="C86" s="1644"/>
      <c r="E86" s="1644"/>
      <c r="F86" s="1733"/>
    </row>
    <row r="87" spans="3:8" x14ac:dyDescent="0.15">
      <c r="C87" s="560"/>
      <c r="D87" s="1669" t="s">
        <v>2108</v>
      </c>
      <c r="E87" s="1739">
        <f>SUM(E63:E86)</f>
        <v>356.4199999999999</v>
      </c>
      <c r="F87" s="1733">
        <f t="shared" si="3"/>
        <v>41.642939220582477</v>
      </c>
      <c r="G87" s="1738">
        <f t="shared" ref="G87" si="5">SUM(G63:G86)</f>
        <v>14842.376397000002</v>
      </c>
    </row>
    <row r="88" spans="3:8" x14ac:dyDescent="0.15">
      <c r="C88" s="560"/>
      <c r="E88" s="1644"/>
    </row>
    <row r="89" spans="3:8" x14ac:dyDescent="0.15">
      <c r="C89" s="560"/>
      <c r="E89" s="1644"/>
    </row>
    <row r="90" spans="3:8" x14ac:dyDescent="0.15">
      <c r="C90" s="560"/>
      <c r="E90" s="1644"/>
    </row>
    <row r="91" spans="3:8" x14ac:dyDescent="0.15">
      <c r="C91" s="560"/>
      <c r="E91" s="1644"/>
    </row>
    <row r="92" spans="3:8" x14ac:dyDescent="0.15">
      <c r="E92" s="1644"/>
    </row>
    <row r="93" spans="3:8" x14ac:dyDescent="0.15">
      <c r="C93" s="1563"/>
      <c r="D93" s="1563"/>
      <c r="E93" s="1852"/>
      <c r="F93" s="1563"/>
    </row>
    <row r="94" spans="3:8" x14ac:dyDescent="0.15">
      <c r="C94" s="1853"/>
      <c r="D94" s="1563"/>
      <c r="E94" s="1854"/>
      <c r="F94" s="1563"/>
    </row>
    <row r="95" spans="3:8" x14ac:dyDescent="0.15">
      <c r="C95" s="1563"/>
      <c r="D95" s="1563"/>
      <c r="E95" s="1852"/>
      <c r="F95" s="1563"/>
    </row>
    <row r="96" spans="3:8" x14ac:dyDescent="0.15">
      <c r="C96" s="1852"/>
      <c r="D96" s="1563"/>
      <c r="E96" s="1852"/>
      <c r="F96" s="1563"/>
    </row>
    <row r="97" spans="3:6" x14ac:dyDescent="0.15">
      <c r="C97" s="1852"/>
      <c r="D97" s="1563"/>
      <c r="E97" s="1852"/>
      <c r="F97" s="1563"/>
    </row>
    <row r="98" spans="3:6" x14ac:dyDescent="0.15">
      <c r="C98" s="1852"/>
      <c r="D98" s="1563"/>
      <c r="E98" s="1852"/>
      <c r="F98" s="1563"/>
    </row>
    <row r="99" spans="3:6" x14ac:dyDescent="0.15">
      <c r="C99" s="1852"/>
      <c r="D99" s="1563"/>
      <c r="E99" s="1852"/>
      <c r="F99" s="1563"/>
    </row>
    <row r="100" spans="3:6" x14ac:dyDescent="0.15">
      <c r="C100" s="1852"/>
      <c r="D100" s="1563"/>
      <c r="E100" s="1852"/>
      <c r="F100" s="1563"/>
    </row>
    <row r="101" spans="3:6" x14ac:dyDescent="0.15">
      <c r="C101" s="1852"/>
      <c r="D101" s="1563"/>
      <c r="E101" s="1852"/>
      <c r="F101" s="1563"/>
    </row>
    <row r="102" spans="3:6" x14ac:dyDescent="0.15">
      <c r="C102" s="1852"/>
      <c r="D102" s="1563"/>
      <c r="E102" s="1852"/>
      <c r="F102" s="1563"/>
    </row>
    <row r="103" spans="3:6" x14ac:dyDescent="0.15">
      <c r="C103" s="1852"/>
      <c r="D103" s="1563"/>
      <c r="E103" s="1852"/>
      <c r="F103" s="1563"/>
    </row>
    <row r="104" spans="3:6" x14ac:dyDescent="0.15">
      <c r="C104" s="1852"/>
      <c r="D104" s="1563"/>
      <c r="E104" s="1852"/>
      <c r="F104" s="1563"/>
    </row>
    <row r="105" spans="3:6" x14ac:dyDescent="0.15">
      <c r="C105" s="1852"/>
      <c r="D105" s="1563"/>
      <c r="E105" s="1852"/>
      <c r="F105" s="1563"/>
    </row>
    <row r="106" spans="3:6" x14ac:dyDescent="0.15">
      <c r="C106" s="1852"/>
      <c r="D106" s="1563"/>
      <c r="E106" s="1852"/>
      <c r="F106" s="1563"/>
    </row>
    <row r="107" spans="3:6" x14ac:dyDescent="0.15">
      <c r="C107" s="1852"/>
      <c r="D107" s="1563"/>
      <c r="E107" s="1852"/>
      <c r="F107" s="1563"/>
    </row>
    <row r="108" spans="3:6" x14ac:dyDescent="0.15">
      <c r="C108" s="1852"/>
      <c r="D108" s="1563"/>
      <c r="E108" s="1852"/>
      <c r="F108" s="1563"/>
    </row>
    <row r="109" spans="3:6" x14ac:dyDescent="0.15">
      <c r="C109" s="1852"/>
      <c r="D109" s="1563"/>
      <c r="E109" s="1852"/>
      <c r="F109" s="1563"/>
    </row>
    <row r="110" spans="3:6" x14ac:dyDescent="0.15">
      <c r="C110" s="1852"/>
      <c r="D110" s="1563"/>
      <c r="E110" s="1852"/>
      <c r="F110" s="1563"/>
    </row>
    <row r="111" spans="3:6" x14ac:dyDescent="0.15">
      <c r="C111" s="1852"/>
      <c r="D111" s="1563"/>
      <c r="E111" s="1852"/>
      <c r="F111" s="1563"/>
    </row>
    <row r="112" spans="3:6" x14ac:dyDescent="0.15">
      <c r="C112" s="1852"/>
      <c r="D112" s="1563"/>
      <c r="E112" s="1852"/>
      <c r="F112" s="1563"/>
    </row>
    <row r="113" spans="3:6" x14ac:dyDescent="0.15">
      <c r="C113" s="1852"/>
      <c r="D113" s="1563"/>
      <c r="E113" s="1852"/>
      <c r="F113" s="1563"/>
    </row>
    <row r="114" spans="3:6" x14ac:dyDescent="0.15">
      <c r="C114" s="1852"/>
      <c r="D114" s="1563"/>
      <c r="E114" s="1852"/>
      <c r="F114" s="1563"/>
    </row>
    <row r="115" spans="3:6" x14ac:dyDescent="0.15">
      <c r="C115" s="1852"/>
      <c r="D115" s="1563"/>
      <c r="E115" s="1852"/>
      <c r="F115" s="1563"/>
    </row>
    <row r="116" spans="3:6" x14ac:dyDescent="0.15">
      <c r="C116" s="1852"/>
      <c r="D116" s="1563"/>
      <c r="E116" s="1852"/>
      <c r="F116" s="1563"/>
    </row>
    <row r="117" spans="3:6" x14ac:dyDescent="0.15">
      <c r="C117" s="1852"/>
      <c r="D117" s="1563"/>
      <c r="E117" s="1852"/>
      <c r="F117" s="1563"/>
    </row>
    <row r="118" spans="3:6" x14ac:dyDescent="0.15">
      <c r="C118" s="1852"/>
      <c r="D118" s="1563"/>
      <c r="E118" s="1852"/>
      <c r="F118" s="1563"/>
    </row>
    <row r="119" spans="3:6" x14ac:dyDescent="0.15">
      <c r="C119" s="1852"/>
      <c r="D119" s="1563"/>
      <c r="E119" s="1852"/>
      <c r="F119" s="1563"/>
    </row>
    <row r="120" spans="3:6" x14ac:dyDescent="0.15">
      <c r="C120" s="1855"/>
      <c r="D120" s="1856"/>
      <c r="E120" s="1857"/>
      <c r="F120" s="1563"/>
    </row>
  </sheetData>
  <pageMargins left="0.70866141732283472" right="0.70866141732283472" top="0.74803149606299213" bottom="0.74803149606299213" header="0.31496062992125984" footer="0.31496062992125984"/>
  <pageSetup paperSize="9" scale="150" orientation="portrait"/>
  <ignoredErrors>
    <ignoredError sqref="F87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+к_должн</vt:lpstr>
      <vt:lpstr>LHEP_2016</vt:lpstr>
      <vt:lpstr>свод.числн.ЛФВЭ</vt:lpstr>
      <vt:lpstr>должности</vt:lpstr>
      <vt:lpstr>diagrams</vt:lpstr>
      <vt:lpstr>age_new</vt:lpstr>
      <vt:lpstr>methodical</vt:lpstr>
      <vt:lpstr>FTE</vt:lpstr>
    </vt:vector>
  </TitlesOfParts>
  <Company>JINR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пользователь Microsoft Office</cp:lastModifiedBy>
  <cp:lastPrinted>2017-06-01T10:37:43Z</cp:lastPrinted>
  <dcterms:created xsi:type="dcterms:W3CDTF">2008-01-23T12:51:26Z</dcterms:created>
  <dcterms:modified xsi:type="dcterms:W3CDTF">2017-10-02T14:19:18Z</dcterms:modified>
</cp:coreProperties>
</file>